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15" windowWidth="23235" windowHeight="9465" tabRatio="603" firstSheet="2" activeTab="6"/>
  </bookViews>
  <sheets>
    <sheet name="enero" sheetId="1" r:id="rId1"/>
    <sheet name="febrero" sheetId="2" r:id="rId2"/>
    <sheet name="marzo" sheetId="11" r:id="rId3"/>
    <sheet name="abril" sheetId="12" r:id="rId4"/>
    <sheet name="mayo" sheetId="13" r:id="rId5"/>
    <sheet name="junio" sheetId="16" r:id="rId6"/>
    <sheet name="julio" sheetId="18" r:id="rId7"/>
    <sheet name="agosto" sheetId="19" r:id="rId8"/>
    <sheet name="programa de pagos" sheetId="3" r:id="rId9"/>
    <sheet name="cierres" sheetId="4" r:id="rId10"/>
    <sheet name="mesada" sheetId="5" r:id="rId11"/>
    <sheet name="edo cta Seaboard" sheetId="6" r:id="rId12"/>
    <sheet name="edo cta Indiana" sheetId="7" r:id="rId13"/>
    <sheet name="rastro" sheetId="8" r:id="rId14"/>
    <sheet name="Proledo" sheetId="15" r:id="rId15"/>
    <sheet name="Pagos Archibaldo" sheetId="9" r:id="rId16"/>
    <sheet name="ajustes importaciones" sheetId="10" r:id="rId17"/>
    <sheet name="robo canales 1 may" sheetId="14" r:id="rId18"/>
    <sheet name="remodelacion central" sheetId="17" r:id="rId19"/>
  </sheets>
  <definedNames>
    <definedName name="_xlnm.Print_Area" localSheetId="16">'ajustes importaciones'!$A$1:$T$34</definedName>
    <definedName name="_xlnm.Print_Area" localSheetId="8">'programa de pagos'!$A$661:$J$743</definedName>
  </definedNames>
  <calcPr calcId="144525"/>
</workbook>
</file>

<file path=xl/calcChain.xml><?xml version="1.0" encoding="utf-8"?>
<calcChain xmlns="http://schemas.openxmlformats.org/spreadsheetml/2006/main">
  <c r="C771" i="3" l="1"/>
  <c r="F16" i="19"/>
  <c r="G6" i="19"/>
  <c r="P17" i="19" l="1"/>
  <c r="F4" i="19"/>
  <c r="C776" i="3"/>
  <c r="C704" i="3" l="1"/>
  <c r="C773" i="3"/>
  <c r="C770" i="3"/>
  <c r="F12" i="19"/>
  <c r="X88" i="18"/>
  <c r="Y88" i="18"/>
  <c r="G3" i="19"/>
  <c r="E3" i="19"/>
  <c r="C691" i="3" l="1"/>
  <c r="P16" i="19"/>
  <c r="P15" i="19"/>
  <c r="P12" i="19"/>
  <c r="P10" i="19"/>
  <c r="P9" i="19"/>
  <c r="E94" i="18"/>
  <c r="E64" i="18"/>
  <c r="C769" i="3" l="1"/>
  <c r="C735" i="3"/>
  <c r="C747" i="3"/>
  <c r="C743" i="3"/>
  <c r="C699" i="3"/>
  <c r="C709" i="3"/>
  <c r="C708" i="3"/>
  <c r="F7" i="19"/>
  <c r="F5" i="19"/>
  <c r="F104" i="18"/>
  <c r="G106" i="18"/>
  <c r="C768" i="3" l="1"/>
  <c r="C761" i="3" l="1"/>
  <c r="G98" i="18" l="1"/>
  <c r="C763" i="3"/>
  <c r="C762" i="3"/>
  <c r="G97" i="18"/>
  <c r="E97" i="18"/>
  <c r="E98" i="18"/>
  <c r="P5" i="19" l="1"/>
  <c r="P7" i="19"/>
  <c r="P4" i="19"/>
  <c r="G94" i="18"/>
  <c r="C759" i="3"/>
  <c r="C758" i="3"/>
  <c r="G86" i="18" l="1"/>
  <c r="C748" i="3"/>
  <c r="C755" i="3"/>
  <c r="F96" i="18"/>
  <c r="F95" i="18"/>
  <c r="F102" i="18"/>
  <c r="G92" i="18"/>
  <c r="P104" i="18" l="1"/>
  <c r="C751" i="3"/>
  <c r="C749" i="3"/>
  <c r="F87" i="18"/>
  <c r="F86" i="18"/>
  <c r="F91" i="18"/>
  <c r="F90" i="18"/>
  <c r="F89" i="18"/>
  <c r="F93" i="18"/>
  <c r="P83" i="18"/>
  <c r="F85" i="18"/>
  <c r="F83" i="18"/>
  <c r="G82" i="18"/>
  <c r="P103" i="18" l="1"/>
  <c r="P102" i="18"/>
  <c r="F99" i="18"/>
  <c r="G81" i="18"/>
  <c r="G76" i="18" l="1"/>
  <c r="G77" i="18"/>
  <c r="F84" i="18"/>
  <c r="P99" i="18" l="1"/>
  <c r="P96" i="18"/>
  <c r="P95" i="18"/>
  <c r="C740" i="3" l="1"/>
  <c r="C736" i="3"/>
  <c r="C728" i="3"/>
  <c r="E253" i="15"/>
  <c r="B253" i="15"/>
  <c r="C253" i="15"/>
  <c r="G72" i="18"/>
  <c r="F76" i="18"/>
  <c r="E76" i="18"/>
  <c r="F73" i="18"/>
  <c r="E73" i="18"/>
  <c r="F68" i="18"/>
  <c r="G74" i="18"/>
  <c r="G73" i="18"/>
  <c r="P85" i="18"/>
  <c r="P84" i="18"/>
  <c r="P93" i="18"/>
  <c r="C741" i="3"/>
  <c r="C737" i="3" l="1"/>
  <c r="B248" i="15" l="1"/>
  <c r="C248" i="15"/>
  <c r="E248" i="15"/>
  <c r="G70" i="18"/>
  <c r="F72" i="18" l="1"/>
  <c r="F71" i="18"/>
  <c r="C695" i="3"/>
  <c r="C721" i="3"/>
  <c r="F78" i="18"/>
  <c r="G68" i="18" l="1"/>
  <c r="F79" i="18"/>
  <c r="C730" i="3"/>
  <c r="W93" i="19" l="1"/>
  <c r="T93" i="19"/>
  <c r="X93" i="19" s="1"/>
  <c r="Y93" i="19" s="1"/>
  <c r="H93" i="19"/>
  <c r="W92" i="19"/>
  <c r="T92" i="19"/>
  <c r="X92" i="19" s="1"/>
  <c r="Y92" i="19" s="1"/>
  <c r="H92" i="19"/>
  <c r="W91" i="19"/>
  <c r="T91" i="19"/>
  <c r="X91" i="19" s="1"/>
  <c r="Y91" i="19" s="1"/>
  <c r="H91" i="19"/>
  <c r="U90" i="19"/>
  <c r="S90" i="19"/>
  <c r="R90" i="19"/>
  <c r="H90" i="19"/>
  <c r="U89" i="19"/>
  <c r="S89" i="19"/>
  <c r="R89" i="19"/>
  <c r="H89" i="19"/>
  <c r="W88" i="19"/>
  <c r="T88" i="19"/>
  <c r="X88" i="19" s="1"/>
  <c r="Y88" i="19" s="1"/>
  <c r="H88" i="19"/>
  <c r="U87" i="19"/>
  <c r="S87" i="19"/>
  <c r="R87" i="19"/>
  <c r="H87" i="19"/>
  <c r="U86" i="19"/>
  <c r="S86" i="19"/>
  <c r="R86" i="19"/>
  <c r="H86" i="19"/>
  <c r="W85" i="19"/>
  <c r="T85" i="19"/>
  <c r="X85" i="19" s="1"/>
  <c r="Y85" i="19" s="1"/>
  <c r="H85" i="19"/>
  <c r="W84" i="19"/>
  <c r="T84" i="19"/>
  <c r="X84" i="19" s="1"/>
  <c r="Y84" i="19" s="1"/>
  <c r="H84" i="19"/>
  <c r="U83" i="19"/>
  <c r="S83" i="19"/>
  <c r="R83" i="19"/>
  <c r="H83" i="19"/>
  <c r="W82" i="19"/>
  <c r="T82" i="19"/>
  <c r="X82" i="19" s="1"/>
  <c r="Y82" i="19" s="1"/>
  <c r="H82" i="19"/>
  <c r="U81" i="19"/>
  <c r="S81" i="19"/>
  <c r="R81" i="19"/>
  <c r="H81" i="19"/>
  <c r="W80" i="19"/>
  <c r="T80" i="19"/>
  <c r="X80" i="19" s="1"/>
  <c r="Y80" i="19" s="1"/>
  <c r="H80" i="19"/>
  <c r="W79" i="19"/>
  <c r="T79" i="19"/>
  <c r="X79" i="19" s="1"/>
  <c r="Y79" i="19" s="1"/>
  <c r="H79" i="19"/>
  <c r="U78" i="19"/>
  <c r="S78" i="19"/>
  <c r="R78" i="19"/>
  <c r="H78" i="19"/>
  <c r="U77" i="19"/>
  <c r="S77" i="19"/>
  <c r="R77" i="19"/>
  <c r="H77" i="19"/>
  <c r="U76" i="19"/>
  <c r="S76" i="19"/>
  <c r="R76" i="19"/>
  <c r="H76" i="19"/>
  <c r="W74" i="19"/>
  <c r="T74" i="19"/>
  <c r="X74" i="19" s="1"/>
  <c r="Y74" i="19" s="1"/>
  <c r="H74" i="19"/>
  <c r="W73" i="19"/>
  <c r="T73" i="19"/>
  <c r="X73" i="19" s="1"/>
  <c r="Y73" i="19" s="1"/>
  <c r="H73" i="19"/>
  <c r="W72" i="19"/>
  <c r="T72" i="19"/>
  <c r="X72" i="19" s="1"/>
  <c r="Y72" i="19" s="1"/>
  <c r="H72" i="19"/>
  <c r="U71" i="19"/>
  <c r="S71" i="19"/>
  <c r="R71" i="19"/>
  <c r="H71" i="19"/>
  <c r="U70" i="19"/>
  <c r="S70" i="19"/>
  <c r="R70" i="19"/>
  <c r="H70" i="19"/>
  <c r="W69" i="19"/>
  <c r="T69" i="19"/>
  <c r="X69" i="19" s="1"/>
  <c r="Y69" i="19" s="1"/>
  <c r="H69" i="19"/>
  <c r="U68" i="19"/>
  <c r="S68" i="19"/>
  <c r="R68" i="19"/>
  <c r="H68" i="19"/>
  <c r="U67" i="19"/>
  <c r="S67" i="19"/>
  <c r="R67" i="19"/>
  <c r="H67" i="19"/>
  <c r="W66" i="19"/>
  <c r="T66" i="19"/>
  <c r="X66" i="19" s="1"/>
  <c r="Y66" i="19" s="1"/>
  <c r="H66" i="19"/>
  <c r="W65" i="19"/>
  <c r="T65" i="19"/>
  <c r="X65" i="19" s="1"/>
  <c r="Y65" i="19" s="1"/>
  <c r="H65" i="19"/>
  <c r="U64" i="19"/>
  <c r="S64" i="19"/>
  <c r="R64" i="19"/>
  <c r="H64" i="19"/>
  <c r="W63" i="19"/>
  <c r="T63" i="19"/>
  <c r="X63" i="19" s="1"/>
  <c r="Y63" i="19" s="1"/>
  <c r="H63" i="19"/>
  <c r="U62" i="19"/>
  <c r="S62" i="19"/>
  <c r="R62" i="19"/>
  <c r="H62" i="19"/>
  <c r="W61" i="19"/>
  <c r="T61" i="19"/>
  <c r="X61" i="19" s="1"/>
  <c r="Y61" i="19" s="1"/>
  <c r="H61" i="19"/>
  <c r="W60" i="19"/>
  <c r="T60" i="19"/>
  <c r="X60" i="19" s="1"/>
  <c r="Y60" i="19" s="1"/>
  <c r="H60" i="19"/>
  <c r="U59" i="19"/>
  <c r="S59" i="19"/>
  <c r="R59" i="19"/>
  <c r="H59" i="19"/>
  <c r="U58" i="19"/>
  <c r="S58" i="19"/>
  <c r="R58" i="19"/>
  <c r="H58" i="19"/>
  <c r="U57" i="19"/>
  <c r="S57" i="19"/>
  <c r="R57" i="19"/>
  <c r="H57" i="19"/>
  <c r="W55" i="19"/>
  <c r="T55" i="19"/>
  <c r="X55" i="19" s="1"/>
  <c r="Y55" i="19" s="1"/>
  <c r="H55" i="19"/>
  <c r="W54" i="19"/>
  <c r="T54" i="19"/>
  <c r="X54" i="19" s="1"/>
  <c r="Y54" i="19" s="1"/>
  <c r="H54" i="19"/>
  <c r="W53" i="19"/>
  <c r="T53" i="19"/>
  <c r="X53" i="19" s="1"/>
  <c r="Y53" i="19" s="1"/>
  <c r="H53" i="19"/>
  <c r="U52" i="19"/>
  <c r="S52" i="19"/>
  <c r="R52" i="19"/>
  <c r="H52" i="19"/>
  <c r="U51" i="19"/>
  <c r="S51" i="19"/>
  <c r="R51" i="19"/>
  <c r="H51" i="19"/>
  <c r="W50" i="19"/>
  <c r="T50" i="19"/>
  <c r="X50" i="19" s="1"/>
  <c r="Y50" i="19" s="1"/>
  <c r="H50" i="19"/>
  <c r="U49" i="19"/>
  <c r="S49" i="19"/>
  <c r="R49" i="19"/>
  <c r="H49" i="19"/>
  <c r="U48" i="19"/>
  <c r="S48" i="19"/>
  <c r="R48" i="19"/>
  <c r="H48" i="19"/>
  <c r="W47" i="19"/>
  <c r="T47" i="19"/>
  <c r="X47" i="19" s="1"/>
  <c r="Y47" i="19" s="1"/>
  <c r="H47" i="19"/>
  <c r="W46" i="19"/>
  <c r="T46" i="19"/>
  <c r="X46" i="19" s="1"/>
  <c r="Y46" i="19" s="1"/>
  <c r="H46" i="19"/>
  <c r="U45" i="19"/>
  <c r="S45" i="19"/>
  <c r="R45" i="19"/>
  <c r="H45" i="19"/>
  <c r="W44" i="19"/>
  <c r="T44" i="19"/>
  <c r="X44" i="19" s="1"/>
  <c r="Y44" i="19" s="1"/>
  <c r="H44" i="19"/>
  <c r="U43" i="19"/>
  <c r="S43" i="19"/>
  <c r="R43" i="19"/>
  <c r="H43" i="19"/>
  <c r="W42" i="19"/>
  <c r="T42" i="19"/>
  <c r="X42" i="19" s="1"/>
  <c r="Y42" i="19" s="1"/>
  <c r="H42" i="19"/>
  <c r="W41" i="19"/>
  <c r="T41" i="19"/>
  <c r="X41" i="19" s="1"/>
  <c r="Y41" i="19" s="1"/>
  <c r="H41" i="19"/>
  <c r="U40" i="19"/>
  <c r="S40" i="19"/>
  <c r="R40" i="19"/>
  <c r="H40" i="19"/>
  <c r="U39" i="19"/>
  <c r="S39" i="19"/>
  <c r="R39" i="19"/>
  <c r="H39" i="19"/>
  <c r="U38" i="19"/>
  <c r="S38" i="19"/>
  <c r="R38" i="19"/>
  <c r="H38" i="19"/>
  <c r="P79" i="18"/>
  <c r="P78" i="18"/>
  <c r="G65" i="18"/>
  <c r="H65" i="18" s="1"/>
  <c r="C689" i="3"/>
  <c r="C690" i="3"/>
  <c r="C688" i="3"/>
  <c r="C729" i="3"/>
  <c r="F75" i="18"/>
  <c r="W76" i="19" l="1"/>
  <c r="T76" i="19" s="1"/>
  <c r="X76" i="19" s="1"/>
  <c r="Y76" i="19" s="1"/>
  <c r="W77" i="19"/>
  <c r="T77" i="19" s="1"/>
  <c r="X77" i="19" s="1"/>
  <c r="Y77" i="19" s="1"/>
  <c r="W78" i="19"/>
  <c r="T78" i="19" s="1"/>
  <c r="X78" i="19" s="1"/>
  <c r="Y78" i="19" s="1"/>
  <c r="W81" i="19"/>
  <c r="T81" i="19" s="1"/>
  <c r="X81" i="19" s="1"/>
  <c r="Y81" i="19" s="1"/>
  <c r="W83" i="19"/>
  <c r="T83" i="19" s="1"/>
  <c r="X83" i="19" s="1"/>
  <c r="Y83" i="19" s="1"/>
  <c r="W86" i="19"/>
  <c r="T86" i="19" s="1"/>
  <c r="X86" i="19" s="1"/>
  <c r="Y86" i="19" s="1"/>
  <c r="W87" i="19"/>
  <c r="T87" i="19" s="1"/>
  <c r="X87" i="19" s="1"/>
  <c r="Y87" i="19" s="1"/>
  <c r="W89" i="19"/>
  <c r="T89" i="19" s="1"/>
  <c r="X89" i="19" s="1"/>
  <c r="Y89" i="19" s="1"/>
  <c r="W90" i="19"/>
  <c r="T90" i="19" s="1"/>
  <c r="X90" i="19" s="1"/>
  <c r="Y90" i="19" s="1"/>
  <c r="W57" i="19"/>
  <c r="T57" i="19" s="1"/>
  <c r="X57" i="19" s="1"/>
  <c r="Y57" i="19" s="1"/>
  <c r="W58" i="19"/>
  <c r="T58" i="19" s="1"/>
  <c r="X58" i="19" s="1"/>
  <c r="Y58" i="19" s="1"/>
  <c r="W59" i="19"/>
  <c r="T59" i="19" s="1"/>
  <c r="X59" i="19" s="1"/>
  <c r="Y59" i="19" s="1"/>
  <c r="W62" i="19"/>
  <c r="T62" i="19" s="1"/>
  <c r="X62" i="19" s="1"/>
  <c r="Y62" i="19" s="1"/>
  <c r="W64" i="19"/>
  <c r="T64" i="19" s="1"/>
  <c r="X64" i="19" s="1"/>
  <c r="Y64" i="19" s="1"/>
  <c r="W67" i="19"/>
  <c r="T67" i="19" s="1"/>
  <c r="X67" i="19" s="1"/>
  <c r="Y67" i="19" s="1"/>
  <c r="W68" i="19"/>
  <c r="T68" i="19" s="1"/>
  <c r="X68" i="19" s="1"/>
  <c r="Y68" i="19" s="1"/>
  <c r="W70" i="19"/>
  <c r="T70" i="19" s="1"/>
  <c r="X70" i="19" s="1"/>
  <c r="Y70" i="19" s="1"/>
  <c r="W71" i="19"/>
  <c r="T71" i="19" s="1"/>
  <c r="X71" i="19" s="1"/>
  <c r="Y71" i="19" s="1"/>
  <c r="W38" i="19"/>
  <c r="T38" i="19" s="1"/>
  <c r="X38" i="19" s="1"/>
  <c r="Y38" i="19" s="1"/>
  <c r="W39" i="19"/>
  <c r="T39" i="19" s="1"/>
  <c r="X39" i="19" s="1"/>
  <c r="Y39" i="19" s="1"/>
  <c r="W40" i="19"/>
  <c r="T40" i="19" s="1"/>
  <c r="X40" i="19" s="1"/>
  <c r="Y40" i="19" s="1"/>
  <c r="W43" i="19"/>
  <c r="T43" i="19" s="1"/>
  <c r="X43" i="19" s="1"/>
  <c r="Y43" i="19" s="1"/>
  <c r="W45" i="19"/>
  <c r="T45" i="19" s="1"/>
  <c r="X45" i="19" s="1"/>
  <c r="Y45" i="19" s="1"/>
  <c r="W48" i="19"/>
  <c r="T48" i="19" s="1"/>
  <c r="X48" i="19" s="1"/>
  <c r="Y48" i="19" s="1"/>
  <c r="W49" i="19"/>
  <c r="T49" i="19" s="1"/>
  <c r="X49" i="19" s="1"/>
  <c r="Y49" i="19" s="1"/>
  <c r="W51" i="19"/>
  <c r="T51" i="19" s="1"/>
  <c r="X51" i="19" s="1"/>
  <c r="Y51" i="19" s="1"/>
  <c r="W52" i="19"/>
  <c r="T52" i="19" s="1"/>
  <c r="X52" i="19" s="1"/>
  <c r="Y52" i="19" s="1"/>
  <c r="G58" i="18" l="1"/>
  <c r="G59" i="18"/>
  <c r="C727" i="3"/>
  <c r="C726" i="3"/>
  <c r="F64" i="18"/>
  <c r="G64" i="18"/>
  <c r="H64" i="18" s="1"/>
  <c r="F66" i="18" l="1"/>
  <c r="E242" i="15"/>
  <c r="C242" i="15"/>
  <c r="B242" i="15"/>
  <c r="B235" i="15"/>
  <c r="C717" i="3" l="1"/>
  <c r="C716" i="3"/>
  <c r="G55" i="18"/>
  <c r="G56" i="18"/>
  <c r="E50" i="18"/>
  <c r="F51" i="18"/>
  <c r="H81" i="7"/>
  <c r="H82" i="7"/>
  <c r="H83" i="7"/>
  <c r="H80" i="7"/>
  <c r="H548" i="6"/>
  <c r="H539" i="6"/>
  <c r="H540" i="6"/>
  <c r="H541" i="6"/>
  <c r="H542" i="6"/>
  <c r="H543" i="6"/>
  <c r="H544" i="6"/>
  <c r="H545" i="6"/>
  <c r="H546" i="6"/>
  <c r="H547" i="6"/>
  <c r="F69" i="18"/>
  <c r="F67" i="18"/>
  <c r="H522" i="6"/>
  <c r="H523" i="6"/>
  <c r="H524" i="6"/>
  <c r="H525" i="6"/>
  <c r="C707" i="3"/>
  <c r="C706" i="3"/>
  <c r="C703" i="3"/>
  <c r="P75" i="18" l="1"/>
  <c r="P72" i="18"/>
  <c r="P71" i="18"/>
  <c r="G45" i="18" l="1"/>
  <c r="C713" i="3"/>
  <c r="C712" i="3"/>
  <c r="E224" i="15"/>
  <c r="B224" i="15"/>
  <c r="C224" i="15"/>
  <c r="C685" i="3" l="1"/>
  <c r="C683" i="3"/>
  <c r="C684" i="3"/>
  <c r="H528" i="6"/>
  <c r="H529" i="6"/>
  <c r="H530" i="6"/>
  <c r="P67" i="18"/>
  <c r="P66" i="18"/>
  <c r="P69" i="18"/>
  <c r="C711" i="3"/>
  <c r="C710" i="3"/>
  <c r="C700" i="3"/>
  <c r="F61" i="18"/>
  <c r="F57" i="18"/>
  <c r="C681" i="3"/>
  <c r="H527" i="6"/>
  <c r="H531" i="6"/>
  <c r="H532" i="6"/>
  <c r="H533" i="6"/>
  <c r="H534" i="6"/>
  <c r="H535" i="6"/>
  <c r="H536" i="6"/>
  <c r="H537" i="6"/>
  <c r="H538" i="6"/>
  <c r="C665" i="3"/>
  <c r="C674" i="3"/>
  <c r="C669" i="3"/>
  <c r="C668" i="3"/>
  <c r="G50" i="18"/>
  <c r="F50" i="18"/>
  <c r="F54" i="18" l="1"/>
  <c r="F53" i="18"/>
  <c r="C664" i="3"/>
  <c r="F60" i="18"/>
  <c r="G48" i="18"/>
  <c r="E48" i="18"/>
  <c r="C215" i="15" l="1"/>
  <c r="B215" i="15"/>
  <c r="E215" i="15" s="1"/>
  <c r="F49" i="18"/>
  <c r="G41" i="18"/>
  <c r="R46" i="18" l="1"/>
  <c r="R45" i="18"/>
  <c r="P61" i="18"/>
  <c r="P60" i="18"/>
  <c r="C702" i="3"/>
  <c r="C701" i="3"/>
  <c r="F46" i="18" l="1"/>
  <c r="F45" i="18"/>
  <c r="F42" i="18"/>
  <c r="F44" i="18"/>
  <c r="F43" i="18"/>
  <c r="F47" i="18"/>
  <c r="S24" i="19"/>
  <c r="R24" i="19"/>
  <c r="C667" i="3"/>
  <c r="W51" i="18"/>
  <c r="X51" i="18"/>
  <c r="Y51" i="18"/>
  <c r="H51" i="18"/>
  <c r="C663" i="3"/>
  <c r="X37" i="18" l="1"/>
  <c r="Y37" i="18" s="1"/>
  <c r="W37" i="18"/>
  <c r="X28" i="18"/>
  <c r="Y28" i="18" s="1"/>
  <c r="W28" i="18"/>
  <c r="H28" i="18"/>
  <c r="H31" i="18"/>
  <c r="H32" i="18"/>
  <c r="H36" i="18"/>
  <c r="H37" i="18"/>
  <c r="W21" i="18"/>
  <c r="X21" i="18"/>
  <c r="Y21" i="18"/>
  <c r="H21" i="18"/>
  <c r="C692" i="3"/>
  <c r="C687" i="3"/>
  <c r="C686" i="3"/>
  <c r="C679" i="3"/>
  <c r="C678" i="3"/>
  <c r="C677" i="3"/>
  <c r="C680" i="3"/>
  <c r="C676" i="3"/>
  <c r="C675" i="3"/>
  <c r="C666" i="3"/>
  <c r="B201" i="15"/>
  <c r="C201" i="15"/>
  <c r="E201" i="15"/>
  <c r="C694" i="3"/>
  <c r="C693" i="3"/>
  <c r="C682" i="3"/>
  <c r="P57" i="18" l="1"/>
  <c r="P53" i="18"/>
  <c r="F35" i="18" l="1"/>
  <c r="H35" i="18" s="1"/>
  <c r="F34" i="18"/>
  <c r="H34" i="18" s="1"/>
  <c r="F33" i="18"/>
  <c r="H33" i="18" s="1"/>
  <c r="H526" i="6"/>
  <c r="P42" i="18"/>
  <c r="H42" i="18"/>
  <c r="G27" i="18"/>
  <c r="G26" i="18"/>
  <c r="W42" i="18" l="1"/>
  <c r="T42" i="18" s="1"/>
  <c r="X42" i="18" s="1"/>
  <c r="Y42" i="18" s="1"/>
  <c r="W36" i="19" l="1"/>
  <c r="T36" i="19"/>
  <c r="X36" i="19" s="1"/>
  <c r="Y36" i="19" s="1"/>
  <c r="H36" i="19"/>
  <c r="W35" i="19"/>
  <c r="T35" i="19"/>
  <c r="X35" i="19" s="1"/>
  <c r="Y35" i="19" s="1"/>
  <c r="H35" i="19"/>
  <c r="W34" i="19"/>
  <c r="T34" i="19"/>
  <c r="X34" i="19" s="1"/>
  <c r="Y34" i="19" s="1"/>
  <c r="H34" i="19"/>
  <c r="U33" i="19"/>
  <c r="S33" i="19"/>
  <c r="R33" i="19"/>
  <c r="H33" i="19"/>
  <c r="U32" i="19"/>
  <c r="S32" i="19"/>
  <c r="R32" i="19"/>
  <c r="H32" i="19"/>
  <c r="W31" i="19"/>
  <c r="T31" i="19"/>
  <c r="X31" i="19" s="1"/>
  <c r="Y31" i="19" s="1"/>
  <c r="H31" i="19"/>
  <c r="U30" i="19"/>
  <c r="S30" i="19"/>
  <c r="R30" i="19"/>
  <c r="H30" i="19"/>
  <c r="U29" i="19"/>
  <c r="S29" i="19"/>
  <c r="R29" i="19"/>
  <c r="H29" i="19"/>
  <c r="W28" i="19"/>
  <c r="T28" i="19"/>
  <c r="X28" i="19" s="1"/>
  <c r="Y28" i="19" s="1"/>
  <c r="H28" i="19"/>
  <c r="W27" i="19"/>
  <c r="T27" i="19"/>
  <c r="X27" i="19" s="1"/>
  <c r="Y27" i="19" s="1"/>
  <c r="H27" i="19"/>
  <c r="U26" i="19"/>
  <c r="S26" i="19"/>
  <c r="R26" i="19"/>
  <c r="H26" i="19"/>
  <c r="W25" i="19"/>
  <c r="T25" i="19"/>
  <c r="X25" i="19" s="1"/>
  <c r="Y25" i="19" s="1"/>
  <c r="H25" i="19"/>
  <c r="U24" i="19"/>
  <c r="H24" i="19"/>
  <c r="W23" i="19"/>
  <c r="T23" i="19"/>
  <c r="X23" i="19" s="1"/>
  <c r="Y23" i="19" s="1"/>
  <c r="W22" i="19"/>
  <c r="T22" i="19"/>
  <c r="X22" i="19" s="1"/>
  <c r="Y22" i="19" s="1"/>
  <c r="H22" i="19"/>
  <c r="U21" i="19"/>
  <c r="S21" i="19"/>
  <c r="R21" i="19"/>
  <c r="H21" i="19"/>
  <c r="U20" i="19"/>
  <c r="S20" i="19"/>
  <c r="R20" i="19"/>
  <c r="H20" i="19"/>
  <c r="U19" i="19"/>
  <c r="S19" i="19"/>
  <c r="R19" i="19"/>
  <c r="H19" i="19"/>
  <c r="W17" i="19"/>
  <c r="T17" i="19"/>
  <c r="X17" i="19" s="1"/>
  <c r="Y17" i="19" s="1"/>
  <c r="H17" i="19"/>
  <c r="W16" i="19"/>
  <c r="T16" i="19"/>
  <c r="X16" i="19" s="1"/>
  <c r="Y16" i="19" s="1"/>
  <c r="H16" i="19"/>
  <c r="W15" i="19"/>
  <c r="T15" i="19"/>
  <c r="X15" i="19" s="1"/>
  <c r="Y15" i="19" s="1"/>
  <c r="H15" i="19"/>
  <c r="U14" i="19"/>
  <c r="S14" i="19"/>
  <c r="R14" i="19"/>
  <c r="H14" i="19"/>
  <c r="U13" i="19"/>
  <c r="S13" i="19"/>
  <c r="R13" i="19"/>
  <c r="H13" i="19"/>
  <c r="W12" i="19"/>
  <c r="T12" i="19"/>
  <c r="X12" i="19" s="1"/>
  <c r="Y12" i="19" s="1"/>
  <c r="H12" i="19"/>
  <c r="U11" i="19"/>
  <c r="S11" i="19"/>
  <c r="R11" i="19"/>
  <c r="H11" i="19"/>
  <c r="W10" i="19"/>
  <c r="T10" i="19"/>
  <c r="X10" i="19" s="1"/>
  <c r="Y10" i="19" s="1"/>
  <c r="H10" i="19"/>
  <c r="W9" i="19"/>
  <c r="T9" i="19"/>
  <c r="X9" i="19" s="1"/>
  <c r="Y9" i="19" s="1"/>
  <c r="H9" i="19"/>
  <c r="U8" i="19"/>
  <c r="S8" i="19"/>
  <c r="R8" i="19"/>
  <c r="H8" i="19"/>
  <c r="W7" i="19"/>
  <c r="T7" i="19"/>
  <c r="X7" i="19" s="1"/>
  <c r="Y7" i="19" s="1"/>
  <c r="H7" i="19"/>
  <c r="U6" i="19"/>
  <c r="S6" i="19"/>
  <c r="R6" i="19"/>
  <c r="H6" i="19"/>
  <c r="W5" i="19"/>
  <c r="T5" i="19"/>
  <c r="X5" i="19" s="1"/>
  <c r="Y5" i="19" s="1"/>
  <c r="W4" i="19"/>
  <c r="T4" i="19"/>
  <c r="X4" i="19" s="1"/>
  <c r="Y4" i="19" s="1"/>
  <c r="H4" i="19"/>
  <c r="U3" i="19"/>
  <c r="S3" i="19"/>
  <c r="R3" i="19"/>
  <c r="H3" i="19"/>
  <c r="R91" i="18"/>
  <c r="Q91" i="18"/>
  <c r="R90" i="18"/>
  <c r="Q90" i="18"/>
  <c r="R89" i="18"/>
  <c r="Q89" i="18"/>
  <c r="W89" i="18"/>
  <c r="T89" i="18" s="1"/>
  <c r="X89" i="18" s="1"/>
  <c r="Y89" i="18" s="1"/>
  <c r="W90" i="18"/>
  <c r="T90" i="18" s="1"/>
  <c r="X90" i="18" s="1"/>
  <c r="Y90" i="18" s="1"/>
  <c r="W91" i="18"/>
  <c r="T91" i="18" s="1"/>
  <c r="X91" i="18" s="1"/>
  <c r="Y91" i="18" s="1"/>
  <c r="H91" i="18"/>
  <c r="H90" i="18"/>
  <c r="H89" i="18"/>
  <c r="R87" i="18"/>
  <c r="Q87" i="18"/>
  <c r="H87" i="18"/>
  <c r="R86" i="18"/>
  <c r="Q86" i="18"/>
  <c r="H86" i="18"/>
  <c r="U106" i="18"/>
  <c r="S106" i="18"/>
  <c r="R106" i="18"/>
  <c r="H106" i="18"/>
  <c r="W104" i="18"/>
  <c r="T104" i="18"/>
  <c r="X104" i="18" s="1"/>
  <c r="Y104" i="18" s="1"/>
  <c r="H104" i="18"/>
  <c r="W103" i="18"/>
  <c r="T103" i="18"/>
  <c r="X103" i="18" s="1"/>
  <c r="Y103" i="18" s="1"/>
  <c r="H103" i="18"/>
  <c r="W102" i="18"/>
  <c r="T102" i="18"/>
  <c r="X102" i="18" s="1"/>
  <c r="Y102" i="18" s="1"/>
  <c r="H102" i="18"/>
  <c r="U101" i="18"/>
  <c r="S101" i="18"/>
  <c r="R101" i="18"/>
  <c r="H101" i="18"/>
  <c r="U100" i="18"/>
  <c r="S100" i="18"/>
  <c r="R100" i="18"/>
  <c r="H100" i="18"/>
  <c r="W99" i="18"/>
  <c r="T99" i="18"/>
  <c r="X99" i="18" s="1"/>
  <c r="Y99" i="18" s="1"/>
  <c r="H99" i="18"/>
  <c r="U98" i="18"/>
  <c r="S98" i="18"/>
  <c r="R98" i="18"/>
  <c r="H98" i="18"/>
  <c r="U97" i="18"/>
  <c r="S97" i="18"/>
  <c r="R97" i="18"/>
  <c r="H97" i="18"/>
  <c r="W96" i="18"/>
  <c r="T96" i="18"/>
  <c r="X96" i="18" s="1"/>
  <c r="Y96" i="18" s="1"/>
  <c r="H96" i="18"/>
  <c r="W95" i="18"/>
  <c r="T95" i="18"/>
  <c r="X95" i="18" s="1"/>
  <c r="Y95" i="18" s="1"/>
  <c r="H95" i="18"/>
  <c r="U94" i="18"/>
  <c r="S94" i="18"/>
  <c r="R94" i="18"/>
  <c r="H94" i="18"/>
  <c r="W93" i="18"/>
  <c r="T93" i="18"/>
  <c r="X93" i="18" s="1"/>
  <c r="Y93" i="18" s="1"/>
  <c r="H93" i="18"/>
  <c r="U92" i="18"/>
  <c r="S92" i="18"/>
  <c r="R92" i="18"/>
  <c r="H92" i="18"/>
  <c r="W85" i="18"/>
  <c r="T85" i="18"/>
  <c r="X85" i="18" s="1"/>
  <c r="Y85" i="18" s="1"/>
  <c r="W84" i="18"/>
  <c r="T84" i="18"/>
  <c r="X84" i="18" s="1"/>
  <c r="Y84" i="18" s="1"/>
  <c r="H84" i="18"/>
  <c r="U82" i="18"/>
  <c r="S82" i="18"/>
  <c r="R82" i="18"/>
  <c r="H82" i="18"/>
  <c r="U81" i="18"/>
  <c r="S81" i="18"/>
  <c r="R81" i="18"/>
  <c r="H81" i="18"/>
  <c r="P49" i="18"/>
  <c r="P45" i="18"/>
  <c r="P44" i="18"/>
  <c r="P43" i="18"/>
  <c r="W19" i="19" l="1"/>
  <c r="T19" i="19" s="1"/>
  <c r="X19" i="19" s="1"/>
  <c r="Y19" i="19" s="1"/>
  <c r="W20" i="19"/>
  <c r="T20" i="19" s="1"/>
  <c r="X20" i="19" s="1"/>
  <c r="Y20" i="19" s="1"/>
  <c r="W21" i="19"/>
  <c r="T21" i="19" s="1"/>
  <c r="X21" i="19" s="1"/>
  <c r="Y21" i="19" s="1"/>
  <c r="H23" i="19"/>
  <c r="W24" i="19"/>
  <c r="T24" i="19" s="1"/>
  <c r="X24" i="19" s="1"/>
  <c r="Y24" i="19" s="1"/>
  <c r="W26" i="19"/>
  <c r="T26" i="19" s="1"/>
  <c r="X26" i="19" s="1"/>
  <c r="Y26" i="19" s="1"/>
  <c r="W29" i="19"/>
  <c r="T29" i="19" s="1"/>
  <c r="X29" i="19" s="1"/>
  <c r="Y29" i="19" s="1"/>
  <c r="W30" i="19"/>
  <c r="T30" i="19" s="1"/>
  <c r="X30" i="19" s="1"/>
  <c r="Y30" i="19" s="1"/>
  <c r="W32" i="19"/>
  <c r="T32" i="19" s="1"/>
  <c r="X32" i="19" s="1"/>
  <c r="Y32" i="19" s="1"/>
  <c r="W33" i="19"/>
  <c r="T33" i="19" s="1"/>
  <c r="X33" i="19" s="1"/>
  <c r="Y33" i="19" s="1"/>
  <c r="W3" i="19"/>
  <c r="T3" i="19" s="1"/>
  <c r="X3" i="19" s="1"/>
  <c r="Y3" i="19" s="1"/>
  <c r="H5" i="19"/>
  <c r="W6" i="19"/>
  <c r="T6" i="19" s="1"/>
  <c r="X6" i="19" s="1"/>
  <c r="Y6" i="19" s="1"/>
  <c r="W8" i="19"/>
  <c r="T8" i="19" s="1"/>
  <c r="X8" i="19" s="1"/>
  <c r="Y8" i="19" s="1"/>
  <c r="W11" i="19"/>
  <c r="T11" i="19" s="1"/>
  <c r="X11" i="19" s="1"/>
  <c r="Y11" i="19" s="1"/>
  <c r="W13" i="19"/>
  <c r="T13" i="19" s="1"/>
  <c r="X13" i="19" s="1"/>
  <c r="Y13" i="19" s="1"/>
  <c r="W14" i="19"/>
  <c r="T14" i="19" s="1"/>
  <c r="X14" i="19" s="1"/>
  <c r="Y14" i="19" s="1"/>
  <c r="W86" i="18"/>
  <c r="T86" i="18" s="1"/>
  <c r="X86" i="18" s="1"/>
  <c r="Y86" i="18" s="1"/>
  <c r="W87" i="18"/>
  <c r="T87" i="18" s="1"/>
  <c r="X87" i="18" s="1"/>
  <c r="Y87" i="18" s="1"/>
  <c r="W106" i="18"/>
  <c r="T106" i="18" s="1"/>
  <c r="X106" i="18" s="1"/>
  <c r="Y106" i="18" s="1"/>
  <c r="W81" i="18"/>
  <c r="T81" i="18" s="1"/>
  <c r="X81" i="18" s="1"/>
  <c r="Y81" i="18" s="1"/>
  <c r="W82" i="18"/>
  <c r="T82" i="18" s="1"/>
  <c r="X82" i="18" s="1"/>
  <c r="Y82" i="18" s="1"/>
  <c r="H85" i="18"/>
  <c r="W92" i="18"/>
  <c r="T92" i="18" s="1"/>
  <c r="X92" i="18" s="1"/>
  <c r="Y92" i="18" s="1"/>
  <c r="W94" i="18"/>
  <c r="T94" i="18" s="1"/>
  <c r="X94" i="18" s="1"/>
  <c r="Y94" i="18" s="1"/>
  <c r="W97" i="18"/>
  <c r="T97" i="18" s="1"/>
  <c r="X97" i="18" s="1"/>
  <c r="Y97" i="18" s="1"/>
  <c r="W98" i="18"/>
  <c r="T98" i="18" s="1"/>
  <c r="X98" i="18" s="1"/>
  <c r="Y98" i="18" s="1"/>
  <c r="W100" i="18"/>
  <c r="T100" i="18" s="1"/>
  <c r="X100" i="18" s="1"/>
  <c r="Y100" i="18" s="1"/>
  <c r="W101" i="18"/>
  <c r="T101" i="18" s="1"/>
  <c r="X101" i="18" s="1"/>
  <c r="Y101" i="18" s="1"/>
  <c r="F30" i="18"/>
  <c r="H30" i="18" s="1"/>
  <c r="F29" i="18"/>
  <c r="H29" i="18" s="1"/>
  <c r="C647" i="3"/>
  <c r="C646" i="3"/>
  <c r="H517" i="6"/>
  <c r="H518" i="6"/>
  <c r="H519" i="6"/>
  <c r="H520" i="6"/>
  <c r="W83" i="18" l="1"/>
  <c r="T83" i="18"/>
  <c r="X83" i="18" s="1"/>
  <c r="Y83" i="18" s="1"/>
  <c r="H83" i="18"/>
  <c r="W79" i="18"/>
  <c r="T79" i="18"/>
  <c r="X79" i="18" s="1"/>
  <c r="Y79" i="18" s="1"/>
  <c r="H79" i="18"/>
  <c r="W78" i="18"/>
  <c r="T78" i="18"/>
  <c r="X78" i="18" s="1"/>
  <c r="Y78" i="18" s="1"/>
  <c r="H78" i="18"/>
  <c r="U77" i="18"/>
  <c r="S77" i="18"/>
  <c r="R77" i="18"/>
  <c r="H77" i="18"/>
  <c r="U76" i="18"/>
  <c r="S76" i="18"/>
  <c r="R76" i="18"/>
  <c r="H76" i="18"/>
  <c r="W75" i="18"/>
  <c r="T75" i="18"/>
  <c r="X75" i="18" s="1"/>
  <c r="Y75" i="18" s="1"/>
  <c r="H75" i="18"/>
  <c r="U74" i="18"/>
  <c r="S74" i="18"/>
  <c r="R74" i="18"/>
  <c r="H74" i="18"/>
  <c r="U73" i="18"/>
  <c r="S73" i="18"/>
  <c r="R73" i="18"/>
  <c r="H73" i="18"/>
  <c r="W72" i="18"/>
  <c r="T72" i="18"/>
  <c r="X72" i="18" s="1"/>
  <c r="Y72" i="18" s="1"/>
  <c r="H72" i="18"/>
  <c r="W71" i="18"/>
  <c r="T71" i="18"/>
  <c r="X71" i="18" s="1"/>
  <c r="Y71" i="18" s="1"/>
  <c r="H71" i="18"/>
  <c r="U70" i="18"/>
  <c r="S70" i="18"/>
  <c r="R70" i="18"/>
  <c r="H70" i="18"/>
  <c r="W69" i="18"/>
  <c r="T69" i="18"/>
  <c r="X69" i="18" s="1"/>
  <c r="Y69" i="18" s="1"/>
  <c r="H69" i="18"/>
  <c r="U68" i="18"/>
  <c r="S68" i="18"/>
  <c r="R68" i="18"/>
  <c r="H68" i="18"/>
  <c r="W67" i="18"/>
  <c r="T67" i="18"/>
  <c r="X67" i="18" s="1"/>
  <c r="Y67" i="18" s="1"/>
  <c r="W66" i="18"/>
  <c r="T66" i="18"/>
  <c r="X66" i="18" s="1"/>
  <c r="Y66" i="18" s="1"/>
  <c r="H66" i="18"/>
  <c r="U65" i="18"/>
  <c r="S65" i="18"/>
  <c r="R65" i="18"/>
  <c r="U64" i="18"/>
  <c r="S64" i="18"/>
  <c r="R64" i="18"/>
  <c r="H52" i="18"/>
  <c r="W52" i="18"/>
  <c r="X52" i="18"/>
  <c r="Y52" i="18"/>
  <c r="U50" i="18"/>
  <c r="S50" i="18"/>
  <c r="R50" i="18"/>
  <c r="H50" i="18"/>
  <c r="W47" i="18"/>
  <c r="T47" i="18" s="1"/>
  <c r="X47" i="18" s="1"/>
  <c r="Y47" i="18" s="1"/>
  <c r="Q45" i="18"/>
  <c r="Q46" i="18"/>
  <c r="W64" i="18" l="1"/>
  <c r="T64" i="18" s="1"/>
  <c r="X64" i="18" s="1"/>
  <c r="Y64" i="18" s="1"/>
  <c r="W65" i="18"/>
  <c r="T65" i="18" s="1"/>
  <c r="X65" i="18" s="1"/>
  <c r="Y65" i="18" s="1"/>
  <c r="H67" i="18"/>
  <c r="W68" i="18"/>
  <c r="T68" i="18" s="1"/>
  <c r="X68" i="18" s="1"/>
  <c r="Y68" i="18" s="1"/>
  <c r="W70" i="18"/>
  <c r="T70" i="18" s="1"/>
  <c r="X70" i="18" s="1"/>
  <c r="Y70" i="18" s="1"/>
  <c r="W73" i="18"/>
  <c r="T73" i="18" s="1"/>
  <c r="X73" i="18" s="1"/>
  <c r="Y73" i="18" s="1"/>
  <c r="W74" i="18"/>
  <c r="T74" i="18" s="1"/>
  <c r="X74" i="18" s="1"/>
  <c r="Y74" i="18" s="1"/>
  <c r="W76" i="18"/>
  <c r="T76" i="18" s="1"/>
  <c r="X76" i="18" s="1"/>
  <c r="Y76" i="18" s="1"/>
  <c r="W77" i="18"/>
  <c r="T77" i="18" s="1"/>
  <c r="X77" i="18" s="1"/>
  <c r="Y77" i="18" s="1"/>
  <c r="W46" i="18"/>
  <c r="T46" i="18" s="1"/>
  <c r="X46" i="18" s="1"/>
  <c r="Y46" i="18" s="1"/>
  <c r="W45" i="18"/>
  <c r="T45" i="18" s="1"/>
  <c r="X45" i="18" s="1"/>
  <c r="Y45" i="18" s="1"/>
  <c r="W50" i="18"/>
  <c r="T50" i="18" s="1"/>
  <c r="X50" i="18" s="1"/>
  <c r="Y50" i="18" s="1"/>
  <c r="P29" i="18"/>
  <c r="G23" i="18"/>
  <c r="F23" i="18"/>
  <c r="E23" i="18"/>
  <c r="H75" i="7"/>
  <c r="H45" i="18" l="1"/>
  <c r="H46" i="18"/>
  <c r="H47" i="18"/>
  <c r="H48" i="18"/>
  <c r="W44" i="18"/>
  <c r="T44" i="18"/>
  <c r="X44" i="18" s="1"/>
  <c r="Y44" i="18" s="1"/>
  <c r="G19" i="18"/>
  <c r="E194" i="15"/>
  <c r="B194" i="15"/>
  <c r="C194" i="15"/>
  <c r="C642" i="3"/>
  <c r="C641" i="3"/>
  <c r="F25" i="18"/>
  <c r="F24" i="18"/>
  <c r="P24" i="18"/>
  <c r="H44" i="18" l="1"/>
  <c r="W20" i="18" l="1"/>
  <c r="T20" i="18" s="1"/>
  <c r="X20" i="18"/>
  <c r="Y20" i="18"/>
  <c r="H20" i="18"/>
  <c r="G17" i="18"/>
  <c r="F22" i="18"/>
  <c r="C659" i="3" l="1"/>
  <c r="C658" i="3"/>
  <c r="C638" i="3" l="1"/>
  <c r="H515" i="6"/>
  <c r="C637" i="3"/>
  <c r="W3" i="18" l="1"/>
  <c r="F3" i="18"/>
  <c r="T3" i="18" s="1"/>
  <c r="X3" i="18" s="1"/>
  <c r="Y3" i="18" s="1"/>
  <c r="C511" i="4"/>
  <c r="C510" i="4"/>
  <c r="C509" i="4"/>
  <c r="C508" i="4"/>
  <c r="C507" i="4"/>
  <c r="C506" i="4"/>
  <c r="C505" i="4"/>
  <c r="C500" i="4"/>
  <c r="C498" i="4"/>
  <c r="C497" i="4"/>
  <c r="C494" i="4"/>
  <c r="C493" i="4"/>
  <c r="C490" i="4"/>
  <c r="C489" i="4"/>
  <c r="C488" i="4"/>
  <c r="C487" i="4"/>
  <c r="C486" i="4"/>
  <c r="C485" i="4"/>
  <c r="C484" i="4"/>
  <c r="C483" i="4"/>
  <c r="C479" i="4"/>
  <c r="C478" i="4"/>
  <c r="C477" i="4"/>
  <c r="C476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1" i="4"/>
  <c r="C450" i="4"/>
  <c r="C449" i="4"/>
  <c r="C448" i="4"/>
  <c r="C447" i="4"/>
  <c r="C446" i="4"/>
  <c r="C445" i="4"/>
  <c r="C662" i="3"/>
  <c r="C661" i="3"/>
  <c r="C657" i="3"/>
  <c r="C656" i="3"/>
  <c r="C655" i="3"/>
  <c r="C654" i="3"/>
  <c r="C653" i="3"/>
  <c r="B187" i="15"/>
  <c r="C187" i="15"/>
  <c r="E187" i="15"/>
  <c r="E178" i="15"/>
  <c r="C178" i="15"/>
  <c r="B178" i="15"/>
  <c r="C640" i="3"/>
  <c r="C644" i="3"/>
  <c r="C643" i="3"/>
  <c r="C639" i="3"/>
  <c r="C636" i="3"/>
  <c r="C635" i="3"/>
  <c r="C631" i="3"/>
  <c r="C630" i="3"/>
  <c r="C629" i="3"/>
  <c r="C628" i="3"/>
  <c r="G89" i="16"/>
  <c r="G90" i="16"/>
  <c r="F72" i="16"/>
  <c r="H88" i="16"/>
  <c r="W88" i="16"/>
  <c r="X88" i="16"/>
  <c r="Y88" i="16"/>
  <c r="C615" i="3"/>
  <c r="H69" i="16"/>
  <c r="H70" i="16"/>
  <c r="H71" i="16"/>
  <c r="W69" i="16"/>
  <c r="X69" i="16"/>
  <c r="Y69" i="16"/>
  <c r="W70" i="16"/>
  <c r="X70" i="16"/>
  <c r="Y70" i="16"/>
  <c r="W71" i="16"/>
  <c r="X71" i="16"/>
  <c r="Y71" i="16"/>
  <c r="P35" i="18"/>
  <c r="P33" i="18"/>
  <c r="W36" i="18"/>
  <c r="X36" i="18"/>
  <c r="Y36" i="18"/>
  <c r="U23" i="18"/>
  <c r="S23" i="18"/>
  <c r="R23" i="18"/>
  <c r="H18" i="18"/>
  <c r="H3" i="18" l="1"/>
  <c r="W18" i="18"/>
  <c r="X18" i="18" s="1"/>
  <c r="Y18" i="18" s="1"/>
  <c r="X13" i="18" l="1"/>
  <c r="Y13" i="18" s="1"/>
  <c r="W13" i="18"/>
  <c r="H13" i="18"/>
  <c r="X12" i="18"/>
  <c r="Y12" i="18" s="1"/>
  <c r="W12" i="18"/>
  <c r="H12" i="18"/>
  <c r="W11" i="18"/>
  <c r="F11" i="18"/>
  <c r="T11" i="18" s="1"/>
  <c r="X11" i="18" s="1"/>
  <c r="Y11" i="18" s="1"/>
  <c r="P10" i="18"/>
  <c r="H10" i="18"/>
  <c r="W9" i="18"/>
  <c r="F9" i="18"/>
  <c r="T9" i="18" s="1"/>
  <c r="X9" i="18" s="1"/>
  <c r="Y9" i="18" s="1"/>
  <c r="P8" i="18"/>
  <c r="F8" i="18"/>
  <c r="H8" i="18" s="1"/>
  <c r="U7" i="18"/>
  <c r="S7" i="18"/>
  <c r="R7" i="18"/>
  <c r="H7" i="18"/>
  <c r="U6" i="18"/>
  <c r="S6" i="18"/>
  <c r="R6" i="18"/>
  <c r="H6" i="18"/>
  <c r="W5" i="18"/>
  <c r="F5" i="18"/>
  <c r="T5" i="18" s="1"/>
  <c r="X5" i="18" s="1"/>
  <c r="Y5" i="18" s="1"/>
  <c r="P4" i="18"/>
  <c r="F4" i="18"/>
  <c r="H4" i="18" s="1"/>
  <c r="W4" i="18" l="1"/>
  <c r="T4" i="18" s="1"/>
  <c r="X4" i="18" s="1"/>
  <c r="Y4" i="18" s="1"/>
  <c r="H5" i="18"/>
  <c r="W6" i="18"/>
  <c r="T6" i="18" s="1"/>
  <c r="X6" i="18" s="1"/>
  <c r="Y6" i="18" s="1"/>
  <c r="W7" i="18"/>
  <c r="T7" i="18" s="1"/>
  <c r="X7" i="18" s="1"/>
  <c r="Y7" i="18" s="1"/>
  <c r="W8" i="18"/>
  <c r="T8" i="18" s="1"/>
  <c r="X8" i="18" s="1"/>
  <c r="Y8" i="18" s="1"/>
  <c r="H9" i="18"/>
  <c r="W10" i="18"/>
  <c r="T10" i="18" s="1"/>
  <c r="X10" i="18" s="1"/>
  <c r="Y10" i="18" s="1"/>
  <c r="H11" i="18"/>
  <c r="S59" i="18" l="1"/>
  <c r="R59" i="18"/>
  <c r="S58" i="18"/>
  <c r="R58" i="18"/>
  <c r="S56" i="18"/>
  <c r="R56" i="18"/>
  <c r="S55" i="18"/>
  <c r="R55" i="18"/>
  <c r="S48" i="18"/>
  <c r="R48" i="18"/>
  <c r="P22" i="18"/>
  <c r="E174" i="15"/>
  <c r="B174" i="15"/>
  <c r="C174" i="15"/>
  <c r="C604" i="3"/>
  <c r="W64" i="16"/>
  <c r="X64" i="16"/>
  <c r="F64" i="16"/>
  <c r="Y64" i="16" s="1"/>
  <c r="H86" i="16"/>
  <c r="U93" i="16"/>
  <c r="S93" i="16"/>
  <c r="R93" i="16"/>
  <c r="H64" i="16" l="1"/>
  <c r="W86" i="16"/>
  <c r="X86" i="16" s="1"/>
  <c r="Y86" i="16" s="1"/>
  <c r="W93" i="16"/>
  <c r="T93" i="16" s="1"/>
  <c r="X93" i="16" s="1"/>
  <c r="F28" i="17" l="1"/>
  <c r="D28" i="17"/>
  <c r="E164" i="15"/>
  <c r="C164" i="15"/>
  <c r="B164" i="15"/>
  <c r="C617" i="3"/>
  <c r="C616" i="3"/>
  <c r="C614" i="3"/>
  <c r="C613" i="3"/>
  <c r="C609" i="3"/>
  <c r="C606" i="3"/>
  <c r="C608" i="3"/>
  <c r="C607" i="3"/>
  <c r="C605" i="3"/>
  <c r="C623" i="3"/>
  <c r="H74" i="7"/>
  <c r="I74" i="7" s="1"/>
  <c r="I75" i="7" s="1"/>
  <c r="H76" i="7"/>
  <c r="H77" i="7"/>
  <c r="H78" i="7"/>
  <c r="H79" i="7"/>
  <c r="F94" i="16"/>
  <c r="C622" i="3"/>
  <c r="C621" i="3"/>
  <c r="C618" i="3"/>
  <c r="C619" i="3"/>
  <c r="I76" i="7" l="1"/>
  <c r="I77" i="7" s="1"/>
  <c r="I78" i="7" s="1"/>
  <c r="G91" i="16"/>
  <c r="T5" i="13" l="1"/>
  <c r="W62" i="18"/>
  <c r="T62" i="18"/>
  <c r="X62" i="18" s="1"/>
  <c r="Y62" i="18" s="1"/>
  <c r="H62" i="18"/>
  <c r="W60" i="18"/>
  <c r="T60" i="18"/>
  <c r="X60" i="18" s="1"/>
  <c r="Y60" i="18" s="1"/>
  <c r="H60" i="18"/>
  <c r="U59" i="18"/>
  <c r="H59" i="18"/>
  <c r="U58" i="18"/>
  <c r="H58" i="18"/>
  <c r="W61" i="18"/>
  <c r="T61" i="18"/>
  <c r="X61" i="18" s="1"/>
  <c r="Y61" i="18" s="1"/>
  <c r="H61" i="18"/>
  <c r="W57" i="18"/>
  <c r="T57" i="18"/>
  <c r="X57" i="18" s="1"/>
  <c r="Y57" i="18" s="1"/>
  <c r="H57" i="18"/>
  <c r="U56" i="18"/>
  <c r="H56" i="18"/>
  <c r="U55" i="18"/>
  <c r="H55" i="18"/>
  <c r="W54" i="18"/>
  <c r="T54" i="18"/>
  <c r="X54" i="18" s="1"/>
  <c r="Y54" i="18" s="1"/>
  <c r="H54" i="18"/>
  <c r="W53" i="18"/>
  <c r="T53" i="18"/>
  <c r="X53" i="18" s="1"/>
  <c r="Y53" i="18" s="1"/>
  <c r="H53" i="18"/>
  <c r="W49" i="18"/>
  <c r="T49" i="18"/>
  <c r="X49" i="18" s="1"/>
  <c r="Y49" i="18" s="1"/>
  <c r="U48" i="18"/>
  <c r="W43" i="18"/>
  <c r="T43" i="18"/>
  <c r="X43" i="18" s="1"/>
  <c r="Y43" i="18" s="1"/>
  <c r="H43" i="18"/>
  <c r="U41" i="18"/>
  <c r="S41" i="18"/>
  <c r="R41" i="18"/>
  <c r="H41" i="18"/>
  <c r="U40" i="18"/>
  <c r="S40" i="18"/>
  <c r="R40" i="18"/>
  <c r="H40" i="18"/>
  <c r="U39" i="18"/>
  <c r="S39" i="18"/>
  <c r="R39" i="18"/>
  <c r="H39" i="18"/>
  <c r="W22" i="18"/>
  <c r="T22" i="18"/>
  <c r="X22" i="18" s="1"/>
  <c r="Y22" i="18" s="1"/>
  <c r="W35" i="18"/>
  <c r="T35" i="18"/>
  <c r="X35" i="18" s="1"/>
  <c r="Y35" i="18" s="1"/>
  <c r="W34" i="18"/>
  <c r="T34" i="18"/>
  <c r="X34" i="18" s="1"/>
  <c r="Y34" i="18" s="1"/>
  <c r="U32" i="18"/>
  <c r="S32" i="18"/>
  <c r="R32" i="18"/>
  <c r="U31" i="18"/>
  <c r="S31" i="18"/>
  <c r="R31" i="18"/>
  <c r="W30" i="18"/>
  <c r="T30" i="18"/>
  <c r="X30" i="18" s="1"/>
  <c r="Y30" i="18" s="1"/>
  <c r="U27" i="18"/>
  <c r="S27" i="18"/>
  <c r="R27" i="18"/>
  <c r="H27" i="18"/>
  <c r="U26" i="18"/>
  <c r="S26" i="18"/>
  <c r="R26" i="18"/>
  <c r="H26" i="18"/>
  <c r="W25" i="18"/>
  <c r="T25" i="18"/>
  <c r="X25" i="18" s="1"/>
  <c r="Y25" i="18" s="1"/>
  <c r="H25" i="18"/>
  <c r="H24" i="18"/>
  <c r="H23" i="18"/>
  <c r="U19" i="18"/>
  <c r="S19" i="18"/>
  <c r="R19" i="18"/>
  <c r="H19" i="18"/>
  <c r="H22" i="18"/>
  <c r="U17" i="18"/>
  <c r="S17" i="18"/>
  <c r="R17" i="18"/>
  <c r="H17" i="18"/>
  <c r="U16" i="18"/>
  <c r="S16" i="18"/>
  <c r="R16" i="18"/>
  <c r="H16" i="18"/>
  <c r="U15" i="18"/>
  <c r="S15" i="18"/>
  <c r="R15" i="18"/>
  <c r="H15" i="18"/>
  <c r="W39" i="18" l="1"/>
  <c r="T39" i="18" s="1"/>
  <c r="X39" i="18" s="1"/>
  <c r="Y39" i="18" s="1"/>
  <c r="W40" i="18"/>
  <c r="T40" i="18" s="1"/>
  <c r="X40" i="18" s="1"/>
  <c r="Y40" i="18" s="1"/>
  <c r="W41" i="18"/>
  <c r="T41" i="18" s="1"/>
  <c r="X41" i="18" s="1"/>
  <c r="Y41" i="18" s="1"/>
  <c r="W48" i="18"/>
  <c r="T48" i="18" s="1"/>
  <c r="X48" i="18" s="1"/>
  <c r="Y48" i="18" s="1"/>
  <c r="H49" i="18"/>
  <c r="W55" i="18"/>
  <c r="T55" i="18" s="1"/>
  <c r="X55" i="18" s="1"/>
  <c r="Y55" i="18" s="1"/>
  <c r="W56" i="18"/>
  <c r="T56" i="18" s="1"/>
  <c r="X56" i="18" s="1"/>
  <c r="Y56" i="18" s="1"/>
  <c r="W58" i="18"/>
  <c r="T58" i="18" s="1"/>
  <c r="X58" i="18" s="1"/>
  <c r="Y58" i="18" s="1"/>
  <c r="W59" i="18"/>
  <c r="T59" i="18" s="1"/>
  <c r="X59" i="18" s="1"/>
  <c r="Y59" i="18" s="1"/>
  <c r="W15" i="18"/>
  <c r="T15" i="18" s="1"/>
  <c r="X15" i="18" s="1"/>
  <c r="Y15" i="18" s="1"/>
  <c r="W16" i="18"/>
  <c r="T16" i="18" s="1"/>
  <c r="X16" i="18" s="1"/>
  <c r="Y16" i="18" s="1"/>
  <c r="W17" i="18"/>
  <c r="T17" i="18" s="1"/>
  <c r="X17" i="18" s="1"/>
  <c r="Y17" i="18" s="1"/>
  <c r="W19" i="18"/>
  <c r="T19" i="18" s="1"/>
  <c r="X19" i="18" s="1"/>
  <c r="Y19" i="18" s="1"/>
  <c r="W23" i="18"/>
  <c r="T23" i="18" s="1"/>
  <c r="X23" i="18" s="1"/>
  <c r="Y23" i="18" s="1"/>
  <c r="W24" i="18"/>
  <c r="T24" i="18" s="1"/>
  <c r="X24" i="18" s="1"/>
  <c r="Y24" i="18" s="1"/>
  <c r="W26" i="18"/>
  <c r="T26" i="18" s="1"/>
  <c r="X26" i="18" s="1"/>
  <c r="Y26" i="18" s="1"/>
  <c r="W27" i="18"/>
  <c r="T27" i="18" s="1"/>
  <c r="X27" i="18" s="1"/>
  <c r="Y27" i="18" s="1"/>
  <c r="W29" i="18"/>
  <c r="T29" i="18" s="1"/>
  <c r="X29" i="18" s="1"/>
  <c r="Y29" i="18" s="1"/>
  <c r="W31" i="18"/>
  <c r="T31" i="18" s="1"/>
  <c r="X31" i="18" s="1"/>
  <c r="Y31" i="18" s="1"/>
  <c r="W32" i="18"/>
  <c r="T32" i="18" s="1"/>
  <c r="X32" i="18" s="1"/>
  <c r="Y32" i="18" s="1"/>
  <c r="W33" i="18"/>
  <c r="T33" i="18" s="1"/>
  <c r="X33" i="18" s="1"/>
  <c r="Y33" i="18" s="1"/>
  <c r="F92" i="16"/>
  <c r="C612" i="3"/>
  <c r="C160" i="15"/>
  <c r="B160" i="15"/>
  <c r="E160" i="15" s="1"/>
  <c r="H510" i="6"/>
  <c r="H511" i="6"/>
  <c r="H512" i="6"/>
  <c r="H513" i="6"/>
  <c r="H514" i="6"/>
  <c r="H516" i="6"/>
  <c r="H521" i="6"/>
  <c r="R90" i="16"/>
  <c r="Q90" i="16"/>
  <c r="R89" i="16"/>
  <c r="Q89" i="16"/>
  <c r="G87" i="16"/>
  <c r="C648" i="3" l="1"/>
  <c r="C633" i="3"/>
  <c r="C632" i="3"/>
  <c r="C624" i="3"/>
  <c r="C583" i="3"/>
  <c r="F89" i="16"/>
  <c r="F90" i="16"/>
  <c r="H90" i="16"/>
  <c r="W90" i="16"/>
  <c r="T90" i="16" s="1"/>
  <c r="X90" i="16"/>
  <c r="Y90" i="16"/>
  <c r="C602" i="3"/>
  <c r="H500" i="6"/>
  <c r="H501" i="6"/>
  <c r="H502" i="6"/>
  <c r="H503" i="6"/>
  <c r="H504" i="6"/>
  <c r="H505" i="6"/>
  <c r="C601" i="3"/>
  <c r="B146" i="15" l="1"/>
  <c r="C146" i="15"/>
  <c r="E146" i="15" s="1"/>
  <c r="C135" i="15"/>
  <c r="B135" i="15"/>
  <c r="E135" i="15"/>
  <c r="B128" i="15"/>
  <c r="C128" i="15"/>
  <c r="E128" i="15"/>
  <c r="Q74" i="16"/>
  <c r="G74" i="16"/>
  <c r="F74" i="16"/>
  <c r="E74" i="16"/>
  <c r="Q78" i="16"/>
  <c r="G78" i="16"/>
  <c r="F78" i="16"/>
  <c r="E78" i="16"/>
  <c r="P94" i="16"/>
  <c r="F81" i="16" l="1"/>
  <c r="F82" i="16"/>
  <c r="F77" i="16" l="1"/>
  <c r="F76" i="16"/>
  <c r="F80" i="16"/>
  <c r="P92" i="16"/>
  <c r="P89" i="16"/>
  <c r="G68" i="16"/>
  <c r="F68" i="16"/>
  <c r="E68" i="16"/>
  <c r="U68" i="16"/>
  <c r="S68" i="16"/>
  <c r="R68" i="16"/>
  <c r="W68" i="16" l="1"/>
  <c r="T68" i="16" s="1"/>
  <c r="X68" i="16" s="1"/>
  <c r="Y68" i="16" s="1"/>
  <c r="F73" i="16" l="1"/>
  <c r="G66" i="16"/>
  <c r="C596" i="3"/>
  <c r="C595" i="3"/>
  <c r="P80" i="16"/>
  <c r="C594" i="3"/>
  <c r="C593" i="3"/>
  <c r="P82" i="16" l="1"/>
  <c r="F67" i="16"/>
  <c r="W56" i="16"/>
  <c r="X56" i="16"/>
  <c r="Y56" i="16"/>
  <c r="H56" i="16"/>
  <c r="W55" i="16"/>
  <c r="X55" i="16"/>
  <c r="Y55" i="16"/>
  <c r="H55" i="16"/>
  <c r="G63" i="16"/>
  <c r="H41" i="16"/>
  <c r="W41" i="16"/>
  <c r="X41" i="16"/>
  <c r="Y41" i="16"/>
  <c r="C611" i="3"/>
  <c r="C610" i="3"/>
  <c r="C588" i="3"/>
  <c r="F65" i="16" l="1"/>
  <c r="P76" i="16"/>
  <c r="C603" i="3"/>
  <c r="W44" i="16"/>
  <c r="X44" i="16"/>
  <c r="Y44" i="16"/>
  <c r="Q49" i="16" l="1"/>
  <c r="G49" i="16"/>
  <c r="F49" i="16"/>
  <c r="E49" i="16"/>
  <c r="P72" i="16"/>
  <c r="F59" i="16" l="1"/>
  <c r="B123" i="15"/>
  <c r="C123" i="15"/>
  <c r="E123" i="15" s="1"/>
  <c r="C578" i="3"/>
  <c r="P65" i="16" l="1"/>
  <c r="P67" i="16"/>
  <c r="C119" i="15"/>
  <c r="B119" i="15"/>
  <c r="H44" i="16"/>
  <c r="P57" i="16"/>
  <c r="F58" i="16"/>
  <c r="F57" i="16"/>
  <c r="F52" i="16"/>
  <c r="F51" i="16"/>
  <c r="G46" i="16"/>
  <c r="F46" i="16"/>
  <c r="U46" i="16"/>
  <c r="S46" i="16"/>
  <c r="R46" i="16"/>
  <c r="H46" i="16"/>
  <c r="C572" i="3"/>
  <c r="C571" i="3"/>
  <c r="E119" i="15" l="1"/>
  <c r="W46" i="16"/>
  <c r="T46" i="16" s="1"/>
  <c r="X46" i="16" s="1"/>
  <c r="Y46" i="16" s="1"/>
  <c r="F48" i="16"/>
  <c r="F47" i="16"/>
  <c r="G43" i="16"/>
  <c r="H508" i="6"/>
  <c r="H509" i="6"/>
  <c r="C568" i="3"/>
  <c r="C567" i="3"/>
  <c r="C563" i="3"/>
  <c r="P59" i="16" l="1"/>
  <c r="F45" i="16"/>
  <c r="G40" i="16" l="1"/>
  <c r="C107" i="15"/>
  <c r="B107" i="15"/>
  <c r="E107" i="15" s="1"/>
  <c r="C592" i="3" l="1"/>
  <c r="C591" i="3"/>
  <c r="C590" i="3"/>
  <c r="C589" i="3"/>
  <c r="C587" i="3"/>
  <c r="C586" i="3"/>
  <c r="F42" i="16"/>
  <c r="H42" i="16" s="1"/>
  <c r="C582" i="3" l="1"/>
  <c r="C581" i="3"/>
  <c r="C555" i="3"/>
  <c r="C585" i="3"/>
  <c r="C584" i="3"/>
  <c r="W22" i="16"/>
  <c r="X22" i="16"/>
  <c r="Y22" i="16"/>
  <c r="H22" i="16"/>
  <c r="W31" i="16"/>
  <c r="X31" i="16"/>
  <c r="Y31" i="16"/>
  <c r="H31" i="16"/>
  <c r="H14" i="16"/>
  <c r="W14" i="16"/>
  <c r="X14" i="16"/>
  <c r="Y14" i="16"/>
  <c r="G34" i="16"/>
  <c r="G35" i="16"/>
  <c r="P51" i="16" l="1"/>
  <c r="P48" i="16"/>
  <c r="P47" i="16"/>
  <c r="C550" i="3" l="1"/>
  <c r="C549" i="3"/>
  <c r="F36" i="16"/>
  <c r="P45" i="16" l="1"/>
  <c r="P42" i="16"/>
  <c r="F33" i="16"/>
  <c r="F32" i="16"/>
  <c r="C95" i="15"/>
  <c r="B95" i="15"/>
  <c r="C91" i="15"/>
  <c r="B91" i="15"/>
  <c r="J13" i="17"/>
  <c r="D13" i="17"/>
  <c r="F13" i="17"/>
  <c r="F9" i="17"/>
  <c r="E11" i="17"/>
  <c r="F11" i="17" s="1"/>
  <c r="E9" i="17"/>
  <c r="F7" i="17"/>
  <c r="E7" i="17"/>
  <c r="E91" i="15" l="1"/>
  <c r="E95" i="15"/>
  <c r="U26" i="16"/>
  <c r="S26" i="16"/>
  <c r="R26" i="16"/>
  <c r="H26" i="16"/>
  <c r="C575" i="3"/>
  <c r="F28" i="16"/>
  <c r="F27" i="16"/>
  <c r="W26" i="16" l="1"/>
  <c r="T26" i="16" s="1"/>
  <c r="X26" i="16" s="1"/>
  <c r="Y26" i="16" s="1"/>
  <c r="G24" i="16"/>
  <c r="H492" i="6" l="1"/>
  <c r="H493" i="6"/>
  <c r="H494" i="6"/>
  <c r="P36" i="16"/>
  <c r="F25" i="16"/>
  <c r="G21" i="16"/>
  <c r="U96" i="16"/>
  <c r="S96" i="16"/>
  <c r="R96" i="16"/>
  <c r="H96" i="16"/>
  <c r="U95" i="16"/>
  <c r="S95" i="16"/>
  <c r="R95" i="16"/>
  <c r="H95" i="16"/>
  <c r="W94" i="16"/>
  <c r="T94" i="16"/>
  <c r="X94" i="16" s="1"/>
  <c r="Y94" i="16" s="1"/>
  <c r="H94" i="16"/>
  <c r="Y93" i="16"/>
  <c r="H93" i="16"/>
  <c r="W92" i="16"/>
  <c r="T92" i="16"/>
  <c r="X92" i="16" s="1"/>
  <c r="Y92" i="16" s="1"/>
  <c r="H92" i="16"/>
  <c r="U91" i="16"/>
  <c r="S91" i="16"/>
  <c r="R91" i="16"/>
  <c r="H91" i="16"/>
  <c r="W89" i="16"/>
  <c r="T89" i="16"/>
  <c r="X89" i="16" s="1"/>
  <c r="Y89" i="16" s="1"/>
  <c r="H89" i="16"/>
  <c r="U87" i="16"/>
  <c r="S87" i="16"/>
  <c r="R87" i="16"/>
  <c r="H87" i="16"/>
  <c r="U85" i="16"/>
  <c r="S85" i="16"/>
  <c r="R85" i="16"/>
  <c r="H85" i="16"/>
  <c r="U84" i="16"/>
  <c r="S84" i="16"/>
  <c r="R84" i="16"/>
  <c r="H84" i="16"/>
  <c r="W82" i="16"/>
  <c r="T82" i="16"/>
  <c r="X82" i="16" s="1"/>
  <c r="Y82" i="16" s="1"/>
  <c r="H82" i="16"/>
  <c r="W81" i="16"/>
  <c r="T81" i="16"/>
  <c r="X81" i="16" s="1"/>
  <c r="Y81" i="16" s="1"/>
  <c r="H81" i="16"/>
  <c r="W80" i="16"/>
  <c r="T80" i="16"/>
  <c r="X80" i="16" s="1"/>
  <c r="Y80" i="16" s="1"/>
  <c r="H80" i="16"/>
  <c r="U79" i="16"/>
  <c r="S79" i="16"/>
  <c r="R79" i="16"/>
  <c r="H79" i="16"/>
  <c r="U78" i="16"/>
  <c r="S78" i="16"/>
  <c r="R78" i="16"/>
  <c r="H78" i="16"/>
  <c r="W77" i="16"/>
  <c r="T77" i="16"/>
  <c r="X77" i="16" s="1"/>
  <c r="Y77" i="16" s="1"/>
  <c r="H77" i="16"/>
  <c r="W76" i="16"/>
  <c r="T76" i="16"/>
  <c r="X76" i="16" s="1"/>
  <c r="Y76" i="16" s="1"/>
  <c r="H76" i="16"/>
  <c r="U75" i="16"/>
  <c r="S75" i="16"/>
  <c r="R75" i="16"/>
  <c r="H75" i="16"/>
  <c r="U74" i="16"/>
  <c r="S74" i="16"/>
  <c r="R74" i="16"/>
  <c r="H74" i="16"/>
  <c r="W73" i="16"/>
  <c r="T73" i="16"/>
  <c r="X73" i="16" s="1"/>
  <c r="Y73" i="16" s="1"/>
  <c r="H73" i="16"/>
  <c r="W72" i="16"/>
  <c r="T72" i="16"/>
  <c r="X72" i="16" s="1"/>
  <c r="Y72" i="16" s="1"/>
  <c r="H72" i="16"/>
  <c r="H68" i="16"/>
  <c r="W67" i="16"/>
  <c r="T67" i="16"/>
  <c r="X67" i="16" s="1"/>
  <c r="Y67" i="16" s="1"/>
  <c r="H67" i="16"/>
  <c r="U66" i="16"/>
  <c r="S66" i="16"/>
  <c r="R66" i="16"/>
  <c r="H66" i="16"/>
  <c r="W65" i="16"/>
  <c r="T65" i="16"/>
  <c r="X65" i="16" s="1"/>
  <c r="Y65" i="16" s="1"/>
  <c r="H65" i="16"/>
  <c r="U63" i="16"/>
  <c r="S63" i="16"/>
  <c r="R63" i="16"/>
  <c r="H63" i="16"/>
  <c r="U62" i="16"/>
  <c r="S62" i="16"/>
  <c r="R62" i="16"/>
  <c r="H62" i="16"/>
  <c r="U61" i="16"/>
  <c r="S61" i="16"/>
  <c r="R61" i="16"/>
  <c r="H61" i="16"/>
  <c r="W57" i="16"/>
  <c r="T57" i="16"/>
  <c r="X57" i="16" s="1"/>
  <c r="Y57" i="16" s="1"/>
  <c r="H57" i="16"/>
  <c r="C546" i="3"/>
  <c r="C545" i="3"/>
  <c r="C542" i="3"/>
  <c r="W84" i="16" l="1"/>
  <c r="T84" i="16" s="1"/>
  <c r="X84" i="16" s="1"/>
  <c r="Y84" i="16" s="1"/>
  <c r="W85" i="16"/>
  <c r="T85" i="16" s="1"/>
  <c r="X85" i="16" s="1"/>
  <c r="Y85" i="16" s="1"/>
  <c r="W87" i="16"/>
  <c r="T87" i="16" s="1"/>
  <c r="X87" i="16" s="1"/>
  <c r="Y87" i="16" s="1"/>
  <c r="W91" i="16"/>
  <c r="T91" i="16" s="1"/>
  <c r="X91" i="16" s="1"/>
  <c r="Y91" i="16" s="1"/>
  <c r="W95" i="16"/>
  <c r="T95" i="16" s="1"/>
  <c r="X95" i="16" s="1"/>
  <c r="Y95" i="16" s="1"/>
  <c r="W96" i="16"/>
  <c r="T96" i="16" s="1"/>
  <c r="X96" i="16" s="1"/>
  <c r="Y96" i="16" s="1"/>
  <c r="W61" i="16"/>
  <c r="T61" i="16" s="1"/>
  <c r="X61" i="16" s="1"/>
  <c r="Y61" i="16" s="1"/>
  <c r="W62" i="16"/>
  <c r="T62" i="16" s="1"/>
  <c r="X62" i="16" s="1"/>
  <c r="Y62" i="16" s="1"/>
  <c r="W63" i="16"/>
  <c r="T63" i="16" s="1"/>
  <c r="X63" i="16" s="1"/>
  <c r="Y63" i="16" s="1"/>
  <c r="W66" i="16"/>
  <c r="T66" i="16" s="1"/>
  <c r="X66" i="16" s="1"/>
  <c r="Y66" i="16" s="1"/>
  <c r="W74" i="16"/>
  <c r="T74" i="16" s="1"/>
  <c r="X74" i="16" s="1"/>
  <c r="Y74" i="16" s="1"/>
  <c r="W75" i="16"/>
  <c r="T75" i="16" s="1"/>
  <c r="X75" i="16" s="1"/>
  <c r="Y75" i="16" s="1"/>
  <c r="W78" i="16"/>
  <c r="T78" i="16" s="1"/>
  <c r="X78" i="16" s="1"/>
  <c r="Y78" i="16" s="1"/>
  <c r="W79" i="16"/>
  <c r="T79" i="16" s="1"/>
  <c r="X79" i="16" s="1"/>
  <c r="Y79" i="16" s="1"/>
  <c r="R13" i="16" l="1"/>
  <c r="F23" i="16"/>
  <c r="Q19" i="16"/>
  <c r="F19" i="16"/>
  <c r="G19" i="16"/>
  <c r="C570" i="3" l="1"/>
  <c r="C569" i="3"/>
  <c r="C566" i="3" l="1"/>
  <c r="C565" i="3"/>
  <c r="C562" i="3"/>
  <c r="C561" i="3"/>
  <c r="C564" i="3"/>
  <c r="C534" i="3"/>
  <c r="H71" i="7"/>
  <c r="H72" i="7"/>
  <c r="H73" i="7"/>
  <c r="E81" i="15"/>
  <c r="C79" i="15"/>
  <c r="B79" i="15"/>
  <c r="E79" i="15" l="1"/>
  <c r="P32" i="16"/>
  <c r="P27" i="16"/>
  <c r="F15" i="16" l="1"/>
  <c r="F16" i="16"/>
  <c r="P25" i="16" l="1"/>
  <c r="P23" i="16"/>
  <c r="F11" i="16" l="1"/>
  <c r="F10" i="16"/>
  <c r="G4" i="16"/>
  <c r="F4" i="16"/>
  <c r="B73" i="15"/>
  <c r="C73" i="15"/>
  <c r="E73" i="15" s="1"/>
  <c r="C529" i="3"/>
  <c r="C528" i="3"/>
  <c r="Q4" i="16"/>
  <c r="H5" i="16"/>
  <c r="H4" i="16"/>
  <c r="U5" i="16"/>
  <c r="S5" i="16"/>
  <c r="R5" i="16"/>
  <c r="W5" i="16" l="1"/>
  <c r="T5" i="16" s="1"/>
  <c r="X5" i="16" s="1"/>
  <c r="Y5" i="16" s="1"/>
  <c r="F7" i="16"/>
  <c r="F6" i="16"/>
  <c r="C551" i="3"/>
  <c r="C560" i="3"/>
  <c r="C559" i="3"/>
  <c r="C558" i="3"/>
  <c r="W103" i="13"/>
  <c r="X103" i="13"/>
  <c r="Y103" i="13"/>
  <c r="H103" i="13"/>
  <c r="H97" i="13"/>
  <c r="W97" i="13"/>
  <c r="X97" i="13"/>
  <c r="Y97" i="13"/>
  <c r="W96" i="13"/>
  <c r="X96" i="13"/>
  <c r="Y96" i="13"/>
  <c r="H96" i="13"/>
  <c r="H98" i="13"/>
  <c r="W83" i="13"/>
  <c r="X83" i="13"/>
  <c r="Y83" i="13"/>
  <c r="W84" i="13"/>
  <c r="X84" i="13"/>
  <c r="Y84" i="13"/>
  <c r="H83" i="13"/>
  <c r="H84" i="13"/>
  <c r="C64" i="15"/>
  <c r="B64" i="15"/>
  <c r="G106" i="13"/>
  <c r="E64" i="15" l="1"/>
  <c r="H34" i="13"/>
  <c r="W34" i="13"/>
  <c r="X34" i="13"/>
  <c r="Y34" i="13"/>
  <c r="P17" i="16"/>
  <c r="P16" i="16"/>
  <c r="P15" i="16"/>
  <c r="P10" i="16"/>
  <c r="P98" i="13"/>
  <c r="G102" i="13"/>
  <c r="F3" i="16"/>
  <c r="C523" i="3" l="1"/>
  <c r="E60" i="15" l="1"/>
  <c r="P6" i="16" l="1"/>
  <c r="F105" i="13"/>
  <c r="F98" i="13"/>
  <c r="F104" i="13"/>
  <c r="G101" i="13"/>
  <c r="F99" i="13" l="1"/>
  <c r="C548" i="3"/>
  <c r="C547" i="3"/>
  <c r="C544" i="3"/>
  <c r="C543" i="3"/>
  <c r="C540" i="3"/>
  <c r="C539" i="3"/>
  <c r="C541" i="3"/>
  <c r="C531" i="3"/>
  <c r="C538" i="3"/>
  <c r="C537" i="3"/>
  <c r="C536" i="3"/>
  <c r="C527" i="3"/>
  <c r="C526" i="3"/>
  <c r="C525" i="3"/>
  <c r="C515" i="3"/>
  <c r="C58" i="15"/>
  <c r="B58" i="15"/>
  <c r="C512" i="3"/>
  <c r="G94" i="13"/>
  <c r="G95" i="13"/>
  <c r="E58" i="15" l="1"/>
  <c r="E53" i="15"/>
  <c r="C507" i="3"/>
  <c r="C505" i="3"/>
  <c r="C506" i="3"/>
  <c r="P3" i="16" l="1"/>
  <c r="P104" i="13"/>
  <c r="C51" i="15"/>
  <c r="B51" i="15"/>
  <c r="C47" i="15"/>
  <c r="B47" i="15"/>
  <c r="C41" i="15"/>
  <c r="B41" i="15"/>
  <c r="P105" i="13"/>
  <c r="H495" i="6"/>
  <c r="H496" i="6"/>
  <c r="H497" i="6"/>
  <c r="H498" i="6"/>
  <c r="H499" i="6"/>
  <c r="H506" i="6"/>
  <c r="H507" i="6"/>
  <c r="W59" i="16"/>
  <c r="T59" i="16"/>
  <c r="X59" i="16" s="1"/>
  <c r="Y59" i="16" s="1"/>
  <c r="H59" i="16"/>
  <c r="W58" i="16"/>
  <c r="T58" i="16"/>
  <c r="X58" i="16" s="1"/>
  <c r="Y58" i="16" s="1"/>
  <c r="H58" i="16"/>
  <c r="U54" i="16"/>
  <c r="S54" i="16"/>
  <c r="R54" i="16"/>
  <c r="H54" i="16"/>
  <c r="U53" i="16"/>
  <c r="S53" i="16"/>
  <c r="R53" i="16"/>
  <c r="H53" i="16"/>
  <c r="W52" i="16"/>
  <c r="T52" i="16"/>
  <c r="X52" i="16" s="1"/>
  <c r="Y52" i="16" s="1"/>
  <c r="H52" i="16"/>
  <c r="W51" i="16"/>
  <c r="T51" i="16"/>
  <c r="X51" i="16" s="1"/>
  <c r="Y51" i="16" s="1"/>
  <c r="H51" i="16"/>
  <c r="U50" i="16"/>
  <c r="S50" i="16"/>
  <c r="R50" i="16"/>
  <c r="H50" i="16"/>
  <c r="U49" i="16"/>
  <c r="S49" i="16"/>
  <c r="R49" i="16"/>
  <c r="H49" i="16"/>
  <c r="W48" i="16"/>
  <c r="T48" i="16"/>
  <c r="X48" i="16" s="1"/>
  <c r="Y48" i="16" s="1"/>
  <c r="H48" i="16"/>
  <c r="W47" i="16"/>
  <c r="T47" i="16"/>
  <c r="X47" i="16" s="1"/>
  <c r="Y47" i="16" s="1"/>
  <c r="H47" i="16"/>
  <c r="W45" i="16"/>
  <c r="T45" i="16"/>
  <c r="X45" i="16" s="1"/>
  <c r="Y45" i="16" s="1"/>
  <c r="H45" i="16"/>
  <c r="U43" i="16"/>
  <c r="S43" i="16"/>
  <c r="R43" i="16"/>
  <c r="H43" i="16"/>
  <c r="W42" i="16"/>
  <c r="T42" i="16"/>
  <c r="X42" i="16" s="1"/>
  <c r="Y42" i="16" s="1"/>
  <c r="U40" i="16"/>
  <c r="S40" i="16"/>
  <c r="R40" i="16"/>
  <c r="H40" i="16"/>
  <c r="U39" i="16"/>
  <c r="S39" i="16"/>
  <c r="R39" i="16"/>
  <c r="H39" i="16"/>
  <c r="U38" i="16"/>
  <c r="S38" i="16"/>
  <c r="R38" i="16"/>
  <c r="H38" i="16"/>
  <c r="F93" i="13"/>
  <c r="F92" i="13"/>
  <c r="F91" i="13"/>
  <c r="C504" i="3"/>
  <c r="C503" i="3"/>
  <c r="C497" i="3"/>
  <c r="E41" i="15" l="1"/>
  <c r="E47" i="15"/>
  <c r="E51" i="15"/>
  <c r="W38" i="16"/>
  <c r="T38" i="16" s="1"/>
  <c r="X38" i="16" s="1"/>
  <c r="Y38" i="16" s="1"/>
  <c r="W39" i="16"/>
  <c r="T39" i="16" s="1"/>
  <c r="X39" i="16" s="1"/>
  <c r="Y39" i="16" s="1"/>
  <c r="W40" i="16"/>
  <c r="T40" i="16" s="1"/>
  <c r="X40" i="16" s="1"/>
  <c r="Y40" i="16" s="1"/>
  <c r="W43" i="16"/>
  <c r="T43" i="16" s="1"/>
  <c r="X43" i="16" s="1"/>
  <c r="Y43" i="16" s="1"/>
  <c r="W49" i="16"/>
  <c r="T49" i="16" s="1"/>
  <c r="X49" i="16" s="1"/>
  <c r="Y49" i="16" s="1"/>
  <c r="W50" i="16"/>
  <c r="T50" i="16" s="1"/>
  <c r="X50" i="16" s="1"/>
  <c r="Y50" i="16" s="1"/>
  <c r="W53" i="16"/>
  <c r="T53" i="16" s="1"/>
  <c r="X53" i="16" s="1"/>
  <c r="Y53" i="16" s="1"/>
  <c r="W54" i="16"/>
  <c r="T54" i="16" s="1"/>
  <c r="X54" i="16" s="1"/>
  <c r="Y54" i="16" s="1"/>
  <c r="F88" i="13" l="1"/>
  <c r="F87" i="13"/>
  <c r="G82" i="13" l="1"/>
  <c r="C496" i="3"/>
  <c r="R35" i="16"/>
  <c r="R34" i="16"/>
  <c r="R30" i="16"/>
  <c r="R29" i="16"/>
  <c r="R24" i="16"/>
  <c r="R21" i="16"/>
  <c r="R20" i="16"/>
  <c r="R19" i="16"/>
  <c r="R12" i="16"/>
  <c r="R9" i="16"/>
  <c r="R8" i="16"/>
  <c r="R4" i="16"/>
  <c r="R106" i="13"/>
  <c r="R102" i="13"/>
  <c r="R101" i="13"/>
  <c r="R95" i="13"/>
  <c r="R94" i="13"/>
  <c r="R90" i="13"/>
  <c r="R89" i="13"/>
  <c r="R86" i="13"/>
  <c r="R82" i="13"/>
  <c r="R78" i="13"/>
  <c r="R77" i="13"/>
  <c r="R73" i="13"/>
  <c r="R72" i="13"/>
  <c r="R67" i="13"/>
  <c r="R66" i="13"/>
  <c r="R63" i="13"/>
  <c r="R61" i="13"/>
  <c r="R55" i="13"/>
  <c r="R56" i="13"/>
  <c r="R54" i="13"/>
  <c r="P99" i="13" l="1"/>
  <c r="G79" i="13"/>
  <c r="E79" i="13"/>
  <c r="R79" i="13" s="1"/>
  <c r="F85" i="13"/>
  <c r="P91" i="13" l="1"/>
  <c r="G78" i="13"/>
  <c r="G77" i="13"/>
  <c r="F80" i="13"/>
  <c r="W57" i="13" l="1"/>
  <c r="X57" i="13"/>
  <c r="Y57" i="13"/>
  <c r="H57" i="13"/>
  <c r="C33" i="15"/>
  <c r="B33" i="15"/>
  <c r="G67" i="13"/>
  <c r="G66" i="13"/>
  <c r="E33" i="15" l="1"/>
  <c r="W32" i="16"/>
  <c r="T32" i="16"/>
  <c r="X32" i="16" s="1"/>
  <c r="Y32" i="16" s="1"/>
  <c r="H32" i="16"/>
  <c r="U20" i="16"/>
  <c r="S20" i="16"/>
  <c r="H20" i="16"/>
  <c r="U78" i="13"/>
  <c r="S78" i="13"/>
  <c r="H78" i="13"/>
  <c r="U4" i="16"/>
  <c r="S4" i="16"/>
  <c r="W20" i="16" l="1"/>
  <c r="T20" i="16" s="1"/>
  <c r="X20" i="16" s="1"/>
  <c r="Y20" i="16" s="1"/>
  <c r="W78" i="13"/>
  <c r="T78" i="13" s="1"/>
  <c r="X78" i="13" s="1"/>
  <c r="Y78" i="13" s="1"/>
  <c r="W4" i="16"/>
  <c r="T4" i="16" s="1"/>
  <c r="X4" i="16" s="1"/>
  <c r="Y4" i="16" s="1"/>
  <c r="W36" i="16"/>
  <c r="T36" i="16"/>
  <c r="X36" i="16" s="1"/>
  <c r="Y36" i="16" s="1"/>
  <c r="H36" i="16"/>
  <c r="U35" i="16"/>
  <c r="S35" i="16"/>
  <c r="H35" i="16"/>
  <c r="U34" i="16"/>
  <c r="S34" i="16"/>
  <c r="H34" i="16"/>
  <c r="W33" i="16"/>
  <c r="T33" i="16"/>
  <c r="X33" i="16" s="1"/>
  <c r="Y33" i="16" s="1"/>
  <c r="H33" i="16"/>
  <c r="U30" i="16"/>
  <c r="S30" i="16"/>
  <c r="H30" i="16"/>
  <c r="U29" i="16"/>
  <c r="S29" i="16"/>
  <c r="H29" i="16"/>
  <c r="W28" i="16"/>
  <c r="T28" i="16"/>
  <c r="X28" i="16" s="1"/>
  <c r="Y28" i="16" s="1"/>
  <c r="H28" i="16"/>
  <c r="W27" i="16"/>
  <c r="T27" i="16"/>
  <c r="X27" i="16" s="1"/>
  <c r="Y27" i="16" s="1"/>
  <c r="H27" i="16"/>
  <c r="W25" i="16"/>
  <c r="T25" i="16"/>
  <c r="X25" i="16" s="1"/>
  <c r="Y25" i="16" s="1"/>
  <c r="H25" i="16"/>
  <c r="U24" i="16"/>
  <c r="S24" i="16"/>
  <c r="H24" i="16"/>
  <c r="W23" i="16"/>
  <c r="T23" i="16"/>
  <c r="X23" i="16" s="1"/>
  <c r="Y23" i="16" s="1"/>
  <c r="H23" i="16"/>
  <c r="U21" i="16"/>
  <c r="S21" i="16"/>
  <c r="H21" i="16"/>
  <c r="U19" i="16"/>
  <c r="S19" i="16"/>
  <c r="H19" i="16"/>
  <c r="W17" i="16"/>
  <c r="T17" i="16"/>
  <c r="X17" i="16" s="1"/>
  <c r="Y17" i="16" s="1"/>
  <c r="H17" i="16"/>
  <c r="W16" i="16"/>
  <c r="T16" i="16"/>
  <c r="X16" i="16" s="1"/>
  <c r="Y16" i="16" s="1"/>
  <c r="H16" i="16"/>
  <c r="U13" i="16"/>
  <c r="S13" i="16"/>
  <c r="W13" i="16"/>
  <c r="T13" i="16" s="1"/>
  <c r="X13" i="16" s="1"/>
  <c r="Y13" i="16" s="1"/>
  <c r="H13" i="16"/>
  <c r="U12" i="16"/>
  <c r="S12" i="16"/>
  <c r="W12" i="16"/>
  <c r="T12" i="16" s="1"/>
  <c r="X12" i="16" s="1"/>
  <c r="Y12" i="16" s="1"/>
  <c r="H12" i="16"/>
  <c r="W15" i="16"/>
  <c r="T15" i="16"/>
  <c r="X15" i="16" s="1"/>
  <c r="Y15" i="16" s="1"/>
  <c r="H15" i="16"/>
  <c r="W11" i="16"/>
  <c r="T11" i="16"/>
  <c r="X11" i="16" s="1"/>
  <c r="Y11" i="16" s="1"/>
  <c r="H11" i="16"/>
  <c r="W10" i="16"/>
  <c r="T10" i="16"/>
  <c r="X10" i="16" s="1"/>
  <c r="Y10" i="16" s="1"/>
  <c r="H10" i="16"/>
  <c r="U9" i="16"/>
  <c r="S9" i="16"/>
  <c r="W9" i="16"/>
  <c r="T9" i="16" s="1"/>
  <c r="X9" i="16" s="1"/>
  <c r="Y9" i="16" s="1"/>
  <c r="H9" i="16"/>
  <c r="U8" i="16"/>
  <c r="S8" i="16"/>
  <c r="W8" i="16"/>
  <c r="T8" i="16" s="1"/>
  <c r="X8" i="16" s="1"/>
  <c r="Y8" i="16" s="1"/>
  <c r="H8" i="16"/>
  <c r="W7" i="16"/>
  <c r="T7" i="16"/>
  <c r="X7" i="16" s="1"/>
  <c r="Y7" i="16" s="1"/>
  <c r="H7" i="16"/>
  <c r="W6" i="16"/>
  <c r="T6" i="16"/>
  <c r="X6" i="16" s="1"/>
  <c r="Y6" i="16" s="1"/>
  <c r="H6" i="16"/>
  <c r="W3" i="16"/>
  <c r="T3" i="16"/>
  <c r="X3" i="16" s="1"/>
  <c r="Y3" i="16" s="1"/>
  <c r="H3" i="16"/>
  <c r="W19" i="16" l="1"/>
  <c r="T19" i="16" s="1"/>
  <c r="X19" i="16" s="1"/>
  <c r="Y19" i="16" s="1"/>
  <c r="W21" i="16"/>
  <c r="T21" i="16" s="1"/>
  <c r="X21" i="16" s="1"/>
  <c r="Y21" i="16" s="1"/>
  <c r="W24" i="16"/>
  <c r="T24" i="16" s="1"/>
  <c r="X24" i="16" s="1"/>
  <c r="Y24" i="16" s="1"/>
  <c r="W29" i="16"/>
  <c r="T29" i="16" s="1"/>
  <c r="X29" i="16" s="1"/>
  <c r="Y29" i="16" s="1"/>
  <c r="W30" i="16"/>
  <c r="T30" i="16" s="1"/>
  <c r="X30" i="16" s="1"/>
  <c r="Y30" i="16" s="1"/>
  <c r="W34" i="16"/>
  <c r="T34" i="16" s="1"/>
  <c r="X34" i="16" s="1"/>
  <c r="Y34" i="16" s="1"/>
  <c r="W35" i="16"/>
  <c r="T35" i="16" s="1"/>
  <c r="X35" i="16" s="1"/>
  <c r="Y35" i="16" s="1"/>
  <c r="P93" i="13" l="1"/>
  <c r="P87" i="13"/>
  <c r="C488" i="3"/>
  <c r="F74" i="13"/>
  <c r="F81" i="13"/>
  <c r="F75" i="13"/>
  <c r="W71" i="13"/>
  <c r="X71" i="13"/>
  <c r="Y71" i="13"/>
  <c r="H71" i="13"/>
  <c r="C517" i="3"/>
  <c r="C508" i="3"/>
  <c r="P85" i="13"/>
  <c r="P80" i="13"/>
  <c r="P81" i="13"/>
  <c r="U86" i="13" l="1"/>
  <c r="S86" i="13"/>
  <c r="H86" i="13"/>
  <c r="C479" i="3"/>
  <c r="C478" i="3"/>
  <c r="C480" i="3"/>
  <c r="W86" i="13" l="1"/>
  <c r="T86" i="13" s="1"/>
  <c r="X86" i="13" s="1"/>
  <c r="Y86" i="13" s="1"/>
  <c r="H483" i="6"/>
  <c r="H484" i="6"/>
  <c r="H485" i="6"/>
  <c r="H486" i="6"/>
  <c r="H487" i="6"/>
  <c r="H488" i="6"/>
  <c r="H489" i="6"/>
  <c r="H490" i="6"/>
  <c r="H491" i="6"/>
  <c r="F69" i="13"/>
  <c r="F68" i="13"/>
  <c r="F70" i="13"/>
  <c r="E15" i="15"/>
  <c r="C13" i="15"/>
  <c r="B13" i="15"/>
  <c r="G63" i="13"/>
  <c r="G61" i="13"/>
  <c r="E13" i="15" l="1"/>
  <c r="C477" i="3"/>
  <c r="C476" i="3"/>
  <c r="P75" i="13" l="1"/>
  <c r="G56" i="13"/>
  <c r="C502" i="3"/>
  <c r="C495" i="3"/>
  <c r="C491" i="3"/>
  <c r="C490" i="3"/>
  <c r="C489" i="3"/>
  <c r="F65" i="13"/>
  <c r="F64" i="13"/>
  <c r="F62" i="13"/>
  <c r="C471" i="3" l="1"/>
  <c r="C470" i="3"/>
  <c r="C7" i="15"/>
  <c r="B7" i="15"/>
  <c r="P74" i="13"/>
  <c r="P69" i="13"/>
  <c r="P68" i="13"/>
  <c r="E7" i="15" l="1"/>
  <c r="P70" i="13"/>
  <c r="E48" i="13"/>
  <c r="F59" i="13" l="1"/>
  <c r="F58" i="13"/>
  <c r="C475" i="3" l="1"/>
  <c r="C473" i="3"/>
  <c r="C472" i="3"/>
  <c r="C469" i="3"/>
  <c r="C467" i="3"/>
  <c r="C466" i="3"/>
  <c r="C465" i="3"/>
  <c r="U106" i="13"/>
  <c r="S106" i="13"/>
  <c r="H106" i="13"/>
  <c r="W105" i="13"/>
  <c r="T105" i="13"/>
  <c r="X105" i="13" s="1"/>
  <c r="Y105" i="13" s="1"/>
  <c r="H105" i="13"/>
  <c r="W104" i="13"/>
  <c r="T104" i="13"/>
  <c r="X104" i="13" s="1"/>
  <c r="Y104" i="13" s="1"/>
  <c r="H104" i="13"/>
  <c r="U102" i="13"/>
  <c r="S102" i="13"/>
  <c r="H102" i="13"/>
  <c r="U101" i="13"/>
  <c r="S101" i="13"/>
  <c r="H101" i="13"/>
  <c r="C48" i="9"/>
  <c r="J40" i="9"/>
  <c r="D38" i="9"/>
  <c r="C462" i="3"/>
  <c r="W101" i="13" l="1"/>
  <c r="T101" i="13" s="1"/>
  <c r="X101" i="13" s="1"/>
  <c r="Y101" i="13" s="1"/>
  <c r="W102" i="13"/>
  <c r="T102" i="13" s="1"/>
  <c r="X102" i="13" s="1"/>
  <c r="Y102" i="13" s="1"/>
  <c r="W106" i="13"/>
  <c r="T106" i="13" s="1"/>
  <c r="X106" i="13" s="1"/>
  <c r="Y106" i="13" s="1"/>
  <c r="H50" i="13" l="1"/>
  <c r="H51" i="13"/>
  <c r="W50" i="13"/>
  <c r="X50" i="13"/>
  <c r="Y50" i="13"/>
  <c r="W51" i="13"/>
  <c r="X51" i="13"/>
  <c r="Y51" i="13"/>
  <c r="H55" i="13"/>
  <c r="S55" i="13"/>
  <c r="U55" i="13"/>
  <c r="W55" i="13"/>
  <c r="T55" i="13" s="1"/>
  <c r="X55" i="13" s="1"/>
  <c r="Y55" i="13" s="1"/>
  <c r="U63" i="13"/>
  <c r="S63" i="13"/>
  <c r="H63" i="13"/>
  <c r="C494" i="3"/>
  <c r="C483" i="3"/>
  <c r="C468" i="3"/>
  <c r="C464" i="3"/>
  <c r="G47" i="13"/>
  <c r="G48" i="13"/>
  <c r="F48" i="13"/>
  <c r="W63" i="13" l="1"/>
  <c r="T63" i="13" s="1"/>
  <c r="X63" i="13" s="1"/>
  <c r="Y63" i="13" s="1"/>
  <c r="F52" i="13"/>
  <c r="P64" i="13"/>
  <c r="P62" i="13"/>
  <c r="P59" i="13"/>
  <c r="P58" i="13"/>
  <c r="W33" i="13"/>
  <c r="X33" i="13"/>
  <c r="Y33" i="13"/>
  <c r="H33" i="13"/>
  <c r="W32" i="13"/>
  <c r="X32" i="13"/>
  <c r="Y32" i="13"/>
  <c r="H32" i="13"/>
  <c r="W25" i="13"/>
  <c r="X25" i="13"/>
  <c r="Y25" i="13"/>
  <c r="H25" i="13"/>
  <c r="W15" i="13"/>
  <c r="X15" i="13"/>
  <c r="Y15" i="13"/>
  <c r="H15" i="13"/>
  <c r="W9" i="13"/>
  <c r="X9" i="13"/>
  <c r="Y9" i="13"/>
  <c r="H9" i="13"/>
  <c r="G27" i="13"/>
  <c r="G21" i="13"/>
  <c r="G20" i="13"/>
  <c r="X7" i="13"/>
  <c r="Y7" i="13" s="1"/>
  <c r="W7" i="13"/>
  <c r="X6" i="13"/>
  <c r="Y6" i="13" s="1"/>
  <c r="W6" i="13"/>
  <c r="H6" i="13"/>
  <c r="H7" i="13"/>
  <c r="F49" i="13" l="1"/>
  <c r="G39" i="13"/>
  <c r="C456" i="3"/>
  <c r="C457" i="3"/>
  <c r="C458" i="3"/>
  <c r="F46" i="13"/>
  <c r="F45" i="13"/>
  <c r="F44" i="13"/>
  <c r="C455" i="3" l="1"/>
  <c r="C454" i="3"/>
  <c r="H475" i="6"/>
  <c r="H476" i="6"/>
  <c r="H477" i="6"/>
  <c r="H478" i="6"/>
  <c r="H479" i="6"/>
  <c r="H480" i="6"/>
  <c r="H481" i="6"/>
  <c r="H482" i="6"/>
  <c r="H63" i="7"/>
  <c r="H64" i="7"/>
  <c r="H65" i="7"/>
  <c r="H66" i="7"/>
  <c r="H67" i="7"/>
  <c r="H68" i="7"/>
  <c r="H69" i="7"/>
  <c r="H70" i="7"/>
  <c r="F41" i="13"/>
  <c r="F40" i="13"/>
  <c r="G37" i="13"/>
  <c r="G31" i="13"/>
  <c r="G29" i="13"/>
  <c r="G30" i="13"/>
  <c r="U30" i="13"/>
  <c r="S30" i="13"/>
  <c r="R30" i="13"/>
  <c r="H30" i="13"/>
  <c r="W30" i="13" l="1"/>
  <c r="T30" i="13" s="1"/>
  <c r="X30" i="13" s="1"/>
  <c r="Y30" i="13" s="1"/>
  <c r="F38" i="13" l="1"/>
  <c r="P52" i="13"/>
  <c r="C450" i="3"/>
  <c r="C449" i="3"/>
  <c r="C439" i="3"/>
  <c r="S95" i="13" l="1"/>
  <c r="S94" i="13"/>
  <c r="S90" i="13"/>
  <c r="S89" i="13"/>
  <c r="S82" i="13"/>
  <c r="W60" i="13"/>
  <c r="F60" i="13"/>
  <c r="H60" i="13" s="1"/>
  <c r="T60" i="13" l="1"/>
  <c r="X60" i="13" s="1"/>
  <c r="Y60" i="13" s="1"/>
  <c r="U39" i="13"/>
  <c r="S39" i="13"/>
  <c r="R39" i="13"/>
  <c r="H39" i="13"/>
  <c r="W39" i="13" l="1"/>
  <c r="T39" i="13" s="1"/>
  <c r="X39" i="13" s="1"/>
  <c r="Y39" i="13" s="1"/>
  <c r="F36" i="13"/>
  <c r="F35" i="13"/>
  <c r="P49" i="13" l="1"/>
  <c r="P44" i="13"/>
  <c r="P45" i="13"/>
  <c r="W99" i="13"/>
  <c r="T99" i="13"/>
  <c r="X99" i="13" s="1"/>
  <c r="Y99" i="13" s="1"/>
  <c r="H99" i="13"/>
  <c r="W98" i="13"/>
  <c r="T98" i="13"/>
  <c r="X98" i="13" s="1"/>
  <c r="Y98" i="13" s="1"/>
  <c r="U95" i="13"/>
  <c r="H95" i="13"/>
  <c r="U94" i="13"/>
  <c r="H94" i="13"/>
  <c r="W93" i="13"/>
  <c r="T93" i="13"/>
  <c r="X93" i="13" s="1"/>
  <c r="Y93" i="13" s="1"/>
  <c r="H93" i="13"/>
  <c r="W92" i="13"/>
  <c r="T92" i="13"/>
  <c r="X92" i="13" s="1"/>
  <c r="Y92" i="13" s="1"/>
  <c r="H92" i="13"/>
  <c r="W91" i="13"/>
  <c r="T91" i="13"/>
  <c r="X91" i="13" s="1"/>
  <c r="Y91" i="13" s="1"/>
  <c r="H91" i="13"/>
  <c r="U90" i="13"/>
  <c r="H90" i="13"/>
  <c r="U89" i="13"/>
  <c r="H89" i="13"/>
  <c r="W88" i="13"/>
  <c r="T88" i="13"/>
  <c r="X88" i="13" s="1"/>
  <c r="Y88" i="13" s="1"/>
  <c r="H88" i="13"/>
  <c r="W87" i="13"/>
  <c r="T87" i="13"/>
  <c r="X87" i="13" s="1"/>
  <c r="Y87" i="13" s="1"/>
  <c r="H87" i="13"/>
  <c r="W85" i="13"/>
  <c r="T85" i="13"/>
  <c r="X85" i="13" s="1"/>
  <c r="Y85" i="13" s="1"/>
  <c r="H85" i="13"/>
  <c r="U82" i="13"/>
  <c r="H82" i="13"/>
  <c r="W81" i="13"/>
  <c r="T81" i="13"/>
  <c r="X81" i="13" s="1"/>
  <c r="Y81" i="13" s="1"/>
  <c r="H81" i="13"/>
  <c r="W80" i="13"/>
  <c r="T80" i="13"/>
  <c r="X80" i="13" s="1"/>
  <c r="Y80" i="13" s="1"/>
  <c r="H80" i="13"/>
  <c r="U79" i="13"/>
  <c r="S79" i="13"/>
  <c r="H79" i="13"/>
  <c r="U77" i="13"/>
  <c r="S77" i="13"/>
  <c r="H77" i="13"/>
  <c r="W77" i="13" l="1"/>
  <c r="T77" i="13" s="1"/>
  <c r="X77" i="13" s="1"/>
  <c r="Y77" i="13" s="1"/>
  <c r="W79" i="13"/>
  <c r="T79" i="13" s="1"/>
  <c r="X79" i="13" s="1"/>
  <c r="Y79" i="13" s="1"/>
  <c r="W82" i="13"/>
  <c r="T82" i="13" s="1"/>
  <c r="X82" i="13" s="1"/>
  <c r="Y82" i="13" s="1"/>
  <c r="W89" i="13"/>
  <c r="T89" i="13" s="1"/>
  <c r="X89" i="13" s="1"/>
  <c r="Y89" i="13" s="1"/>
  <c r="W90" i="13"/>
  <c r="T90" i="13" s="1"/>
  <c r="X90" i="13" s="1"/>
  <c r="Y90" i="13" s="1"/>
  <c r="W94" i="13"/>
  <c r="T94" i="13" s="1"/>
  <c r="X94" i="13" s="1"/>
  <c r="Y94" i="13" s="1"/>
  <c r="W95" i="13"/>
  <c r="T95" i="13" s="1"/>
  <c r="X95" i="13" s="1"/>
  <c r="Y95" i="13" s="1"/>
  <c r="C445" i="3" l="1"/>
  <c r="P46" i="13" l="1"/>
  <c r="P41" i="13"/>
  <c r="P40" i="13"/>
  <c r="F27" i="13"/>
  <c r="C434" i="3"/>
  <c r="C433" i="3"/>
  <c r="C432" i="3"/>
  <c r="P4" i="13"/>
  <c r="F4" i="13"/>
  <c r="H4" i="13" s="1"/>
  <c r="W4" i="13" l="1"/>
  <c r="T4" i="13" s="1"/>
  <c r="X4" i="13" s="1"/>
  <c r="Y4" i="13" s="1"/>
  <c r="H465" i="6" l="1"/>
  <c r="H466" i="6"/>
  <c r="H467" i="6"/>
  <c r="H471" i="6"/>
  <c r="H472" i="6"/>
  <c r="H473" i="6"/>
  <c r="H474" i="6"/>
  <c r="H461" i="6"/>
  <c r="H462" i="6"/>
  <c r="H463" i="6"/>
  <c r="H464" i="6"/>
  <c r="H468" i="6"/>
  <c r="H469" i="6"/>
  <c r="H470" i="6"/>
  <c r="P38" i="13"/>
  <c r="P35" i="13"/>
  <c r="G14" i="13"/>
  <c r="U14" i="13"/>
  <c r="S14" i="13"/>
  <c r="R14" i="13"/>
  <c r="H14" i="13"/>
  <c r="W14" i="13" l="1"/>
  <c r="T14" i="13" s="1"/>
  <c r="X14" i="13" s="1"/>
  <c r="Y14" i="13" s="1"/>
  <c r="C431" i="3" l="1"/>
  <c r="C430" i="3"/>
  <c r="F26" i="13"/>
  <c r="P36" i="13"/>
  <c r="T46" i="11"/>
  <c r="F76" i="12"/>
  <c r="F20" i="13"/>
  <c r="F22" i="13"/>
  <c r="F21" i="13"/>
  <c r="F17" i="13"/>
  <c r="F16" i="13"/>
  <c r="H16" i="13" s="1"/>
  <c r="G12" i="13" l="1"/>
  <c r="G8" i="13"/>
  <c r="C424" i="3"/>
  <c r="C425" i="3"/>
  <c r="W94" i="12" l="1"/>
  <c r="X94" i="12"/>
  <c r="F94" i="12"/>
  <c r="Y94" i="12" s="1"/>
  <c r="P27" i="13"/>
  <c r="F13" i="13"/>
  <c r="H94" i="12" l="1"/>
  <c r="C406" i="3"/>
  <c r="F10" i="13" l="1"/>
  <c r="H10" i="13" s="1"/>
  <c r="P26" i="13"/>
  <c r="P20" i="13"/>
  <c r="C378" i="3"/>
  <c r="C426" i="4"/>
  <c r="C425" i="4"/>
  <c r="C420" i="4"/>
  <c r="C419" i="4"/>
  <c r="C416" i="4"/>
  <c r="C415" i="4"/>
  <c r="C412" i="4"/>
  <c r="C410" i="4"/>
  <c r="C409" i="4"/>
  <c r="C408" i="4"/>
  <c r="C406" i="4"/>
  <c r="C405" i="4"/>
  <c r="C404" i="4"/>
  <c r="C399" i="4"/>
  <c r="C398" i="4"/>
  <c r="C396" i="4"/>
  <c r="C395" i="4"/>
  <c r="C394" i="4"/>
  <c r="C393" i="4"/>
  <c r="C392" i="4"/>
  <c r="C391" i="4"/>
  <c r="C390" i="4"/>
  <c r="C387" i="4"/>
  <c r="C386" i="4"/>
  <c r="C382" i="4"/>
  <c r="C381" i="4"/>
  <c r="C380" i="4"/>
  <c r="C377" i="4"/>
  <c r="C376" i="4"/>
  <c r="C373" i="4"/>
  <c r="C372" i="4"/>
  <c r="C371" i="4"/>
  <c r="C370" i="4"/>
  <c r="C369" i="4"/>
  <c r="C368" i="4"/>
  <c r="C363" i="4"/>
  <c r="S48" i="13"/>
  <c r="S47" i="13"/>
  <c r="S43" i="13"/>
  <c r="S42" i="13"/>
  <c r="S37" i="13"/>
  <c r="U5" i="13"/>
  <c r="S5" i="13"/>
  <c r="F27" i="14"/>
  <c r="G21" i="14"/>
  <c r="F11" i="14"/>
  <c r="I11" i="14" l="1"/>
  <c r="I7" i="14"/>
  <c r="I9" i="14"/>
  <c r="I14" i="14" l="1"/>
  <c r="C25" i="14" s="1"/>
  <c r="D25" i="14" s="1"/>
  <c r="E25" i="14" s="1"/>
  <c r="C419" i="3"/>
  <c r="C440" i="3"/>
  <c r="C452" i="3"/>
  <c r="C448" i="3"/>
  <c r="C441" i="3"/>
  <c r="C421" i="3"/>
  <c r="C420" i="3"/>
  <c r="Q86" i="12"/>
  <c r="G86" i="12"/>
  <c r="F86" i="12"/>
  <c r="E86" i="12"/>
  <c r="P22" i="13" l="1"/>
  <c r="P17" i="13"/>
  <c r="P16" i="13"/>
  <c r="F11" i="13"/>
  <c r="F85" i="12"/>
  <c r="F84" i="12"/>
  <c r="C493" i="3"/>
  <c r="R91" i="12"/>
  <c r="F91" i="12"/>
  <c r="P92" i="12"/>
  <c r="F92" i="12"/>
  <c r="C436" i="3" l="1"/>
  <c r="F93" i="12"/>
  <c r="C429" i="3" l="1"/>
  <c r="C427" i="3"/>
  <c r="C426" i="3"/>
  <c r="W75" i="13"/>
  <c r="T75" i="13"/>
  <c r="X75" i="13" s="1"/>
  <c r="Y75" i="13" s="1"/>
  <c r="H75" i="13"/>
  <c r="W74" i="13"/>
  <c r="T74" i="13"/>
  <c r="X74" i="13" s="1"/>
  <c r="Y74" i="13" s="1"/>
  <c r="H74" i="13"/>
  <c r="U73" i="13"/>
  <c r="S73" i="13"/>
  <c r="H73" i="13"/>
  <c r="U72" i="13"/>
  <c r="S72" i="13"/>
  <c r="H72" i="13"/>
  <c r="W70" i="13"/>
  <c r="T70" i="13"/>
  <c r="X70" i="13" s="1"/>
  <c r="Y70" i="13" s="1"/>
  <c r="H70" i="13"/>
  <c r="W69" i="13"/>
  <c r="T69" i="13"/>
  <c r="X69" i="13" s="1"/>
  <c r="Y69" i="13" s="1"/>
  <c r="H69" i="13"/>
  <c r="W68" i="13"/>
  <c r="T68" i="13"/>
  <c r="X68" i="13" s="1"/>
  <c r="Y68" i="13" s="1"/>
  <c r="H68" i="13"/>
  <c r="U67" i="13"/>
  <c r="S67" i="13"/>
  <c r="H67" i="13"/>
  <c r="U66" i="13"/>
  <c r="S66" i="13"/>
  <c r="H66" i="13"/>
  <c r="W65" i="13"/>
  <c r="T65" i="13"/>
  <c r="X65" i="13" s="1"/>
  <c r="Y65" i="13" s="1"/>
  <c r="H65" i="13"/>
  <c r="W64" i="13"/>
  <c r="T64" i="13"/>
  <c r="X64" i="13" s="1"/>
  <c r="Y64" i="13" s="1"/>
  <c r="H64" i="13"/>
  <c r="W62" i="13"/>
  <c r="T62" i="13"/>
  <c r="X62" i="13" s="1"/>
  <c r="Y62" i="13" s="1"/>
  <c r="H62" i="13"/>
  <c r="U61" i="13"/>
  <c r="S61" i="13"/>
  <c r="H61" i="13"/>
  <c r="W59" i="13"/>
  <c r="T59" i="13"/>
  <c r="X59" i="13" s="1"/>
  <c r="Y59" i="13" s="1"/>
  <c r="H59" i="13"/>
  <c r="W58" i="13"/>
  <c r="T58" i="13"/>
  <c r="X58" i="13" s="1"/>
  <c r="Y58" i="13" s="1"/>
  <c r="H58" i="13"/>
  <c r="U56" i="13"/>
  <c r="S56" i="13"/>
  <c r="H56" i="13"/>
  <c r="U54" i="13"/>
  <c r="S54" i="13"/>
  <c r="H54" i="13"/>
  <c r="W52" i="13"/>
  <c r="T52" i="13"/>
  <c r="X52" i="13" s="1"/>
  <c r="Y52" i="13" s="1"/>
  <c r="H52" i="13"/>
  <c r="W49" i="13"/>
  <c r="T49" i="13"/>
  <c r="X49" i="13" s="1"/>
  <c r="Y49" i="13" s="1"/>
  <c r="H49" i="13"/>
  <c r="U48" i="13"/>
  <c r="R48" i="13"/>
  <c r="H48" i="13"/>
  <c r="U47" i="13"/>
  <c r="R47" i="13"/>
  <c r="H47" i="13"/>
  <c r="W46" i="13"/>
  <c r="T46" i="13"/>
  <c r="X46" i="13" s="1"/>
  <c r="Y46" i="13" s="1"/>
  <c r="H46" i="13"/>
  <c r="W45" i="13"/>
  <c r="T45" i="13"/>
  <c r="X45" i="13" s="1"/>
  <c r="Y45" i="13" s="1"/>
  <c r="H45" i="13"/>
  <c r="W44" i="13"/>
  <c r="T44" i="13"/>
  <c r="X44" i="13" s="1"/>
  <c r="Y44" i="13" s="1"/>
  <c r="H44" i="13"/>
  <c r="U43" i="13"/>
  <c r="R43" i="13"/>
  <c r="H43" i="13"/>
  <c r="U42" i="13"/>
  <c r="R42" i="13"/>
  <c r="H42" i="13"/>
  <c r="W41" i="13"/>
  <c r="T41" i="13"/>
  <c r="X41" i="13" s="1"/>
  <c r="Y41" i="13" s="1"/>
  <c r="H41" i="13"/>
  <c r="W40" i="13"/>
  <c r="T40" i="13"/>
  <c r="X40" i="13" s="1"/>
  <c r="Y40" i="13" s="1"/>
  <c r="H40" i="13"/>
  <c r="H38" i="13"/>
  <c r="U37" i="13"/>
  <c r="R37" i="13"/>
  <c r="H37" i="13"/>
  <c r="H36" i="13"/>
  <c r="H35" i="13"/>
  <c r="U31" i="13"/>
  <c r="S31" i="13"/>
  <c r="R31" i="13"/>
  <c r="H31" i="13"/>
  <c r="U29" i="13"/>
  <c r="S29" i="13"/>
  <c r="R29" i="13"/>
  <c r="H29" i="13"/>
  <c r="H22" i="13"/>
  <c r="W21" i="13"/>
  <c r="T21" i="13"/>
  <c r="X21" i="13" s="1"/>
  <c r="Y21" i="13" s="1"/>
  <c r="H21" i="13"/>
  <c r="C410" i="3"/>
  <c r="P10" i="13"/>
  <c r="P11" i="13"/>
  <c r="P13" i="13"/>
  <c r="H13" i="13"/>
  <c r="C422" i="3"/>
  <c r="F88" i="12"/>
  <c r="G83" i="12"/>
  <c r="C409" i="3"/>
  <c r="C411" i="3"/>
  <c r="W54" i="13" l="1"/>
  <c r="T54" i="13" s="1"/>
  <c r="X54" i="13" s="1"/>
  <c r="Y54" i="13" s="1"/>
  <c r="W56" i="13"/>
  <c r="T56" i="13" s="1"/>
  <c r="X56" i="13" s="1"/>
  <c r="Y56" i="13" s="1"/>
  <c r="W61" i="13"/>
  <c r="T61" i="13" s="1"/>
  <c r="X61" i="13" s="1"/>
  <c r="Y61" i="13" s="1"/>
  <c r="W66" i="13"/>
  <c r="T66" i="13" s="1"/>
  <c r="X66" i="13" s="1"/>
  <c r="Y66" i="13" s="1"/>
  <c r="W67" i="13"/>
  <c r="T67" i="13" s="1"/>
  <c r="X67" i="13" s="1"/>
  <c r="Y67" i="13" s="1"/>
  <c r="W72" i="13"/>
  <c r="T72" i="13" s="1"/>
  <c r="X72" i="13" s="1"/>
  <c r="Y72" i="13" s="1"/>
  <c r="W73" i="13"/>
  <c r="T73" i="13" s="1"/>
  <c r="X73" i="13" s="1"/>
  <c r="Y73" i="13" s="1"/>
  <c r="W29" i="13"/>
  <c r="T29" i="13" s="1"/>
  <c r="X29" i="13" s="1"/>
  <c r="Y29" i="13" s="1"/>
  <c r="W31" i="13"/>
  <c r="T31" i="13" s="1"/>
  <c r="X31" i="13" s="1"/>
  <c r="Y31" i="13" s="1"/>
  <c r="W35" i="13"/>
  <c r="T35" i="13" s="1"/>
  <c r="X35" i="13" s="1"/>
  <c r="Y35" i="13" s="1"/>
  <c r="W36" i="13"/>
  <c r="T36" i="13" s="1"/>
  <c r="X36" i="13" s="1"/>
  <c r="Y36" i="13" s="1"/>
  <c r="W37" i="13"/>
  <c r="T37" i="13" s="1"/>
  <c r="X37" i="13" s="1"/>
  <c r="Y37" i="13" s="1"/>
  <c r="W38" i="13"/>
  <c r="T38" i="13" s="1"/>
  <c r="X38" i="13" s="1"/>
  <c r="Y38" i="13" s="1"/>
  <c r="W42" i="13"/>
  <c r="T42" i="13" s="1"/>
  <c r="X42" i="13" s="1"/>
  <c r="Y42" i="13" s="1"/>
  <c r="W43" i="13"/>
  <c r="T43" i="13" s="1"/>
  <c r="X43" i="13" s="1"/>
  <c r="Y43" i="13" s="1"/>
  <c r="W47" i="13"/>
  <c r="T47" i="13" s="1"/>
  <c r="X47" i="13" s="1"/>
  <c r="Y47" i="13" s="1"/>
  <c r="W48" i="13"/>
  <c r="T48" i="13" s="1"/>
  <c r="X48" i="13" s="1"/>
  <c r="Y48" i="13" s="1"/>
  <c r="W22" i="13"/>
  <c r="T22" i="13" s="1"/>
  <c r="X22" i="13" s="1"/>
  <c r="Y22" i="13" s="1"/>
  <c r="W13" i="13"/>
  <c r="T13" i="13" s="1"/>
  <c r="X13" i="13" s="1"/>
  <c r="Y13" i="13" s="1"/>
  <c r="F45" i="11" l="1"/>
  <c r="C482" i="3"/>
  <c r="F82" i="12"/>
  <c r="G81" i="12"/>
  <c r="C408" i="3" l="1"/>
  <c r="C407" i="3"/>
  <c r="F64" i="12"/>
  <c r="G64" i="12"/>
  <c r="F68" i="8"/>
  <c r="F69" i="8"/>
  <c r="G77" i="12"/>
  <c r="G76" i="12"/>
  <c r="E76" i="12"/>
  <c r="I67" i="8"/>
  <c r="I68" i="8"/>
  <c r="I69" i="8"/>
  <c r="C413" i="3"/>
  <c r="C405" i="3"/>
  <c r="W71" i="12"/>
  <c r="X71" i="12"/>
  <c r="Y71" i="12"/>
  <c r="C414" i="3"/>
  <c r="F74" i="12"/>
  <c r="U90" i="12"/>
  <c r="S90" i="12"/>
  <c r="R90" i="12"/>
  <c r="H90" i="12"/>
  <c r="U83" i="12"/>
  <c r="S83" i="12"/>
  <c r="R83" i="12"/>
  <c r="H83" i="12"/>
  <c r="W90" i="12" l="1"/>
  <c r="T90" i="12" s="1"/>
  <c r="X90" i="12" s="1"/>
  <c r="Y90" i="12" s="1"/>
  <c r="W83" i="12"/>
  <c r="T83" i="12" s="1"/>
  <c r="X83" i="12" s="1"/>
  <c r="Y83" i="12" s="1"/>
  <c r="P93" i="12" l="1"/>
  <c r="P91" i="12"/>
  <c r="P88" i="12"/>
  <c r="C402" i="3"/>
  <c r="H459" i="6"/>
  <c r="H460" i="6"/>
  <c r="C401" i="3"/>
  <c r="H57" i="7"/>
  <c r="H58" i="7"/>
  <c r="H59" i="7"/>
  <c r="H60" i="7"/>
  <c r="H61" i="7"/>
  <c r="H62" i="7"/>
  <c r="F80" i="12"/>
  <c r="F79" i="12"/>
  <c r="F78" i="12"/>
  <c r="C395" i="3"/>
  <c r="W59" i="12"/>
  <c r="X59" i="12"/>
  <c r="Y59" i="12"/>
  <c r="H59" i="12"/>
  <c r="F69" i="12" l="1"/>
  <c r="P85" i="12"/>
  <c r="P84" i="12"/>
  <c r="F70" i="12"/>
  <c r="F72" i="12" l="1"/>
  <c r="P72" i="12"/>
  <c r="W72" i="12" s="1"/>
  <c r="W73" i="12"/>
  <c r="X73" i="12"/>
  <c r="Y73" i="12"/>
  <c r="H73" i="12"/>
  <c r="P82" i="12"/>
  <c r="P79" i="12"/>
  <c r="P80" i="12"/>
  <c r="P78" i="12"/>
  <c r="Q64" i="12"/>
  <c r="U68" i="12"/>
  <c r="S68" i="12"/>
  <c r="R68" i="12"/>
  <c r="H68" i="12"/>
  <c r="W68" i="12" l="1"/>
  <c r="T68" i="12" s="1"/>
  <c r="X68" i="12" s="1"/>
  <c r="Y68" i="12" s="1"/>
  <c r="G58" i="12" l="1"/>
  <c r="C392" i="3"/>
  <c r="F66" i="12" l="1"/>
  <c r="F63" i="12" l="1"/>
  <c r="F62" i="12"/>
  <c r="C373" i="3"/>
  <c r="G61" i="12"/>
  <c r="F61" i="12"/>
  <c r="P74" i="12"/>
  <c r="P51" i="12"/>
  <c r="F51" i="12"/>
  <c r="C388" i="3" l="1"/>
  <c r="P70" i="12"/>
  <c r="G54" i="12"/>
  <c r="C387" i="3"/>
  <c r="C386" i="3"/>
  <c r="C385" i="3"/>
  <c r="P60" i="12"/>
  <c r="F60" i="12"/>
  <c r="P66" i="12" l="1"/>
  <c r="P69" i="12"/>
  <c r="C374" i="3"/>
  <c r="F57" i="12"/>
  <c r="G53" i="12" l="1"/>
  <c r="F56" i="12"/>
  <c r="F55" i="12"/>
  <c r="C376" i="3" l="1"/>
  <c r="C375" i="3"/>
  <c r="W78" i="12"/>
  <c r="T78" i="12"/>
  <c r="X78" i="12" s="1"/>
  <c r="Y78" i="12" s="1"/>
  <c r="H78" i="12"/>
  <c r="W27" i="13"/>
  <c r="T27" i="13"/>
  <c r="X27" i="13" s="1"/>
  <c r="Y27" i="13" s="1"/>
  <c r="H27" i="13"/>
  <c r="W26" i="13"/>
  <c r="T26" i="13"/>
  <c r="X26" i="13" s="1"/>
  <c r="Y26" i="13" s="1"/>
  <c r="H26" i="13"/>
  <c r="U24" i="13"/>
  <c r="S24" i="13"/>
  <c r="R24" i="13"/>
  <c r="H24" i="13"/>
  <c r="U23" i="13"/>
  <c r="S23" i="13"/>
  <c r="R23" i="13"/>
  <c r="H23" i="13"/>
  <c r="W20" i="13"/>
  <c r="T20" i="13"/>
  <c r="X20" i="13" s="1"/>
  <c r="Y20" i="13" s="1"/>
  <c r="H20" i="13"/>
  <c r="U19" i="13"/>
  <c r="S19" i="13"/>
  <c r="R19" i="13"/>
  <c r="H19" i="13"/>
  <c r="U18" i="13"/>
  <c r="S18" i="13"/>
  <c r="R18" i="13"/>
  <c r="H18" i="13"/>
  <c r="W17" i="13"/>
  <c r="T17" i="13"/>
  <c r="X17" i="13" s="1"/>
  <c r="Y17" i="13" s="1"/>
  <c r="H17" i="13"/>
  <c r="W16" i="13"/>
  <c r="T16" i="13"/>
  <c r="X16" i="13" s="1"/>
  <c r="Y16" i="13" s="1"/>
  <c r="U12" i="13"/>
  <c r="S12" i="13"/>
  <c r="R12" i="13"/>
  <c r="H12" i="13"/>
  <c r="W11" i="13"/>
  <c r="T11" i="13"/>
  <c r="X11" i="13" s="1"/>
  <c r="Y11" i="13" s="1"/>
  <c r="H11" i="13"/>
  <c r="W10" i="13"/>
  <c r="T10" i="13"/>
  <c r="X10" i="13" s="1"/>
  <c r="Y10" i="13" s="1"/>
  <c r="U8" i="13"/>
  <c r="S8" i="13"/>
  <c r="R8" i="13"/>
  <c r="H8" i="13"/>
  <c r="R5" i="13"/>
  <c r="X5" i="13" s="1"/>
  <c r="Y5" i="13" s="1"/>
  <c r="H5" i="13"/>
  <c r="C397" i="3"/>
  <c r="C396" i="3"/>
  <c r="H46" i="12"/>
  <c r="H47" i="12"/>
  <c r="H48" i="12"/>
  <c r="X48" i="12"/>
  <c r="Y48" i="12" s="1"/>
  <c r="W48" i="12"/>
  <c r="X47" i="12"/>
  <c r="Y47" i="12" s="1"/>
  <c r="W47" i="12"/>
  <c r="X46" i="12"/>
  <c r="Y46" i="12" s="1"/>
  <c r="W46" i="12"/>
  <c r="W43" i="12"/>
  <c r="X43" i="12"/>
  <c r="Y43" i="12"/>
  <c r="H43" i="12"/>
  <c r="C367" i="3"/>
  <c r="H452" i="6"/>
  <c r="H453" i="6"/>
  <c r="H454" i="6"/>
  <c r="H455" i="6"/>
  <c r="C391" i="3"/>
  <c r="C372" i="3"/>
  <c r="F44" i="12"/>
  <c r="F40" i="12"/>
  <c r="C384" i="3"/>
  <c r="C383" i="3"/>
  <c r="C370" i="3"/>
  <c r="C369" i="3"/>
  <c r="W5" i="13" l="1"/>
  <c r="W8" i="13"/>
  <c r="T8" i="13" s="1"/>
  <c r="X8" i="13" s="1"/>
  <c r="Y8" i="13" s="1"/>
  <c r="W12" i="13"/>
  <c r="T12" i="13" s="1"/>
  <c r="X12" i="13" s="1"/>
  <c r="Y12" i="13" s="1"/>
  <c r="W18" i="13"/>
  <c r="T18" i="13" s="1"/>
  <c r="X18" i="13" s="1"/>
  <c r="Y18" i="13" s="1"/>
  <c r="W19" i="13"/>
  <c r="T19" i="13" s="1"/>
  <c r="X19" i="13" s="1"/>
  <c r="Y19" i="13" s="1"/>
  <c r="W23" i="13"/>
  <c r="T23" i="13" s="1"/>
  <c r="X23" i="13" s="1"/>
  <c r="Y23" i="13" s="1"/>
  <c r="W24" i="13"/>
  <c r="T24" i="13" s="1"/>
  <c r="X24" i="13" s="1"/>
  <c r="Y24" i="13" s="1"/>
  <c r="G38" i="12" l="1"/>
  <c r="P62" i="12"/>
  <c r="P57" i="12"/>
  <c r="P56" i="12"/>
  <c r="P50" i="12"/>
  <c r="F50" i="12"/>
  <c r="F49" i="12"/>
  <c r="F45" i="12" l="1"/>
  <c r="P34" i="12" l="1"/>
  <c r="G35" i="12"/>
  <c r="F38" i="12"/>
  <c r="C358" i="3"/>
  <c r="C363" i="3"/>
  <c r="C362" i="3"/>
  <c r="C361" i="3"/>
  <c r="C360" i="3"/>
  <c r="C354" i="3"/>
  <c r="C353" i="3"/>
  <c r="X93" i="12" l="1"/>
  <c r="Y93" i="12" s="1"/>
  <c r="H93" i="12"/>
  <c r="X74" i="12"/>
  <c r="Y74" i="12" s="1"/>
  <c r="H74" i="12"/>
  <c r="W36" i="12"/>
  <c r="X36" i="12"/>
  <c r="Y36" i="12"/>
  <c r="H36" i="12"/>
  <c r="P55" i="12"/>
  <c r="F37" i="12"/>
  <c r="F34" i="12"/>
  <c r="G32" i="12"/>
  <c r="G31" i="12"/>
  <c r="W92" i="12"/>
  <c r="T92" i="12"/>
  <c r="X92" i="12" s="1"/>
  <c r="Y92" i="12" s="1"/>
  <c r="H92" i="12"/>
  <c r="W91" i="12"/>
  <c r="T91" i="12"/>
  <c r="X91" i="12" s="1"/>
  <c r="Y91" i="12" s="1"/>
  <c r="H91" i="12"/>
  <c r="U89" i="12"/>
  <c r="S89" i="12"/>
  <c r="R89" i="12"/>
  <c r="H89" i="12"/>
  <c r="W88" i="12"/>
  <c r="T88" i="12"/>
  <c r="X88" i="12" s="1"/>
  <c r="Y88" i="12" s="1"/>
  <c r="H88" i="12"/>
  <c r="U87" i="12"/>
  <c r="S87" i="12"/>
  <c r="R87" i="12"/>
  <c r="H87" i="12"/>
  <c r="U86" i="12"/>
  <c r="S86" i="12"/>
  <c r="R86" i="12"/>
  <c r="H86" i="12"/>
  <c r="W85" i="12"/>
  <c r="T85" i="12"/>
  <c r="X85" i="12" s="1"/>
  <c r="Y85" i="12" s="1"/>
  <c r="H85" i="12"/>
  <c r="W84" i="12"/>
  <c r="T84" i="12"/>
  <c r="X84" i="12" s="1"/>
  <c r="Y84" i="12" s="1"/>
  <c r="H84" i="12"/>
  <c r="W82" i="12"/>
  <c r="T82" i="12"/>
  <c r="X82" i="12" s="1"/>
  <c r="Y82" i="12" s="1"/>
  <c r="H82" i="12"/>
  <c r="U81" i="12"/>
  <c r="S81" i="12"/>
  <c r="R81" i="12"/>
  <c r="H81" i="12"/>
  <c r="W80" i="12"/>
  <c r="T80" i="12"/>
  <c r="X80" i="12" s="1"/>
  <c r="Y80" i="12" s="1"/>
  <c r="H80" i="12"/>
  <c r="W79" i="12"/>
  <c r="T79" i="12"/>
  <c r="X79" i="12" s="1"/>
  <c r="Y79" i="12" s="1"/>
  <c r="H79" i="12"/>
  <c r="U77" i="12"/>
  <c r="S77" i="12"/>
  <c r="R77" i="12"/>
  <c r="H77" i="12"/>
  <c r="U76" i="12"/>
  <c r="S76" i="12"/>
  <c r="R76" i="12"/>
  <c r="H76" i="12"/>
  <c r="P39" i="12"/>
  <c r="P49" i="12"/>
  <c r="P44" i="12"/>
  <c r="F39" i="12"/>
  <c r="W93" i="12" l="1"/>
  <c r="W74" i="12"/>
  <c r="W76" i="12"/>
  <c r="T76" i="12" s="1"/>
  <c r="X76" i="12" s="1"/>
  <c r="Y76" i="12" s="1"/>
  <c r="W77" i="12"/>
  <c r="T77" i="12" s="1"/>
  <c r="X77" i="12" s="1"/>
  <c r="Y77" i="12" s="1"/>
  <c r="W81" i="12"/>
  <c r="T81" i="12" s="1"/>
  <c r="X81" i="12" s="1"/>
  <c r="Y81" i="12" s="1"/>
  <c r="W86" i="12"/>
  <c r="T86" i="12" s="1"/>
  <c r="X86" i="12" s="1"/>
  <c r="Y86" i="12" s="1"/>
  <c r="W87" i="12"/>
  <c r="T87" i="12" s="1"/>
  <c r="X87" i="12" s="1"/>
  <c r="Y87" i="12" s="1"/>
  <c r="W89" i="12"/>
  <c r="T89" i="12" s="1"/>
  <c r="X89" i="12" s="1"/>
  <c r="Y89" i="12" s="1"/>
  <c r="U31" i="12"/>
  <c r="S31" i="12"/>
  <c r="R31" i="12"/>
  <c r="H31" i="12"/>
  <c r="C364" i="3"/>
  <c r="C350" i="3"/>
  <c r="F33" i="12"/>
  <c r="W31" i="12" l="1"/>
  <c r="T31" i="12" s="1"/>
  <c r="X31" i="12" s="1"/>
  <c r="Y31" i="12" s="1"/>
  <c r="P28" i="12"/>
  <c r="F28" i="12"/>
  <c r="F27" i="12"/>
  <c r="F24" i="12"/>
  <c r="P33" i="12"/>
  <c r="H33" i="12"/>
  <c r="W33" i="12" l="1"/>
  <c r="T33" i="12" s="1"/>
  <c r="X33" i="12" s="1"/>
  <c r="Y33" i="12" s="1"/>
  <c r="W19" i="12" l="1"/>
  <c r="X19" i="12"/>
  <c r="Y19" i="12"/>
  <c r="H19" i="12"/>
  <c r="W51" i="12"/>
  <c r="X51" i="12"/>
  <c r="Y51" i="12"/>
  <c r="H51" i="12"/>
  <c r="C333" i="3"/>
  <c r="C340" i="3"/>
  <c r="C339" i="3"/>
  <c r="C337" i="3"/>
  <c r="C336" i="3"/>
  <c r="G18" i="12"/>
  <c r="F18" i="12"/>
  <c r="F21" i="12" l="1"/>
  <c r="F20" i="12"/>
  <c r="H20" i="12" s="1"/>
  <c r="R83" i="11" l="1"/>
  <c r="R9" i="12"/>
  <c r="G16" i="12"/>
  <c r="C335" i="3" l="1"/>
  <c r="C334" i="3"/>
  <c r="W13" i="12"/>
  <c r="X13" i="12"/>
  <c r="Y13" i="12"/>
  <c r="F67" i="8"/>
  <c r="G12" i="12"/>
  <c r="G11" i="12"/>
  <c r="P24" i="12"/>
  <c r="P17" i="12" l="1"/>
  <c r="F17" i="12"/>
  <c r="F15" i="12"/>
  <c r="F14" i="12" l="1"/>
  <c r="H13" i="12"/>
  <c r="H14" i="12"/>
  <c r="C309" i="3"/>
  <c r="C344" i="4"/>
  <c r="C343" i="4"/>
  <c r="C342" i="4"/>
  <c r="C340" i="4"/>
  <c r="C339" i="4"/>
  <c r="C337" i="4"/>
  <c r="C333" i="4"/>
  <c r="C332" i="4"/>
  <c r="C327" i="4"/>
  <c r="C324" i="4"/>
  <c r="C323" i="4"/>
  <c r="C321" i="4"/>
  <c r="C320" i="4"/>
  <c r="C318" i="4"/>
  <c r="C317" i="4"/>
  <c r="C316" i="4"/>
  <c r="C314" i="4"/>
  <c r="C313" i="4"/>
  <c r="C312" i="4"/>
  <c r="C308" i="4"/>
  <c r="C307" i="4"/>
  <c r="C305" i="4"/>
  <c r="C303" i="4"/>
  <c r="C302" i="4"/>
  <c r="C301" i="4"/>
  <c r="C299" i="4"/>
  <c r="C298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2" i="4"/>
  <c r="C281" i="4"/>
  <c r="C278" i="4"/>
  <c r="C357" i="3"/>
  <c r="C356" i="3"/>
  <c r="C351" i="3"/>
  <c r="C347" i="3"/>
  <c r="C331" i="3"/>
  <c r="P15" i="12"/>
  <c r="P9" i="12" l="1"/>
  <c r="F9" i="12"/>
  <c r="H9" i="12" s="1"/>
  <c r="P8" i="12"/>
  <c r="F8" i="12"/>
  <c r="H8" i="12" s="1"/>
  <c r="W7" i="12"/>
  <c r="F7" i="12"/>
  <c r="T7" i="12" s="1"/>
  <c r="X7" i="12" s="1"/>
  <c r="Y7" i="12" s="1"/>
  <c r="U5" i="12"/>
  <c r="S5" i="12"/>
  <c r="R5" i="12"/>
  <c r="H5" i="12"/>
  <c r="W4" i="12"/>
  <c r="F4" i="12"/>
  <c r="T4" i="12" s="1"/>
  <c r="X4" i="12" s="1"/>
  <c r="Y4" i="12" s="1"/>
  <c r="P3" i="12"/>
  <c r="F3" i="12"/>
  <c r="H3" i="12" s="1"/>
  <c r="H6" i="12"/>
  <c r="W6" i="12"/>
  <c r="X6" i="12"/>
  <c r="Y6" i="12"/>
  <c r="C349" i="3"/>
  <c r="C355" i="3"/>
  <c r="C343" i="3"/>
  <c r="C342" i="3"/>
  <c r="W91" i="11"/>
  <c r="X91" i="11"/>
  <c r="Y91" i="11"/>
  <c r="H91" i="11"/>
  <c r="H7" i="12" l="1"/>
  <c r="W8" i="12"/>
  <c r="T8" i="12" s="1"/>
  <c r="X8" i="12" s="1"/>
  <c r="Y8" i="12" s="1"/>
  <c r="W9" i="12"/>
  <c r="T9" i="12" s="1"/>
  <c r="X9" i="12" s="1"/>
  <c r="Y9" i="12" s="1"/>
  <c r="W3" i="12"/>
  <c r="T3" i="12" s="1"/>
  <c r="X3" i="12" s="1"/>
  <c r="Y3" i="12" s="1"/>
  <c r="H4" i="12"/>
  <c r="W5" i="12"/>
  <c r="T5" i="12" s="1"/>
  <c r="X5" i="12" s="1"/>
  <c r="Y5" i="12" s="1"/>
  <c r="T72" i="12" l="1"/>
  <c r="X72" i="12" s="1"/>
  <c r="Y72" i="12" s="1"/>
  <c r="H72" i="12"/>
  <c r="W70" i="12"/>
  <c r="T70" i="12"/>
  <c r="X70" i="12" s="1"/>
  <c r="Y70" i="12" s="1"/>
  <c r="H70" i="12"/>
  <c r="W69" i="12"/>
  <c r="T69" i="12"/>
  <c r="X69" i="12" s="1"/>
  <c r="Y69" i="12" s="1"/>
  <c r="H69" i="12"/>
  <c r="U67" i="12"/>
  <c r="S67" i="12"/>
  <c r="R67" i="12"/>
  <c r="H67" i="12"/>
  <c r="W66" i="12"/>
  <c r="T66" i="12"/>
  <c r="X66" i="12" s="1"/>
  <c r="Y66" i="12" s="1"/>
  <c r="H66" i="12"/>
  <c r="U65" i="12"/>
  <c r="S65" i="12"/>
  <c r="R65" i="12"/>
  <c r="H65" i="12"/>
  <c r="U64" i="12"/>
  <c r="S64" i="12"/>
  <c r="R64" i="12"/>
  <c r="H64" i="12"/>
  <c r="W63" i="12"/>
  <c r="T63" i="12"/>
  <c r="X63" i="12" s="1"/>
  <c r="Y63" i="12" s="1"/>
  <c r="H63" i="12"/>
  <c r="W62" i="12"/>
  <c r="T62" i="12"/>
  <c r="X62" i="12" s="1"/>
  <c r="Y62" i="12" s="1"/>
  <c r="H62" i="12"/>
  <c r="U61" i="12"/>
  <c r="S61" i="12"/>
  <c r="R61" i="12"/>
  <c r="X61" i="12" s="1"/>
  <c r="Y61" i="12" s="1"/>
  <c r="H61" i="12"/>
  <c r="W60" i="12"/>
  <c r="T60" i="12"/>
  <c r="X60" i="12" s="1"/>
  <c r="Y60" i="12" s="1"/>
  <c r="H60" i="12"/>
  <c r="U58" i="12"/>
  <c r="S58" i="12"/>
  <c r="R58" i="12"/>
  <c r="H58" i="12"/>
  <c r="W57" i="12"/>
  <c r="T57" i="12"/>
  <c r="X57" i="12" s="1"/>
  <c r="Y57" i="12" s="1"/>
  <c r="H57" i="12"/>
  <c r="W56" i="12"/>
  <c r="T56" i="12"/>
  <c r="X56" i="12" s="1"/>
  <c r="Y56" i="12" s="1"/>
  <c r="H56" i="12"/>
  <c r="U54" i="12"/>
  <c r="S54" i="12"/>
  <c r="R54" i="12"/>
  <c r="H54" i="12"/>
  <c r="U53" i="12"/>
  <c r="S53" i="12"/>
  <c r="R53" i="12"/>
  <c r="H53" i="12"/>
  <c r="W50" i="12"/>
  <c r="T50" i="12"/>
  <c r="X50" i="12" s="1"/>
  <c r="Y50" i="12" s="1"/>
  <c r="H50" i="12"/>
  <c r="W55" i="12"/>
  <c r="T55" i="12"/>
  <c r="X55" i="12" s="1"/>
  <c r="Y55" i="12" s="1"/>
  <c r="H55" i="12"/>
  <c r="W49" i="12"/>
  <c r="T49" i="12"/>
  <c r="X49" i="12" s="1"/>
  <c r="Y49" i="12" s="1"/>
  <c r="H49" i="12"/>
  <c r="U45" i="12"/>
  <c r="S45" i="12"/>
  <c r="R45" i="12"/>
  <c r="H45" i="12"/>
  <c r="W44" i="12"/>
  <c r="T44" i="12"/>
  <c r="X44" i="12" s="1"/>
  <c r="Y44" i="12" s="1"/>
  <c r="H44" i="12"/>
  <c r="U42" i="12"/>
  <c r="S42" i="12"/>
  <c r="R42" i="12"/>
  <c r="H42" i="12"/>
  <c r="U41" i="12"/>
  <c r="S41" i="12"/>
  <c r="R41" i="12"/>
  <c r="H41" i="12"/>
  <c r="W40" i="12"/>
  <c r="T40" i="12"/>
  <c r="X40" i="12" s="1"/>
  <c r="Y40" i="12" s="1"/>
  <c r="H40" i="12"/>
  <c r="H39" i="12"/>
  <c r="U38" i="12"/>
  <c r="S38" i="12"/>
  <c r="R38" i="12"/>
  <c r="X38" i="12" s="1"/>
  <c r="Y38" i="12" s="1"/>
  <c r="H38" i="12"/>
  <c r="H37" i="12"/>
  <c r="U35" i="12"/>
  <c r="S35" i="12"/>
  <c r="R35" i="12"/>
  <c r="H35" i="12"/>
  <c r="H34" i="12"/>
  <c r="U32" i="12"/>
  <c r="S32" i="12"/>
  <c r="R32" i="12"/>
  <c r="H32" i="12"/>
  <c r="U30" i="12"/>
  <c r="S30" i="12"/>
  <c r="R30" i="12"/>
  <c r="H30" i="12"/>
  <c r="P20" i="12"/>
  <c r="W28" i="12"/>
  <c r="T28" i="12"/>
  <c r="X28" i="12" s="1"/>
  <c r="Y28" i="12" s="1"/>
  <c r="H28" i="12"/>
  <c r="P14" i="12"/>
  <c r="W17" i="12"/>
  <c r="T17" i="12"/>
  <c r="X17" i="12" s="1"/>
  <c r="Y17" i="12" s="1"/>
  <c r="H17" i="12"/>
  <c r="W14" i="12"/>
  <c r="T14" i="12"/>
  <c r="X14" i="12" s="1"/>
  <c r="Y14" i="12" s="1"/>
  <c r="W53" i="12" l="1"/>
  <c r="T53" i="12" s="1"/>
  <c r="X53" i="12" s="1"/>
  <c r="Y53" i="12" s="1"/>
  <c r="W54" i="12"/>
  <c r="T54" i="12" s="1"/>
  <c r="X54" i="12" s="1"/>
  <c r="Y54" i="12" s="1"/>
  <c r="W58" i="12"/>
  <c r="T58" i="12" s="1"/>
  <c r="X58" i="12" s="1"/>
  <c r="Y58" i="12" s="1"/>
  <c r="W61" i="12"/>
  <c r="W64" i="12"/>
  <c r="T64" i="12" s="1"/>
  <c r="X64" i="12" s="1"/>
  <c r="Y64" i="12" s="1"/>
  <c r="W65" i="12"/>
  <c r="T65" i="12" s="1"/>
  <c r="X65" i="12" s="1"/>
  <c r="Y65" i="12" s="1"/>
  <c r="W67" i="12"/>
  <c r="T67" i="12" s="1"/>
  <c r="X67" i="12" s="1"/>
  <c r="Y67" i="12" s="1"/>
  <c r="W30" i="12"/>
  <c r="T30" i="12" s="1"/>
  <c r="X30" i="12" s="1"/>
  <c r="Y30" i="12" s="1"/>
  <c r="W32" i="12"/>
  <c r="T32" i="12" s="1"/>
  <c r="X32" i="12" s="1"/>
  <c r="Y32" i="12" s="1"/>
  <c r="W34" i="12"/>
  <c r="T34" i="12" s="1"/>
  <c r="X34" i="12" s="1"/>
  <c r="Y34" i="12" s="1"/>
  <c r="W35" i="12"/>
  <c r="T35" i="12" s="1"/>
  <c r="X35" i="12" s="1"/>
  <c r="Y35" i="12" s="1"/>
  <c r="W37" i="12"/>
  <c r="T37" i="12" s="1"/>
  <c r="X37" i="12" s="1"/>
  <c r="Y37" i="12" s="1"/>
  <c r="W38" i="12"/>
  <c r="W39" i="12"/>
  <c r="T39" i="12" s="1"/>
  <c r="X39" i="12" s="1"/>
  <c r="Y39" i="12" s="1"/>
  <c r="W41" i="12"/>
  <c r="T41" i="12" s="1"/>
  <c r="X41" i="12" s="1"/>
  <c r="Y41" i="12" s="1"/>
  <c r="W42" i="12"/>
  <c r="T42" i="12" s="1"/>
  <c r="X42" i="12" s="1"/>
  <c r="Y42" i="12" s="1"/>
  <c r="W45" i="12"/>
  <c r="T45" i="12" s="1"/>
  <c r="X45" i="12" s="1"/>
  <c r="Y45" i="12" s="1"/>
  <c r="E23" i="11" l="1"/>
  <c r="G86" i="11" l="1"/>
  <c r="G87" i="11"/>
  <c r="G84" i="11"/>
  <c r="G94" i="11"/>
  <c r="D28" i="9"/>
  <c r="G90" i="11" l="1"/>
  <c r="C325" i="3" l="1"/>
  <c r="C324" i="3"/>
  <c r="F93" i="11"/>
  <c r="F92" i="11"/>
  <c r="G89" i="11"/>
  <c r="F89" i="11"/>
  <c r="E89" i="11"/>
  <c r="C316" i="3"/>
  <c r="C322" i="3"/>
  <c r="C321" i="3"/>
  <c r="F90" i="11"/>
  <c r="F82" i="11" l="1"/>
  <c r="E82" i="11"/>
  <c r="F81" i="11"/>
  <c r="E81" i="11"/>
  <c r="G82" i="11"/>
  <c r="G81" i="11"/>
  <c r="C312" i="3"/>
  <c r="C311" i="3"/>
  <c r="H51" i="7"/>
  <c r="H52" i="7"/>
  <c r="H53" i="7"/>
  <c r="H54" i="7"/>
  <c r="H55" i="7"/>
  <c r="H56" i="7"/>
  <c r="F87" i="11" l="1"/>
  <c r="F86" i="11"/>
  <c r="F85" i="11"/>
  <c r="F84" i="11"/>
  <c r="R87" i="11"/>
  <c r="R86" i="11"/>
  <c r="R85" i="11"/>
  <c r="R84" i="11"/>
  <c r="F88" i="11"/>
  <c r="C302" i="3"/>
  <c r="T36" i="2" l="1"/>
  <c r="T37" i="2"/>
  <c r="T38" i="2"/>
  <c r="T39" i="2"/>
  <c r="P88" i="11"/>
  <c r="P92" i="11"/>
  <c r="G73" i="11"/>
  <c r="G74" i="11"/>
  <c r="G78" i="11"/>
  <c r="C303" i="3" l="1"/>
  <c r="F78" i="11"/>
  <c r="C295" i="3"/>
  <c r="C328" i="3" l="1"/>
  <c r="C327" i="3"/>
  <c r="G76" i="11"/>
  <c r="F76" i="11"/>
  <c r="X79" i="11"/>
  <c r="Y79" i="11" s="1"/>
  <c r="W79" i="11"/>
  <c r="H79" i="11"/>
  <c r="P86" i="11"/>
  <c r="E76" i="11"/>
  <c r="E78" i="11"/>
  <c r="F83" i="11" l="1"/>
  <c r="R74" i="11" l="1"/>
  <c r="R73" i="11"/>
  <c r="F77" i="11"/>
  <c r="U70" i="11"/>
  <c r="U69" i="11"/>
  <c r="U68" i="11"/>
  <c r="G70" i="11"/>
  <c r="F75" i="11" l="1"/>
  <c r="F74" i="11"/>
  <c r="F73" i="11"/>
  <c r="F72" i="11"/>
  <c r="F71" i="11"/>
  <c r="C294" i="3"/>
  <c r="C291" i="3"/>
  <c r="C292" i="3"/>
  <c r="C293" i="3"/>
  <c r="C290" i="3"/>
  <c r="C286" i="3"/>
  <c r="G69" i="11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6" i="6"/>
  <c r="H457" i="6"/>
  <c r="H458" i="6"/>
  <c r="C320" i="3" l="1"/>
  <c r="C307" i="3"/>
  <c r="C306" i="3"/>
  <c r="C305" i="3"/>
  <c r="C270" i="3"/>
  <c r="G68" i="11"/>
  <c r="P77" i="11"/>
  <c r="G65" i="11"/>
  <c r="G46" i="11"/>
  <c r="G47" i="11"/>
  <c r="C285" i="3"/>
  <c r="G51" i="11"/>
  <c r="G52" i="11"/>
  <c r="G25" i="11"/>
  <c r="G26" i="11"/>
  <c r="X32" i="11"/>
  <c r="W32" i="11"/>
  <c r="F32" i="11"/>
  <c r="H32" i="11" s="1"/>
  <c r="G29" i="11"/>
  <c r="C297" i="3"/>
  <c r="C296" i="3"/>
  <c r="C288" i="3"/>
  <c r="C282" i="3"/>
  <c r="C281" i="3"/>
  <c r="C267" i="3"/>
  <c r="P75" i="11"/>
  <c r="P73" i="11"/>
  <c r="P72" i="11"/>
  <c r="P71" i="11"/>
  <c r="Y32" i="11" l="1"/>
  <c r="G60" i="11"/>
  <c r="Q60" i="11"/>
  <c r="F60" i="11"/>
  <c r="E60" i="11"/>
  <c r="G56" i="11"/>
  <c r="Q56" i="11"/>
  <c r="F56" i="11"/>
  <c r="E56" i="11"/>
  <c r="U78" i="11"/>
  <c r="S78" i="11"/>
  <c r="R78" i="11"/>
  <c r="U95" i="11"/>
  <c r="S95" i="11"/>
  <c r="R95" i="11"/>
  <c r="H95" i="11"/>
  <c r="U94" i="11"/>
  <c r="S94" i="11"/>
  <c r="R94" i="11"/>
  <c r="H94" i="11"/>
  <c r="W93" i="11"/>
  <c r="T93" i="11"/>
  <c r="X93" i="11" s="1"/>
  <c r="Y93" i="11" s="1"/>
  <c r="H93" i="11"/>
  <c r="W92" i="11"/>
  <c r="T92" i="11"/>
  <c r="X92" i="11" s="1"/>
  <c r="Y92" i="11" s="1"/>
  <c r="H92" i="11"/>
  <c r="U90" i="11"/>
  <c r="S90" i="11"/>
  <c r="R90" i="11"/>
  <c r="X90" i="11" s="1"/>
  <c r="Y90" i="11" s="1"/>
  <c r="H90" i="11"/>
  <c r="Q87" i="11"/>
  <c r="H87" i="11"/>
  <c r="Q86" i="11"/>
  <c r="H86" i="11"/>
  <c r="U89" i="11"/>
  <c r="S89" i="11"/>
  <c r="R89" i="11"/>
  <c r="H89" i="11"/>
  <c r="W88" i="11"/>
  <c r="T88" i="11"/>
  <c r="X88" i="11" s="1"/>
  <c r="Y88" i="11" s="1"/>
  <c r="H88" i="11"/>
  <c r="Q85" i="11"/>
  <c r="H85" i="11"/>
  <c r="Q84" i="11"/>
  <c r="H84" i="11"/>
  <c r="U82" i="11"/>
  <c r="S82" i="11"/>
  <c r="R82" i="11"/>
  <c r="H82" i="11"/>
  <c r="U81" i="11"/>
  <c r="S81" i="11"/>
  <c r="R81" i="11"/>
  <c r="H81" i="11"/>
  <c r="W83" i="11"/>
  <c r="T83" i="11"/>
  <c r="X83" i="11" s="1"/>
  <c r="Y83" i="11" s="1"/>
  <c r="H83" i="11"/>
  <c r="W75" i="11"/>
  <c r="T75" i="11"/>
  <c r="X75" i="11" s="1"/>
  <c r="Y75" i="11" s="1"/>
  <c r="H75" i="11"/>
  <c r="C318" i="3"/>
  <c r="C317" i="3"/>
  <c r="C299" i="3"/>
  <c r="C298" i="3"/>
  <c r="W81" i="11" l="1"/>
  <c r="T81" i="11" s="1"/>
  <c r="X81" i="11" s="1"/>
  <c r="Y81" i="11" s="1"/>
  <c r="W82" i="11"/>
  <c r="T82" i="11" s="1"/>
  <c r="X82" i="11" s="1"/>
  <c r="Y82" i="11" s="1"/>
  <c r="W84" i="11"/>
  <c r="T84" i="11" s="1"/>
  <c r="X84" i="11" s="1"/>
  <c r="Y84" i="11" s="1"/>
  <c r="W85" i="11"/>
  <c r="T85" i="11" s="1"/>
  <c r="X85" i="11" s="1"/>
  <c r="Y85" i="11" s="1"/>
  <c r="W89" i="11"/>
  <c r="T89" i="11" s="1"/>
  <c r="X89" i="11" s="1"/>
  <c r="Y89" i="11" s="1"/>
  <c r="W86" i="11"/>
  <c r="T86" i="11" s="1"/>
  <c r="X86" i="11" s="1"/>
  <c r="Y86" i="11" s="1"/>
  <c r="W87" i="11"/>
  <c r="T87" i="11" s="1"/>
  <c r="X87" i="11" s="1"/>
  <c r="Y87" i="11" s="1"/>
  <c r="W90" i="11"/>
  <c r="W94" i="11"/>
  <c r="T94" i="11" s="1"/>
  <c r="X94" i="11" s="1"/>
  <c r="Y94" i="11" s="1"/>
  <c r="W95" i="11"/>
  <c r="T95" i="11" s="1"/>
  <c r="X95" i="11" s="1"/>
  <c r="Y95" i="11" s="1"/>
  <c r="F66" i="11" l="1"/>
  <c r="F65" i="11"/>
  <c r="R66" i="11"/>
  <c r="Q66" i="11"/>
  <c r="H66" i="11"/>
  <c r="R65" i="11"/>
  <c r="Q65" i="11"/>
  <c r="H65" i="11"/>
  <c r="F64" i="11"/>
  <c r="F63" i="11"/>
  <c r="F62" i="11"/>
  <c r="F61" i="11"/>
  <c r="W65" i="11" l="1"/>
  <c r="T65" i="11" s="1"/>
  <c r="X65" i="11" s="1"/>
  <c r="Y65" i="11" s="1"/>
  <c r="W66" i="11"/>
  <c r="T66" i="11" s="1"/>
  <c r="X66" i="11" s="1"/>
  <c r="Y66" i="11" s="1"/>
  <c r="F59" i="11" l="1"/>
  <c r="F58" i="11"/>
  <c r="F57" i="11"/>
  <c r="G53" i="11"/>
  <c r="F53" i="11"/>
  <c r="F28" i="10" l="1"/>
  <c r="F27" i="10"/>
  <c r="I63" i="8" l="1"/>
  <c r="I64" i="8"/>
  <c r="I65" i="8"/>
  <c r="I66" i="8"/>
  <c r="F63" i="8"/>
  <c r="F64" i="8"/>
  <c r="F65" i="8"/>
  <c r="F66" i="8"/>
  <c r="W27" i="12"/>
  <c r="T27" i="12"/>
  <c r="X27" i="12" s="1"/>
  <c r="Y27" i="12" s="1"/>
  <c r="H27" i="12"/>
  <c r="U26" i="12"/>
  <c r="S26" i="12"/>
  <c r="R26" i="12"/>
  <c r="H26" i="12"/>
  <c r="U25" i="12"/>
  <c r="S25" i="12"/>
  <c r="R25" i="12"/>
  <c r="H25" i="12"/>
  <c r="W24" i="12"/>
  <c r="T24" i="12"/>
  <c r="X24" i="12" s="1"/>
  <c r="Y24" i="12" s="1"/>
  <c r="H24" i="12"/>
  <c r="U23" i="12"/>
  <c r="S23" i="12"/>
  <c r="R23" i="12"/>
  <c r="H23" i="12"/>
  <c r="U22" i="12"/>
  <c r="S22" i="12"/>
  <c r="R22" i="12"/>
  <c r="H22" i="12"/>
  <c r="W21" i="12"/>
  <c r="T21" i="12"/>
  <c r="X21" i="12" s="1"/>
  <c r="Y21" i="12" s="1"/>
  <c r="H21" i="12"/>
  <c r="W20" i="12"/>
  <c r="T20" i="12"/>
  <c r="X20" i="12" s="1"/>
  <c r="Y20" i="12" s="1"/>
  <c r="U18" i="12"/>
  <c r="S18" i="12"/>
  <c r="R18" i="12"/>
  <c r="X18" i="12" s="1"/>
  <c r="Y18" i="12" s="1"/>
  <c r="H18" i="12"/>
  <c r="U16" i="12"/>
  <c r="S16" i="12"/>
  <c r="R16" i="12"/>
  <c r="H16" i="12"/>
  <c r="W15" i="12"/>
  <c r="T15" i="12"/>
  <c r="X15" i="12" s="1"/>
  <c r="Y15" i="12" s="1"/>
  <c r="H15" i="12"/>
  <c r="U12" i="12"/>
  <c r="S12" i="12"/>
  <c r="R12" i="12"/>
  <c r="H12" i="12"/>
  <c r="U11" i="12"/>
  <c r="S11" i="12"/>
  <c r="R11" i="12"/>
  <c r="H11" i="12"/>
  <c r="F55" i="11"/>
  <c r="F54" i="11"/>
  <c r="C272" i="3"/>
  <c r="C271" i="3"/>
  <c r="G50" i="11"/>
  <c r="F50" i="11"/>
  <c r="E50" i="11"/>
  <c r="W11" i="12" l="1"/>
  <c r="T11" i="12" s="1"/>
  <c r="X11" i="12" s="1"/>
  <c r="Y11" i="12" s="1"/>
  <c r="W12" i="12"/>
  <c r="T12" i="12" s="1"/>
  <c r="X12" i="12" s="1"/>
  <c r="Y12" i="12" s="1"/>
  <c r="W16" i="12"/>
  <c r="T16" i="12" s="1"/>
  <c r="X16" i="12" s="1"/>
  <c r="Y16" i="12" s="1"/>
  <c r="W18" i="12"/>
  <c r="W22" i="12"/>
  <c r="T22" i="12" s="1"/>
  <c r="X22" i="12" s="1"/>
  <c r="Y22" i="12" s="1"/>
  <c r="W23" i="12"/>
  <c r="T23" i="12" s="1"/>
  <c r="X23" i="12" s="1"/>
  <c r="Y23" i="12" s="1"/>
  <c r="W25" i="12"/>
  <c r="T25" i="12" s="1"/>
  <c r="X25" i="12" s="1"/>
  <c r="Y25" i="12" s="1"/>
  <c r="W26" i="12"/>
  <c r="T26" i="12" s="1"/>
  <c r="X26" i="12" s="1"/>
  <c r="Y26" i="12" s="1"/>
  <c r="R52" i="11"/>
  <c r="R51" i="11"/>
  <c r="P63" i="11"/>
  <c r="G45" i="11"/>
  <c r="E45" i="11"/>
  <c r="P64" i="11"/>
  <c r="P61" i="11"/>
  <c r="C273" i="3"/>
  <c r="C274" i="3"/>
  <c r="P58" i="11"/>
  <c r="P57" i="11"/>
  <c r="F52" i="11"/>
  <c r="F51" i="11"/>
  <c r="F48" i="11" l="1"/>
  <c r="F49" i="11"/>
  <c r="R47" i="11"/>
  <c r="R46" i="11"/>
  <c r="F47" i="11"/>
  <c r="F46" i="11"/>
  <c r="G44" i="11"/>
  <c r="R30" i="11"/>
  <c r="R29" i="11"/>
  <c r="W59" i="11"/>
  <c r="T59" i="11"/>
  <c r="X59" i="11" s="1"/>
  <c r="Y59" i="11" s="1"/>
  <c r="H59" i="11"/>
  <c r="W49" i="11"/>
  <c r="T49" i="11"/>
  <c r="X49" i="11" s="1"/>
  <c r="Y49" i="11" s="1"/>
  <c r="H49" i="11"/>
  <c r="W62" i="11"/>
  <c r="T62" i="11"/>
  <c r="X62" i="11" s="1"/>
  <c r="Y62" i="11" s="1"/>
  <c r="H62" i="11"/>
  <c r="P55" i="11"/>
  <c r="P54" i="11"/>
  <c r="P51" i="11"/>
  <c r="P48" i="11"/>
  <c r="C289" i="3" l="1"/>
  <c r="C278" i="3"/>
  <c r="C277" i="3"/>
  <c r="C264" i="3"/>
  <c r="C276" i="3"/>
  <c r="C269" i="3"/>
  <c r="C268" i="3"/>
  <c r="F39" i="11"/>
  <c r="Q74" i="11"/>
  <c r="Q73" i="11"/>
  <c r="F42" i="11" l="1"/>
  <c r="F41" i="11"/>
  <c r="F40" i="11"/>
  <c r="P46" i="11" l="1"/>
  <c r="G28" i="11"/>
  <c r="G31" i="11"/>
  <c r="F31" i="11"/>
  <c r="C249" i="3"/>
  <c r="H31" i="11" l="1"/>
  <c r="C258" i="3"/>
  <c r="C259" i="3"/>
  <c r="F37" i="11"/>
  <c r="F34" i="11"/>
  <c r="F33" i="11"/>
  <c r="C256" i="3"/>
  <c r="C257" i="3"/>
  <c r="C255" i="3"/>
  <c r="C254" i="3"/>
  <c r="C248" i="3"/>
  <c r="H427" i="6"/>
  <c r="H428" i="6"/>
  <c r="H429" i="6"/>
  <c r="H430" i="6"/>
  <c r="H431" i="6"/>
  <c r="H432" i="6"/>
  <c r="H433" i="6"/>
  <c r="H434" i="6"/>
  <c r="H435" i="6"/>
  <c r="H436" i="6"/>
  <c r="P41" i="11" l="1"/>
  <c r="H78" i="11"/>
  <c r="W77" i="11"/>
  <c r="T77" i="11"/>
  <c r="X77" i="11" s="1"/>
  <c r="Y77" i="11" s="1"/>
  <c r="H77" i="11"/>
  <c r="W72" i="11"/>
  <c r="T72" i="11"/>
  <c r="X72" i="11" s="1"/>
  <c r="Y72" i="11" s="1"/>
  <c r="H72" i="11"/>
  <c r="W71" i="11"/>
  <c r="T71" i="11"/>
  <c r="X71" i="11" s="1"/>
  <c r="Y71" i="11" s="1"/>
  <c r="H71" i="11"/>
  <c r="U76" i="11"/>
  <c r="S76" i="11"/>
  <c r="R76" i="11"/>
  <c r="X76" i="11" s="1"/>
  <c r="Y76" i="11" s="1"/>
  <c r="H76" i="11"/>
  <c r="H74" i="11"/>
  <c r="H73" i="11"/>
  <c r="H70" i="11"/>
  <c r="H69" i="11"/>
  <c r="H68" i="11"/>
  <c r="R26" i="11"/>
  <c r="R25" i="11"/>
  <c r="F30" i="11"/>
  <c r="F29" i="11"/>
  <c r="G24" i="11"/>
  <c r="H24" i="11" s="1"/>
  <c r="W68" i="11" l="1"/>
  <c r="X68" i="11" s="1"/>
  <c r="Y68" i="11" s="1"/>
  <c r="W69" i="11"/>
  <c r="X69" i="11" s="1"/>
  <c r="Y69" i="11" s="1"/>
  <c r="W70" i="11"/>
  <c r="X70" i="11" s="1"/>
  <c r="Y70" i="11" s="1"/>
  <c r="W73" i="11"/>
  <c r="T73" i="11" s="1"/>
  <c r="X73" i="11" s="1"/>
  <c r="Y73" i="11" s="1"/>
  <c r="W74" i="11"/>
  <c r="T74" i="11" s="1"/>
  <c r="X74" i="11" s="1"/>
  <c r="Y74" i="11" s="1"/>
  <c r="W76" i="11"/>
  <c r="W78" i="11"/>
  <c r="X78" i="11" s="1"/>
  <c r="Y78" i="11" s="1"/>
  <c r="G23" i="11" l="1"/>
  <c r="F23" i="11"/>
  <c r="P42" i="11"/>
  <c r="P40" i="11"/>
  <c r="P37" i="11"/>
  <c r="G4" i="11"/>
  <c r="G5" i="11"/>
  <c r="G8" i="11"/>
  <c r="G9" i="11"/>
  <c r="F26" i="11"/>
  <c r="F25" i="11"/>
  <c r="C226" i="3" l="1"/>
  <c r="P33" i="11"/>
  <c r="P27" i="11"/>
  <c r="P25" i="11"/>
  <c r="F27" i="11"/>
  <c r="C242" i="3" l="1"/>
  <c r="C241" i="3"/>
  <c r="F20" i="10" l="1"/>
  <c r="F21" i="10"/>
  <c r="F22" i="10"/>
  <c r="F23" i="10"/>
  <c r="F24" i="10"/>
  <c r="F25" i="10"/>
  <c r="F26" i="10"/>
  <c r="W64" i="11"/>
  <c r="T64" i="11"/>
  <c r="X64" i="11" s="1"/>
  <c r="Y64" i="11" s="1"/>
  <c r="H64" i="11"/>
  <c r="W63" i="11"/>
  <c r="T63" i="11"/>
  <c r="X63" i="11" s="1"/>
  <c r="Y63" i="11" s="1"/>
  <c r="H63" i="11"/>
  <c r="W61" i="11"/>
  <c r="T61" i="11"/>
  <c r="X61" i="11" s="1"/>
  <c r="Y61" i="11" s="1"/>
  <c r="H61" i="11"/>
  <c r="U60" i="11"/>
  <c r="S60" i="11"/>
  <c r="R60" i="11"/>
  <c r="H60" i="11"/>
  <c r="W58" i="11"/>
  <c r="T58" i="11"/>
  <c r="X58" i="11" s="1"/>
  <c r="Y58" i="11" s="1"/>
  <c r="H58" i="11"/>
  <c r="W57" i="11"/>
  <c r="T57" i="11"/>
  <c r="X57" i="11" s="1"/>
  <c r="Y57" i="11" s="1"/>
  <c r="H57" i="11"/>
  <c r="U56" i="11"/>
  <c r="S56" i="11"/>
  <c r="R56" i="11"/>
  <c r="H56" i="11"/>
  <c r="W55" i="11"/>
  <c r="T55" i="11"/>
  <c r="X55" i="11" s="1"/>
  <c r="Y55" i="11" s="1"/>
  <c r="H55" i="11"/>
  <c r="W54" i="11"/>
  <c r="T54" i="11"/>
  <c r="X54" i="11" s="1"/>
  <c r="Y54" i="11" s="1"/>
  <c r="H54" i="11"/>
  <c r="U53" i="11"/>
  <c r="S53" i="11"/>
  <c r="R53" i="11"/>
  <c r="X53" i="11" s="1"/>
  <c r="Y53" i="11" s="1"/>
  <c r="H53" i="11"/>
  <c r="Q52" i="11"/>
  <c r="H52" i="11"/>
  <c r="Q51" i="11"/>
  <c r="H51" i="11"/>
  <c r="U50" i="11"/>
  <c r="S50" i="11"/>
  <c r="R50" i="11"/>
  <c r="H50" i="11"/>
  <c r="W48" i="11"/>
  <c r="T48" i="11"/>
  <c r="X48" i="11" s="1"/>
  <c r="Y48" i="11" s="1"/>
  <c r="H48" i="11"/>
  <c r="Q47" i="11"/>
  <c r="H47" i="11"/>
  <c r="Q46" i="11"/>
  <c r="H46" i="11"/>
  <c r="U45" i="11"/>
  <c r="S45" i="11"/>
  <c r="R45" i="11"/>
  <c r="H45" i="11"/>
  <c r="U44" i="11"/>
  <c r="S44" i="11"/>
  <c r="R44" i="11"/>
  <c r="H44" i="11"/>
  <c r="W44" i="11" l="1"/>
  <c r="T44" i="11" s="1"/>
  <c r="X44" i="11" s="1"/>
  <c r="Y44" i="11" s="1"/>
  <c r="W45" i="11"/>
  <c r="T45" i="11" s="1"/>
  <c r="X45" i="11" s="1"/>
  <c r="Y45" i="11" s="1"/>
  <c r="W46" i="11"/>
  <c r="X46" i="11" s="1"/>
  <c r="Y46" i="11" s="1"/>
  <c r="W47" i="11"/>
  <c r="T47" i="11" s="1"/>
  <c r="X47" i="11" s="1"/>
  <c r="Y47" i="11" s="1"/>
  <c r="W50" i="11"/>
  <c r="T50" i="11" s="1"/>
  <c r="X50" i="11" s="1"/>
  <c r="Y50" i="11" s="1"/>
  <c r="W51" i="11"/>
  <c r="T51" i="11" s="1"/>
  <c r="X51" i="11" s="1"/>
  <c r="Y51" i="11" s="1"/>
  <c r="W52" i="11"/>
  <c r="T52" i="11" s="1"/>
  <c r="X52" i="11" s="1"/>
  <c r="Y52" i="11" s="1"/>
  <c r="W53" i="11"/>
  <c r="W56" i="11"/>
  <c r="T56" i="11" s="1"/>
  <c r="X56" i="11" s="1"/>
  <c r="Y56" i="11" s="1"/>
  <c r="W60" i="11"/>
  <c r="T60" i="11" s="1"/>
  <c r="X60" i="11" s="1"/>
  <c r="Y60" i="11" s="1"/>
  <c r="C261" i="3" l="1"/>
  <c r="F20" i="11"/>
  <c r="F19" i="11"/>
  <c r="C207" i="3"/>
  <c r="C149" i="3"/>
  <c r="C234" i="3"/>
  <c r="C235" i="3"/>
  <c r="C236" i="3"/>
  <c r="C233" i="3"/>
  <c r="C230" i="3"/>
  <c r="C258" i="4"/>
  <c r="C256" i="4"/>
  <c r="C255" i="4"/>
  <c r="C254" i="4"/>
  <c r="C252" i="4"/>
  <c r="C251" i="4"/>
  <c r="C250" i="4"/>
  <c r="C249" i="4"/>
  <c r="C245" i="4"/>
  <c r="C244" i="4"/>
  <c r="C242" i="4"/>
  <c r="C240" i="4"/>
  <c r="C238" i="4"/>
  <c r="C235" i="4"/>
  <c r="C233" i="4"/>
  <c r="C232" i="4"/>
  <c r="C231" i="4"/>
  <c r="C228" i="4"/>
  <c r="C227" i="4"/>
  <c r="C226" i="4"/>
  <c r="C225" i="4"/>
  <c r="C224" i="4"/>
  <c r="C223" i="4"/>
  <c r="C222" i="4"/>
  <c r="C220" i="4"/>
  <c r="C219" i="4"/>
  <c r="C217" i="4"/>
  <c r="C216" i="4"/>
  <c r="C214" i="4"/>
  <c r="C213" i="4"/>
  <c r="C212" i="4"/>
  <c r="C211" i="4"/>
  <c r="C208" i="4"/>
  <c r="C207" i="4"/>
  <c r="C206" i="4"/>
  <c r="C205" i="4"/>
  <c r="C204" i="4"/>
  <c r="C203" i="4"/>
  <c r="C202" i="4"/>
  <c r="C201" i="4"/>
  <c r="C199" i="4"/>
  <c r="C198" i="4"/>
  <c r="C195" i="4"/>
  <c r="C192" i="4"/>
  <c r="C191" i="4"/>
  <c r="C190" i="4"/>
  <c r="C186" i="4"/>
  <c r="C185" i="4"/>
  <c r="C184" i="4"/>
  <c r="C183" i="4"/>
  <c r="C182" i="4"/>
  <c r="C181" i="4"/>
  <c r="C180" i="4"/>
  <c r="C178" i="4"/>
  <c r="C177" i="4"/>
  <c r="C176" i="4"/>
  <c r="C174" i="4"/>
  <c r="C173" i="4"/>
  <c r="C172" i="4"/>
  <c r="C171" i="4"/>
  <c r="C167" i="4"/>
  <c r="C166" i="4"/>
  <c r="C163" i="4"/>
  <c r="C162" i="4"/>
  <c r="C161" i="4"/>
  <c r="C253" i="3"/>
  <c r="C252" i="3"/>
  <c r="C251" i="3"/>
  <c r="C260" i="3"/>
  <c r="C246" i="3"/>
  <c r="C245" i="3"/>
  <c r="C244" i="3"/>
  <c r="F16" i="11" l="1"/>
  <c r="F15" i="11"/>
  <c r="F12" i="11"/>
  <c r="G10" i="11" l="1"/>
  <c r="F10" i="11"/>
  <c r="R82" i="2" l="1"/>
  <c r="G7" i="11"/>
  <c r="R9" i="11" l="1"/>
  <c r="R8" i="11"/>
  <c r="F11" i="11"/>
  <c r="P20" i="11"/>
  <c r="F45" i="2"/>
  <c r="G88" i="2" l="1"/>
  <c r="H421" i="6"/>
  <c r="H422" i="6"/>
  <c r="H423" i="6"/>
  <c r="H424" i="6"/>
  <c r="H425" i="6"/>
  <c r="H426" i="6"/>
  <c r="P6" i="11" l="1"/>
  <c r="F6" i="11"/>
  <c r="H6" i="11" s="1"/>
  <c r="R5" i="11"/>
  <c r="Q5" i="11"/>
  <c r="F5" i="11"/>
  <c r="H5" i="11" s="1"/>
  <c r="R4" i="11"/>
  <c r="Q4" i="11"/>
  <c r="P4" i="11"/>
  <c r="F4" i="11"/>
  <c r="H4" i="11" s="1"/>
  <c r="P21" i="11"/>
  <c r="P15" i="11"/>
  <c r="E9" i="10"/>
  <c r="F70" i="2"/>
  <c r="F9" i="11"/>
  <c r="F8" i="11"/>
  <c r="W4" i="11" l="1"/>
  <c r="T4" i="11" s="1"/>
  <c r="X4" i="11" s="1"/>
  <c r="Y4" i="11" s="1"/>
  <c r="W5" i="11"/>
  <c r="T5" i="11" s="1"/>
  <c r="X5" i="11" s="1"/>
  <c r="Y5" i="11" s="1"/>
  <c r="W6" i="11"/>
  <c r="T6" i="11" s="1"/>
  <c r="X6" i="11" s="1"/>
  <c r="Y6" i="11" s="1"/>
  <c r="G87" i="2" l="1"/>
  <c r="C219" i="3"/>
  <c r="G81" i="2" l="1"/>
  <c r="G82" i="2"/>
  <c r="F81" i="2"/>
  <c r="E81" i="2"/>
  <c r="F84" i="2" l="1"/>
  <c r="P11" i="11"/>
  <c r="F80" i="2" l="1"/>
  <c r="F79" i="2"/>
  <c r="C214" i="3"/>
  <c r="C213" i="3"/>
  <c r="C215" i="3"/>
  <c r="G74" i="2"/>
  <c r="F74" i="2"/>
  <c r="F76" i="2"/>
  <c r="F75" i="2" l="1"/>
  <c r="C212" i="3"/>
  <c r="C211" i="3"/>
  <c r="I58" i="8"/>
  <c r="I59" i="8"/>
  <c r="I60" i="8"/>
  <c r="I61" i="8"/>
  <c r="I62" i="8"/>
  <c r="F59" i="8"/>
  <c r="F60" i="8"/>
  <c r="F61" i="8"/>
  <c r="F62" i="8"/>
  <c r="G71" i="2"/>
  <c r="C204" i="3"/>
  <c r="C205" i="3"/>
  <c r="C247" i="3" l="1"/>
  <c r="C238" i="3"/>
  <c r="C237" i="3"/>
  <c r="F85" i="2"/>
  <c r="G72" i="2"/>
  <c r="G73" i="2"/>
  <c r="G68" i="2"/>
  <c r="G69" i="2"/>
  <c r="H40" i="7"/>
  <c r="H41" i="7"/>
  <c r="H42" i="7"/>
  <c r="H43" i="7"/>
  <c r="H44" i="7"/>
  <c r="H45" i="7"/>
  <c r="H46" i="7"/>
  <c r="H47" i="7"/>
  <c r="H48" i="7"/>
  <c r="H49" i="7"/>
  <c r="H50" i="7"/>
  <c r="R39" i="11"/>
  <c r="R38" i="11"/>
  <c r="R36" i="11"/>
  <c r="R35" i="11"/>
  <c r="R31" i="11"/>
  <c r="R28" i="11"/>
  <c r="P84" i="2"/>
  <c r="F83" i="2"/>
  <c r="P83" i="2"/>
  <c r="F66" i="2"/>
  <c r="F67" i="2"/>
  <c r="G67" i="2"/>
  <c r="E67" i="2"/>
  <c r="P85" i="2" l="1"/>
  <c r="P79" i="2"/>
  <c r="T18" i="10" l="1"/>
  <c r="T19" i="10"/>
  <c r="M23" i="10"/>
  <c r="M24" i="10"/>
  <c r="M25" i="10"/>
  <c r="M26" i="10"/>
  <c r="M27" i="10"/>
  <c r="M28" i="10"/>
  <c r="M29" i="10"/>
  <c r="M30" i="10"/>
  <c r="M33" i="10" s="1"/>
  <c r="R73" i="2"/>
  <c r="R72" i="2"/>
  <c r="R69" i="2"/>
  <c r="R68" i="2"/>
  <c r="F73" i="2"/>
  <c r="F72" i="2"/>
  <c r="F69" i="2"/>
  <c r="F68" i="2"/>
  <c r="C199" i="3"/>
  <c r="E66" i="2"/>
  <c r="G66" i="2"/>
  <c r="C227" i="3" l="1"/>
  <c r="C216" i="3"/>
  <c r="C232" i="3"/>
  <c r="C229" i="3"/>
  <c r="C223" i="3"/>
  <c r="C221" i="3"/>
  <c r="C220" i="3"/>
  <c r="G51" i="2" l="1"/>
  <c r="P75" i="2" l="1"/>
  <c r="P72" i="2"/>
  <c r="F17" i="10" l="1"/>
  <c r="F18" i="10"/>
  <c r="F19" i="10"/>
  <c r="T17" i="10"/>
  <c r="T16" i="10"/>
  <c r="T21" i="10" s="1"/>
  <c r="T7" i="10" s="1"/>
  <c r="T15" i="10"/>
  <c r="T14" i="10"/>
  <c r="T13" i="10"/>
  <c r="M22" i="10"/>
  <c r="M21" i="10"/>
  <c r="M20" i="10"/>
  <c r="M19" i="10"/>
  <c r="M18" i="10"/>
  <c r="M17" i="10"/>
  <c r="M16" i="10"/>
  <c r="M15" i="10"/>
  <c r="M14" i="10"/>
  <c r="M13" i="10"/>
  <c r="M10" i="10" s="1"/>
  <c r="F14" i="10"/>
  <c r="F15" i="10"/>
  <c r="F16" i="10"/>
  <c r="F13" i="10"/>
  <c r="F30" i="10" l="1"/>
  <c r="F64" i="2"/>
  <c r="F63" i="2"/>
  <c r="C210" i="3"/>
  <c r="E40" i="2"/>
  <c r="C202" i="3"/>
  <c r="C201" i="3"/>
  <c r="C200" i="3"/>
  <c r="P70" i="2" l="1"/>
  <c r="P68" i="2"/>
  <c r="F62" i="2"/>
  <c r="G53" i="2" l="1"/>
  <c r="F50" i="2" l="1"/>
  <c r="G50" i="2"/>
  <c r="E50" i="2"/>
  <c r="E46" i="2"/>
  <c r="G46" i="2"/>
  <c r="F59" i="2"/>
  <c r="F58" i="2"/>
  <c r="F55" i="2"/>
  <c r="F54" i="2"/>
  <c r="C186" i="3"/>
  <c r="F53" i="2"/>
  <c r="C190" i="3" l="1"/>
  <c r="C191" i="3"/>
  <c r="C192" i="3"/>
  <c r="C193" i="3"/>
  <c r="F52" i="2" l="1"/>
  <c r="F51" i="2"/>
  <c r="P63" i="2"/>
  <c r="P64" i="2"/>
  <c r="H411" i="6"/>
  <c r="H412" i="6"/>
  <c r="H413" i="6"/>
  <c r="H414" i="6"/>
  <c r="H415" i="6"/>
  <c r="H416" i="6"/>
  <c r="H417" i="6"/>
  <c r="H418" i="6"/>
  <c r="H419" i="6"/>
  <c r="H420" i="6"/>
  <c r="C194" i="3"/>
  <c r="C187" i="3"/>
  <c r="R52" i="2"/>
  <c r="R51" i="2"/>
  <c r="P62" i="2" l="1"/>
  <c r="G38" i="2"/>
  <c r="G37" i="2"/>
  <c r="G27" i="2"/>
  <c r="G28" i="2"/>
  <c r="G23" i="2"/>
  <c r="G24" i="2"/>
  <c r="G45" i="2"/>
  <c r="C208" i="3"/>
  <c r="F49" i="2"/>
  <c r="C180" i="3"/>
  <c r="C172" i="3"/>
  <c r="C169" i="3"/>
  <c r="C170" i="3"/>
  <c r="C171" i="3"/>
  <c r="C168" i="3"/>
  <c r="P54" i="2" l="1"/>
  <c r="P51" i="2"/>
  <c r="Q40" i="2"/>
  <c r="G40" i="2"/>
  <c r="F40" i="2"/>
  <c r="F43" i="2" l="1"/>
  <c r="F42" i="2"/>
  <c r="G33" i="2"/>
  <c r="G32" i="2"/>
  <c r="F36" i="2" l="1"/>
  <c r="F39" i="2"/>
  <c r="F38" i="2"/>
  <c r="F37" i="2"/>
  <c r="R39" i="2"/>
  <c r="R38" i="2"/>
  <c r="R37" i="2"/>
  <c r="R36" i="2"/>
  <c r="Q39" i="2"/>
  <c r="Q38" i="2"/>
  <c r="Q37" i="2"/>
  <c r="Q36" i="2"/>
  <c r="F35" i="2"/>
  <c r="F34" i="2"/>
  <c r="F41" i="2"/>
  <c r="P49" i="2"/>
  <c r="S7" i="10"/>
  <c r="L10" i="10"/>
  <c r="G2" i="10" s="1"/>
  <c r="C162" i="3"/>
  <c r="W39" i="2"/>
  <c r="X39" i="2"/>
  <c r="Y39" i="2"/>
  <c r="W36" i="2"/>
  <c r="X36" i="2"/>
  <c r="Y36" i="2"/>
  <c r="W37" i="2"/>
  <c r="X37" i="2"/>
  <c r="Y37" i="2"/>
  <c r="W38" i="2"/>
  <c r="X38" i="2"/>
  <c r="Y38" i="2"/>
  <c r="H36" i="2"/>
  <c r="H37" i="2"/>
  <c r="H38" i="2"/>
  <c r="H39" i="2"/>
  <c r="S31" i="11"/>
  <c r="S10" i="11"/>
  <c r="S74" i="2"/>
  <c r="S53" i="2"/>
  <c r="S29" i="2"/>
  <c r="G29" i="2"/>
  <c r="F29" i="2"/>
  <c r="R28" i="2" l="1"/>
  <c r="R27" i="2"/>
  <c r="F31" i="2"/>
  <c r="F30" i="2"/>
  <c r="G26" i="2" l="1"/>
  <c r="C178" i="3"/>
  <c r="C179" i="3"/>
  <c r="C189" i="3"/>
  <c r="C161" i="3"/>
  <c r="W21" i="11"/>
  <c r="T21" i="11"/>
  <c r="X21" i="11" s="1"/>
  <c r="Y21" i="11" s="1"/>
  <c r="H21" i="11"/>
  <c r="W20" i="11"/>
  <c r="T20" i="11"/>
  <c r="X20" i="11" s="1"/>
  <c r="Y20" i="11" s="1"/>
  <c r="H20" i="11"/>
  <c r="W19" i="11"/>
  <c r="T19" i="11"/>
  <c r="X19" i="11" s="1"/>
  <c r="Y19" i="11" s="1"/>
  <c r="H19" i="11"/>
  <c r="U18" i="11"/>
  <c r="S18" i="11"/>
  <c r="R18" i="11"/>
  <c r="H18" i="11"/>
  <c r="U17" i="11"/>
  <c r="S17" i="11"/>
  <c r="R17" i="11"/>
  <c r="H17" i="11"/>
  <c r="W16" i="11"/>
  <c r="T16" i="11"/>
  <c r="X16" i="11" s="1"/>
  <c r="Y16" i="11" s="1"/>
  <c r="H16" i="11"/>
  <c r="W15" i="11"/>
  <c r="T15" i="11"/>
  <c r="X15" i="11" s="1"/>
  <c r="Y15" i="11" s="1"/>
  <c r="H15" i="11"/>
  <c r="U14" i="11"/>
  <c r="S14" i="11"/>
  <c r="R14" i="11"/>
  <c r="H14" i="11"/>
  <c r="U13" i="11"/>
  <c r="S13" i="11"/>
  <c r="R13" i="11"/>
  <c r="H13" i="11"/>
  <c r="W12" i="11"/>
  <c r="T12" i="11"/>
  <c r="X12" i="11" s="1"/>
  <c r="Y12" i="11" s="1"/>
  <c r="H12" i="11"/>
  <c r="W11" i="11"/>
  <c r="T11" i="11"/>
  <c r="X11" i="11" s="1"/>
  <c r="Y11" i="11" s="1"/>
  <c r="H11" i="11"/>
  <c r="U10" i="11"/>
  <c r="R10" i="11"/>
  <c r="X10" i="11" s="1"/>
  <c r="Y10" i="11" s="1"/>
  <c r="H10" i="11"/>
  <c r="Q9" i="11"/>
  <c r="H9" i="11"/>
  <c r="Q8" i="11"/>
  <c r="H8" i="11"/>
  <c r="U7" i="11"/>
  <c r="S7" i="11"/>
  <c r="R7" i="11"/>
  <c r="H7" i="11"/>
  <c r="U88" i="2"/>
  <c r="S88" i="2"/>
  <c r="R88" i="2"/>
  <c r="H88" i="2"/>
  <c r="U87" i="2"/>
  <c r="S87" i="2"/>
  <c r="R87" i="2"/>
  <c r="Q87" i="2"/>
  <c r="H87" i="2"/>
  <c r="W42" i="11"/>
  <c r="T42" i="11"/>
  <c r="X42" i="11" s="1"/>
  <c r="Y42" i="11" s="1"/>
  <c r="H42" i="11"/>
  <c r="W41" i="11"/>
  <c r="T41" i="11"/>
  <c r="X41" i="11" s="1"/>
  <c r="Y41" i="11" s="1"/>
  <c r="H41" i="11"/>
  <c r="W40" i="11"/>
  <c r="T40" i="11"/>
  <c r="X40" i="11" s="1"/>
  <c r="Y40" i="11" s="1"/>
  <c r="H40" i="11"/>
  <c r="U39" i="11"/>
  <c r="S39" i="11"/>
  <c r="H39" i="11"/>
  <c r="U38" i="11"/>
  <c r="S38" i="11"/>
  <c r="H38" i="11"/>
  <c r="W37" i="11"/>
  <c r="T37" i="11"/>
  <c r="X37" i="11" s="1"/>
  <c r="Y37" i="11" s="1"/>
  <c r="H37" i="11"/>
  <c r="U36" i="11"/>
  <c r="S36" i="11"/>
  <c r="H36" i="11"/>
  <c r="U35" i="11"/>
  <c r="S35" i="11"/>
  <c r="H35" i="11"/>
  <c r="W34" i="11"/>
  <c r="T34" i="11"/>
  <c r="X34" i="11" s="1"/>
  <c r="Y34" i="11" s="1"/>
  <c r="H34" i="11"/>
  <c r="W33" i="11"/>
  <c r="T33" i="11"/>
  <c r="X33" i="11" s="1"/>
  <c r="Y33" i="11" s="1"/>
  <c r="H33" i="11"/>
  <c r="U31" i="11"/>
  <c r="X31" i="11"/>
  <c r="Y31" i="11" s="1"/>
  <c r="Q30" i="11"/>
  <c r="H30" i="11"/>
  <c r="Q29" i="11"/>
  <c r="H29" i="11"/>
  <c r="U28" i="11"/>
  <c r="S28" i="11"/>
  <c r="H28" i="11"/>
  <c r="W27" i="11"/>
  <c r="T27" i="11"/>
  <c r="X27" i="11" s="1"/>
  <c r="Y27" i="11" s="1"/>
  <c r="H27" i="11"/>
  <c r="Q26" i="11"/>
  <c r="H26" i="11"/>
  <c r="Q25" i="11"/>
  <c r="H25" i="11"/>
  <c r="U24" i="11"/>
  <c r="S24" i="11"/>
  <c r="R24" i="11"/>
  <c r="U23" i="11"/>
  <c r="S23" i="11"/>
  <c r="R23" i="11"/>
  <c r="H23" i="11"/>
  <c r="W85" i="2"/>
  <c r="T85" i="2"/>
  <c r="X85" i="2" s="1"/>
  <c r="Y85" i="2" s="1"/>
  <c r="H85" i="2"/>
  <c r="W84" i="2"/>
  <c r="T84" i="2"/>
  <c r="X84" i="2" s="1"/>
  <c r="Y84" i="2" s="1"/>
  <c r="H84" i="2"/>
  <c r="W83" i="2"/>
  <c r="T83" i="2"/>
  <c r="X83" i="2" s="1"/>
  <c r="Y83" i="2" s="1"/>
  <c r="H83" i="2"/>
  <c r="U82" i="2"/>
  <c r="S82" i="2"/>
  <c r="H82" i="2"/>
  <c r="U81" i="2"/>
  <c r="S81" i="2"/>
  <c r="R81" i="2"/>
  <c r="H81" i="2"/>
  <c r="W80" i="2"/>
  <c r="T80" i="2"/>
  <c r="X80" i="2" s="1"/>
  <c r="Y80" i="2" s="1"/>
  <c r="H80" i="2"/>
  <c r="W79" i="2"/>
  <c r="T79" i="2"/>
  <c r="X79" i="2" s="1"/>
  <c r="Y79" i="2" s="1"/>
  <c r="H79" i="2"/>
  <c r="U78" i="2"/>
  <c r="S78" i="2"/>
  <c r="R78" i="2"/>
  <c r="H78" i="2"/>
  <c r="U77" i="2"/>
  <c r="S77" i="2"/>
  <c r="R77" i="2"/>
  <c r="H77" i="2"/>
  <c r="W76" i="2"/>
  <c r="T76" i="2"/>
  <c r="X76" i="2" s="1"/>
  <c r="Y76" i="2" s="1"/>
  <c r="H76" i="2"/>
  <c r="W75" i="2"/>
  <c r="T75" i="2"/>
  <c r="X75" i="2" s="1"/>
  <c r="Y75" i="2" s="1"/>
  <c r="H75" i="2"/>
  <c r="U74" i="2"/>
  <c r="R74" i="2"/>
  <c r="X74" i="2" s="1"/>
  <c r="Y74" i="2" s="1"/>
  <c r="H74" i="2"/>
  <c r="Q73" i="2"/>
  <c r="H73" i="2"/>
  <c r="Q72" i="2"/>
  <c r="H72" i="2"/>
  <c r="U71" i="2"/>
  <c r="S71" i="2"/>
  <c r="R71" i="2"/>
  <c r="H71" i="2"/>
  <c r="W70" i="2"/>
  <c r="T70" i="2"/>
  <c r="X70" i="2" s="1"/>
  <c r="Y70" i="2" s="1"/>
  <c r="H70" i="2"/>
  <c r="Q69" i="2"/>
  <c r="H69" i="2"/>
  <c r="Q68" i="2"/>
  <c r="H68" i="2"/>
  <c r="U67" i="2"/>
  <c r="S67" i="2"/>
  <c r="R67" i="2"/>
  <c r="H67" i="2"/>
  <c r="U66" i="2"/>
  <c r="S66" i="2"/>
  <c r="R66" i="2"/>
  <c r="Q66" i="2"/>
  <c r="H66" i="2"/>
  <c r="W8" i="11" l="1"/>
  <c r="T8" i="11" s="1"/>
  <c r="X8" i="11" s="1"/>
  <c r="Y8" i="11" s="1"/>
  <c r="W9" i="11"/>
  <c r="T9" i="11" s="1"/>
  <c r="X9" i="11" s="1"/>
  <c r="Y9" i="11" s="1"/>
  <c r="W10" i="11"/>
  <c r="W13" i="11"/>
  <c r="T13" i="11" s="1"/>
  <c r="X13" i="11" s="1"/>
  <c r="Y13" i="11" s="1"/>
  <c r="W14" i="11"/>
  <c r="T14" i="11" s="1"/>
  <c r="X14" i="11" s="1"/>
  <c r="Y14" i="11" s="1"/>
  <c r="W17" i="11"/>
  <c r="T17" i="11" s="1"/>
  <c r="X17" i="11" s="1"/>
  <c r="Y17" i="11" s="1"/>
  <c r="W18" i="11"/>
  <c r="T18" i="11" s="1"/>
  <c r="X18" i="11" s="1"/>
  <c r="Y18" i="11" s="1"/>
  <c r="W7" i="11"/>
  <c r="T7" i="11" s="1"/>
  <c r="X7" i="11" s="1"/>
  <c r="Y7" i="11" s="1"/>
  <c r="W87" i="2"/>
  <c r="T87" i="2" s="1"/>
  <c r="X87" i="2" s="1"/>
  <c r="Y87" i="2" s="1"/>
  <c r="W88" i="2"/>
  <c r="T88" i="2" s="1"/>
  <c r="X88" i="2" s="1"/>
  <c r="Y88" i="2" s="1"/>
  <c r="W23" i="11"/>
  <c r="T23" i="11" s="1"/>
  <c r="X23" i="11" s="1"/>
  <c r="Y23" i="11" s="1"/>
  <c r="W24" i="11"/>
  <c r="T24" i="11" s="1"/>
  <c r="X24" i="11" s="1"/>
  <c r="Y24" i="11" s="1"/>
  <c r="W25" i="11"/>
  <c r="T25" i="11" s="1"/>
  <c r="X25" i="11" s="1"/>
  <c r="Y25" i="11" s="1"/>
  <c r="W26" i="11"/>
  <c r="T26" i="11" s="1"/>
  <c r="X26" i="11" s="1"/>
  <c r="Y26" i="11" s="1"/>
  <c r="W28" i="11"/>
  <c r="T28" i="11" s="1"/>
  <c r="X28" i="11" s="1"/>
  <c r="Y28" i="11" s="1"/>
  <c r="W29" i="11"/>
  <c r="T29" i="11" s="1"/>
  <c r="X29" i="11" s="1"/>
  <c r="Y29" i="11" s="1"/>
  <c r="W30" i="11"/>
  <c r="T30" i="11" s="1"/>
  <c r="X30" i="11" s="1"/>
  <c r="Y30" i="11" s="1"/>
  <c r="W31" i="11"/>
  <c r="W35" i="11"/>
  <c r="T35" i="11" s="1"/>
  <c r="X35" i="11" s="1"/>
  <c r="Y35" i="11" s="1"/>
  <c r="W36" i="11"/>
  <c r="T36" i="11" s="1"/>
  <c r="X36" i="11" s="1"/>
  <c r="Y36" i="11" s="1"/>
  <c r="W38" i="11"/>
  <c r="T38" i="11" s="1"/>
  <c r="X38" i="11" s="1"/>
  <c r="Y38" i="11" s="1"/>
  <c r="W39" i="11"/>
  <c r="T39" i="11" s="1"/>
  <c r="X39" i="11" s="1"/>
  <c r="Y39" i="11" s="1"/>
  <c r="W66" i="2"/>
  <c r="T66" i="2" s="1"/>
  <c r="X66" i="2" s="1"/>
  <c r="Y66" i="2" s="1"/>
  <c r="W67" i="2"/>
  <c r="T67" i="2" s="1"/>
  <c r="X67" i="2" s="1"/>
  <c r="Y67" i="2" s="1"/>
  <c r="W68" i="2"/>
  <c r="T68" i="2" s="1"/>
  <c r="X68" i="2" s="1"/>
  <c r="Y68" i="2" s="1"/>
  <c r="W69" i="2"/>
  <c r="T69" i="2" s="1"/>
  <c r="X69" i="2" s="1"/>
  <c r="Y69" i="2" s="1"/>
  <c r="W71" i="2"/>
  <c r="T71" i="2" s="1"/>
  <c r="X71" i="2" s="1"/>
  <c r="Y71" i="2" s="1"/>
  <c r="W72" i="2"/>
  <c r="T72" i="2" s="1"/>
  <c r="X72" i="2" s="1"/>
  <c r="Y72" i="2" s="1"/>
  <c r="W73" i="2"/>
  <c r="T73" i="2" s="1"/>
  <c r="X73" i="2" s="1"/>
  <c r="Y73" i="2" s="1"/>
  <c r="W74" i="2"/>
  <c r="W77" i="2"/>
  <c r="T77" i="2" s="1"/>
  <c r="X77" i="2" s="1"/>
  <c r="Y77" i="2" s="1"/>
  <c r="W78" i="2"/>
  <c r="T78" i="2" s="1"/>
  <c r="X78" i="2" s="1"/>
  <c r="Y78" i="2" s="1"/>
  <c r="W81" i="2"/>
  <c r="T81" i="2" s="1"/>
  <c r="X81" i="2" s="1"/>
  <c r="Y81" i="2" s="1"/>
  <c r="W82" i="2"/>
  <c r="T82" i="2" s="1"/>
  <c r="X82" i="2" s="1"/>
  <c r="Y82" i="2" s="1"/>
  <c r="P42" i="2"/>
  <c r="C196" i="3"/>
  <c r="C195" i="3"/>
  <c r="C183" i="3"/>
  <c r="G22" i="2"/>
  <c r="G21" i="2"/>
  <c r="P43" i="2" l="1"/>
  <c r="P41" i="2"/>
  <c r="P35" i="2"/>
  <c r="P34" i="2"/>
  <c r="F25" i="2"/>
  <c r="C82" i="3"/>
  <c r="C174" i="3"/>
  <c r="C173" i="3"/>
  <c r="F28" i="2"/>
  <c r="F27" i="2"/>
  <c r="F24" i="2"/>
  <c r="F23" i="2"/>
  <c r="P31" i="2"/>
  <c r="P30" i="2"/>
  <c r="R24" i="2"/>
  <c r="R23" i="2"/>
  <c r="Q33" i="2"/>
  <c r="Q32" i="2"/>
  <c r="G6" i="2" l="1"/>
  <c r="G7" i="2"/>
  <c r="G8" i="2"/>
  <c r="G9" i="2"/>
  <c r="Q16" i="2"/>
  <c r="C155" i="3" l="1"/>
  <c r="G16" i="2"/>
  <c r="F16" i="2"/>
  <c r="E16" i="2"/>
  <c r="F17" i="2" l="1"/>
  <c r="G13" i="2" l="1"/>
  <c r="F13" i="2"/>
  <c r="E13" i="2"/>
  <c r="F19" i="2"/>
  <c r="F18" i="2"/>
  <c r="H398" i="6"/>
  <c r="H399" i="6"/>
  <c r="H402" i="6"/>
  <c r="H403" i="6"/>
  <c r="H404" i="6"/>
  <c r="H405" i="6"/>
  <c r="H406" i="6"/>
  <c r="H407" i="6"/>
  <c r="H408" i="6"/>
  <c r="H409" i="6"/>
  <c r="H410" i="6"/>
  <c r="C140" i="3"/>
  <c r="H32" i="7"/>
  <c r="H33" i="7"/>
  <c r="H31" i="7"/>
  <c r="P27" i="2" l="1"/>
  <c r="P25" i="2"/>
  <c r="P23" i="2"/>
  <c r="H378" i="6"/>
  <c r="H380" i="6"/>
  <c r="H372" i="6"/>
  <c r="H373" i="6"/>
  <c r="H374" i="6"/>
  <c r="H375" i="6"/>
  <c r="H376" i="6"/>
  <c r="H377" i="6"/>
  <c r="H379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400" i="6"/>
  <c r="H401" i="6"/>
  <c r="H371" i="6"/>
  <c r="C148" i="3"/>
  <c r="C154" i="3"/>
  <c r="F15" i="2"/>
  <c r="F14" i="2"/>
  <c r="I55" i="8" l="1"/>
  <c r="I56" i="8"/>
  <c r="I57" i="8"/>
  <c r="F55" i="8"/>
  <c r="F56" i="8"/>
  <c r="F57" i="8"/>
  <c r="F58" i="8"/>
  <c r="G10" i="2"/>
  <c r="F10" i="2"/>
  <c r="F12" i="2" l="1"/>
  <c r="F11" i="2"/>
  <c r="G5" i="2"/>
  <c r="R9" i="2"/>
  <c r="R8" i="2"/>
  <c r="R7" i="2"/>
  <c r="R6" i="2"/>
  <c r="C145" i="3"/>
  <c r="C146" i="3"/>
  <c r="C147" i="3"/>
  <c r="C144" i="3"/>
  <c r="P18" i="2" l="1"/>
  <c r="C139" i="3" l="1"/>
  <c r="C148" i="4"/>
  <c r="C147" i="4"/>
  <c r="C146" i="4"/>
  <c r="C144" i="4"/>
  <c r="C143" i="4"/>
  <c r="C138" i="4"/>
  <c r="C137" i="4"/>
  <c r="C135" i="4"/>
  <c r="C134" i="4"/>
  <c r="C133" i="4"/>
  <c r="C132" i="4"/>
  <c r="C129" i="4"/>
  <c r="C128" i="4"/>
  <c r="C127" i="4"/>
  <c r="C123" i="4"/>
  <c r="C122" i="4"/>
  <c r="C120" i="4"/>
  <c r="C119" i="4"/>
  <c r="C118" i="4"/>
  <c r="C117" i="4"/>
  <c r="C116" i="4"/>
  <c r="C115" i="4"/>
  <c r="C114" i="4"/>
  <c r="C113" i="4"/>
  <c r="C112" i="4"/>
  <c r="C111" i="4"/>
  <c r="C108" i="4"/>
  <c r="C107" i="4"/>
  <c r="C106" i="4"/>
  <c r="C105" i="4"/>
  <c r="C98" i="4"/>
  <c r="C93" i="4"/>
  <c r="C92" i="4"/>
  <c r="C90" i="4"/>
  <c r="C89" i="4"/>
  <c r="C88" i="4"/>
  <c r="C87" i="4"/>
  <c r="C86" i="4"/>
  <c r="C84" i="4"/>
  <c r="C83" i="4"/>
  <c r="C82" i="4"/>
  <c r="C81" i="4"/>
  <c r="C80" i="4"/>
  <c r="C79" i="4"/>
  <c r="C78" i="4"/>
  <c r="C76" i="4"/>
  <c r="C75" i="4"/>
  <c r="C74" i="4"/>
  <c r="C73" i="4"/>
  <c r="C69" i="4"/>
  <c r="C66" i="4"/>
  <c r="C65" i="4"/>
  <c r="C64" i="4"/>
  <c r="C63" i="4"/>
  <c r="C62" i="4"/>
  <c r="C61" i="4"/>
  <c r="C60" i="4"/>
  <c r="C59" i="4"/>
  <c r="C58" i="4"/>
  <c r="C57" i="4"/>
  <c r="C56" i="4"/>
  <c r="C55" i="4"/>
  <c r="C52" i="4"/>
  <c r="C51" i="4"/>
  <c r="C49" i="4"/>
  <c r="C45" i="4"/>
  <c r="C44" i="4"/>
  <c r="C43" i="4"/>
  <c r="C42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19" i="4"/>
  <c r="C18" i="4"/>
  <c r="C10" i="4"/>
  <c r="C9" i="4"/>
  <c r="C8" i="4"/>
  <c r="C7" i="4"/>
  <c r="C6" i="4"/>
  <c r="C5" i="4"/>
  <c r="C166" i="3"/>
  <c r="C164" i="3"/>
  <c r="C160" i="3"/>
  <c r="C159" i="3"/>
  <c r="F9" i="2"/>
  <c r="F8" i="2"/>
  <c r="F7" i="2"/>
  <c r="F6" i="2"/>
  <c r="G3" i="2"/>
  <c r="G108" i="1" l="1"/>
  <c r="C165" i="3"/>
  <c r="C135" i="3"/>
  <c r="W64" i="2"/>
  <c r="T64" i="2"/>
  <c r="H64" i="2"/>
  <c r="W63" i="2"/>
  <c r="T63" i="2"/>
  <c r="X63" i="2" s="1"/>
  <c r="Y63" i="2" s="1"/>
  <c r="H63" i="2"/>
  <c r="W62" i="2"/>
  <c r="T62" i="2"/>
  <c r="X62" i="2" s="1"/>
  <c r="Y62" i="2" s="1"/>
  <c r="H62" i="2"/>
  <c r="U61" i="2"/>
  <c r="S61" i="2"/>
  <c r="R61" i="2"/>
  <c r="H61" i="2"/>
  <c r="U60" i="2"/>
  <c r="S60" i="2"/>
  <c r="R60" i="2"/>
  <c r="H60" i="2"/>
  <c r="W59" i="2"/>
  <c r="T59" i="2"/>
  <c r="X59" i="2" s="1"/>
  <c r="Y59" i="2" s="1"/>
  <c r="H59" i="2"/>
  <c r="W58" i="2"/>
  <c r="T58" i="2"/>
  <c r="X58" i="2" s="1"/>
  <c r="Y58" i="2" s="1"/>
  <c r="H58" i="2"/>
  <c r="U57" i="2"/>
  <c r="S57" i="2"/>
  <c r="R57" i="2"/>
  <c r="H57" i="2"/>
  <c r="U56" i="2"/>
  <c r="S56" i="2"/>
  <c r="R56" i="2"/>
  <c r="H56" i="2"/>
  <c r="W55" i="2"/>
  <c r="T55" i="2"/>
  <c r="X55" i="2" s="1"/>
  <c r="Y55" i="2" s="1"/>
  <c r="H55" i="2"/>
  <c r="W54" i="2"/>
  <c r="T54" i="2"/>
  <c r="X54" i="2" s="1"/>
  <c r="Y54" i="2" s="1"/>
  <c r="H54" i="2"/>
  <c r="U53" i="2"/>
  <c r="R53" i="2"/>
  <c r="X53" i="2" s="1"/>
  <c r="Y53" i="2" s="1"/>
  <c r="H53" i="2"/>
  <c r="Q52" i="2"/>
  <c r="H52" i="2"/>
  <c r="Q51" i="2"/>
  <c r="H51" i="2"/>
  <c r="U50" i="2"/>
  <c r="S50" i="2"/>
  <c r="R50" i="2"/>
  <c r="H50" i="2"/>
  <c r="W49" i="2"/>
  <c r="T49" i="2"/>
  <c r="X49" i="2" s="1"/>
  <c r="Y49" i="2" s="1"/>
  <c r="H49" i="2"/>
  <c r="R48" i="2"/>
  <c r="Q48" i="2"/>
  <c r="H48" i="2"/>
  <c r="R47" i="2"/>
  <c r="Q47" i="2"/>
  <c r="H47" i="2"/>
  <c r="U46" i="2"/>
  <c r="S46" i="2"/>
  <c r="R46" i="2"/>
  <c r="H46" i="2"/>
  <c r="U45" i="2"/>
  <c r="S45" i="2"/>
  <c r="R45" i="2"/>
  <c r="Q45" i="2"/>
  <c r="H45" i="2"/>
  <c r="P19" i="2"/>
  <c r="P17" i="2"/>
  <c r="P15" i="2"/>
  <c r="P14" i="2"/>
  <c r="X64" i="2" l="1"/>
  <c r="Y64" i="2" s="1"/>
  <c r="W45" i="2"/>
  <c r="T45" i="2" s="1"/>
  <c r="X45" i="2" s="1"/>
  <c r="Y45" i="2" s="1"/>
  <c r="W46" i="2"/>
  <c r="T46" i="2" s="1"/>
  <c r="X46" i="2" s="1"/>
  <c r="Y46" i="2" s="1"/>
  <c r="W47" i="2"/>
  <c r="T47" i="2" s="1"/>
  <c r="X47" i="2" s="1"/>
  <c r="Y47" i="2" s="1"/>
  <c r="W48" i="2"/>
  <c r="T48" i="2" s="1"/>
  <c r="X48" i="2" s="1"/>
  <c r="Y48" i="2" s="1"/>
  <c r="W50" i="2"/>
  <c r="T50" i="2" s="1"/>
  <c r="X50" i="2" s="1"/>
  <c r="Y50" i="2" s="1"/>
  <c r="W51" i="2"/>
  <c r="T51" i="2" s="1"/>
  <c r="X51" i="2" s="1"/>
  <c r="Y51" i="2" s="1"/>
  <c r="W52" i="2"/>
  <c r="T52" i="2" s="1"/>
  <c r="X52" i="2" s="1"/>
  <c r="Y52" i="2" s="1"/>
  <c r="W53" i="2"/>
  <c r="W56" i="2"/>
  <c r="T56" i="2" s="1"/>
  <c r="X56" i="2" s="1"/>
  <c r="Y56" i="2" s="1"/>
  <c r="W57" i="2"/>
  <c r="T57" i="2" s="1"/>
  <c r="X57" i="2" s="1"/>
  <c r="Y57" i="2" s="1"/>
  <c r="W60" i="2"/>
  <c r="T60" i="2" s="1"/>
  <c r="X60" i="2" s="1"/>
  <c r="Y60" i="2" s="1"/>
  <c r="W61" i="2"/>
  <c r="T61" i="2" s="1"/>
  <c r="X61" i="2" s="1"/>
  <c r="Y61" i="2" s="1"/>
  <c r="W103" i="1"/>
  <c r="X103" i="1"/>
  <c r="Y103" i="1"/>
  <c r="H103" i="1"/>
  <c r="G93" i="1"/>
  <c r="G94" i="1"/>
  <c r="G89" i="1"/>
  <c r="W87" i="1"/>
  <c r="X87" i="1"/>
  <c r="Y87" i="1"/>
  <c r="H87" i="1"/>
  <c r="C138" i="3"/>
  <c r="C132" i="3"/>
  <c r="Q102" i="1" l="1"/>
  <c r="G102" i="1"/>
  <c r="F102" i="1"/>
  <c r="E102" i="1"/>
  <c r="P12" i="2" l="1"/>
  <c r="P11" i="2"/>
  <c r="F104" i="1"/>
  <c r="G98" i="1"/>
  <c r="H98" i="1" s="1"/>
  <c r="G99" i="1"/>
  <c r="F106" i="1" l="1"/>
  <c r="F107" i="1"/>
  <c r="F99" i="1"/>
  <c r="H99" i="1" s="1"/>
  <c r="E99" i="1"/>
  <c r="X4" i="2"/>
  <c r="Y4" i="2" s="1"/>
  <c r="W4" i="2"/>
  <c r="H4" i="2"/>
  <c r="C125" i="3" l="1"/>
  <c r="P8" i="2"/>
  <c r="P6" i="2"/>
  <c r="F105" i="1" l="1"/>
  <c r="F101" i="1"/>
  <c r="F100" i="1"/>
  <c r="G95" i="1"/>
  <c r="W88" i="1"/>
  <c r="X88" i="1"/>
  <c r="Y88" i="1"/>
  <c r="H88" i="1"/>
  <c r="P104" i="1"/>
  <c r="H104" i="1"/>
  <c r="W43" i="2"/>
  <c r="T43" i="2"/>
  <c r="X43" i="2" s="1"/>
  <c r="Y43" i="2" s="1"/>
  <c r="H43" i="2"/>
  <c r="W42" i="2"/>
  <c r="T42" i="2"/>
  <c r="X42" i="2" s="1"/>
  <c r="Y42" i="2" s="1"/>
  <c r="H42" i="2"/>
  <c r="W41" i="2"/>
  <c r="T41" i="2"/>
  <c r="X41" i="2" s="1"/>
  <c r="Y41" i="2" s="1"/>
  <c r="H41" i="2"/>
  <c r="U40" i="2"/>
  <c r="S40" i="2"/>
  <c r="R40" i="2"/>
  <c r="H40" i="2"/>
  <c r="W35" i="2"/>
  <c r="T35" i="2"/>
  <c r="X35" i="2" s="1"/>
  <c r="Y35" i="2" s="1"/>
  <c r="H35" i="2"/>
  <c r="W34" i="2"/>
  <c r="T34" i="2"/>
  <c r="X34" i="2" s="1"/>
  <c r="Y34" i="2" s="1"/>
  <c r="H34" i="2"/>
  <c r="U33" i="2"/>
  <c r="S33" i="2"/>
  <c r="R33" i="2"/>
  <c r="H33" i="2"/>
  <c r="U32" i="2"/>
  <c r="S32" i="2"/>
  <c r="R32" i="2"/>
  <c r="H32" i="2"/>
  <c r="W31" i="2"/>
  <c r="T31" i="2"/>
  <c r="X31" i="2" s="1"/>
  <c r="Y31" i="2" s="1"/>
  <c r="H31" i="2"/>
  <c r="W30" i="2"/>
  <c r="T30" i="2"/>
  <c r="X30" i="2" s="1"/>
  <c r="Y30" i="2" s="1"/>
  <c r="H30" i="2"/>
  <c r="U29" i="2"/>
  <c r="R29" i="2"/>
  <c r="X29" i="2" s="1"/>
  <c r="Y29" i="2" s="1"/>
  <c r="H29" i="2"/>
  <c r="Q28" i="2"/>
  <c r="H28" i="2"/>
  <c r="Q27" i="2"/>
  <c r="H27" i="2"/>
  <c r="U26" i="2"/>
  <c r="S26" i="2"/>
  <c r="R26" i="2"/>
  <c r="H26" i="2"/>
  <c r="W25" i="2"/>
  <c r="T25" i="2"/>
  <c r="X25" i="2" s="1"/>
  <c r="Y25" i="2" s="1"/>
  <c r="H25" i="2"/>
  <c r="Q24" i="2"/>
  <c r="H24" i="2"/>
  <c r="Q23" i="2"/>
  <c r="H23" i="2"/>
  <c r="U22" i="2"/>
  <c r="S22" i="2"/>
  <c r="R22" i="2"/>
  <c r="H22" i="2"/>
  <c r="U21" i="2"/>
  <c r="S21" i="2"/>
  <c r="R21" i="2"/>
  <c r="Q21" i="2"/>
  <c r="H21" i="2"/>
  <c r="W104" i="1" l="1"/>
  <c r="T104" i="1" s="1"/>
  <c r="X104" i="1" s="1"/>
  <c r="Y104" i="1" s="1"/>
  <c r="W21" i="2"/>
  <c r="T21" i="2" s="1"/>
  <c r="X21" i="2" s="1"/>
  <c r="Y21" i="2" s="1"/>
  <c r="W22" i="2"/>
  <c r="T22" i="2" s="1"/>
  <c r="X22" i="2" s="1"/>
  <c r="Y22" i="2" s="1"/>
  <c r="W23" i="2"/>
  <c r="T23" i="2" s="1"/>
  <c r="X23" i="2" s="1"/>
  <c r="Y23" i="2" s="1"/>
  <c r="W24" i="2"/>
  <c r="T24" i="2" s="1"/>
  <c r="X24" i="2" s="1"/>
  <c r="Y24" i="2" s="1"/>
  <c r="W26" i="2"/>
  <c r="T26" i="2" s="1"/>
  <c r="X26" i="2" s="1"/>
  <c r="Y26" i="2" s="1"/>
  <c r="W27" i="2"/>
  <c r="T27" i="2" s="1"/>
  <c r="X27" i="2" s="1"/>
  <c r="Y27" i="2" s="1"/>
  <c r="W28" i="2"/>
  <c r="T28" i="2" s="1"/>
  <c r="X28" i="2" s="1"/>
  <c r="Y28" i="2" s="1"/>
  <c r="W29" i="2"/>
  <c r="W32" i="2"/>
  <c r="T32" i="2" s="1"/>
  <c r="X32" i="2" s="1"/>
  <c r="Y32" i="2" s="1"/>
  <c r="W33" i="2"/>
  <c r="T33" i="2" s="1"/>
  <c r="X33" i="2" s="1"/>
  <c r="Y33" i="2" s="1"/>
  <c r="W40" i="2"/>
  <c r="T40" i="2" s="1"/>
  <c r="X40" i="2" s="1"/>
  <c r="Y40" i="2" s="1"/>
  <c r="F96" i="1" l="1"/>
  <c r="F97" i="1"/>
  <c r="U98" i="1"/>
  <c r="S98" i="1"/>
  <c r="R98" i="1"/>
  <c r="X98" i="1" s="1"/>
  <c r="Y98" i="1" s="1"/>
  <c r="C151" i="3"/>
  <c r="C150" i="3"/>
  <c r="C117" i="3"/>
  <c r="G92" i="1"/>
  <c r="W98" i="1" l="1"/>
  <c r="P106" i="1" l="1"/>
  <c r="S95" i="1" l="1"/>
  <c r="F95" i="1"/>
  <c r="R94" i="1"/>
  <c r="R93" i="1"/>
  <c r="R90" i="1"/>
  <c r="R89" i="1"/>
  <c r="F91" i="1"/>
  <c r="F94" i="1"/>
  <c r="F93" i="1"/>
  <c r="C124" i="3"/>
  <c r="C123" i="3"/>
  <c r="C119" i="3"/>
  <c r="C118" i="3"/>
  <c r="G86" i="1"/>
  <c r="F89" i="1" l="1"/>
  <c r="F90" i="1"/>
  <c r="P107" i="1" l="1"/>
  <c r="P105" i="1"/>
  <c r="P100" i="1"/>
  <c r="C110" i="3"/>
  <c r="H34" i="7"/>
  <c r="H35" i="7"/>
  <c r="H36" i="7"/>
  <c r="H29" i="7"/>
  <c r="H30" i="7"/>
  <c r="H37" i="7"/>
  <c r="H38" i="7"/>
  <c r="H39" i="7"/>
  <c r="G85" i="1"/>
  <c r="C141" i="3" l="1"/>
  <c r="C103" i="3"/>
  <c r="C143" i="3" l="1"/>
  <c r="C142" i="3"/>
  <c r="C134" i="3"/>
  <c r="C133" i="3"/>
  <c r="G69" i="1"/>
  <c r="G70" i="1"/>
  <c r="G63" i="1"/>
  <c r="G64" i="1"/>
  <c r="G65" i="1"/>
  <c r="P83" i="1" l="1"/>
  <c r="C121" i="3"/>
  <c r="F81" i="1" l="1"/>
  <c r="P96" i="1"/>
  <c r="W72" i="1"/>
  <c r="X72" i="1"/>
  <c r="Y72" i="1"/>
  <c r="H72" i="1"/>
  <c r="C79" i="3" l="1"/>
  <c r="F83" i="1" l="1"/>
  <c r="P93" i="1"/>
  <c r="P91" i="1"/>
  <c r="P89" i="1"/>
  <c r="F82" i="1" l="1"/>
  <c r="F78" i="1"/>
  <c r="F77" i="1"/>
  <c r="G71" i="1"/>
  <c r="C87" i="3"/>
  <c r="Q71" i="1"/>
  <c r="G68" i="1"/>
  <c r="C113" i="3"/>
  <c r="C128" i="3"/>
  <c r="C127" i="3"/>
  <c r="I51" i="8"/>
  <c r="I52" i="8"/>
  <c r="I53" i="8"/>
  <c r="I54" i="8"/>
  <c r="C95" i="3" l="1"/>
  <c r="C94" i="3"/>
  <c r="C93" i="3"/>
  <c r="C92" i="3"/>
  <c r="C91" i="3"/>
  <c r="F74" i="1"/>
  <c r="F73" i="1"/>
  <c r="P82" i="1" l="1"/>
  <c r="F71" i="1"/>
  <c r="G61" i="1"/>
  <c r="R70" i="1"/>
  <c r="R69" i="1"/>
  <c r="F70" i="1"/>
  <c r="F69" i="1"/>
  <c r="G39" i="1"/>
  <c r="G40" i="1"/>
  <c r="G34" i="1"/>
  <c r="G35" i="1"/>
  <c r="P81" i="1"/>
  <c r="P77" i="1"/>
  <c r="C122" i="3"/>
  <c r="C116" i="3"/>
  <c r="R64" i="1" l="1"/>
  <c r="R63" i="1"/>
  <c r="R66" i="1"/>
  <c r="R65" i="1"/>
  <c r="F67" i="1"/>
  <c r="C86" i="3"/>
  <c r="F64" i="1" l="1"/>
  <c r="F63" i="1"/>
  <c r="P65" i="1"/>
  <c r="F66" i="1"/>
  <c r="F65" i="1"/>
  <c r="W47" i="1"/>
  <c r="X47" i="1"/>
  <c r="Y47" i="1"/>
  <c r="H47" i="1"/>
  <c r="W62" i="1" l="1"/>
  <c r="X62" i="1"/>
  <c r="Y62" i="1"/>
  <c r="H62" i="1"/>
  <c r="H63" i="1"/>
  <c r="C98" i="3" l="1"/>
  <c r="C97" i="3"/>
  <c r="C120" i="3"/>
  <c r="C112" i="3"/>
  <c r="C74" i="3"/>
  <c r="C111" i="3"/>
  <c r="P73" i="1" l="1"/>
  <c r="G52" i="1" l="1"/>
  <c r="G53" i="1"/>
  <c r="H53" i="1"/>
  <c r="H52" i="1"/>
  <c r="C78" i="3"/>
  <c r="G45" i="1"/>
  <c r="G46" i="1"/>
  <c r="C60" i="3" l="1"/>
  <c r="F57" i="1"/>
  <c r="F56" i="1"/>
  <c r="F54" i="1"/>
  <c r="F55" i="1"/>
  <c r="F50" i="1"/>
  <c r="F51" i="1" l="1"/>
  <c r="P63" i="1"/>
  <c r="P67" i="1"/>
  <c r="F51" i="8"/>
  <c r="F52" i="8"/>
  <c r="F53" i="8"/>
  <c r="F54" i="8"/>
  <c r="G41" i="1"/>
  <c r="W48" i="1" l="1"/>
  <c r="X48" i="1"/>
  <c r="Y48" i="1"/>
  <c r="H48" i="1"/>
  <c r="F41" i="1"/>
  <c r="X33" i="1" l="1"/>
  <c r="Y33" i="1" s="1"/>
  <c r="W33" i="1"/>
  <c r="H33" i="1"/>
  <c r="C88" i="3" l="1"/>
  <c r="C81" i="3"/>
  <c r="C85" i="3"/>
  <c r="C80" i="3"/>
  <c r="R40" i="1"/>
  <c r="R39" i="1"/>
  <c r="R35" i="1"/>
  <c r="R34" i="1"/>
  <c r="U108" i="1"/>
  <c r="S108" i="1"/>
  <c r="R108" i="1"/>
  <c r="H108" i="1"/>
  <c r="W58" i="1"/>
  <c r="X58" i="1"/>
  <c r="Y58" i="1"/>
  <c r="H58" i="1"/>
  <c r="W19" i="2"/>
  <c r="T19" i="2"/>
  <c r="X19" i="2" s="1"/>
  <c r="Y19" i="2" s="1"/>
  <c r="H19" i="2"/>
  <c r="W18" i="2"/>
  <c r="T18" i="2"/>
  <c r="X18" i="2" s="1"/>
  <c r="Y18" i="2" s="1"/>
  <c r="H18" i="2"/>
  <c r="W17" i="2"/>
  <c r="T17" i="2"/>
  <c r="X17" i="2" s="1"/>
  <c r="Y17" i="2" s="1"/>
  <c r="H17" i="2"/>
  <c r="U16" i="2"/>
  <c r="S16" i="2"/>
  <c r="R16" i="2"/>
  <c r="H16" i="2"/>
  <c r="W15" i="2"/>
  <c r="T15" i="2"/>
  <c r="X15" i="2" s="1"/>
  <c r="Y15" i="2" s="1"/>
  <c r="H15" i="2"/>
  <c r="W14" i="2"/>
  <c r="T14" i="2"/>
  <c r="X14" i="2" s="1"/>
  <c r="Y14" i="2" s="1"/>
  <c r="H14" i="2"/>
  <c r="U13" i="2"/>
  <c r="S13" i="2"/>
  <c r="R13" i="2"/>
  <c r="Q13" i="2"/>
  <c r="H13" i="2"/>
  <c r="W12" i="2"/>
  <c r="T12" i="2"/>
  <c r="X12" i="2" s="1"/>
  <c r="Y12" i="2" s="1"/>
  <c r="H12" i="2"/>
  <c r="W11" i="2"/>
  <c r="T11" i="2"/>
  <c r="X11" i="2" s="1"/>
  <c r="Y11" i="2" s="1"/>
  <c r="H11" i="2"/>
  <c r="U10" i="2"/>
  <c r="S10" i="2"/>
  <c r="R10" i="2"/>
  <c r="X10" i="2" s="1"/>
  <c r="Y10" i="2" s="1"/>
  <c r="H10" i="2"/>
  <c r="Q9" i="2"/>
  <c r="H9" i="2"/>
  <c r="Q8" i="2"/>
  <c r="H8" i="2"/>
  <c r="U5" i="2"/>
  <c r="S5" i="2"/>
  <c r="R5" i="2"/>
  <c r="H5" i="2"/>
  <c r="Q7" i="2"/>
  <c r="H7" i="2"/>
  <c r="Q6" i="2"/>
  <c r="H6" i="2"/>
  <c r="U3" i="2"/>
  <c r="S3" i="2"/>
  <c r="R3" i="2"/>
  <c r="H3" i="2"/>
  <c r="W107" i="1"/>
  <c r="T107" i="1"/>
  <c r="X107" i="1" s="1"/>
  <c r="Y107" i="1" s="1"/>
  <c r="H107" i="1"/>
  <c r="W106" i="1"/>
  <c r="T106" i="1"/>
  <c r="X106" i="1" s="1"/>
  <c r="Y106" i="1" s="1"/>
  <c r="H106" i="1"/>
  <c r="W105" i="1"/>
  <c r="T105" i="1"/>
  <c r="X105" i="1" s="1"/>
  <c r="Y105" i="1" s="1"/>
  <c r="H105" i="1"/>
  <c r="U102" i="1"/>
  <c r="S102" i="1"/>
  <c r="R102" i="1"/>
  <c r="H102" i="1"/>
  <c r="W101" i="1"/>
  <c r="T101" i="1"/>
  <c r="X101" i="1" s="1"/>
  <c r="Y101" i="1" s="1"/>
  <c r="H101" i="1"/>
  <c r="W100" i="1"/>
  <c r="T100" i="1"/>
  <c r="X100" i="1" s="1"/>
  <c r="Y100" i="1" s="1"/>
  <c r="H100" i="1"/>
  <c r="U99" i="1"/>
  <c r="S99" i="1"/>
  <c r="R99" i="1"/>
  <c r="Q99" i="1"/>
  <c r="W97" i="1"/>
  <c r="T97" i="1"/>
  <c r="X97" i="1" s="1"/>
  <c r="Y97" i="1" s="1"/>
  <c r="H97" i="1"/>
  <c r="W96" i="1"/>
  <c r="T96" i="1"/>
  <c r="X96" i="1" s="1"/>
  <c r="Y96" i="1" s="1"/>
  <c r="H96" i="1"/>
  <c r="U95" i="1"/>
  <c r="R95" i="1"/>
  <c r="X95" i="1" s="1"/>
  <c r="Y95" i="1" s="1"/>
  <c r="H95" i="1"/>
  <c r="Q94" i="1"/>
  <c r="H94" i="1"/>
  <c r="Q93" i="1"/>
  <c r="H93" i="1"/>
  <c r="U92" i="1"/>
  <c r="S92" i="1"/>
  <c r="R92" i="1"/>
  <c r="H92" i="1"/>
  <c r="W91" i="1"/>
  <c r="T91" i="1"/>
  <c r="X91" i="1" s="1"/>
  <c r="Y91" i="1" s="1"/>
  <c r="H91" i="1"/>
  <c r="Q90" i="1"/>
  <c r="H90" i="1"/>
  <c r="Q89" i="1"/>
  <c r="H89" i="1"/>
  <c r="U86" i="1"/>
  <c r="S86" i="1"/>
  <c r="R86" i="1"/>
  <c r="H86" i="1"/>
  <c r="U85" i="1"/>
  <c r="S85" i="1"/>
  <c r="R85" i="1"/>
  <c r="H85" i="1"/>
  <c r="P55" i="1"/>
  <c r="P54" i="1"/>
  <c r="W44" i="1"/>
  <c r="X44" i="1"/>
  <c r="Y44" i="1"/>
  <c r="H44" i="1"/>
  <c r="F49" i="1"/>
  <c r="F42" i="1"/>
  <c r="W108" i="1" l="1"/>
  <c r="T108" i="1" s="1"/>
  <c r="X108" i="1" s="1"/>
  <c r="Y108" i="1" s="1"/>
  <c r="W3" i="2"/>
  <c r="T3" i="2" s="1"/>
  <c r="X3" i="2" s="1"/>
  <c r="Y3" i="2" s="1"/>
  <c r="W6" i="2"/>
  <c r="T6" i="2" s="1"/>
  <c r="X6" i="2" s="1"/>
  <c r="Y6" i="2" s="1"/>
  <c r="W7" i="2"/>
  <c r="T7" i="2" s="1"/>
  <c r="X7" i="2" s="1"/>
  <c r="Y7" i="2" s="1"/>
  <c r="W5" i="2"/>
  <c r="T5" i="2" s="1"/>
  <c r="X5" i="2" s="1"/>
  <c r="Y5" i="2" s="1"/>
  <c r="W8" i="2"/>
  <c r="T8" i="2" s="1"/>
  <c r="X8" i="2" s="1"/>
  <c r="Y8" i="2" s="1"/>
  <c r="W9" i="2"/>
  <c r="T9" i="2" s="1"/>
  <c r="X9" i="2" s="1"/>
  <c r="Y9" i="2" s="1"/>
  <c r="W10" i="2"/>
  <c r="W13" i="2"/>
  <c r="T13" i="2" s="1"/>
  <c r="X13" i="2" s="1"/>
  <c r="Y13" i="2" s="1"/>
  <c r="W16" i="2"/>
  <c r="T16" i="2" s="1"/>
  <c r="X16" i="2" s="1"/>
  <c r="Y16" i="2" s="1"/>
  <c r="W85" i="1"/>
  <c r="T85" i="1" s="1"/>
  <c r="X85" i="1" s="1"/>
  <c r="Y85" i="1" s="1"/>
  <c r="W86" i="1"/>
  <c r="T86" i="1" s="1"/>
  <c r="X86" i="1" s="1"/>
  <c r="Y86" i="1" s="1"/>
  <c r="W89" i="1"/>
  <c r="T89" i="1" s="1"/>
  <c r="X89" i="1" s="1"/>
  <c r="Y89" i="1" s="1"/>
  <c r="W90" i="1"/>
  <c r="T90" i="1" s="1"/>
  <c r="X90" i="1" s="1"/>
  <c r="Y90" i="1" s="1"/>
  <c r="W92" i="1"/>
  <c r="T92" i="1" s="1"/>
  <c r="X92" i="1" s="1"/>
  <c r="Y92" i="1" s="1"/>
  <c r="W93" i="1"/>
  <c r="T93" i="1" s="1"/>
  <c r="X93" i="1" s="1"/>
  <c r="Y93" i="1" s="1"/>
  <c r="W94" i="1"/>
  <c r="T94" i="1" s="1"/>
  <c r="X94" i="1" s="1"/>
  <c r="Y94" i="1" s="1"/>
  <c r="W95" i="1"/>
  <c r="W99" i="1"/>
  <c r="T99" i="1" s="1"/>
  <c r="X99" i="1" s="1"/>
  <c r="Y99" i="1" s="1"/>
  <c r="W102" i="1"/>
  <c r="T102" i="1" s="1"/>
  <c r="X102" i="1" s="1"/>
  <c r="Y102" i="1" s="1"/>
  <c r="F43" i="1" l="1"/>
  <c r="F40" i="1"/>
  <c r="F39" i="1"/>
  <c r="F35" i="1"/>
  <c r="F34" i="1"/>
  <c r="Q66" i="1"/>
  <c r="H66" i="1"/>
  <c r="Q65" i="1"/>
  <c r="H65" i="1"/>
  <c r="Q64" i="1"/>
  <c r="H64" i="1"/>
  <c r="Q63" i="1"/>
  <c r="G32" i="1"/>
  <c r="W65" i="1" l="1"/>
  <c r="T65" i="1" s="1"/>
  <c r="X65" i="1" s="1"/>
  <c r="Y65" i="1" s="1"/>
  <c r="W66" i="1"/>
  <c r="T66" i="1" s="1"/>
  <c r="X66" i="1" s="1"/>
  <c r="Y66" i="1" s="1"/>
  <c r="W63" i="1"/>
  <c r="T63" i="1" s="1"/>
  <c r="X63" i="1" s="1"/>
  <c r="Y63" i="1" s="1"/>
  <c r="W64" i="1"/>
  <c r="T64" i="1" s="1"/>
  <c r="X64" i="1" s="1"/>
  <c r="Y64" i="1" s="1"/>
  <c r="P56" i="1" l="1"/>
  <c r="P49" i="1"/>
  <c r="C62" i="3" l="1"/>
  <c r="C63" i="3"/>
  <c r="C64" i="3"/>
  <c r="C65" i="3"/>
  <c r="C66" i="3"/>
  <c r="C61" i="3"/>
  <c r="F16" i="9"/>
  <c r="I50" i="8"/>
  <c r="F50" i="8"/>
  <c r="I49" i="8"/>
  <c r="F49" i="8"/>
  <c r="I48" i="8"/>
  <c r="F48" i="8"/>
  <c r="I47" i="8"/>
  <c r="F47" i="8"/>
  <c r="I46" i="8"/>
  <c r="F46" i="8"/>
  <c r="I45" i="8"/>
  <c r="F45" i="8"/>
  <c r="I44" i="8"/>
  <c r="F44" i="8"/>
  <c r="I43" i="8"/>
  <c r="F43" i="8"/>
  <c r="I42" i="8"/>
  <c r="F42" i="8"/>
  <c r="I41" i="8"/>
  <c r="F41" i="8"/>
  <c r="I40" i="8"/>
  <c r="F40" i="8"/>
  <c r="I39" i="8"/>
  <c r="F39" i="8"/>
  <c r="I38" i="8"/>
  <c r="F38" i="8"/>
  <c r="I37" i="8"/>
  <c r="F37" i="8"/>
  <c r="I36" i="8"/>
  <c r="F36" i="8"/>
  <c r="I35" i="8"/>
  <c r="F35" i="8"/>
  <c r="I34" i="8"/>
  <c r="F34" i="8"/>
  <c r="I33" i="8"/>
  <c r="F33" i="8"/>
  <c r="I32" i="8"/>
  <c r="F32" i="8"/>
  <c r="I31" i="8"/>
  <c r="F31" i="8"/>
  <c r="I30" i="8"/>
  <c r="F30" i="8"/>
  <c r="I29" i="8"/>
  <c r="F29" i="8"/>
  <c r="I28" i="8"/>
  <c r="F28" i="8"/>
  <c r="I27" i="8"/>
  <c r="F27" i="8"/>
  <c r="I26" i="8"/>
  <c r="F26" i="8"/>
  <c r="I25" i="8"/>
  <c r="F25" i="8"/>
  <c r="I24" i="8"/>
  <c r="F24" i="8"/>
  <c r="I23" i="8"/>
  <c r="F23" i="8"/>
  <c r="I22" i="8"/>
  <c r="F22" i="8"/>
  <c r="I21" i="8"/>
  <c r="F21" i="8"/>
  <c r="F20" i="8"/>
  <c r="C20" i="8"/>
  <c r="I20" i="8" s="1"/>
  <c r="I19" i="8"/>
  <c r="F19" i="8"/>
  <c r="I18" i="8"/>
  <c r="F18" i="8"/>
  <c r="I17" i="8"/>
  <c r="F17" i="8"/>
  <c r="I16" i="8"/>
  <c r="F16" i="8"/>
  <c r="I15" i="8"/>
  <c r="F15" i="8"/>
  <c r="I14" i="8"/>
  <c r="F14" i="8"/>
  <c r="I13" i="8"/>
  <c r="F13" i="8"/>
  <c r="I12" i="8"/>
  <c r="F12" i="8"/>
  <c r="W11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F225" i="6"/>
  <c r="H225" i="6" s="1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C89" i="3"/>
  <c r="C84" i="3"/>
  <c r="C83" i="3"/>
  <c r="C71" i="3"/>
  <c r="C70" i="3"/>
  <c r="C69" i="3"/>
  <c r="C68" i="3"/>
  <c r="C67" i="3"/>
  <c r="C57" i="3"/>
  <c r="C56" i="3"/>
  <c r="C54" i="3"/>
  <c r="C50" i="3"/>
  <c r="C49" i="3"/>
  <c r="C48" i="3"/>
  <c r="C47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4" i="3"/>
  <c r="C23" i="3"/>
  <c r="C15" i="3"/>
  <c r="C14" i="3"/>
  <c r="C13" i="3"/>
  <c r="C12" i="3"/>
  <c r="C11" i="3"/>
  <c r="C10" i="3"/>
  <c r="W83" i="1"/>
  <c r="T83" i="1"/>
  <c r="X83" i="1" s="1"/>
  <c r="Y83" i="1" s="1"/>
  <c r="H83" i="1"/>
  <c r="W82" i="1"/>
  <c r="T82" i="1"/>
  <c r="X82" i="1" s="1"/>
  <c r="Y82" i="1" s="1"/>
  <c r="H82" i="1"/>
  <c r="W81" i="1"/>
  <c r="T81" i="1"/>
  <c r="X81" i="1" s="1"/>
  <c r="Y81" i="1" s="1"/>
  <c r="H81" i="1"/>
  <c r="U80" i="1"/>
  <c r="S80" i="1"/>
  <c r="R80" i="1"/>
  <c r="H80" i="1"/>
  <c r="U79" i="1"/>
  <c r="S79" i="1"/>
  <c r="R79" i="1"/>
  <c r="H79" i="1"/>
  <c r="W78" i="1"/>
  <c r="T78" i="1"/>
  <c r="X78" i="1" s="1"/>
  <c r="Y78" i="1" s="1"/>
  <c r="H78" i="1"/>
  <c r="W77" i="1"/>
  <c r="T77" i="1"/>
  <c r="X77" i="1" s="1"/>
  <c r="Y77" i="1" s="1"/>
  <c r="H77" i="1"/>
  <c r="U76" i="1"/>
  <c r="S76" i="1"/>
  <c r="R76" i="1"/>
  <c r="H76" i="1"/>
  <c r="U75" i="1"/>
  <c r="S75" i="1"/>
  <c r="R75" i="1"/>
  <c r="H75" i="1"/>
  <c r="W74" i="1"/>
  <c r="T74" i="1"/>
  <c r="X74" i="1" s="1"/>
  <c r="Y74" i="1" s="1"/>
  <c r="H74" i="1"/>
  <c r="W73" i="1"/>
  <c r="T73" i="1"/>
  <c r="X73" i="1" s="1"/>
  <c r="Y73" i="1" s="1"/>
  <c r="H73" i="1"/>
  <c r="U71" i="1"/>
  <c r="S71" i="1"/>
  <c r="R71" i="1"/>
  <c r="X71" i="1" s="1"/>
  <c r="Y71" i="1" s="1"/>
  <c r="H71" i="1"/>
  <c r="Q70" i="1"/>
  <c r="H70" i="1"/>
  <c r="Q69" i="1"/>
  <c r="H69" i="1"/>
  <c r="U68" i="1"/>
  <c r="S68" i="1"/>
  <c r="R68" i="1"/>
  <c r="H68" i="1"/>
  <c r="W67" i="1"/>
  <c r="T67" i="1"/>
  <c r="X67" i="1" s="1"/>
  <c r="Y67" i="1" s="1"/>
  <c r="H67" i="1"/>
  <c r="U61" i="1"/>
  <c r="S61" i="1"/>
  <c r="R61" i="1"/>
  <c r="H61" i="1"/>
  <c r="U60" i="1"/>
  <c r="S60" i="1"/>
  <c r="R60" i="1"/>
  <c r="Q60" i="1"/>
  <c r="H60" i="1"/>
  <c r="W57" i="1"/>
  <c r="T57" i="1"/>
  <c r="X57" i="1" s="1"/>
  <c r="Y57" i="1" s="1"/>
  <c r="H57" i="1"/>
  <c r="W56" i="1"/>
  <c r="T56" i="1"/>
  <c r="X56" i="1" s="1"/>
  <c r="Y56" i="1" s="1"/>
  <c r="H56" i="1"/>
  <c r="W55" i="1"/>
  <c r="T55" i="1"/>
  <c r="X55" i="1" s="1"/>
  <c r="Y55" i="1" s="1"/>
  <c r="H55" i="1"/>
  <c r="H54" i="1"/>
  <c r="U53" i="1"/>
  <c r="S53" i="1"/>
  <c r="R53" i="1"/>
  <c r="U52" i="1"/>
  <c r="S52" i="1"/>
  <c r="R52" i="1"/>
  <c r="W51" i="1"/>
  <c r="T51" i="1"/>
  <c r="X51" i="1" s="1"/>
  <c r="Y51" i="1" s="1"/>
  <c r="H51" i="1"/>
  <c r="W50" i="1"/>
  <c r="T50" i="1"/>
  <c r="X50" i="1" s="1"/>
  <c r="Y50" i="1" s="1"/>
  <c r="H50" i="1"/>
  <c r="W49" i="1"/>
  <c r="T49" i="1"/>
  <c r="X49" i="1" s="1"/>
  <c r="Y49" i="1" s="1"/>
  <c r="H49" i="1"/>
  <c r="U46" i="1"/>
  <c r="S46" i="1"/>
  <c r="R46" i="1"/>
  <c r="H46" i="1"/>
  <c r="U45" i="1"/>
  <c r="S45" i="1"/>
  <c r="R45" i="1"/>
  <c r="H45" i="1"/>
  <c r="W43" i="1"/>
  <c r="T43" i="1"/>
  <c r="X43" i="1" s="1"/>
  <c r="Y43" i="1" s="1"/>
  <c r="H43" i="1"/>
  <c r="P42" i="1"/>
  <c r="H42" i="1"/>
  <c r="U41" i="1"/>
  <c r="S41" i="1"/>
  <c r="R41" i="1"/>
  <c r="X41" i="1" s="1"/>
  <c r="Y41" i="1" s="1"/>
  <c r="H41" i="1"/>
  <c r="Q40" i="1"/>
  <c r="H40" i="1"/>
  <c r="Q39" i="1"/>
  <c r="H39" i="1"/>
  <c r="U38" i="1"/>
  <c r="S38" i="1"/>
  <c r="R38" i="1"/>
  <c r="H38" i="1"/>
  <c r="U37" i="1"/>
  <c r="S37" i="1"/>
  <c r="R37" i="1"/>
  <c r="H37" i="1"/>
  <c r="P36" i="1"/>
  <c r="F36" i="1"/>
  <c r="H36" i="1" s="1"/>
  <c r="Q35" i="1"/>
  <c r="H35" i="1"/>
  <c r="Q34" i="1"/>
  <c r="P34" i="1"/>
  <c r="H34" i="1"/>
  <c r="U32" i="1"/>
  <c r="S32" i="1"/>
  <c r="R32" i="1"/>
  <c r="H32" i="1"/>
  <c r="U31" i="1"/>
  <c r="S31" i="1"/>
  <c r="R31" i="1"/>
  <c r="Q31" i="1"/>
  <c r="H31" i="1"/>
  <c r="X30" i="1"/>
  <c r="Y30" i="1" s="1"/>
  <c r="W30" i="1"/>
  <c r="H30" i="1"/>
  <c r="P28" i="1"/>
  <c r="F28" i="1"/>
  <c r="H28" i="1" s="1"/>
  <c r="P27" i="1"/>
  <c r="F27" i="1"/>
  <c r="H27" i="1" s="1"/>
  <c r="P26" i="1"/>
  <c r="F26" i="1"/>
  <c r="H26" i="1" s="1"/>
  <c r="U25" i="1"/>
  <c r="S25" i="1"/>
  <c r="R25" i="1"/>
  <c r="G25" i="1"/>
  <c r="H25" i="1" s="1"/>
  <c r="U24" i="1"/>
  <c r="S24" i="1"/>
  <c r="R24" i="1"/>
  <c r="G24" i="1"/>
  <c r="H24" i="1" s="1"/>
  <c r="W23" i="1"/>
  <c r="F23" i="1"/>
  <c r="T23" i="1" s="1"/>
  <c r="X23" i="1" s="1"/>
  <c r="Y23" i="1" s="1"/>
  <c r="P22" i="1"/>
  <c r="F22" i="1"/>
  <c r="H22" i="1" s="1"/>
  <c r="U21" i="1"/>
  <c r="S21" i="1"/>
  <c r="R21" i="1"/>
  <c r="F21" i="1"/>
  <c r="Q20" i="1"/>
  <c r="G20" i="1"/>
  <c r="F20" i="1"/>
  <c r="E20" i="1"/>
  <c r="U20" i="1" s="1"/>
  <c r="W19" i="1"/>
  <c r="F19" i="1"/>
  <c r="T19" i="1" s="1"/>
  <c r="X19" i="1" s="1"/>
  <c r="Y19" i="1" s="1"/>
  <c r="P18" i="1"/>
  <c r="F18" i="1"/>
  <c r="H18" i="1" s="1"/>
  <c r="U17" i="1"/>
  <c r="S17" i="1"/>
  <c r="R17" i="1"/>
  <c r="H17" i="1"/>
  <c r="U16" i="1"/>
  <c r="S16" i="1"/>
  <c r="R16" i="1"/>
  <c r="G16" i="1"/>
  <c r="F16" i="1"/>
  <c r="X16" i="1" s="1"/>
  <c r="Y16" i="1" s="1"/>
  <c r="G15" i="1"/>
  <c r="F15" i="1"/>
  <c r="G14" i="1"/>
  <c r="R14" i="1" s="1"/>
  <c r="F14" i="1"/>
  <c r="X13" i="1"/>
  <c r="Y13" i="1" s="1"/>
  <c r="W13" i="1"/>
  <c r="H13" i="1"/>
  <c r="X12" i="1"/>
  <c r="Y12" i="1" s="1"/>
  <c r="W12" i="1"/>
  <c r="H12" i="1"/>
  <c r="Q11" i="1"/>
  <c r="G11" i="1"/>
  <c r="F11" i="1"/>
  <c r="E11" i="1"/>
  <c r="W10" i="1"/>
  <c r="F10" i="1"/>
  <c r="T10" i="1" s="1"/>
  <c r="X10" i="1" s="1"/>
  <c r="Y10" i="1" s="1"/>
  <c r="W9" i="1"/>
  <c r="F9" i="1"/>
  <c r="T9" i="1" s="1"/>
  <c r="X9" i="1" s="1"/>
  <c r="Y9" i="1" s="1"/>
  <c r="W8" i="1"/>
  <c r="F8" i="1"/>
  <c r="T8" i="1" s="1"/>
  <c r="X8" i="1" s="1"/>
  <c r="Y8" i="1" s="1"/>
  <c r="Q7" i="1"/>
  <c r="G7" i="1"/>
  <c r="F7" i="1"/>
  <c r="E7" i="1"/>
  <c r="U7" i="1" s="1"/>
  <c r="Q6" i="1"/>
  <c r="G6" i="1"/>
  <c r="F6" i="1"/>
  <c r="E6" i="1"/>
  <c r="U6" i="1" s="1"/>
  <c r="P5" i="1"/>
  <c r="F5" i="1"/>
  <c r="H5" i="1" s="1"/>
  <c r="I33" i="7" l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9" i="7" s="1"/>
  <c r="I80" i="7" s="1"/>
  <c r="I81" i="7" s="1"/>
  <c r="I82" i="7" s="1"/>
  <c r="I83" i="7" s="1"/>
  <c r="H6" i="1"/>
  <c r="H7" i="1"/>
  <c r="R15" i="1"/>
  <c r="H16" i="1"/>
  <c r="H20" i="1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" i="6"/>
  <c r="W5" i="1"/>
  <c r="T5" i="1" s="1"/>
  <c r="X5" i="1" s="1"/>
  <c r="Y5" i="1" s="1"/>
  <c r="R6" i="1"/>
  <c r="S6" i="1"/>
  <c r="W6" i="1"/>
  <c r="T6" i="1" s="1"/>
  <c r="R7" i="1"/>
  <c r="S7" i="1"/>
  <c r="W7" i="1"/>
  <c r="T7" i="1" s="1"/>
  <c r="H8" i="1"/>
  <c r="H9" i="1"/>
  <c r="H10" i="1"/>
  <c r="U11" i="1"/>
  <c r="S11" i="1"/>
  <c r="R11" i="1"/>
  <c r="W11" i="1"/>
  <c r="T11" i="1" s="1"/>
  <c r="X11" i="1" s="1"/>
  <c r="Y11" i="1" s="1"/>
  <c r="H11" i="1"/>
  <c r="H14" i="1"/>
  <c r="Q14" i="1"/>
  <c r="H15" i="1"/>
  <c r="Q15" i="1"/>
  <c r="W16" i="1"/>
  <c r="W17" i="1"/>
  <c r="T17" i="1" s="1"/>
  <c r="X17" i="1" s="1"/>
  <c r="Y17" i="1" s="1"/>
  <c r="W18" i="1"/>
  <c r="T18" i="1" s="1"/>
  <c r="X18" i="1" s="1"/>
  <c r="Y18" i="1" s="1"/>
  <c r="H19" i="1"/>
  <c r="R20" i="1"/>
  <c r="S20" i="1"/>
  <c r="W20" i="1"/>
  <c r="T20" i="1" s="1"/>
  <c r="H21" i="1"/>
  <c r="W21" i="1"/>
  <c r="T21" i="1" s="1"/>
  <c r="X21" i="1" s="1"/>
  <c r="Y21" i="1" s="1"/>
  <c r="W22" i="1"/>
  <c r="T22" i="1" s="1"/>
  <c r="X22" i="1" s="1"/>
  <c r="Y22" i="1" s="1"/>
  <c r="H23" i="1"/>
  <c r="W24" i="1"/>
  <c r="T24" i="1" s="1"/>
  <c r="X24" i="1" s="1"/>
  <c r="Y24" i="1" s="1"/>
  <c r="W25" i="1"/>
  <c r="T25" i="1" s="1"/>
  <c r="X25" i="1" s="1"/>
  <c r="Y25" i="1" s="1"/>
  <c r="W26" i="1"/>
  <c r="T26" i="1" s="1"/>
  <c r="X26" i="1" s="1"/>
  <c r="Y26" i="1" s="1"/>
  <c r="W27" i="1"/>
  <c r="T27" i="1" s="1"/>
  <c r="X27" i="1" s="1"/>
  <c r="Y27" i="1" s="1"/>
  <c r="W28" i="1"/>
  <c r="T28" i="1" s="1"/>
  <c r="X28" i="1" s="1"/>
  <c r="Y28" i="1" s="1"/>
  <c r="W31" i="1"/>
  <c r="T31" i="1" s="1"/>
  <c r="X31" i="1" s="1"/>
  <c r="Y31" i="1" s="1"/>
  <c r="W32" i="1"/>
  <c r="T32" i="1" s="1"/>
  <c r="X32" i="1" s="1"/>
  <c r="Y32" i="1" s="1"/>
  <c r="W34" i="1"/>
  <c r="T34" i="1" s="1"/>
  <c r="X34" i="1" s="1"/>
  <c r="Y34" i="1" s="1"/>
  <c r="W35" i="1"/>
  <c r="T35" i="1" s="1"/>
  <c r="X35" i="1" s="1"/>
  <c r="Y35" i="1" s="1"/>
  <c r="W36" i="1"/>
  <c r="T36" i="1" s="1"/>
  <c r="X36" i="1" s="1"/>
  <c r="Y36" i="1" s="1"/>
  <c r="W37" i="1"/>
  <c r="T37" i="1" s="1"/>
  <c r="X37" i="1" s="1"/>
  <c r="Y37" i="1" s="1"/>
  <c r="W38" i="1"/>
  <c r="T38" i="1" s="1"/>
  <c r="X38" i="1" s="1"/>
  <c r="Y38" i="1" s="1"/>
  <c r="W39" i="1"/>
  <c r="T39" i="1" s="1"/>
  <c r="X39" i="1" s="1"/>
  <c r="Y39" i="1" s="1"/>
  <c r="W40" i="1"/>
  <c r="T40" i="1" s="1"/>
  <c r="X40" i="1" s="1"/>
  <c r="Y40" i="1" s="1"/>
  <c r="W41" i="1"/>
  <c r="W42" i="1"/>
  <c r="T42" i="1" s="1"/>
  <c r="X42" i="1" s="1"/>
  <c r="Y42" i="1" s="1"/>
  <c r="W45" i="1"/>
  <c r="T45" i="1" s="1"/>
  <c r="X45" i="1" s="1"/>
  <c r="Y45" i="1" s="1"/>
  <c r="W46" i="1"/>
  <c r="T46" i="1" s="1"/>
  <c r="X46" i="1" s="1"/>
  <c r="Y46" i="1" s="1"/>
  <c r="W52" i="1"/>
  <c r="T52" i="1" s="1"/>
  <c r="X52" i="1" s="1"/>
  <c r="Y52" i="1" s="1"/>
  <c r="W53" i="1"/>
  <c r="T53" i="1" s="1"/>
  <c r="X53" i="1" s="1"/>
  <c r="Y53" i="1" s="1"/>
  <c r="W54" i="1"/>
  <c r="T54" i="1" s="1"/>
  <c r="X54" i="1" s="1"/>
  <c r="Y54" i="1" s="1"/>
  <c r="W60" i="1"/>
  <c r="T60" i="1" s="1"/>
  <c r="X60" i="1" s="1"/>
  <c r="Y60" i="1" s="1"/>
  <c r="W61" i="1"/>
  <c r="T61" i="1" s="1"/>
  <c r="X61" i="1" s="1"/>
  <c r="Y61" i="1" s="1"/>
  <c r="W68" i="1"/>
  <c r="T68" i="1" s="1"/>
  <c r="X68" i="1" s="1"/>
  <c r="Y68" i="1" s="1"/>
  <c r="W69" i="1"/>
  <c r="T69" i="1" s="1"/>
  <c r="X69" i="1" s="1"/>
  <c r="Y69" i="1" s="1"/>
  <c r="W70" i="1"/>
  <c r="T70" i="1" s="1"/>
  <c r="X70" i="1" s="1"/>
  <c r="Y70" i="1" s="1"/>
  <c r="W71" i="1"/>
  <c r="W75" i="1"/>
  <c r="T75" i="1" s="1"/>
  <c r="X75" i="1" s="1"/>
  <c r="Y75" i="1" s="1"/>
  <c r="W76" i="1"/>
  <c r="T76" i="1" s="1"/>
  <c r="X76" i="1" s="1"/>
  <c r="Y76" i="1" s="1"/>
  <c r="W79" i="1"/>
  <c r="T79" i="1" s="1"/>
  <c r="X79" i="1" s="1"/>
  <c r="Y79" i="1" s="1"/>
  <c r="W80" i="1"/>
  <c r="T80" i="1" s="1"/>
  <c r="X80" i="1" s="1"/>
  <c r="Y80" i="1" s="1"/>
  <c r="I341" i="6" l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X20" i="1"/>
  <c r="Y20" i="1" s="1"/>
  <c r="X7" i="1"/>
  <c r="Y7" i="1" s="1"/>
  <c r="X6" i="1"/>
  <c r="Y6" i="1" s="1"/>
  <c r="W15" i="1"/>
  <c r="T15" i="1" s="1"/>
  <c r="X15" i="1" s="1"/>
  <c r="Y15" i="1" s="1"/>
  <c r="W14" i="1"/>
  <c r="T14" i="1" s="1"/>
  <c r="X14" i="1" s="1"/>
  <c r="Y14" i="1" s="1"/>
  <c r="I398" i="6" l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F9" i="10"/>
  <c r="I452" i="6" l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l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l="1"/>
  <c r="I493" i="6" s="1"/>
  <c r="I494" i="6" s="1"/>
  <c r="I495" i="6" s="1"/>
  <c r="I496" i="6" s="1"/>
  <c r="I497" i="6" s="1"/>
  <c r="I498" i="6" s="1"/>
  <c r="I499" i="6" s="1"/>
  <c r="I500" i="6" l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l="1"/>
  <c r="I515" i="6" s="1"/>
  <c r="I516" i="6" s="1"/>
  <c r="I517" i="6" l="1"/>
  <c r="I518" i="6" s="1"/>
  <c r="I519" i="6" s="1"/>
  <c r="I520" i="6" s="1"/>
  <c r="I521" i="6" s="1"/>
  <c r="I522" i="6" l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l="1"/>
  <c r="I540" i="6" s="1"/>
  <c r="I541" i="6" s="1"/>
  <c r="I542" i="6" s="1"/>
  <c r="I543" i="6" s="1"/>
  <c r="I544" i="6" s="1"/>
  <c r="I545" i="6" s="1"/>
  <c r="I546" i="6" s="1"/>
  <c r="I547" i="6" s="1"/>
  <c r="I548" i="6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9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>
  <authors>
    <author>Usuario</author>
    <author>octavio-cic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8" authorId="1">
      <text>
        <r>
          <rPr>
            <b/>
            <sz val="9"/>
            <color indexed="81"/>
            <rFont val="Tahoma"/>
            <family val="2"/>
          </rPr>
          <t xml:space="preserve">carga con colitas, $18,600.00 cobraron extra por mordida para pasar carga. Repone Indiana con NC
</t>
        </r>
      </text>
    </comment>
    <comment ref="F10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6.xml><?xml version="1.0" encoding="utf-8"?>
<comments xmlns="http://schemas.openxmlformats.org/spreadsheetml/2006/main">
  <authors>
    <author>Usuario</author>
    <author>octavio-cic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7.xml><?xml version="1.0" encoding="utf-8"?>
<comments xmlns="http://schemas.openxmlformats.org/spreadsheetml/2006/main">
  <authors>
    <author>Usuario</author>
    <author>octavio-cic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8.xml><?xml version="1.0" encoding="utf-8"?>
<comments xmlns="http://schemas.openxmlformats.org/spreadsheetml/2006/main">
  <authors>
    <author>Usuario</author>
    <author>octavio-cic</author>
  </authors>
  <commentList>
    <comment ref="F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<sst xmlns="http://schemas.openxmlformats.org/spreadsheetml/2006/main" count="12261" uniqueCount="3714">
  <si>
    <t>Enero 2016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</si>
  <si>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</si>
  <si>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</si>
  <si>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</si>
  <si>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</si>
  <si>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</si>
  <si>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</si>
  <si>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</si>
  <si>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</si>
  <si>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</si>
  <si>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</si>
  <si>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</si>
  <si>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</si>
  <si>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</si>
  <si>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</si>
  <si>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</si>
  <si>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</si>
  <si>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</si>
  <si>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</si>
  <si>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</si>
  <si>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</si>
  <si>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</si>
  <si>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integrado</t>
  </si>
  <si>
    <t>costo real</t>
  </si>
  <si>
    <t>$ carga total</t>
  </si>
  <si>
    <t>Pernil con piel</t>
  </si>
  <si>
    <t>Indiana</t>
  </si>
  <si>
    <t>19 combos</t>
  </si>
  <si>
    <t>nlin15-19</t>
  </si>
  <si>
    <t>Flores</t>
  </si>
  <si>
    <t>sa</t>
  </si>
  <si>
    <t>hoja + 10.75 vi 25 dic</t>
  </si>
  <si>
    <t>Canal de cerdo</t>
  </si>
  <si>
    <t>Nu3</t>
  </si>
  <si>
    <t>Porc Soto</t>
  </si>
  <si>
    <t>fact 66, 67</t>
  </si>
  <si>
    <t>do</t>
  </si>
  <si>
    <t>P 32.90 neto  R B00031</t>
  </si>
  <si>
    <t>Agrop La Chemita</t>
  </si>
  <si>
    <t>lu</t>
  </si>
  <si>
    <t>Farmland</t>
  </si>
  <si>
    <t>Smith Farm</t>
  </si>
  <si>
    <t>21 combos</t>
  </si>
  <si>
    <t>nltf16-01</t>
  </si>
  <si>
    <t>Sanchez</t>
  </si>
  <si>
    <t>ma</t>
  </si>
  <si>
    <t>hoja + 10.75 mi 30 dic</t>
  </si>
  <si>
    <t>22 combos</t>
  </si>
  <si>
    <t>nltf16-02</t>
  </si>
  <si>
    <t>Tamez</t>
  </si>
  <si>
    <t>mi</t>
  </si>
  <si>
    <t>hoja + 10 mi 30 dic</t>
  </si>
  <si>
    <t>nlin16--01</t>
  </si>
  <si>
    <t>fact 68, 69</t>
  </si>
  <si>
    <t>P 32.90 neto  R B00032</t>
  </si>
  <si>
    <t>Menudo</t>
  </si>
  <si>
    <t>Excell 86 M</t>
  </si>
  <si>
    <t>Adams</t>
  </si>
  <si>
    <t>100 cajas</t>
  </si>
  <si>
    <t>fact 38575</t>
  </si>
  <si>
    <t>Lengua de res</t>
  </si>
  <si>
    <t>Chilena</t>
  </si>
  <si>
    <t>5 cajas</t>
  </si>
  <si>
    <t>18 combos</t>
  </si>
  <si>
    <t>Garcia</t>
  </si>
  <si>
    <t>ju</t>
  </si>
  <si>
    <t>Cuero Belly Fco</t>
  </si>
  <si>
    <t>4 combos</t>
  </si>
  <si>
    <t>San Fandila</t>
  </si>
  <si>
    <t>fact 6952, 6953</t>
  </si>
  <si>
    <t>P 32.60 neto R B00033</t>
  </si>
  <si>
    <t>fact 70</t>
  </si>
  <si>
    <t>Seaboard</t>
  </si>
  <si>
    <t>nlse16-01 ALB</t>
  </si>
  <si>
    <t>Cruz</t>
  </si>
  <si>
    <t>hoja + 10.5 vi 1 ene</t>
  </si>
  <si>
    <t>Alb 25.50  R B00206</t>
  </si>
  <si>
    <t>nlse16-02</t>
  </si>
  <si>
    <t>fact 73</t>
  </si>
  <si>
    <t>prom 32.58</t>
  </si>
  <si>
    <t>Agrop El Dorado</t>
  </si>
  <si>
    <t>fact 121</t>
  </si>
  <si>
    <t>P 32.85 neto  R B00161</t>
  </si>
  <si>
    <t>nlse16-03</t>
  </si>
  <si>
    <t>vi</t>
  </si>
  <si>
    <t>hoja + 10.5 lu 4 ene</t>
  </si>
  <si>
    <t>nlse16-04</t>
  </si>
  <si>
    <t>Agrop La Gaby</t>
  </si>
  <si>
    <t>fact 4043</t>
  </si>
  <si>
    <t>fact 75</t>
  </si>
  <si>
    <t>P 31.90 neto  R B00178</t>
  </si>
  <si>
    <t>Lucio</t>
  </si>
  <si>
    <t>hoja + 10.75 vi 1 ene</t>
  </si>
  <si>
    <t>nlse16-05</t>
  </si>
  <si>
    <t>hoja + 10.5 ma 5 ene</t>
  </si>
  <si>
    <t>nltf16-04 ALB</t>
  </si>
  <si>
    <t>Enrique</t>
  </si>
  <si>
    <t>hoja + 10 lu 4 ene</t>
  </si>
  <si>
    <t>Granjero Feliz</t>
  </si>
  <si>
    <t>fact 81</t>
  </si>
  <si>
    <t>nltf16-05</t>
  </si>
  <si>
    <t>hoja + 10 ju 7 ene</t>
  </si>
  <si>
    <t>nlin16-03</t>
  </si>
  <si>
    <t>hoja + 10.75 ju 7 ene</t>
  </si>
  <si>
    <t>nltf16-06</t>
  </si>
  <si>
    <t>nlse16-06</t>
  </si>
  <si>
    <t>hoja + 10.5 vi 8 ene</t>
  </si>
  <si>
    <t>nlse16-07</t>
  </si>
  <si>
    <t>nlse16-08</t>
  </si>
  <si>
    <t>hoja + 10.5 lu 11 ene</t>
  </si>
  <si>
    <t>nlse16-09</t>
  </si>
  <si>
    <t>Vectra</t>
  </si>
  <si>
    <t>nlse16-10</t>
  </si>
  <si>
    <t>hoja + 10.5 ma 12 ene</t>
  </si>
  <si>
    <t>Cuero Belly cong</t>
  </si>
  <si>
    <t>Maple</t>
  </si>
  <si>
    <t>enero 2016</t>
  </si>
  <si>
    <t>V</t>
  </si>
  <si>
    <t>S</t>
  </si>
  <si>
    <t>D</t>
  </si>
  <si>
    <t>Mi</t>
  </si>
  <si>
    <t>Viansa  ju 24/11/15</t>
  </si>
  <si>
    <t>fact 983</t>
  </si>
  <si>
    <t>pernil Swift</t>
  </si>
  <si>
    <t>transfer santander</t>
  </si>
  <si>
    <t>L</t>
  </si>
  <si>
    <t>Viansa  vi 18/12/15</t>
  </si>
  <si>
    <t>pernil indiana</t>
  </si>
  <si>
    <t>M</t>
  </si>
  <si>
    <t>Ryc Alimentos  ju 03/12/15</t>
  </si>
  <si>
    <t>fact 815283</t>
  </si>
  <si>
    <t>contra swift</t>
  </si>
  <si>
    <t>Smith Farm 22/12/15 nl15-225</t>
  </si>
  <si>
    <t>fact 95177112</t>
  </si>
  <si>
    <t>intercam $30,241.36</t>
  </si>
  <si>
    <t>Smith Farm 24/12/15 nl15-226</t>
  </si>
  <si>
    <t>fact 95177113</t>
  </si>
  <si>
    <t>intercam $31,001.05</t>
  </si>
  <si>
    <t>Smith Farm 27/12/15 nl15-207</t>
  </si>
  <si>
    <t>fact 95175358</t>
  </si>
  <si>
    <t>intercam $30,376.60</t>
  </si>
  <si>
    <t>Smith Farm 26/12/15 nl15-208</t>
  </si>
  <si>
    <t>fact 95175359</t>
  </si>
  <si>
    <t>intercam $29,193.27</t>
  </si>
  <si>
    <t>Smith Farm 24/12/15 nl15-209</t>
  </si>
  <si>
    <t>fact 95175360</t>
  </si>
  <si>
    <t>intercam $30,213.28</t>
  </si>
  <si>
    <t>Mansiva  sa 26/12/15</t>
  </si>
  <si>
    <t>fact 5423</t>
  </si>
  <si>
    <t>intercam $31,295.09</t>
  </si>
  <si>
    <t>San Fandila 31/12/15</t>
  </si>
  <si>
    <t>fact 6927</t>
  </si>
  <si>
    <t>puerco vivo</t>
  </si>
  <si>
    <t>transfer odelpa</t>
  </si>
  <si>
    <t>Agrop El Topete  do 20/12/15</t>
  </si>
  <si>
    <t>fact 4122</t>
  </si>
  <si>
    <t>cerdo vivo y matanza</t>
  </si>
  <si>
    <t>fact 4125</t>
  </si>
  <si>
    <t>Agrop La Chemita do 20/12/15</t>
  </si>
  <si>
    <t>fact 2484</t>
  </si>
  <si>
    <t>Agrop El Topete  lu 21/12/15</t>
  </si>
  <si>
    <t>fact 4126</t>
  </si>
  <si>
    <t>Agrop La Gaby  lu 21/12/15</t>
  </si>
  <si>
    <t>fact 3995</t>
  </si>
  <si>
    <t>Agrop La Gaby ma 22/12/15</t>
  </si>
  <si>
    <t>fact 4008</t>
  </si>
  <si>
    <t>Agrop La Gaby  ma 22/12/15</t>
  </si>
  <si>
    <t>fact 4000, 4035</t>
  </si>
  <si>
    <t>Agrop El Topete ma 22/12/15</t>
  </si>
  <si>
    <t>fact 4142, 4189</t>
  </si>
  <si>
    <t>Agrop La Gaby  mi 23/12/15</t>
  </si>
  <si>
    <t>fact 4012</t>
  </si>
  <si>
    <t>Agrop El Topete  mi 23/12/15</t>
  </si>
  <si>
    <t>fact 4147</t>
  </si>
  <si>
    <t>Agrop El Topete vi 25/12/15</t>
  </si>
  <si>
    <t>fact 4158</t>
  </si>
  <si>
    <t>fact 4155</t>
  </si>
  <si>
    <t>Agrop La Chemita vi 25/12/15</t>
  </si>
  <si>
    <t>fact 2502, 2515</t>
  </si>
  <si>
    <t>San Fandila mi 6/1/16</t>
  </si>
  <si>
    <t>fact 6952 y 6953</t>
  </si>
  <si>
    <t>Indiana lu 11/01/16 nlin16-03</t>
  </si>
  <si>
    <t>intercam $21,000.00</t>
  </si>
  <si>
    <t>Smith Farm ma 29/12/15 nl15-211</t>
  </si>
  <si>
    <t>fact 95180608</t>
  </si>
  <si>
    <t>intercam $25,976.31</t>
  </si>
  <si>
    <t>J</t>
  </si>
  <si>
    <t>Smith Farm ma 29/12/15 nl15-212</t>
  </si>
  <si>
    <t>fact 95181235</t>
  </si>
  <si>
    <t>intercam $26,486.18</t>
  </si>
  <si>
    <t>Smith Farm ma 29/12/15 nl15-222</t>
  </si>
  <si>
    <t>fact 95181236</t>
  </si>
  <si>
    <t>intercam $26,354.00</t>
  </si>
  <si>
    <t>Smith Farm 29/12/15 nl15-210</t>
  </si>
  <si>
    <t>fact 95181237</t>
  </si>
  <si>
    <t>intercam $26,050.51</t>
  </si>
  <si>
    <t>Seaboard sa 09/01/16 nlse16-05</t>
  </si>
  <si>
    <t>fact 1214935</t>
  </si>
  <si>
    <t>intercam $10,000.00</t>
  </si>
  <si>
    <t>Seaboard ju 14/01/16 nlse16-06</t>
  </si>
  <si>
    <t>Seaboard ju 14/01/16 nlse16-07</t>
  </si>
  <si>
    <t>intercam $25,000.00</t>
  </si>
  <si>
    <t>Seaboard vi 15/01/16 nlse16-08</t>
  </si>
  <si>
    <t>intercam $22,000.00</t>
  </si>
  <si>
    <t>Seaboard vi 15/01/16 nlse16-09</t>
  </si>
  <si>
    <t>Smith Farm  29/12/15 nltf15-228</t>
  </si>
  <si>
    <t>fact 95182114</t>
  </si>
  <si>
    <t>intercam $27,762.27</t>
  </si>
  <si>
    <t>CARGA ACCIDENTADA PERDIDA TOTAL EN Nvo Laredo el 29/12/15  REPORTADA A SEGURO</t>
  </si>
  <si>
    <t>Smith Farm  30/12/15 nltf15-227</t>
  </si>
  <si>
    <t>fact 95182113</t>
  </si>
  <si>
    <t>intercam $26,081.11</t>
  </si>
  <si>
    <t>Smith Farm 30/12/15 nl15-213</t>
  </si>
  <si>
    <t>fact 95184312</t>
  </si>
  <si>
    <t>intercam $24,677.12</t>
  </si>
  <si>
    <t>Smith Farm 30/12/15 nl15-214</t>
  </si>
  <si>
    <t>fact 95183399</t>
  </si>
  <si>
    <t>intercam $25,231.60</t>
  </si>
  <si>
    <t>Smith Farm 31/12/15 nl15-215</t>
  </si>
  <si>
    <t>fact 95184313</t>
  </si>
  <si>
    <t>intercam $24,800.73</t>
  </si>
  <si>
    <t>Seaboard sa 16/01/16 nlse16-10</t>
  </si>
  <si>
    <t>intercam $27,000.00</t>
  </si>
  <si>
    <t>Agrop El Dorado  do 27/12/15</t>
  </si>
  <si>
    <t xml:space="preserve">fact 86 </t>
  </si>
  <si>
    <t>fact 87</t>
  </si>
  <si>
    <t>Agrop El Topete lu 28/12/15</t>
  </si>
  <si>
    <t>fact 4168</t>
  </si>
  <si>
    <t>Agrop El Dorado lu 28/12/15</t>
  </si>
  <si>
    <t>fact 97,120</t>
  </si>
  <si>
    <t>Agrop El Topete ma 29/12/15</t>
  </si>
  <si>
    <t>fact 4172</t>
  </si>
  <si>
    <t>fact 4173</t>
  </si>
  <si>
    <t>Agrop La Chemita  mi 30/12/15</t>
  </si>
  <si>
    <t>fact 2513, 2529</t>
  </si>
  <si>
    <t>Agrop El Topete mi 30/12/15</t>
  </si>
  <si>
    <t>fact 4186</t>
  </si>
  <si>
    <t>Adams International ma 5/1/16</t>
  </si>
  <si>
    <t>Menudo excel y lengua</t>
  </si>
  <si>
    <t>Ryc Alimentos  sa 26/12/15</t>
  </si>
  <si>
    <t>fact 821966</t>
  </si>
  <si>
    <t>intercam $31,973.77</t>
  </si>
  <si>
    <t>Ryc Alimentos lu 28/12/15</t>
  </si>
  <si>
    <t>fact 822471</t>
  </si>
  <si>
    <t>intercam $31,653.88</t>
  </si>
  <si>
    <t>Smith Farm ma 5/01/16 nltf16-01</t>
  </si>
  <si>
    <t>fact 95188815</t>
  </si>
  <si>
    <t>Intercam $24,528.20</t>
  </si>
  <si>
    <t>Smith Farm ma 5/01/16 nltf16-02</t>
  </si>
  <si>
    <t>fact 95189496</t>
  </si>
  <si>
    <t>intercam $25,729.51</t>
  </si>
  <si>
    <t>Smith Farm ju 7/01/16 nltf16-03</t>
  </si>
  <si>
    <t>fact 95190684</t>
  </si>
  <si>
    <t>intercam $23,252.68</t>
  </si>
  <si>
    <t>Porc Soto do 03/01/16</t>
  </si>
  <si>
    <t xml:space="preserve">fact 66 </t>
  </si>
  <si>
    <t>fact 67</t>
  </si>
  <si>
    <t>Agrop La Chemita  lu 04/01/16</t>
  </si>
  <si>
    <t>fact 2526</t>
  </si>
  <si>
    <t>Porc Soto ma 05/01/16</t>
  </si>
  <si>
    <t>fact 68</t>
  </si>
  <si>
    <t>faltante de un canal</t>
  </si>
  <si>
    <t>Porc Soto mi 06/01/16</t>
  </si>
  <si>
    <t>Smith Farm sa 09/01/16 nltf16-04</t>
  </si>
  <si>
    <t>fact 95193662</t>
  </si>
  <si>
    <t>intercam $25,280.84</t>
  </si>
  <si>
    <t>Porc Soto  ju 07/01/16</t>
  </si>
  <si>
    <t>Agrop El Dorado  ju 07/01/16</t>
  </si>
  <si>
    <t>faltante de 2 canal</t>
  </si>
  <si>
    <t>Agrop La Gaby  vi 8/1/16</t>
  </si>
  <si>
    <t>Pago mensualidad de Alfonso Alonso Perez para Norma Ledo Parra</t>
  </si>
  <si>
    <t>sep 2012 a feb 2013</t>
  </si>
  <si>
    <t>pago con fletes de las semanas 1 a 4 de 2013</t>
  </si>
  <si>
    <t>descuento 27/03/13 fletes ASO fact 4590</t>
  </si>
  <si>
    <t>pagada con deposito en santander NLP con fecha 14/05/13</t>
  </si>
  <si>
    <t>ficha deposito 5/06/13  santander NLP</t>
  </si>
  <si>
    <t>deposito cheque en santander 4/07/13 en NLP</t>
  </si>
  <si>
    <t>deposito cheque en santander 30/07/13 en NLP</t>
  </si>
  <si>
    <t>deposito cheque en santander 29/08/13 en NLP</t>
  </si>
  <si>
    <t>deposito cheque en santander 30/09/13 en NLP</t>
  </si>
  <si>
    <t>deposito cheque en santander 31/10/13 en NLP</t>
  </si>
  <si>
    <t>deposito cheque en santander 29/11/13 en NLP</t>
  </si>
  <si>
    <t>deposito cheque en santander 27/12/13 en NLP</t>
  </si>
  <si>
    <t>deposito cheque en santander 04/02/14 en NLP</t>
  </si>
  <si>
    <t>deposito cheque en santander 28/02/14 en NLP</t>
  </si>
  <si>
    <t>deposito cheque en santander 04/03/14 en NLP</t>
  </si>
  <si>
    <t>deposito cheque en santander 1673,  05/05/14 en NLP</t>
  </si>
  <si>
    <t>deposito cheque en santander 1711,  03/06/14 en NLP</t>
  </si>
  <si>
    <t>deposito cheque en santander 1740, 07/07/14 en NLP</t>
  </si>
  <si>
    <t>deposito cheque en santander 1790,  04/08/14 en NLP</t>
  </si>
  <si>
    <t>deposito cheque en santander 1814,  02/09/14 en NLP</t>
  </si>
  <si>
    <t>deposito cheque en santander 1864,  03/10/14 en NLP</t>
  </si>
  <si>
    <t>deposito cheque en santander 1901,  04/11/14 en NLP</t>
  </si>
  <si>
    <t>deposito cheque en santander 1942,  06/12/14 en NLP</t>
  </si>
  <si>
    <t>deposito cheque en santander 1988,  24/02/15 en NLP</t>
  </si>
  <si>
    <t>pago ajuste de mensualidades</t>
  </si>
  <si>
    <t>deposito cheque en santander 1955,  02/01/15 en NLP</t>
  </si>
  <si>
    <t>deposito cheque en santander 1969,  03/02/15 en NLP</t>
  </si>
  <si>
    <t>deposito cheque en bbva 1662,  05/03/15 en NLP</t>
  </si>
  <si>
    <t>deposito cheque en bbva 1718,  07/04/15 en NLP</t>
  </si>
  <si>
    <t>deposito efectivo 6/05/15 en NLP</t>
  </si>
  <si>
    <t>deposito efectivo 05/06/15 en NLP</t>
  </si>
  <si>
    <t>deposito efectivo 08/07/15 en NLP</t>
  </si>
  <si>
    <t>deposito efectivo 10/08/15 en NLP</t>
  </si>
  <si>
    <t>deposito efectivo 08/09/15 en NLP</t>
  </si>
  <si>
    <t>deposito efectivo 05/10/15 en NLP</t>
  </si>
  <si>
    <t>deposito efectivo 09/11/15 en NLP</t>
  </si>
  <si>
    <t>deposito efectivo 07/12/15 en NLP</t>
  </si>
  <si>
    <t>ESTADO DE CUENTA SEABOARD</t>
  </si>
  <si>
    <t>inicio de operaciones</t>
  </si>
  <si>
    <t>recepcion carga</t>
  </si>
  <si>
    <t>PO</t>
  </si>
  <si>
    <t>anticipo</t>
  </si>
  <si>
    <t>fecha pago</t>
  </si>
  <si>
    <t>factura</t>
  </si>
  <si>
    <t>$ factura</t>
  </si>
  <si>
    <t>frontera</t>
  </si>
  <si>
    <t>diferencia</t>
  </si>
  <si>
    <t>dif acumulada</t>
  </si>
  <si>
    <t>NLP001</t>
  </si>
  <si>
    <t>NLP002</t>
  </si>
  <si>
    <t>NLP003</t>
  </si>
  <si>
    <t>NLP004</t>
  </si>
  <si>
    <t>NLP005</t>
  </si>
  <si>
    <t>NLP008</t>
  </si>
  <si>
    <t>NLP006</t>
  </si>
  <si>
    <t>NLP007</t>
  </si>
  <si>
    <t>NLP009</t>
  </si>
  <si>
    <t>NLP010</t>
  </si>
  <si>
    <t>NLP011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</si>
  <si>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</si>
  <si>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</si>
  <si>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</si>
  <si>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</si>
  <si>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</si>
  <si>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</si>
  <si>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</si>
  <si>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</si>
  <si>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</si>
  <si>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</si>
  <si>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</si>
  <si>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</si>
  <si>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</si>
  <si>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</si>
  <si>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</si>
  <si>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</si>
  <si>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</si>
  <si>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</si>
  <si>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</si>
  <si>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</si>
  <si>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</si>
  <si>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</si>
  <si>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</si>
  <si>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</si>
  <si>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</si>
  <si>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</si>
  <si>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</si>
  <si>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</si>
  <si>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</si>
  <si>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</si>
  <si>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</si>
  <si>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</si>
  <si>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</si>
  <si>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</si>
  <si>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</si>
  <si>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</si>
  <si>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</si>
  <si>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</si>
  <si>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</si>
  <si>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</si>
  <si>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</si>
  <si>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</si>
  <si>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</si>
  <si>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</si>
  <si>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</si>
  <si>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</si>
  <si>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</si>
  <si>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</si>
  <si>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</si>
  <si>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</si>
  <si>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</si>
  <si>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</si>
  <si>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</si>
  <si>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</si>
  <si>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</si>
  <si>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</si>
  <si>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</si>
  <si>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</si>
  <si>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</si>
  <si>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</si>
  <si>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</si>
  <si>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</si>
  <si>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</si>
  <si>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</si>
  <si>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</si>
  <si>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</si>
  <si>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</si>
  <si>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</si>
  <si>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</si>
  <si>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</si>
  <si>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</si>
  <si>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</si>
  <si>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</si>
  <si>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</si>
  <si>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</si>
  <si>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</si>
  <si>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</si>
  <si>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</si>
  <si>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</si>
  <si>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</si>
  <si>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</si>
  <si>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</si>
  <si>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</si>
  <si>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</si>
  <si>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</si>
  <si>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</si>
  <si>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</si>
  <si>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</si>
  <si>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</si>
  <si>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</si>
  <si>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</si>
  <si>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</si>
  <si>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</si>
  <si>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</si>
  <si>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</si>
  <si>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</si>
  <si>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</si>
  <si>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</si>
  <si>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</si>
  <si>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</si>
  <si>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</si>
  <si>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</si>
  <si>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</si>
  <si>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</si>
  <si>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</si>
  <si>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</si>
  <si>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</si>
  <si>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</si>
  <si>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</si>
  <si>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</si>
  <si>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</si>
  <si>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</si>
  <si>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</si>
  <si>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</si>
  <si>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</si>
  <si>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</si>
  <si>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</si>
  <si>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</si>
  <si>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</si>
  <si>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</si>
  <si>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</si>
  <si>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</si>
  <si>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</si>
  <si>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</si>
  <si>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</si>
  <si>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</si>
  <si>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</si>
  <si>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</si>
  <si>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</si>
  <si>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</si>
  <si>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</si>
  <si>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</si>
  <si>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</si>
  <si>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</si>
  <si>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</si>
  <si>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</si>
  <si>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</si>
  <si>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</si>
  <si>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</si>
  <si>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</si>
  <si>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</si>
  <si>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</si>
  <si>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</si>
  <si>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</si>
  <si>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</si>
  <si>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</si>
  <si>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</si>
  <si>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</si>
  <si>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</si>
  <si>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</si>
  <si>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</si>
  <si>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</si>
  <si>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</si>
  <si>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</si>
  <si>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</si>
  <si>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</si>
  <si>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</si>
  <si>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</si>
  <si>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</si>
  <si>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</si>
  <si>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</si>
  <si>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</si>
  <si>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</si>
  <si>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</si>
  <si>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</si>
  <si>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</si>
  <si>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</si>
  <si>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</si>
  <si>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</si>
  <si>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</si>
  <si>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</si>
  <si>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</si>
  <si>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</si>
  <si>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</si>
  <si>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</si>
  <si>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</si>
  <si>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</si>
  <si>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</si>
  <si>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</si>
  <si>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</si>
  <si>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</si>
  <si>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</si>
  <si>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</si>
  <si>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</si>
  <si>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</si>
  <si>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</si>
  <si>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</si>
  <si>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</si>
  <si>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</si>
  <si>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</si>
  <si>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</si>
  <si>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</si>
  <si>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</si>
  <si>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</si>
  <si>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</si>
  <si>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</si>
  <si>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</si>
  <si>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</si>
  <si>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</si>
  <si>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</si>
  <si>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</si>
  <si>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</si>
  <si>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</si>
  <si>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</si>
  <si>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</si>
  <si>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</si>
  <si>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</si>
  <si>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</si>
  <si>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</si>
  <si>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</si>
  <si>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</si>
  <si>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</si>
  <si>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</si>
  <si>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</si>
  <si>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</si>
  <si>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</si>
  <si>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</si>
  <si>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</si>
  <si>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</si>
  <si>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</si>
  <si>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</si>
  <si>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</si>
  <si>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</si>
  <si>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</si>
  <si>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</si>
  <si>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</si>
  <si>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</si>
  <si>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</si>
  <si>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</si>
  <si>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</si>
  <si>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</si>
  <si>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</si>
  <si>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</si>
  <si>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</si>
  <si>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</si>
  <si>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</si>
  <si>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</si>
  <si>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</si>
  <si>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</si>
  <si>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</si>
  <si>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</si>
  <si>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</si>
  <si>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</si>
  <si>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</si>
  <si>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</si>
  <si>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</si>
  <si>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</si>
  <si>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</si>
  <si>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</si>
  <si>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</si>
  <si>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</si>
  <si>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</si>
  <si>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</si>
  <si>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</si>
  <si>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</si>
  <si>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</si>
  <si>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</si>
  <si>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</si>
  <si>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</si>
  <si>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</si>
  <si>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</si>
  <si>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</si>
  <si>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</si>
  <si>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</si>
  <si>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</si>
  <si>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</si>
  <si>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</si>
  <si>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</si>
  <si>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</si>
  <si>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</si>
  <si>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</si>
  <si>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</si>
  <si>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</si>
  <si>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</si>
  <si>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</si>
  <si>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</si>
  <si>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</si>
  <si>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</si>
  <si>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</si>
  <si>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</si>
  <si>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</si>
  <si>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</si>
  <si>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</si>
  <si>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</si>
  <si>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</si>
  <si>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</si>
  <si>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</si>
  <si>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</si>
  <si>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</si>
  <si>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</si>
  <si>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</si>
  <si>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</si>
  <si>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</si>
  <si>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</si>
  <si>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</si>
  <si>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</si>
  <si>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</si>
  <si>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</si>
  <si>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</si>
  <si>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</si>
  <si>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</si>
  <si>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</si>
  <si>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</si>
  <si>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</si>
  <si>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</si>
  <si>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</si>
  <si>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</si>
  <si>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</si>
  <si>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</si>
  <si>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</si>
  <si>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</si>
  <si>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</si>
  <si>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</si>
  <si>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</si>
  <si>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</si>
  <si>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</si>
  <si>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</si>
  <si>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</si>
  <si>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</si>
  <si>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</si>
  <si>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</si>
  <si>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</si>
  <si>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</si>
  <si>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</si>
  <si>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</si>
  <si>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</si>
  <si>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</si>
  <si>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</si>
  <si>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</si>
  <si>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</si>
  <si>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</si>
  <si>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</si>
  <si>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</si>
  <si>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</si>
  <si>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</si>
  <si>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</si>
  <si>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</si>
  <si>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</si>
  <si>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</si>
  <si>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</si>
  <si>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</si>
  <si>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</si>
  <si>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</si>
  <si>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</si>
  <si>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</si>
  <si>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</si>
  <si>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</si>
  <si>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</si>
  <si>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</si>
  <si>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</si>
  <si>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</si>
  <si>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</si>
  <si>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</si>
  <si>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</si>
  <si>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</si>
  <si>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</si>
  <si>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</si>
  <si>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</si>
  <si>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</si>
  <si>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</si>
  <si>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</si>
  <si>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</si>
  <si>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</si>
  <si>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</si>
  <si>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</si>
  <si>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</si>
  <si>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</si>
  <si>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</si>
  <si>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</si>
  <si>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</si>
  <si>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</si>
  <si>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</si>
  <si>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carga cancelada por que no llego a frontera en tiempo del 30-31/12/15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</si>
  <si>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</si>
  <si>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</si>
  <si>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</si>
  <si>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</si>
  <si>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</si>
  <si>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</si>
  <si>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</si>
  <si>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</si>
  <si>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</si>
  <si>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</si>
  <si>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</si>
  <si>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</si>
  <si>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</si>
  <si>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</si>
  <si>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</si>
  <si>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</si>
  <si>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</si>
  <si>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</si>
  <si>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no llego</t>
  </si>
  <si>
    <t>NLIN15-18</t>
  </si>
  <si>
    <t>NLIN15-19</t>
  </si>
  <si>
    <t>NLIN16-01</t>
  </si>
  <si>
    <t>NLIN16-02</t>
  </si>
  <si>
    <t>NLIN16-03</t>
  </si>
  <si>
    <t>NLIN16-04</t>
  </si>
  <si>
    <t>NLIN16-05</t>
  </si>
  <si>
    <t>NLIN16-06</t>
  </si>
  <si>
    <t>NLIN16-07</t>
  </si>
  <si>
    <t>NLIN16-08</t>
  </si>
  <si>
    <t>Visceras de Rastro Puebla IDA</t>
  </si>
  <si>
    <t>fecha llegada matanza en IDA</t>
  </si>
  <si>
    <t>cerdos</t>
  </si>
  <si>
    <t>precio viscera</t>
  </si>
  <si>
    <t>Visceras pagadas IDA</t>
  </si>
  <si>
    <t>Total Pagado</t>
  </si>
  <si>
    <t>remision CIC</t>
  </si>
  <si>
    <t xml:space="preserve">fecha elaboracion </t>
  </si>
  <si>
    <t>decomisos</t>
  </si>
  <si>
    <t>Pagada</t>
  </si>
  <si>
    <t>CERDO DE SAN FANDILA</t>
  </si>
  <si>
    <t>NADA</t>
  </si>
  <si>
    <t>LLEGADA DE CERDO</t>
  </si>
  <si>
    <t>241 CERDOS</t>
  </si>
  <si>
    <t>26,990 kg</t>
  </si>
  <si>
    <t>a $19.50</t>
  </si>
  <si>
    <t>total</t>
  </si>
  <si>
    <t>matanza IDA</t>
  </si>
  <si>
    <t>241 cerdos a $99.00</t>
  </si>
  <si>
    <t xml:space="preserve">cargada de canales </t>
  </si>
  <si>
    <t>241 cerdos a $10.00</t>
  </si>
  <si>
    <t>Compra de viscera  241 a $32.00</t>
  </si>
  <si>
    <t>TOTAL</t>
  </si>
  <si>
    <t>A00812</t>
  </si>
  <si>
    <t>A02410</t>
  </si>
  <si>
    <t>Peso de canales en frio</t>
  </si>
  <si>
    <t>21,990 kg</t>
  </si>
  <si>
    <t>A04939</t>
  </si>
  <si>
    <t>costo por kg</t>
  </si>
  <si>
    <t>pagado 29/10/15 con 70 sacrificios no cobrados en la factura 5300 de IDA, eran 260 y cobraron 190</t>
  </si>
  <si>
    <t>Fevasa</t>
  </si>
  <si>
    <t>fact cic A7012</t>
  </si>
  <si>
    <t>viscera</t>
  </si>
  <si>
    <t>Visceras Selectas del Bajio, S de RL de CV</t>
  </si>
  <si>
    <t>RFC VSB 080807 AWA</t>
  </si>
  <si>
    <t>fact cic A7090</t>
  </si>
  <si>
    <t>por un total la fact de 486 paq $17,010.00, 2 decomisos y un cerdo muerto en corral</t>
  </si>
  <si>
    <t>Fresnillo No. 67-C, Col 20 de Noviembre</t>
  </si>
  <si>
    <t>fact cic A7214</t>
  </si>
  <si>
    <t>transfer en Odelpa</t>
  </si>
  <si>
    <t>Del Venustiano Carranza, Mexico, DF   CP 15300</t>
  </si>
  <si>
    <t>Fevasa/SF</t>
  </si>
  <si>
    <t>fact cic A7364</t>
  </si>
  <si>
    <t>fact cic A7596</t>
  </si>
  <si>
    <t>fact cic A7696</t>
  </si>
  <si>
    <t>fact cic A7874</t>
  </si>
  <si>
    <t>fact cic A8074</t>
  </si>
  <si>
    <t>sube a 40 la viscera</t>
  </si>
  <si>
    <t>fact cic A8164</t>
  </si>
  <si>
    <t>fact cic A8295</t>
  </si>
  <si>
    <t>fact cic A8438</t>
  </si>
  <si>
    <t>en una sola transfer por $20,280</t>
  </si>
  <si>
    <t>fact cic A8622</t>
  </si>
  <si>
    <t>515 visceras totales</t>
  </si>
  <si>
    <t>transfer odelpa por $20,600</t>
  </si>
  <si>
    <t>fact cic A8707</t>
  </si>
  <si>
    <t>397 visceras totales</t>
  </si>
  <si>
    <t>fact cic A8873</t>
  </si>
  <si>
    <t>fact cic A9041</t>
  </si>
  <si>
    <t>conjunta</t>
  </si>
  <si>
    <t>fact cic A9190</t>
  </si>
  <si>
    <t>fact cic A9587</t>
  </si>
  <si>
    <t>factura junta por 390 visceras 15,600</t>
  </si>
  <si>
    <t>transfer en odelpa</t>
  </si>
  <si>
    <t>fact cic A9685</t>
  </si>
  <si>
    <t>Carrol</t>
  </si>
  <si>
    <t>fact cic A9873</t>
  </si>
  <si>
    <t>se facturan 381, por 15,240</t>
  </si>
  <si>
    <t>transfer en odelpa en conjunto con fact A9685, por $25,360</t>
  </si>
  <si>
    <t>fact cic A10094</t>
  </si>
  <si>
    <t>fact cic A10338</t>
  </si>
  <si>
    <t>fact cic A10541</t>
  </si>
  <si>
    <t>fact cic A10753</t>
  </si>
  <si>
    <t>nada</t>
  </si>
  <si>
    <t>fact cic A11483</t>
  </si>
  <si>
    <t>Visceras de ALB&amp;CIA</t>
  </si>
  <si>
    <t>30-31/12/15</t>
  </si>
  <si>
    <t>fact cic A11484</t>
  </si>
  <si>
    <t>Pagos Realizados a Arq Archibaldo Garcia por remodelacion Obrador</t>
  </si>
  <si>
    <t>movimiento de puerta</t>
  </si>
  <si>
    <t>pagos a cuenta de total de obra</t>
  </si>
  <si>
    <t>y modificacion temporal</t>
  </si>
  <si>
    <t>por presupuesto $742,132.28</t>
  </si>
  <si>
    <t>de porton lateral</t>
  </si>
  <si>
    <t>deposito efectivo 06/01/16 en NLP</t>
  </si>
  <si>
    <t>Indiana lu 18/01/16  nlin15-05</t>
  </si>
  <si>
    <t>intercam $28,000.00</t>
  </si>
  <si>
    <t>Seaboard ju 21/01/16 nlse16-11</t>
  </si>
  <si>
    <t>Seaboard ju 21/01/16 nlse16-12</t>
  </si>
  <si>
    <t>Seaboard vi 22/01/16 nlse16-13</t>
  </si>
  <si>
    <t>Seaboard vi 22/01/16 nlse16-14</t>
  </si>
  <si>
    <t>Seaboard sa 23/01/16 nlse16-15</t>
  </si>
  <si>
    <t>Indiana sa 23/01/16  nlin16-06</t>
  </si>
  <si>
    <t>hoja + 10 lu 11 ene</t>
  </si>
  <si>
    <t>fact 738229</t>
  </si>
  <si>
    <t>ALB 26.30  R B00433</t>
  </si>
  <si>
    <t>Caña de lomo</t>
  </si>
  <si>
    <t>se factura en conjunto 409 visceras</t>
  </si>
  <si>
    <t>fact cic A11645</t>
  </si>
  <si>
    <t>20 combos</t>
  </si>
  <si>
    <t>2 combos</t>
  </si>
  <si>
    <t>fact 4047</t>
  </si>
  <si>
    <t>fact 88</t>
  </si>
  <si>
    <t>P 31.50  R B00691</t>
  </si>
  <si>
    <t>hoja + 10 ju 14 ene</t>
  </si>
  <si>
    <t>Cano</t>
  </si>
  <si>
    <t>fact 1216728</t>
  </si>
  <si>
    <t>fact 1216539</t>
  </si>
  <si>
    <t>fact 1216540</t>
  </si>
  <si>
    <t>Indiana sa 16/01/16 nlin16-04</t>
  </si>
  <si>
    <t>Kayaly</t>
  </si>
  <si>
    <t>P 31.50 R B00697</t>
  </si>
  <si>
    <t>San Fandila 12/1/16</t>
  </si>
  <si>
    <t>fact 738650</t>
  </si>
  <si>
    <t>hoja + 10.75 lu 11 ene</t>
  </si>
  <si>
    <t>hoja + 10.75 ju 14 ene</t>
  </si>
  <si>
    <t>hoja + 10 ma 12 ene</t>
  </si>
  <si>
    <t>hoja + 10.5 vi 15 ene</t>
  </si>
  <si>
    <t>hoja + 10.5 lu 18 ene</t>
  </si>
  <si>
    <t>hoja + 10.75 lu 18 ene</t>
  </si>
  <si>
    <t>hoja + 10 lu 18 ene</t>
  </si>
  <si>
    <t>hoja + 10.5 ma 19 ene</t>
  </si>
  <si>
    <t>Febrero 2016</t>
  </si>
  <si>
    <t>Contra</t>
  </si>
  <si>
    <t>Swift</t>
  </si>
  <si>
    <t>Ryc Alimentos</t>
  </si>
  <si>
    <t>nltf06-08</t>
  </si>
  <si>
    <t>nlin16-05</t>
  </si>
  <si>
    <t>nltf16-09</t>
  </si>
  <si>
    <t>nlse16-11</t>
  </si>
  <si>
    <t>nlse16-12</t>
  </si>
  <si>
    <t>nlse16-13</t>
  </si>
  <si>
    <t>nlse16-14</t>
  </si>
  <si>
    <t>nlse16-15</t>
  </si>
  <si>
    <t>hoja + 10 ju 21 ene</t>
  </si>
  <si>
    <t>hoja + 10.75 ju 21 ene</t>
  </si>
  <si>
    <t>hoja + 10.5 vi 22 ene</t>
  </si>
  <si>
    <t>hoja + 10.5 lu 25 ene</t>
  </si>
  <si>
    <t>hoja + 10.75 lu 25 ene</t>
  </si>
  <si>
    <t>hoja + 10.5 ma 26 ene</t>
  </si>
  <si>
    <t>hoja + 10 lu 25 ene</t>
  </si>
  <si>
    <t>nltf16-11</t>
  </si>
  <si>
    <t>nltf16-12</t>
  </si>
  <si>
    <t>nlin16-07</t>
  </si>
  <si>
    <t>nlin16-08</t>
  </si>
  <si>
    <t>nlse16-16</t>
  </si>
  <si>
    <t>nlse16-17</t>
  </si>
  <si>
    <t>nlse16-18</t>
  </si>
  <si>
    <t>nlse16-19</t>
  </si>
  <si>
    <t>nlse16-20</t>
  </si>
  <si>
    <t>fact 121, 129</t>
  </si>
  <si>
    <t>fact 2527, 2532</t>
  </si>
  <si>
    <t>fact 69, 80</t>
  </si>
  <si>
    <t>fact 4043, 4046</t>
  </si>
  <si>
    <t>Viansa</t>
  </si>
  <si>
    <t>Viansa  do 10/01/16</t>
  </si>
  <si>
    <t>pernil seaboard</t>
  </si>
  <si>
    <t>50 cajas</t>
  </si>
  <si>
    <t>Adams International Lu 11/1/16</t>
  </si>
  <si>
    <t xml:space="preserve">Menudo excel </t>
  </si>
  <si>
    <t>febrero 16</t>
  </si>
  <si>
    <t>Porc Soto  do 10/01/16</t>
  </si>
  <si>
    <t>Porc Soto lu 11/01/16</t>
  </si>
  <si>
    <t>Agrop La Gaby  ma 12/01/16</t>
  </si>
  <si>
    <t>Porc Soto  ma 12/01/16</t>
  </si>
  <si>
    <t>fact 7021, 7022</t>
  </si>
  <si>
    <t>680 cajas</t>
  </si>
  <si>
    <t>fact 1216905</t>
  </si>
  <si>
    <t>679 cajas</t>
  </si>
  <si>
    <t>intercam $30,000.00</t>
  </si>
  <si>
    <t>intercam $29,000.00</t>
  </si>
  <si>
    <t>fact 4053</t>
  </si>
  <si>
    <t>fact 93</t>
  </si>
  <si>
    <t>P 31.30 neto R B01012</t>
  </si>
  <si>
    <t>P 32.90 net  R B01013</t>
  </si>
  <si>
    <t>Padel</t>
  </si>
  <si>
    <t>nltf16-07 ALB</t>
  </si>
  <si>
    <t>fact 2536</t>
  </si>
  <si>
    <t>fact 95</t>
  </si>
  <si>
    <t>fact 1029</t>
  </si>
  <si>
    <t>ALB 27.80</t>
  </si>
  <si>
    <t>fact 95199731</t>
  </si>
  <si>
    <t>intercam $24,794.95</t>
  </si>
  <si>
    <t>fact 95199732</t>
  </si>
  <si>
    <t>intercam $24,129.00</t>
  </si>
  <si>
    <t>Smith Farm mi 12/01/16 nltf16-05</t>
  </si>
  <si>
    <t>Smith Farm mi 12/01/16 nltf16-06</t>
  </si>
  <si>
    <t>Smith Farm sa 16/01/16 nltf16-07</t>
  </si>
  <si>
    <t>fact 95202083</t>
  </si>
  <si>
    <t>intercam $27,036.63</t>
  </si>
  <si>
    <t>Maple Leaf  lu 18/01/16</t>
  </si>
  <si>
    <t>fact 93307992</t>
  </si>
  <si>
    <t>intercam $19,150.95</t>
  </si>
  <si>
    <t>sobran $10.01 usd descontar proximo pago</t>
  </si>
  <si>
    <t>Vectra  vi 15/01/16</t>
  </si>
  <si>
    <t>fact 7864</t>
  </si>
  <si>
    <t>intercam $47,328.00</t>
  </si>
  <si>
    <t>P 31.40 neto  R B01145</t>
  </si>
  <si>
    <t>P 31.35 neto  R B01183</t>
  </si>
  <si>
    <t>Grupo America</t>
  </si>
  <si>
    <t>fact 2527, 2526</t>
  </si>
  <si>
    <t>686 cajas</t>
  </si>
  <si>
    <t>fact 353</t>
  </si>
  <si>
    <t>Kavaly  mi 13/01/16</t>
  </si>
  <si>
    <t xml:space="preserve">menudo excel 86M </t>
  </si>
  <si>
    <t>616 cajas</t>
  </si>
  <si>
    <t>fact 826816</t>
  </si>
  <si>
    <t>Ryc Alimentos  sa 16/01/16</t>
  </si>
  <si>
    <t>contra Swift</t>
  </si>
  <si>
    <t>fact 38732</t>
  </si>
  <si>
    <t>Lengua de Res</t>
  </si>
  <si>
    <t>chilena</t>
  </si>
  <si>
    <t>20 cajas</t>
  </si>
  <si>
    <t>rem 6884</t>
  </si>
  <si>
    <t>Adams  vi 15/01/16</t>
  </si>
  <si>
    <t>lengua de res</t>
  </si>
  <si>
    <t>86 cajas</t>
  </si>
  <si>
    <t>fact 1217170</t>
  </si>
  <si>
    <t>Indiana lu 25/01/16 nlin16-07</t>
  </si>
  <si>
    <t>fact 739122</t>
  </si>
  <si>
    <t>transfer bancomer</t>
  </si>
  <si>
    <t>fact 2541</t>
  </si>
  <si>
    <t>fact 2543</t>
  </si>
  <si>
    <t>fact 2542</t>
  </si>
  <si>
    <t>Porc Soto  ju 14/01/16</t>
  </si>
  <si>
    <t>fact 92</t>
  </si>
  <si>
    <t>fact 4053, 4058</t>
  </si>
  <si>
    <t>Agrop La Gaby ju 14/01/16</t>
  </si>
  <si>
    <t>Agrop La Chemita   vi 15/01/16</t>
  </si>
  <si>
    <t>fact 2536, 2538</t>
  </si>
  <si>
    <t>fact 95, 100</t>
  </si>
  <si>
    <t>Porc Soto  vi 15/01/16</t>
  </si>
  <si>
    <t>canal quebrado</t>
  </si>
  <si>
    <t>fact 1696</t>
  </si>
  <si>
    <t>Granjero Feliz  vi 15/01/16</t>
  </si>
  <si>
    <t>fact 15134</t>
  </si>
  <si>
    <t>Grupo America  lu 18/01/16</t>
  </si>
  <si>
    <t>Agrop La Chemita  do 17/01/16</t>
  </si>
  <si>
    <t>nltf16-03</t>
  </si>
  <si>
    <t>ok cotejo con Indiana Packers</t>
  </si>
  <si>
    <t>$58,974.80 a favor 20/1/16</t>
  </si>
  <si>
    <t>fact 1218821</t>
  </si>
  <si>
    <t>fact 1218822</t>
  </si>
  <si>
    <t>Indiana sa 30/01/16 nlin16-08</t>
  </si>
  <si>
    <t>fact cic A11874</t>
  </si>
  <si>
    <t>se factura en conjunto 402 visceras</t>
  </si>
  <si>
    <t>fact 95205900</t>
  </si>
  <si>
    <t>intercam $24,854.53</t>
  </si>
  <si>
    <t>Smith Farm  mi 20/01/16 nltf16-09</t>
  </si>
  <si>
    <t>Smith Farm  mi 20/01/16 nltf16-08</t>
  </si>
  <si>
    <t>fact 95205901</t>
  </si>
  <si>
    <t>intercam $25,754.75</t>
  </si>
  <si>
    <t>Maple Leaf  ma 20/01/16</t>
  </si>
  <si>
    <t>fact 93312695</t>
  </si>
  <si>
    <t>intercam $29,257.99</t>
  </si>
  <si>
    <t>27.27 caña 55.82</t>
  </si>
  <si>
    <t>P 30 neto R B01681</t>
  </si>
  <si>
    <t>recibidos 248</t>
  </si>
  <si>
    <t>recibidos 246</t>
  </si>
  <si>
    <t>Exos</t>
  </si>
  <si>
    <t>fact 7068, 7069</t>
  </si>
  <si>
    <t>San Fandila  mi 20/01/15</t>
  </si>
  <si>
    <t>P  30.55 neto  R B01864</t>
  </si>
  <si>
    <t>fact 2546</t>
  </si>
  <si>
    <t>fact 111</t>
  </si>
  <si>
    <t>P  30.60 neto R B01983</t>
  </si>
  <si>
    <t>P 30.40  R B01984</t>
  </si>
  <si>
    <t>SE APLICAN $500 USD DE BONIFICACION DE Smith por la carga NLTF16-04</t>
  </si>
  <si>
    <t>Buche</t>
  </si>
  <si>
    <t>IBP</t>
  </si>
  <si>
    <t>Yenisei</t>
  </si>
  <si>
    <t>700 cajas</t>
  </si>
  <si>
    <t>fact 49</t>
  </si>
  <si>
    <t>Yenisei  mi 21/01/16</t>
  </si>
  <si>
    <t>buche IBP</t>
  </si>
  <si>
    <t>Porc Soto  vi 8/01/16</t>
  </si>
  <si>
    <t>merma reclamo ok</t>
  </si>
  <si>
    <t>fact 739537</t>
  </si>
  <si>
    <t>fact 113</t>
  </si>
  <si>
    <t>fact 114</t>
  </si>
  <si>
    <t>P 30.90  R</t>
  </si>
  <si>
    <t>fact 1219170</t>
  </si>
  <si>
    <t>fact 1219171</t>
  </si>
  <si>
    <t>fact 1219172</t>
  </si>
  <si>
    <t>nltf16-10 ALB</t>
  </si>
  <si>
    <t>Agrop La Chemita lu 18/01/16</t>
  </si>
  <si>
    <t>Agrop La Chemita  ju 21/1/16</t>
  </si>
  <si>
    <t>Porcicola Soto  ju 21/1/16</t>
  </si>
  <si>
    <t>Porcicola Soto vi 22/1/16</t>
  </si>
  <si>
    <t>Agrop La Chemita ma 19/01/16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</si>
  <si>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</si>
  <si>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</si>
  <si>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</si>
  <si>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</si>
  <si>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</si>
  <si>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</si>
  <si>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</si>
  <si>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</si>
  <si>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</si>
  <si>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</si>
  <si>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</si>
  <si>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</si>
  <si>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</si>
  <si>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</si>
  <si>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</si>
  <si>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</si>
  <si>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</si>
  <si>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</si>
  <si>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</si>
  <si>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</si>
  <si>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</si>
  <si>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</si>
  <si>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</si>
  <si>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</si>
  <si>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</si>
  <si>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Seaboard  sa 30/01/16 nlse16-20</t>
  </si>
  <si>
    <t>intercam $32,000.00</t>
  </si>
  <si>
    <t>Smith Farm 23/1/16  nltf16-10</t>
  </si>
  <si>
    <t>fact 95210130</t>
  </si>
  <si>
    <t>intercam $28,942.85</t>
  </si>
  <si>
    <t>29.40  ALB 29.70</t>
  </si>
  <si>
    <t>fact 130</t>
  </si>
  <si>
    <t>Porc Soto  do 24/01/16</t>
  </si>
  <si>
    <t>Seaboard vi 29/01/16 nlse16-16</t>
  </si>
  <si>
    <t>Seaboard vi 29/01/16 nlse16-17</t>
  </si>
  <si>
    <t>Seaboard sa 30/01/16 nlse16-18</t>
  </si>
  <si>
    <t>Seaboard sa 30/01/16 nlse16-19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</si>
  <si>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</si>
  <si>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</si>
  <si>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</si>
  <si>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</si>
  <si>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</si>
  <si>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</si>
  <si>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</si>
  <si>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</si>
  <si>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Indiana  sa 30/01/16 nlin16-09</t>
  </si>
  <si>
    <t>fact cic A12009</t>
  </si>
  <si>
    <t>fact 139</t>
  </si>
  <si>
    <t>P 29.90 neto  R B02405</t>
  </si>
  <si>
    <t>fact 4078</t>
  </si>
  <si>
    <t>San Fandila  mi 27/01/16</t>
  </si>
  <si>
    <t>fact 7120, 7121</t>
  </si>
  <si>
    <t>Smith Farm ma 26/01/16 nltf16-11</t>
  </si>
  <si>
    <t>Smith Farm mi 27/01/16 nltf16-12</t>
  </si>
  <si>
    <t>fact 95212774</t>
  </si>
  <si>
    <t>Intercam $26,426.57</t>
  </si>
  <si>
    <t>fact 95214243</t>
  </si>
  <si>
    <t>Intercam $27,834.77</t>
  </si>
  <si>
    <t>fact 739960</t>
  </si>
  <si>
    <t>fact 1221066</t>
  </si>
  <si>
    <t>fact 1221067</t>
  </si>
  <si>
    <t>P 29.90 neto  R B02541</t>
  </si>
  <si>
    <t>fact 4189</t>
  </si>
  <si>
    <t>matanza</t>
  </si>
  <si>
    <t>hoja + 10 ju 28 ene</t>
  </si>
  <si>
    <t>nlin16-09</t>
  </si>
  <si>
    <t>hoja + 10.5 vi 29 ene</t>
  </si>
  <si>
    <t>hoja + 10.5 lu 01 feb</t>
  </si>
  <si>
    <t>hoja + 10.75 lu 01 feb</t>
  </si>
  <si>
    <t>hoja + 10.5 ma 02 feb</t>
  </si>
  <si>
    <t>hoja + 10 lu 01 feb</t>
  </si>
  <si>
    <t>nlse16-21</t>
  </si>
  <si>
    <t>nlse16-22</t>
  </si>
  <si>
    <t>nlse16-23</t>
  </si>
  <si>
    <t>nlse16-24</t>
  </si>
  <si>
    <t>nlse16-25</t>
  </si>
  <si>
    <t>nltf16-14</t>
  </si>
  <si>
    <t>nltf16-15</t>
  </si>
  <si>
    <t>nlin16-10</t>
  </si>
  <si>
    <t>fact 7124</t>
  </si>
  <si>
    <t>Porc Paso Blanco</t>
  </si>
  <si>
    <t>fact 1683,1684</t>
  </si>
  <si>
    <t>P 30.10 neto  R B02787</t>
  </si>
  <si>
    <t>P 29.60 neto  R B02786</t>
  </si>
  <si>
    <t>ALB 29.70  R B02794</t>
  </si>
  <si>
    <t>Indiana sa 06/02/16  nlin16-10</t>
  </si>
  <si>
    <t>fact 740373</t>
  </si>
  <si>
    <t>fact 740374</t>
  </si>
  <si>
    <t>fact 1221213</t>
  </si>
  <si>
    <t>fact 1221214</t>
  </si>
  <si>
    <t>fact 1221215</t>
  </si>
  <si>
    <t>nltf16-13 ALB</t>
  </si>
  <si>
    <t>San Fandila  ju 28/01/16</t>
  </si>
  <si>
    <t>fact 1685, 1686</t>
  </si>
  <si>
    <t>P  29.40 neto  R B02981</t>
  </si>
  <si>
    <t>P 29.60 neto R B02980</t>
  </si>
  <si>
    <t>fact 2541, 2549</t>
  </si>
  <si>
    <t>fact 111, 126</t>
  </si>
  <si>
    <t>chil</t>
  </si>
  <si>
    <t>30 cajas</t>
  </si>
  <si>
    <t>Adams  lu 25/01/16</t>
  </si>
  <si>
    <t>Smithfield</t>
  </si>
  <si>
    <t>fact 1718</t>
  </si>
  <si>
    <t>Granjero Feliz  lu 25/01/16</t>
  </si>
  <si>
    <t xml:space="preserve">pernil Smithfield </t>
  </si>
  <si>
    <t>nlin16-06</t>
  </si>
  <si>
    <t>Sukarne</t>
  </si>
  <si>
    <t>623 cajas</t>
  </si>
  <si>
    <t>fact 12007</t>
  </si>
  <si>
    <t>Sukarne  sa 30/01/16</t>
  </si>
  <si>
    <t>Seaboard vi 05/02/16 nlse16-23</t>
  </si>
  <si>
    <t>Seaboard vi 05/02/16 nlse16-24</t>
  </si>
  <si>
    <t>Seaboard ju 04/02/16 nlse16-21</t>
  </si>
  <si>
    <t>Seaboard ju 04/02/16 nlse16-22</t>
  </si>
  <si>
    <t>Seaboard sa 06/02/16 nlse16-25</t>
  </si>
  <si>
    <t>fact 1690</t>
  </si>
  <si>
    <t>Smith Farm sa 30/01/16 nltf16-13</t>
  </si>
  <si>
    <t>fact 95218238</t>
  </si>
  <si>
    <t>intercam $28,152.69</t>
  </si>
  <si>
    <t>fact 173</t>
  </si>
  <si>
    <t>DEUDA AL CIERRE DEL 31 DE ENRO 2016</t>
  </si>
  <si>
    <t>NLSE16-26</t>
  </si>
  <si>
    <t>NLSE16-27</t>
  </si>
  <si>
    <t>NLSE16-28</t>
  </si>
  <si>
    <t>NLSE16-29</t>
  </si>
  <si>
    <t>NLSE16-30</t>
  </si>
  <si>
    <t>NLSE16-31</t>
  </si>
  <si>
    <t>NLSE16-32</t>
  </si>
  <si>
    <t>NLSE16-33</t>
  </si>
  <si>
    <t>NLSE16-34</t>
  </si>
  <si>
    <t>NLSE16-35</t>
  </si>
  <si>
    <t>NLSE16-36</t>
  </si>
  <si>
    <t>Porc Soto lu 25/01/16</t>
  </si>
  <si>
    <t>fact 139, 156</t>
  </si>
  <si>
    <t>Agrop La Gaby  ma 26/01/16</t>
  </si>
  <si>
    <t>fact 4078, 4092</t>
  </si>
  <si>
    <t>Porc Paso Blanco  ju 28/01/16</t>
  </si>
  <si>
    <t>fact 1683</t>
  </si>
  <si>
    <t>fact 1684, 1688</t>
  </si>
  <si>
    <t>Porc Paso Blanco  vi 29/01/16</t>
  </si>
  <si>
    <t>fact 1686</t>
  </si>
  <si>
    <t>fact 1685</t>
  </si>
  <si>
    <t>fact 39086</t>
  </si>
  <si>
    <t>P 29.60 neto  R B03120</t>
  </si>
  <si>
    <t>Seaboard ju 11/02/16  nlse16-26</t>
  </si>
  <si>
    <t>Seaboard ju 11/02/16  nlse16-27</t>
  </si>
  <si>
    <t>Seaboard vi 12/02/16  nlse16-28</t>
  </si>
  <si>
    <t>Seaboard vi 12/02/16  nlse16-29</t>
  </si>
  <si>
    <t>Intercam $31,000.00</t>
  </si>
  <si>
    <t>P 28.80  R B03573</t>
  </si>
  <si>
    <t>P 29.20  R B03576</t>
  </si>
  <si>
    <t>San Fandila  mi 03/02/16</t>
  </si>
  <si>
    <t>fact 1692</t>
  </si>
  <si>
    <t>fact 7188, 7189</t>
  </si>
  <si>
    <t>fact cic A12281</t>
  </si>
  <si>
    <t>se facturan en conjunto 396 visceras de los dos dias</t>
  </si>
  <si>
    <t>Seaboard sa 13/02/16  nlse16-30</t>
  </si>
  <si>
    <t>Indiana  sa 13/02/16  nlin16-12</t>
  </si>
  <si>
    <t>Seaboard vi 12/02/16  nlcong16-01</t>
  </si>
  <si>
    <t>fact 1223453</t>
  </si>
  <si>
    <t>fact 1223454</t>
  </si>
  <si>
    <t>fact 1223221</t>
  </si>
  <si>
    <t>fact 1223220</t>
  </si>
  <si>
    <t>nltf16-16 ALB</t>
  </si>
  <si>
    <t>P 28.90 neto  R B03700</t>
  </si>
  <si>
    <t>P 29.60 neto  R B03701</t>
  </si>
  <si>
    <t>ALB 29.70  R  B03703</t>
  </si>
  <si>
    <t>NLCONG16-01</t>
  </si>
  <si>
    <t>fact 1223570</t>
  </si>
  <si>
    <t>fact 178, 183</t>
  </si>
  <si>
    <t>nlin16-02</t>
  </si>
  <si>
    <t>nlin16-04</t>
  </si>
  <si>
    <t>fact 741181</t>
  </si>
  <si>
    <t>fact 189,190</t>
  </si>
  <si>
    <t>Intercam $45,000.00</t>
  </si>
  <si>
    <t>P 28.90 neto R B04031</t>
  </si>
  <si>
    <t>P 28.90 neto R B04030</t>
  </si>
  <si>
    <t>fact 15252</t>
  </si>
  <si>
    <t>Grupo America  ma 02/02/16</t>
  </si>
  <si>
    <t>hoja + 10 ju 04 feb</t>
  </si>
  <si>
    <t>hoja + 10.75 ju 04 feb</t>
  </si>
  <si>
    <t>hoja + 10 ju 04 ene</t>
  </si>
  <si>
    <t>hoja + 10.5 vi 05 feb</t>
  </si>
  <si>
    <t>hoja + 10.5 lu 08 feb</t>
  </si>
  <si>
    <t>hoja + 10.75 lu 08 feb</t>
  </si>
  <si>
    <t>hoja + 10.5 ma 09 feb</t>
  </si>
  <si>
    <t>hoja + 10 lu 08 feb</t>
  </si>
  <si>
    <t>nl16-17</t>
  </si>
  <si>
    <t>nlin16-11</t>
  </si>
  <si>
    <t>nlse16-26</t>
  </si>
  <si>
    <t>nlse16-27</t>
  </si>
  <si>
    <t>nlse16-28</t>
  </si>
  <si>
    <t>nlse16-29</t>
  </si>
  <si>
    <t>nlse16-30</t>
  </si>
  <si>
    <t>nlin16-12</t>
  </si>
  <si>
    <t>nl16-19</t>
  </si>
  <si>
    <t>Indiana ma 09/02/16 nlin16-11</t>
  </si>
  <si>
    <t>Smith Farm  ju 04/02/16 nltf16-14</t>
  </si>
  <si>
    <t>Smith Farm  ju 04/02/16 nltf16-15</t>
  </si>
  <si>
    <t>fact 95222543</t>
  </si>
  <si>
    <t>intercam $28,096.72</t>
  </si>
  <si>
    <t>fact 95222542</t>
  </si>
  <si>
    <t>intercam $27,722.89</t>
  </si>
  <si>
    <t>transfer Bancomer</t>
  </si>
  <si>
    <t>fact cic A12410</t>
  </si>
  <si>
    <t>fact 202</t>
  </si>
  <si>
    <t>Agrop Las Reses</t>
  </si>
  <si>
    <t>fact 5258</t>
  </si>
  <si>
    <t>Smith Farm  sa 06/02/16 nltf16-16</t>
  </si>
  <si>
    <t>fact 95225692</t>
  </si>
  <si>
    <t>Intercam $28,413.09</t>
  </si>
  <si>
    <t>Smith Farm ma 09/02/16 nl16-17</t>
  </si>
  <si>
    <t>fact 95228860</t>
  </si>
  <si>
    <t>intercam $28,657.82</t>
  </si>
  <si>
    <t>fact 95230548</t>
  </si>
  <si>
    <t>Smith Farm ju 11/02/16 nl16-19</t>
  </si>
  <si>
    <t>intercam $28,040.37</t>
  </si>
  <si>
    <t>fact 741622</t>
  </si>
  <si>
    <t>fact 4120</t>
  </si>
  <si>
    <t>deposito efectivo 05/02/16 en NLP</t>
  </si>
  <si>
    <t>fact 1006</t>
  </si>
  <si>
    <t>pagan en una transfer el 28/1/16 la A11483 y A11874</t>
  </si>
  <si>
    <t>Porc Paso Blanco  do 31/01/16</t>
  </si>
  <si>
    <t>hoja + 10 ju 11 feb</t>
  </si>
  <si>
    <t>hoja + 10.75 ju 11 feb</t>
  </si>
  <si>
    <t>nlin16-13</t>
  </si>
  <si>
    <t>hoja + 10.5 vi 12 feb</t>
  </si>
  <si>
    <t>hoja + 10.75 lu 15 feb</t>
  </si>
  <si>
    <t>hoja + 10.5 ma 16 feb</t>
  </si>
  <si>
    <t>hoja + 10 lu 15 feb</t>
  </si>
  <si>
    <t>Marzo 2016</t>
  </si>
  <si>
    <t>hoja + 10 ju 18 feb</t>
  </si>
  <si>
    <t>hoja + 10.75 ju 18 feb</t>
  </si>
  <si>
    <t>hoja + 10.5 vi 19 feb</t>
  </si>
  <si>
    <t>hoja + 10.5 lu 22 feb</t>
  </si>
  <si>
    <t>hoja + 10.5 ma 23 feb</t>
  </si>
  <si>
    <t>hoja + 10 lu 22 feb</t>
  </si>
  <si>
    <t>hoja + 10 ju 25 feb</t>
  </si>
  <si>
    <t>hoja + 10.75 ju 25 feb</t>
  </si>
  <si>
    <t>nl16-21</t>
  </si>
  <si>
    <t>nl16-22</t>
  </si>
  <si>
    <t>nlse16-31</t>
  </si>
  <si>
    <t>nlse16-32</t>
  </si>
  <si>
    <t>nlse16-33</t>
  </si>
  <si>
    <t>nlse16-34</t>
  </si>
  <si>
    <t>nlse16-35</t>
  </si>
  <si>
    <t>Peso recibo real</t>
  </si>
  <si>
    <t>Porc Soto  lu 01/02/16</t>
  </si>
  <si>
    <t>Porc Paso Blanco  ma 02/02/16</t>
  </si>
  <si>
    <t>Indiana  lu 15/02/16  nlin16-13</t>
  </si>
  <si>
    <t xml:space="preserve">Porc Soto  ju  04/02/16 </t>
  </si>
  <si>
    <t>fact 178</t>
  </si>
  <si>
    <t>fact 183</t>
  </si>
  <si>
    <t>Porc Soto vi 05/02/16</t>
  </si>
  <si>
    <t>fact 190</t>
  </si>
  <si>
    <t>fact 189</t>
  </si>
  <si>
    <t>fact 1692, 1715</t>
  </si>
  <si>
    <t>fact 173, 199</t>
  </si>
  <si>
    <t>San Fandila  mi 10/02/16</t>
  </si>
  <si>
    <t>hoja + 10 vi 12 feb</t>
  </si>
  <si>
    <t>P 28.95 neto  R B04366</t>
  </si>
  <si>
    <t>P 29.0 neto R B04368</t>
  </si>
  <si>
    <t>fact 7244, 7245</t>
  </si>
  <si>
    <t>Sesos copa</t>
  </si>
  <si>
    <t>Nana</t>
  </si>
  <si>
    <t>Corbata al vacio</t>
  </si>
  <si>
    <t>nlcong16-01</t>
  </si>
  <si>
    <t>Cargas de pernil con problemas en frontera, sin declarar su entrada por frontera para NLP</t>
  </si>
  <si>
    <t>ma 02/02/16</t>
  </si>
  <si>
    <t>FECHA</t>
  </si>
  <si>
    <t>REFERENCIA</t>
  </si>
  <si>
    <t>FACTURA</t>
  </si>
  <si>
    <t>MONTO EN USD</t>
  </si>
  <si>
    <t>MARCA</t>
  </si>
  <si>
    <t>nltf16-16</t>
  </si>
  <si>
    <t>nltf16-17</t>
  </si>
  <si>
    <t>lu  08/02/16</t>
  </si>
  <si>
    <t>vi  05/02/16</t>
  </si>
  <si>
    <t>mi 03/02/16</t>
  </si>
  <si>
    <t xml:space="preserve">Seaboard </t>
  </si>
  <si>
    <t>ju  04/02/16</t>
  </si>
  <si>
    <t>300 cajas</t>
  </si>
  <si>
    <t>146 cajas</t>
  </si>
  <si>
    <t>108 cajas</t>
  </si>
  <si>
    <t>909 cajas</t>
  </si>
  <si>
    <t>Flores Enr</t>
  </si>
  <si>
    <t>fact 1729</t>
  </si>
  <si>
    <t>fact 1728</t>
  </si>
  <si>
    <t>P 28.80 neto  R 04580</t>
  </si>
  <si>
    <t>P 29.0 neto R B04581</t>
  </si>
  <si>
    <t>ALB 30.90  R B04752</t>
  </si>
  <si>
    <t>fact 2576, 2577</t>
  </si>
  <si>
    <t>P 29.10 neto  R B04751</t>
  </si>
  <si>
    <t xml:space="preserve">Sanchez </t>
  </si>
  <si>
    <t>Seaboard  ju 18/02/16  nlse16-31</t>
  </si>
  <si>
    <t>Seaboard  ju 18/02/16  nlse16-32</t>
  </si>
  <si>
    <t>Seaboard  vi 19/02/16  nlse16-33</t>
  </si>
  <si>
    <t>Seaboard  vi 19/02/16  nlse16-34</t>
  </si>
  <si>
    <t>intercam $35,000.00</t>
  </si>
  <si>
    <t>Indiana sa 20/02/16  nlin16-14</t>
  </si>
  <si>
    <t>Seaboard  sa 20/02/16  nlse16-35</t>
  </si>
  <si>
    <t>fact 742464</t>
  </si>
  <si>
    <t>fact 741841</t>
  </si>
  <si>
    <t>se 51.49 bu 25.33 na 37.80 co 34</t>
  </si>
  <si>
    <t>fact 1225088</t>
  </si>
  <si>
    <t>fact 1225089</t>
  </si>
  <si>
    <t>fact 1225323</t>
  </si>
  <si>
    <t>fact 1225457</t>
  </si>
  <si>
    <t>fact 1225815</t>
  </si>
  <si>
    <t>fact 1225322</t>
  </si>
  <si>
    <t>Smith Farm sa 13/02/16 nl16-20</t>
  </si>
  <si>
    <t>fact 95232944</t>
  </si>
  <si>
    <t>intercam $27,774.33</t>
  </si>
  <si>
    <t>nl16-20 ALB</t>
  </si>
  <si>
    <t>P 29.10 neto  R B04887</t>
  </si>
  <si>
    <t>Indiana  lu 22/02/16 nlin16-15</t>
  </si>
  <si>
    <t>Indiana  sa 27/02/16 nlin16-16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</si>
  <si>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</si>
  <si>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</si>
  <si>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</si>
  <si>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</si>
  <si>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</si>
  <si>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</si>
  <si>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</si>
  <si>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</si>
  <si>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</si>
  <si>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P 28.30  neto  R B05219</t>
  </si>
  <si>
    <t>nl16-23</t>
  </si>
  <si>
    <t>nl16-24</t>
  </si>
  <si>
    <t>nl16-25</t>
  </si>
  <si>
    <t>hoja + 10 vi 19 feb</t>
  </si>
  <si>
    <t>nlin16-14</t>
  </si>
  <si>
    <t>ALB 30.80</t>
  </si>
  <si>
    <t>San Fandila  mi 17/02/16</t>
  </si>
  <si>
    <t>fact cic A12634</t>
  </si>
  <si>
    <t>fact 7305, 7306</t>
  </si>
  <si>
    <t>nlin16-15</t>
  </si>
  <si>
    <t>Seaboard ju 25/02/16  nlse16-36</t>
  </si>
  <si>
    <t>Seaboard ju 25/02/16  nlse16-37</t>
  </si>
  <si>
    <t>Seaboard vi 26/02/16  nlse16-38</t>
  </si>
  <si>
    <t>Seaboard vi 26/02/16  nlse16-39</t>
  </si>
  <si>
    <t>Agrop Chem y Soto</t>
  </si>
  <si>
    <t>fact 2580 y 212</t>
  </si>
  <si>
    <t>fact 4134</t>
  </si>
  <si>
    <t>fact 213</t>
  </si>
  <si>
    <t>nlse16-36</t>
  </si>
  <si>
    <t>nlse16-37</t>
  </si>
  <si>
    <t>nlse16-38</t>
  </si>
  <si>
    <t>nlse16-39</t>
  </si>
  <si>
    <t>nlse16-40</t>
  </si>
  <si>
    <t>fact 4148</t>
  </si>
  <si>
    <t>fact 1745</t>
  </si>
  <si>
    <t>fact 1746</t>
  </si>
  <si>
    <t>fact 1759</t>
  </si>
  <si>
    <t>P 28.20 neto  R B05437</t>
  </si>
  <si>
    <t>P 28.30 neto  R B05438</t>
  </si>
  <si>
    <t>P 29.15 neto  R  B05439</t>
  </si>
  <si>
    <t xml:space="preserve">Porc Soto  do 07/02/16 </t>
  </si>
  <si>
    <t>fact 202, 209</t>
  </si>
  <si>
    <t>Agrop Las Reses  lu 08/02/16</t>
  </si>
  <si>
    <t>fact 5258, 5266</t>
  </si>
  <si>
    <t>Agrop La Gaby  ma 09/02/16</t>
  </si>
  <si>
    <t>fact 4120, 4132</t>
  </si>
  <si>
    <t>Porc Paso Blanco  ju 11/02/16</t>
  </si>
  <si>
    <t>fact 1729, 1735</t>
  </si>
  <si>
    <t>Agrop La Chemita vi 13/02/16</t>
  </si>
  <si>
    <t>fact 2578</t>
  </si>
  <si>
    <t>fact 2576, 2579</t>
  </si>
  <si>
    <t>fact 1228061</t>
  </si>
  <si>
    <t>fact 1227551</t>
  </si>
  <si>
    <t>fact 1227552</t>
  </si>
  <si>
    <t>fact 1227553</t>
  </si>
  <si>
    <t>fact 1227554</t>
  </si>
  <si>
    <t>fact 742697</t>
  </si>
  <si>
    <t>mi 17/02/16</t>
  </si>
  <si>
    <t>vi 12/02/16</t>
  </si>
  <si>
    <t>nise16-30</t>
  </si>
  <si>
    <t>nl16-20</t>
  </si>
  <si>
    <t>lu 15/02/16</t>
  </si>
  <si>
    <t>ma 16/02/16</t>
  </si>
  <si>
    <t>ju 18/02/16</t>
  </si>
  <si>
    <t>DIFERENCIA</t>
  </si>
  <si>
    <t>vi 19/02/16</t>
  </si>
  <si>
    <t>TOTAL A COMPENSAR</t>
  </si>
  <si>
    <t>P 28.90 neto  R B05746</t>
  </si>
  <si>
    <t>P 28.40 neto R B05747</t>
  </si>
  <si>
    <t>marzo 16</t>
  </si>
  <si>
    <t>fact 212, 225</t>
  </si>
  <si>
    <t>Agrop La Chemita  do 14/02/16</t>
  </si>
  <si>
    <t>Porc Soto  do 14/02/16</t>
  </si>
  <si>
    <t>fact 2580, 2596</t>
  </si>
  <si>
    <t>Agrop La Gaby  lu 15/02/16</t>
  </si>
  <si>
    <t>Porc Soto  ma 16/02/16</t>
  </si>
  <si>
    <t>Porc Paso Blanco  ju 18/02/16</t>
  </si>
  <si>
    <t>Agrop La Gaby  ju 18/02/16</t>
  </si>
  <si>
    <t>fact 4148, 4153</t>
  </si>
  <si>
    <t>Porc Paso Blanco  vi 19/02/16</t>
  </si>
  <si>
    <t>fact 1759, 1767</t>
  </si>
  <si>
    <t>Smith Farm  mi 17/05/16 nl16-22</t>
  </si>
  <si>
    <t>fact 95237832</t>
  </si>
  <si>
    <t>Intercam $27,071.04</t>
  </si>
  <si>
    <t>Smith Farm  sa 20/02/16 nl16-23</t>
  </si>
  <si>
    <t>fact 95242088</t>
  </si>
  <si>
    <t>intercam $26,753.96</t>
  </si>
  <si>
    <t>nl16-23  ALB</t>
  </si>
  <si>
    <t>Seaboard  sa 27/02/16 nlse16-40</t>
  </si>
  <si>
    <t>Indiana  lu 29/02/16  nlin16-17</t>
  </si>
  <si>
    <t>Seaboard  ju 03/03/16 nlse16-41</t>
  </si>
  <si>
    <t>Seaboard  ju 03/03/16 nlse16-42</t>
  </si>
  <si>
    <t>Seaboard  vi 04/03/16 nlse16-43</t>
  </si>
  <si>
    <t>Seaboard  vi 04/03/16 nlse16-44</t>
  </si>
  <si>
    <t>Indiana  sa 05/03/16  nlin16-18</t>
  </si>
  <si>
    <t>ALB $29.6</t>
  </si>
  <si>
    <t>29.98, ALB 29.60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</si>
  <si>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</si>
  <si>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</si>
  <si>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</si>
  <si>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</si>
  <si>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</si>
  <si>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</si>
  <si>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</si>
  <si>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</si>
  <si>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</si>
  <si>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</si>
  <si>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</si>
  <si>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lu 22/02/16</t>
  </si>
  <si>
    <t>nl16-26</t>
  </si>
  <si>
    <t>nl16-27</t>
  </si>
  <si>
    <t>nl16-28</t>
  </si>
  <si>
    <t>nl16-29</t>
  </si>
  <si>
    <t>vi 26/02/16</t>
  </si>
  <si>
    <t>lu 29/02/16</t>
  </si>
  <si>
    <t>ma 28/02/16</t>
  </si>
  <si>
    <t>vi 29/02/16</t>
  </si>
  <si>
    <t>nlse16-41</t>
  </si>
  <si>
    <t>nlse16-42</t>
  </si>
  <si>
    <t>nlse16-43</t>
  </si>
  <si>
    <t>nlse16-44</t>
  </si>
  <si>
    <t>nlse16-45</t>
  </si>
  <si>
    <t>nlse16-46</t>
  </si>
  <si>
    <t>nlse16-47</t>
  </si>
  <si>
    <t>nl16-30</t>
  </si>
  <si>
    <t>nl16-31</t>
  </si>
  <si>
    <t>nl16-32</t>
  </si>
  <si>
    <t>nl16-33</t>
  </si>
  <si>
    <t>nl16-34</t>
  </si>
  <si>
    <t>nlin16-16</t>
  </si>
  <si>
    <t>nlin16-17</t>
  </si>
  <si>
    <t>nlin16-18</t>
  </si>
  <si>
    <t>fact 5279, 5280</t>
  </si>
  <si>
    <t>Agrop Topete y Reses</t>
  </si>
  <si>
    <t>fact 4245, 5281</t>
  </si>
  <si>
    <t>P 28.50 neto  R B05974</t>
  </si>
  <si>
    <t>Porc San Bernardo</t>
  </si>
  <si>
    <t>fact 1779</t>
  </si>
  <si>
    <t>fact 1783</t>
  </si>
  <si>
    <t>hoja + 10.75 vi 19 feb</t>
  </si>
  <si>
    <t>P 28.55 neto  R  B06095</t>
  </si>
  <si>
    <t>fact 743534</t>
  </si>
  <si>
    <t>ma 23/2/16</t>
  </si>
  <si>
    <t>Smith Farm ma 23/02/16 nl16-24</t>
  </si>
  <si>
    <t>fact 95244503</t>
  </si>
  <si>
    <t>intercam $26,507.10</t>
  </si>
  <si>
    <t>Smith Farm ma 23/02/16 nl16-25</t>
  </si>
  <si>
    <t>fact 95246908</t>
  </si>
  <si>
    <t>intercam $25,393.92</t>
  </si>
  <si>
    <t>Smith Farm sa 27/02/16 nl16-26</t>
  </si>
  <si>
    <t>fact 95249080</t>
  </si>
  <si>
    <t>intercam $26,686.62</t>
  </si>
  <si>
    <t>San Fandila  mi 24/02/16</t>
  </si>
  <si>
    <t>fact 7362, 7363</t>
  </si>
  <si>
    <t>hoja + 10.5 vi 26 feb</t>
  </si>
  <si>
    <t>hoja + 10.5 lu 29 feb</t>
  </si>
  <si>
    <t>hoja + 10.5 ma 01 mar</t>
  </si>
  <si>
    <t>hoja + 10 lu 29 feb</t>
  </si>
  <si>
    <t>fact cic A12775</t>
  </si>
  <si>
    <t>mi 24/02/16</t>
  </si>
  <si>
    <t>ju 25/02/16</t>
  </si>
  <si>
    <t>fact 7632, 7633</t>
  </si>
  <si>
    <t>factura 4 pagada por transfer CIC</t>
  </si>
  <si>
    <t>fact 1229781</t>
  </si>
  <si>
    <t>fact 1229782</t>
  </si>
  <si>
    <t>Agrop E Topete</t>
  </si>
  <si>
    <t>fact 5289</t>
  </si>
  <si>
    <t>fact 4254</t>
  </si>
  <si>
    <t>P 28.80 neto  R B06359</t>
  </si>
  <si>
    <t>P 28.80 neto  R  B06361</t>
  </si>
  <si>
    <t>fact 743306</t>
  </si>
  <si>
    <t>Agrop El Topete</t>
  </si>
  <si>
    <t>fact 4256</t>
  </si>
  <si>
    <t>fact 5295, 5296</t>
  </si>
  <si>
    <t>Seaboard  sa 06/03/16 nlse16-45</t>
  </si>
  <si>
    <t>fact 4263</t>
  </si>
  <si>
    <t>P 28.70 neto  R B06624</t>
  </si>
  <si>
    <t>P 29.0 neto  R B06508</t>
  </si>
  <si>
    <t>ALB 28.75</t>
  </si>
  <si>
    <t>fact 1230299</t>
  </si>
  <si>
    <t>fact 1230134</t>
  </si>
  <si>
    <t>fact 1230300</t>
  </si>
  <si>
    <t>fact 744090</t>
  </si>
  <si>
    <t>vi 04/03/16</t>
  </si>
  <si>
    <t>28.43  ALB 28.75</t>
  </si>
  <si>
    <t>abono de $250,000</t>
  </si>
  <si>
    <t>abono $621,495.15</t>
  </si>
  <si>
    <t>fact 4270</t>
  </si>
  <si>
    <t>nl16-26  ALB</t>
  </si>
  <si>
    <t>NLSE16-46</t>
  </si>
  <si>
    <t>NLSE16-47</t>
  </si>
  <si>
    <t>P28.30 neto  R B06968</t>
  </si>
  <si>
    <t>P 28.40 neto  R B06861</t>
  </si>
  <si>
    <t>fact 4272</t>
  </si>
  <si>
    <t>fact cic A13149</t>
  </si>
  <si>
    <t>fact 7433, 7434</t>
  </si>
  <si>
    <t>P 28.25  R B07083</t>
  </si>
  <si>
    <t>P 28.90  R B07223</t>
  </si>
  <si>
    <t>mi 02/03/16</t>
  </si>
  <si>
    <t>ju 03/03/16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</si>
  <si>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</si>
  <si>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</si>
  <si>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</si>
  <si>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</si>
  <si>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</si>
  <si>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</si>
  <si>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</si>
  <si>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</si>
  <si>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</si>
  <si>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</si>
  <si>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</si>
  <si>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Agrop El Topete  do 21/02/16</t>
  </si>
  <si>
    <t>fact 4245</t>
  </si>
  <si>
    <t>Agrop Las Reses do 21/02/16</t>
  </si>
  <si>
    <t>fact 5281 y 5299</t>
  </si>
  <si>
    <t>Porc San Bernardo ma 23/02/16</t>
  </si>
  <si>
    <t>Agrop Las Reses lu 22/02/16</t>
  </si>
  <si>
    <t>fact 1779, 1794</t>
  </si>
  <si>
    <t>Smith Farm ma 01/03/16  nl16-27</t>
  </si>
  <si>
    <t>fact 95253018</t>
  </si>
  <si>
    <t>intercam $25,276.86</t>
  </si>
  <si>
    <t>Grop El Topete  ju 25/2/16</t>
  </si>
  <si>
    <t>Agrop Las Reses  ju 25/02/16</t>
  </si>
  <si>
    <t>Agrop Las Reses  vi 26/02/16</t>
  </si>
  <si>
    <t>Agrop El Topete  vi 26/02/16</t>
  </si>
  <si>
    <t>fact 4256, 4258</t>
  </si>
  <si>
    <t>Agrop El Topete  do 28/02/16</t>
  </si>
  <si>
    <t>Agrop El Topete  lu 29/02/16</t>
  </si>
  <si>
    <t>deuda al 29 de febrero de 2016</t>
  </si>
  <si>
    <t xml:space="preserve">San Fandila mi 02/03/16 </t>
  </si>
  <si>
    <t>Seaboard  sa 12/03/16 nlse16-49</t>
  </si>
  <si>
    <t>Indiana lu 14/03/16  nlin16-19</t>
  </si>
  <si>
    <t>intercam $28,500.00</t>
  </si>
  <si>
    <t>abono $621,495.15; saldo 01/03/16</t>
  </si>
  <si>
    <t>29/02/2016 abono $250,000; saldo 01/03/16</t>
  </si>
  <si>
    <t>Indiana sa 12/03/15  nlin16-20</t>
  </si>
  <si>
    <t>fact 744342</t>
  </si>
  <si>
    <t>hoja + 10.75 vi 26 feb</t>
  </si>
  <si>
    <t>fact 1232468</t>
  </si>
  <si>
    <t>fact 1232037</t>
  </si>
  <si>
    <t>fact 1232038</t>
  </si>
  <si>
    <t>fact 1232039</t>
  </si>
  <si>
    <t>fact 1232040</t>
  </si>
  <si>
    <t>Smith Farm mi 02/03/16  nl16-28</t>
  </si>
  <si>
    <t>fact 95253964</t>
  </si>
  <si>
    <t>intercam $25,532.79</t>
  </si>
  <si>
    <t>fact 4279</t>
  </si>
  <si>
    <t>fact 1803</t>
  </si>
  <si>
    <t>fact 1806</t>
  </si>
  <si>
    <t>fact 1808</t>
  </si>
  <si>
    <t>P 28.70</t>
  </si>
  <si>
    <t>P 28.60   R B07462</t>
  </si>
  <si>
    <t>nl16-35</t>
  </si>
  <si>
    <t>Seaboard  ju 11/03/16 nlse16-46</t>
  </si>
  <si>
    <t>Seaboard  ju 11/03/16 nlse16-47</t>
  </si>
  <si>
    <t>Seaboard  vi 12/03/16 nlse16-48</t>
  </si>
  <si>
    <t>Seaboard ju 17/03/16 nlse16-50</t>
  </si>
  <si>
    <t>Intercam $27,500.00</t>
  </si>
  <si>
    <t>nlin16-19</t>
  </si>
  <si>
    <t>nlse16-48</t>
  </si>
  <si>
    <t>nlse16-49</t>
  </si>
  <si>
    <t>hoja + 10 ju 3 mar</t>
  </si>
  <si>
    <t>hoja + 10.75 ju 3 mar</t>
  </si>
  <si>
    <t>hoja + 10.5 vi 4 mar</t>
  </si>
  <si>
    <t>hoja + 10.5 lu 7 mar</t>
  </si>
  <si>
    <t>hoja + 10.75 lu 7 mar</t>
  </si>
  <si>
    <t>hoja + 10.5 ma 8 mar</t>
  </si>
  <si>
    <t>hoja + 10 lu 7 mar</t>
  </si>
  <si>
    <t>nlin16-20</t>
  </si>
  <si>
    <t>fact 745004</t>
  </si>
  <si>
    <t>mi 09/03/16</t>
  </si>
  <si>
    <t>lu 07/03/16</t>
  </si>
  <si>
    <t>Agrop Topete/Chemita</t>
  </si>
  <si>
    <t>fact 4285 y 2633</t>
  </si>
  <si>
    <t>fact 2634</t>
  </si>
  <si>
    <t>P 28.60  R B07787</t>
  </si>
  <si>
    <t>P 28.70  R B07793</t>
  </si>
  <si>
    <t>San Fandila  mi 09/03/16</t>
  </si>
  <si>
    <t>fact cic A13256</t>
  </si>
  <si>
    <t>ma 08/03/16</t>
  </si>
  <si>
    <t>Agrop El Topete  ju 25/2/16</t>
  </si>
  <si>
    <t>Seaboard ju 17/03/16 nlse16-51</t>
  </si>
  <si>
    <t>Seaboard vi 18/03/16 nlse16-52</t>
  </si>
  <si>
    <t>Seaboard vi 18/03/16 nlse16-53</t>
  </si>
  <si>
    <t>Seaboard vi 18/03/16 nlse16-54</t>
  </si>
  <si>
    <t>Indiana  ma 15/03/16  nlin16-21</t>
  </si>
  <si>
    <t>Indiana sa 19/03/16  nlin16-22</t>
  </si>
  <si>
    <t>Indiana sa 19/03/16  nlin16-23</t>
  </si>
  <si>
    <t xml:space="preserve">fact 7478 y 7479  </t>
  </si>
  <si>
    <t>fact 7478 y 7479</t>
  </si>
  <si>
    <t>fact 4289</t>
  </si>
  <si>
    <t>fact 1824</t>
  </si>
  <si>
    <t>fact 1823</t>
  </si>
  <si>
    <t>P 28.70  R B08210</t>
  </si>
  <si>
    <t>P 28.90  R B08211</t>
  </si>
  <si>
    <t>P 29.35  R B08226</t>
  </si>
  <si>
    <t>vi 11/03/16</t>
  </si>
  <si>
    <t>fact 210</t>
  </si>
  <si>
    <t>fact 212</t>
  </si>
  <si>
    <t>Agrop El Topete ju 03/03/16</t>
  </si>
  <si>
    <t>fact 4279, 4284</t>
  </si>
  <si>
    <t>fact 1803, 1817</t>
  </si>
  <si>
    <t>Porc San Bernardo ju 03/03/16</t>
  </si>
  <si>
    <t>Porc San Bernardo vi 04/03/16</t>
  </si>
  <si>
    <t>Seaboard sa 19/03/16 nlse16-55</t>
  </si>
  <si>
    <t>fact 1234130</t>
  </si>
  <si>
    <t>fact 1234131</t>
  </si>
  <si>
    <t>fact 1234132</t>
  </si>
  <si>
    <t>fact 1234686</t>
  </si>
  <si>
    <t>fact 745417</t>
  </si>
  <si>
    <t>Smith Farm ma 8/3/16 nl16-30</t>
  </si>
  <si>
    <t>fact 95263150</t>
  </si>
  <si>
    <t>intercam $26,469.51</t>
  </si>
  <si>
    <t>Smith Farm mi 09/3/16 nl16-31</t>
  </si>
  <si>
    <t>fact 95264811</t>
  </si>
  <si>
    <t>intercam $26,780.29</t>
  </si>
  <si>
    <t>Smith Farm  sa 12/03/16 nl16-32</t>
  </si>
  <si>
    <t>fact 95268727</t>
  </si>
  <si>
    <t>intercam $26,773.84</t>
  </si>
  <si>
    <t>nlin16-21</t>
  </si>
  <si>
    <t>nlse16-50</t>
  </si>
  <si>
    <t>nlse16-51</t>
  </si>
  <si>
    <t>nlse16-52</t>
  </si>
  <si>
    <t>nlse16-53</t>
  </si>
  <si>
    <t>nlse16-54</t>
  </si>
  <si>
    <t>nlin16-22</t>
  </si>
  <si>
    <t>nlin16-23</t>
  </si>
  <si>
    <t>Cuero belly cong</t>
  </si>
  <si>
    <t>nlse16-55</t>
  </si>
  <si>
    <t>Promedio de precio combos dela semana 28.23</t>
  </si>
  <si>
    <t>fact 4301</t>
  </si>
  <si>
    <t>P 29.25  R B08624</t>
  </si>
  <si>
    <t>P 29.20  R B08625</t>
  </si>
  <si>
    <t>LU 14/03/16</t>
  </si>
  <si>
    <t>NLSE16-59</t>
  </si>
  <si>
    <t>NLSE16-60</t>
  </si>
  <si>
    <t>intercam $29,500.00</t>
  </si>
  <si>
    <t>Seaboard mi 23/03/16  nlse16-56</t>
  </si>
  <si>
    <t>Seaboard mi 23/03/16  nlse16-57</t>
  </si>
  <si>
    <t>Seaboard ju 24/03/16  nlse16-58</t>
  </si>
  <si>
    <t>Indiana mi 23/03/16  nlin16-24</t>
  </si>
  <si>
    <t>nl16-36</t>
  </si>
  <si>
    <t>fact 1838 y 4314</t>
  </si>
  <si>
    <t>ma 15/03/16</t>
  </si>
  <si>
    <t>fact 745858</t>
  </si>
  <si>
    <t>San Bernardo y Topete</t>
  </si>
  <si>
    <t>fact 1838, 4313</t>
  </si>
  <si>
    <t>fact 1236397</t>
  </si>
  <si>
    <t>fact 1236398</t>
  </si>
  <si>
    <t>Abril 2016</t>
  </si>
  <si>
    <t>P 29 neto R B08866</t>
  </si>
  <si>
    <t>P 28.90 neto R B08867</t>
  </si>
  <si>
    <t>fact cic A13463</t>
  </si>
  <si>
    <t>vi 18/03/16</t>
  </si>
  <si>
    <t>fact 7528 y 7529</t>
  </si>
  <si>
    <t>exos</t>
  </si>
  <si>
    <t>Smith Farm ma 15/03/16  nl16-33</t>
  </si>
  <si>
    <t>fact 95273388</t>
  </si>
  <si>
    <t>intercam $27,471.84</t>
  </si>
  <si>
    <t>fact 95272538</t>
  </si>
  <si>
    <t>intercam $26,074.35</t>
  </si>
  <si>
    <t>Smith Farm mi 16/03/16  nl16-34</t>
  </si>
  <si>
    <t>ROS</t>
  </si>
  <si>
    <t>Smith Farm  sa 19/03/16 nl16-35</t>
  </si>
  <si>
    <t>Smith Farm  sa 19/03/16 nl16-36</t>
  </si>
  <si>
    <t>fact 95278520</t>
  </si>
  <si>
    <t>fact 95278519</t>
  </si>
  <si>
    <t>intercam $27,431.44</t>
  </si>
  <si>
    <t>intercam $25,741.07</t>
  </si>
  <si>
    <t>fact 746257</t>
  </si>
  <si>
    <t>fact 746258</t>
  </si>
  <si>
    <t>fact 1236399</t>
  </si>
  <si>
    <t>fact 1236400</t>
  </si>
  <si>
    <t>fact 1236401</t>
  </si>
  <si>
    <t>fact 1236996</t>
  </si>
  <si>
    <t>GF</t>
  </si>
  <si>
    <t>nlse16-56</t>
  </si>
  <si>
    <t>nlse16-57</t>
  </si>
  <si>
    <t>nl16-37</t>
  </si>
  <si>
    <t>nl16-38</t>
  </si>
  <si>
    <t>nlse16-58</t>
  </si>
  <si>
    <t>nlin16-24</t>
  </si>
  <si>
    <t>hoja + 10.5 ju 17 mar</t>
  </si>
  <si>
    <t>hoja + 10 ju 17 mar</t>
  </si>
  <si>
    <t>hoja + 10.75 vi 18 mar</t>
  </si>
  <si>
    <t>hoja + 10.5 vi 18 mar</t>
  </si>
  <si>
    <t>fact 4320, 4321</t>
  </si>
  <si>
    <t>fact 4322, 4323, 4324</t>
  </si>
  <si>
    <t>P 29.40 neto  R  B08981</t>
  </si>
  <si>
    <t>P 28.90  neto  R B09306</t>
  </si>
  <si>
    <t>P 29.10 neto  R B09307</t>
  </si>
  <si>
    <t>hoja + 10 ju 10 mar</t>
  </si>
  <si>
    <t>hoja + 10.75 ju 10 mar</t>
  </si>
  <si>
    <t>hoja + 10.5 vi 11 mar</t>
  </si>
  <si>
    <t>hoja + 10.5 lu 14 mar</t>
  </si>
  <si>
    <t>hoja + 10.75 lu 14 mar</t>
  </si>
  <si>
    <t>hoja + 10.5 ma 15 mar</t>
  </si>
  <si>
    <t>hoja + 10 lu 14 mar</t>
  </si>
  <si>
    <t>Agrop El Topete ma 01/03/16</t>
  </si>
  <si>
    <t>Agrop El Topete  do 06/03/16</t>
  </si>
  <si>
    <t>fact 4285, 4297</t>
  </si>
  <si>
    <t>Agrop La Chemita do 06/03/16</t>
  </si>
  <si>
    <t>fact 2633, 2646</t>
  </si>
  <si>
    <t>Agrop La Chemita lu 07/03/16</t>
  </si>
  <si>
    <t>Agrop El Topete ma 08/03/16</t>
  </si>
  <si>
    <t>Porc San Bernardo  ju 10/03/16</t>
  </si>
  <si>
    <t>fact 1823, 1827</t>
  </si>
  <si>
    <t>Agrop El Dorado  vi 11/03/16</t>
  </si>
  <si>
    <t>fact 212, 214</t>
  </si>
  <si>
    <t>fact 840893</t>
  </si>
  <si>
    <t>excel 86M</t>
  </si>
  <si>
    <t>Ryc Alimentos mi 09/03/16</t>
  </si>
  <si>
    <t>ALB $28.20  R B08629</t>
  </si>
  <si>
    <t>ALB   $28.30  R B08371</t>
  </si>
  <si>
    <t>Maple Leaf  ma 15/03/16</t>
  </si>
  <si>
    <t>fact 93372200</t>
  </si>
  <si>
    <t>intercam $16,298.68</t>
  </si>
  <si>
    <t>San Fandila  mi 16/03/16</t>
  </si>
  <si>
    <t>fact 7528, 7529</t>
  </si>
  <si>
    <t>fact 7162</t>
  </si>
  <si>
    <t>Agrop El Topete  do 13/03/16</t>
  </si>
  <si>
    <t>Agrop El Topete  lu 14/03/16</t>
  </si>
  <si>
    <t>fact 4319, 4314</t>
  </si>
  <si>
    <t>Agrop El Topete  ma 15/03/16</t>
  </si>
  <si>
    <t>fact 1838, 1851</t>
  </si>
  <si>
    <t>Porc San Bernardo ma 15/03/16</t>
  </si>
  <si>
    <t>fact 4313, 4328</t>
  </si>
  <si>
    <t>Agrop El Topete  ju 17/03/16</t>
  </si>
  <si>
    <t>fact 4320</t>
  </si>
  <si>
    <t>fact 4321</t>
  </si>
  <si>
    <t>Agrop El Topete  vi 18/03/16</t>
  </si>
  <si>
    <t>fact 4323</t>
  </si>
  <si>
    <t>fact 4322, 4324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</si>
  <si>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</si>
  <si>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</si>
  <si>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</si>
  <si>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</si>
  <si>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</si>
  <si>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</si>
  <si>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</si>
  <si>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</si>
  <si>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NLSE16-69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</si>
  <si>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</si>
  <si>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</si>
  <si>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</si>
  <si>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</si>
  <si>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</si>
  <si>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</si>
  <si>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</si>
  <si>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</si>
  <si>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</si>
  <si>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NLSE16-79</t>
  </si>
  <si>
    <t>NLSE16-80</t>
  </si>
  <si>
    <t>NLSE16-81</t>
  </si>
  <si>
    <t>NLSE16-82</t>
  </si>
  <si>
    <t>NLSE16-83</t>
  </si>
  <si>
    <t>fact 7163</t>
  </si>
  <si>
    <t>Indiana  ma 29/03/16  nlin16-25</t>
  </si>
  <si>
    <t>intercam $24,000.00</t>
  </si>
  <si>
    <t>intercam $26,000.00</t>
  </si>
  <si>
    <t>Indiana  sa 02/04/16  nlin16-26</t>
  </si>
  <si>
    <t>Seaboard ju 31/03/16  nlse16-59</t>
  </si>
  <si>
    <t>Seaboard ju 31/03/16  nlse16-60</t>
  </si>
  <si>
    <t>Seaboard vi 01/04/16  nlse16-61</t>
  </si>
  <si>
    <t>Seaboard vi 01/04/16  nlse16-62</t>
  </si>
  <si>
    <t>fact cic A13628</t>
  </si>
  <si>
    <t>San Fandila  mi 23/03/16</t>
  </si>
  <si>
    <t>fact 7164</t>
  </si>
  <si>
    <t>P 28.80 R B09649</t>
  </si>
  <si>
    <t>P 28.80   R B09515</t>
  </si>
  <si>
    <t>hoja + 10 mi 23 mar</t>
  </si>
  <si>
    <t>hoja + 10.75 ju 14 mar</t>
  </si>
  <si>
    <t>nl16-39</t>
  </si>
  <si>
    <t>nl16-40</t>
  </si>
  <si>
    <t>nlin16-25</t>
  </si>
  <si>
    <t>nlse16-59</t>
  </si>
  <si>
    <t>nlse16-60</t>
  </si>
  <si>
    <t>hoja + 10.5 vi 25 mar</t>
  </si>
  <si>
    <t>nlse16-61</t>
  </si>
  <si>
    <t>nlse16-62</t>
  </si>
  <si>
    <t>nlse16-63</t>
  </si>
  <si>
    <t>nlin16-26</t>
  </si>
  <si>
    <t>nl16-41</t>
  </si>
  <si>
    <t>hoja + 10.5 lu 28 mar</t>
  </si>
  <si>
    <t>hoja + 10.75 lu 28 mar</t>
  </si>
  <si>
    <t>hoja + 10.5 ma 29 mar</t>
  </si>
  <si>
    <t>hoja + 10 lu 28 mar</t>
  </si>
  <si>
    <t>ALB 27.90  R B09514</t>
  </si>
  <si>
    <t>P 29.10  R B09876</t>
  </si>
  <si>
    <t>fact 1237688</t>
  </si>
  <si>
    <t>fact 1237689</t>
  </si>
  <si>
    <t>fact 1238540</t>
  </si>
  <si>
    <t>fact 746944</t>
  </si>
  <si>
    <t>abril 2016</t>
  </si>
  <si>
    <t xml:space="preserve">J </t>
  </si>
  <si>
    <t>Smith Farm mi 23/03/16 nl16-38</t>
  </si>
  <si>
    <t>Smith Farm mi 23/03/16 nl16-37</t>
  </si>
  <si>
    <t>intercam $25,987.15</t>
  </si>
  <si>
    <t>intercam $25,688.36</t>
  </si>
  <si>
    <t>Granjero Feliz do 20/03/16</t>
  </si>
  <si>
    <t>canal de cerdo</t>
  </si>
  <si>
    <t>Granjero Feliz lu 21/03/16</t>
  </si>
  <si>
    <t>Granjero Feliz  ma 22/03/16</t>
  </si>
  <si>
    <t>fact 7586, 7587, 7588</t>
  </si>
  <si>
    <t>San Fandila vi 25/06/16</t>
  </si>
  <si>
    <t>Seaboard  sa 02/04/16 nlse16-63</t>
  </si>
  <si>
    <t>P 29.30 R B10006</t>
  </si>
  <si>
    <t>transfer bancormer</t>
  </si>
  <si>
    <t>15 combos</t>
  </si>
  <si>
    <t>fact 7613 a 7616</t>
  </si>
  <si>
    <t>NLIN16-28</t>
  </si>
  <si>
    <t>NLIN16-29</t>
  </si>
  <si>
    <t>NLIN16-30</t>
  </si>
  <si>
    <t>NLIN16-31</t>
  </si>
  <si>
    <t>NLIN16-32</t>
  </si>
  <si>
    <t>NLIN16-33</t>
  </si>
  <si>
    <t>NLIN16-34</t>
  </si>
  <si>
    <t>Indiana ma 05/04/16  nlin16-27</t>
  </si>
  <si>
    <t>Seaboard ma 05/04/16 nlse16-64</t>
  </si>
  <si>
    <t>Seaboard ju 07/04/16 nlse16-65</t>
  </si>
  <si>
    <t>Seaboard ju 07/04/16 nlse16-66</t>
  </si>
  <si>
    <t>Seaboard vi 08/04/16 nlse16-67</t>
  </si>
  <si>
    <t>Indiana sa 09/04/16 nlin16-28</t>
  </si>
  <si>
    <t>Seaboard sa 09/04/16 nlse16-68</t>
  </si>
  <si>
    <t>Topete y San Bernardo</t>
  </si>
  <si>
    <t>fact 4346, 1860</t>
  </si>
  <si>
    <t>ALB 27.10  R B10227</t>
  </si>
  <si>
    <t>P 28.70  R B10352</t>
  </si>
  <si>
    <t>P 28.50  R B10353</t>
  </si>
  <si>
    <t>San Fandila  mi 30/03/16</t>
  </si>
  <si>
    <t>fact cic A13860</t>
  </si>
  <si>
    <t>fact 7628 y 7629</t>
  </si>
  <si>
    <t>fact 4349, 1866</t>
  </si>
  <si>
    <t>fact 1240765</t>
  </si>
  <si>
    <t>fact 1240766</t>
  </si>
  <si>
    <t>fact 747536</t>
  </si>
  <si>
    <t>Avance de obras al 17/03/16</t>
  </si>
  <si>
    <t>estimado un 53.5% avance</t>
  </si>
  <si>
    <t>diferencial a favor</t>
  </si>
  <si>
    <t>fact 4234</t>
  </si>
  <si>
    <t>fact 1801</t>
  </si>
  <si>
    <t>P 28.80  R B10629</t>
  </si>
  <si>
    <t>P 28.80  RB10630</t>
  </si>
  <si>
    <t>fact 1896</t>
  </si>
  <si>
    <t>Granjero Feliz  do 27/03/16</t>
  </si>
  <si>
    <t>pernil Farmland</t>
  </si>
  <si>
    <t>P 28.40  R B10817</t>
  </si>
  <si>
    <t>anticipo $500,000 saldo 1/04/16</t>
  </si>
  <si>
    <t>fact 4345,  4341</t>
  </si>
  <si>
    <t>fact 4240</t>
  </si>
  <si>
    <t>hoja + 10.5 ju 31 mar</t>
  </si>
  <si>
    <t>hoja + 10.75 ju 31 mar</t>
  </si>
  <si>
    <t>hoja + 9.5 ju 31 mar</t>
  </si>
  <si>
    <t>hoja + 10.5 vi 1 abr</t>
  </si>
  <si>
    <t>nlse16-64</t>
  </si>
  <si>
    <t>nlin16-27</t>
  </si>
  <si>
    <t>nlma16-01</t>
  </si>
  <si>
    <t>nlse16-65</t>
  </si>
  <si>
    <t>nlse16-66</t>
  </si>
  <si>
    <t>nlse16-67</t>
  </si>
  <si>
    <t>nlse16-68</t>
  </si>
  <si>
    <t>nlma16-05</t>
  </si>
  <si>
    <t>nlin16-28</t>
  </si>
  <si>
    <t>Ryc</t>
  </si>
  <si>
    <t>Excel 86M</t>
  </si>
  <si>
    <t>fact 845563</t>
  </si>
  <si>
    <t>Ryc Alimentos  mi 30/03/16</t>
  </si>
  <si>
    <t>ALB 26.80</t>
  </si>
  <si>
    <t>fact 1241206</t>
  </si>
  <si>
    <t>fact 747917</t>
  </si>
  <si>
    <t>fact 1240768</t>
  </si>
  <si>
    <t>fact 1240767</t>
  </si>
  <si>
    <t>Smith Farm  ma 29/03/16  nl16-39</t>
  </si>
  <si>
    <t>Smith Farm  ma 29/03/16  nl16-40</t>
  </si>
  <si>
    <t>fact 95289673</t>
  </si>
  <si>
    <t>fact 95289674</t>
  </si>
  <si>
    <t>intercam $24,759.07</t>
  </si>
  <si>
    <t>intercam $26,079.12</t>
  </si>
  <si>
    <t>Smith Farm do 03/04/16 nl16-41</t>
  </si>
  <si>
    <t>fact 95293420</t>
  </si>
  <si>
    <t>intercam $25,468.14</t>
  </si>
  <si>
    <t>menos 9</t>
  </si>
  <si>
    <t>mas 9</t>
  </si>
  <si>
    <t>Agrop El Topete do 27/03/16</t>
  </si>
  <si>
    <t>Porc San Bernardo do 27/03/16</t>
  </si>
  <si>
    <t>fact 1860</t>
  </si>
  <si>
    <t>Agrop El Topete  lu 28/03/16</t>
  </si>
  <si>
    <t>fact 4345, 4341</t>
  </si>
  <si>
    <t>Porc San Bernardo ma 29/03/16</t>
  </si>
  <si>
    <t>fact 4349</t>
  </si>
  <si>
    <t>Agrop El Topete  ma 29/03/16</t>
  </si>
  <si>
    <t>Agrop La Gaby  ju 31/03/16</t>
  </si>
  <si>
    <t>Porc Paso Blanco ju 31/03/16</t>
  </si>
  <si>
    <t>Agrop La Gaby  vi 01/04/16</t>
  </si>
  <si>
    <t>intercam $27,500.00</t>
  </si>
  <si>
    <t>fact 4346, 4363</t>
  </si>
  <si>
    <t>fact 1866, 1878</t>
  </si>
  <si>
    <t>fact 4234,4243</t>
  </si>
  <si>
    <t>fact 1801, 1808</t>
  </si>
  <si>
    <t>DEUDA AL 31 DE MARZO DE 2016</t>
  </si>
  <si>
    <t>San Fandila  mi 06/04/16</t>
  </si>
  <si>
    <t>23 combos</t>
  </si>
  <si>
    <t>fact 1809</t>
  </si>
  <si>
    <t>fact 1882</t>
  </si>
  <si>
    <t>fact cic A14078</t>
  </si>
  <si>
    <t>Indiana ma 12/04/16  nlin16-29</t>
  </si>
  <si>
    <t>fact 7676 y 7677</t>
  </si>
  <si>
    <t>P 28.70  R B11336</t>
  </si>
  <si>
    <t>P 28.75  R  B11337</t>
  </si>
  <si>
    <t>Seaboard  ju 14/04/16  nlse16-70</t>
  </si>
  <si>
    <t>Seaboard  ju 14/04/16  nlse16-71</t>
  </si>
  <si>
    <t>Seaboard  vi 15/04/16  nlse16-72</t>
  </si>
  <si>
    <t>Indiana  sa 16/04/16  nlin16-30</t>
  </si>
  <si>
    <t>Andes</t>
  </si>
  <si>
    <t>fact 7676, 7677</t>
  </si>
  <si>
    <t>Roel  mi 06/04/16</t>
  </si>
  <si>
    <t>espaldilla de carnero</t>
  </si>
  <si>
    <t>efectivo obrador</t>
  </si>
  <si>
    <t>Esp de Carnero</t>
  </si>
  <si>
    <t>Alliance</t>
  </si>
  <si>
    <t>Roel</t>
  </si>
  <si>
    <t>fact 1897</t>
  </si>
  <si>
    <t>fact 4372</t>
  </si>
  <si>
    <t>P 28.60  R B11628</t>
  </si>
  <si>
    <t>P 29.60  R B11629</t>
  </si>
  <si>
    <t>P 28.80  R B11766</t>
  </si>
  <si>
    <t>hoja + 9.5 vi 01 abr</t>
  </si>
  <si>
    <t>Agrop EL Topete</t>
  </si>
  <si>
    <t>fact 4375</t>
  </si>
  <si>
    <t>fact 1812</t>
  </si>
  <si>
    <t>P 28.90  R B11916</t>
  </si>
  <si>
    <t>fact 748385</t>
  </si>
  <si>
    <t>fact 748740</t>
  </si>
  <si>
    <t>cambio fecha de entrega</t>
  </si>
  <si>
    <t>21  combos</t>
  </si>
  <si>
    <t>fact 1242108</t>
  </si>
  <si>
    <t>fact 1242803</t>
  </si>
  <si>
    <t>fact 1242804</t>
  </si>
  <si>
    <t>fact 1243310</t>
  </si>
  <si>
    <t>Seaboard ma 12/04/16 nlse16-68</t>
  </si>
  <si>
    <t>fact 1243311</t>
  </si>
  <si>
    <t>Maple Leaf  mi 07/04/16 nlma16-01</t>
  </si>
  <si>
    <t>fact 93394467</t>
  </si>
  <si>
    <t>intercam $26,904.75</t>
  </si>
  <si>
    <t>intercam $27,313.76</t>
  </si>
  <si>
    <t>Maple Leaf  sa 09/04/16 nlma16-05</t>
  </si>
  <si>
    <t>fact 93396661</t>
  </si>
  <si>
    <t>hoja + 10.75 ju 07 abr</t>
  </si>
  <si>
    <t>hoja + 10.5 ma 05 abr</t>
  </si>
  <si>
    <t>hoja + 9.5 ju 07 abr</t>
  </si>
  <si>
    <t>hoja + 10.5 vi 08 abr</t>
  </si>
  <si>
    <t>hoja + 10.5 lu 11 abr</t>
  </si>
  <si>
    <t>NU3</t>
  </si>
  <si>
    <t>hoja + 10.5 ma 12 abr</t>
  </si>
  <si>
    <t>hoja + 10.75 lu 11 abr</t>
  </si>
  <si>
    <t>hoja + 9.5 vi 08 abr</t>
  </si>
  <si>
    <t>nlin16-29</t>
  </si>
  <si>
    <t>nlin16-30</t>
  </si>
  <si>
    <t>nlse16-73</t>
  </si>
  <si>
    <t>nlse16-70</t>
  </si>
  <si>
    <t>nlse16-71</t>
  </si>
  <si>
    <t>nlse16-72</t>
  </si>
  <si>
    <t>nlma16-02</t>
  </si>
  <si>
    <t>nlma16-06</t>
  </si>
  <si>
    <t>San Fandila  mi 13/04/16</t>
  </si>
  <si>
    <t>fact 4271</t>
  </si>
  <si>
    <t>fact 4383</t>
  </si>
  <si>
    <t>fact 4384</t>
  </si>
  <si>
    <t>nlse16-74</t>
  </si>
  <si>
    <t>nlin16-31</t>
  </si>
  <si>
    <t>error en facturacion por 0.01 de menos</t>
  </si>
  <si>
    <t>P 30.0  R B12277</t>
  </si>
  <si>
    <t>P 29.90  R B12278</t>
  </si>
  <si>
    <t>fact cic A14299</t>
  </si>
  <si>
    <t>Seaboard  ju 21/04/16  nlse16-75</t>
  </si>
  <si>
    <t>Seaboard  ju 21/04/16  nlse16-76</t>
  </si>
  <si>
    <t>Indiana ma  19/04/16 nlin16-31</t>
  </si>
  <si>
    <t>Seaboard  ma 19/04/16 nlse16-74</t>
  </si>
  <si>
    <t>Seaboard  vi 22/04/16  nlse16-77</t>
  </si>
  <si>
    <t>Indiana  sa 23/04/16  nlin16-32</t>
  </si>
  <si>
    <t>fact 7731, 7732</t>
  </si>
  <si>
    <t>ALB 28.30</t>
  </si>
  <si>
    <t>fact 4385</t>
  </si>
  <si>
    <t>Granjero Feliz ju 4/03/16</t>
  </si>
  <si>
    <t>fact 1945</t>
  </si>
  <si>
    <t>fact 4287</t>
  </si>
  <si>
    <t>fact 4395</t>
  </si>
  <si>
    <t>Agrop El Topete  ju 14/04/16</t>
  </si>
  <si>
    <t>fact 4398-4399</t>
  </si>
  <si>
    <t>24 combos</t>
  </si>
  <si>
    <t>Porc Paso Blanco  do 03/04/16</t>
  </si>
  <si>
    <t>Porc San Bernardo  lu 04/04/16</t>
  </si>
  <si>
    <t>fact 1882, 1907</t>
  </si>
  <si>
    <t>Agrop La Gaby  ma 05/04/16</t>
  </si>
  <si>
    <t>fact 4254, 4269</t>
  </si>
  <si>
    <t>Porc San Bernardo  ju 07/04/16</t>
  </si>
  <si>
    <t>Agrop El Topete  ju 07/04/16</t>
  </si>
  <si>
    <t>fact 4375, 4381</t>
  </si>
  <si>
    <t>Porc Paso Blanco  vi 08/04/16</t>
  </si>
  <si>
    <t>fact 1812, 1814</t>
  </si>
  <si>
    <t>Agrop El Topete  vi 08/04/16</t>
  </si>
  <si>
    <t>fact 749252</t>
  </si>
  <si>
    <t>fact 749606</t>
  </si>
  <si>
    <t>fact 1245137</t>
  </si>
  <si>
    <t>fact 124136</t>
  </si>
  <si>
    <t>fact 124135</t>
  </si>
  <si>
    <t>Seaboard ma  18/04/16 nlse16-73</t>
  </si>
  <si>
    <t>intercam $27,535.59</t>
  </si>
  <si>
    <t>intercam $27,604.10</t>
  </si>
  <si>
    <t>fact 93401814</t>
  </si>
  <si>
    <t>fact 93402854</t>
  </si>
  <si>
    <t>Maple  sa 16/04/16  nlma16-06</t>
  </si>
  <si>
    <t>Maple  ma 12/04/16   nlma16-06</t>
  </si>
  <si>
    <t>Seaboard  sa 23/04/16  nlse16-78</t>
  </si>
  <si>
    <t>intercam $33,000.00</t>
  </si>
  <si>
    <t>Indiana  ma 26/04/16  nlin16-33</t>
  </si>
  <si>
    <t>nlin16-32</t>
  </si>
  <si>
    <t>nlma16-03</t>
  </si>
  <si>
    <t>nlma16-07</t>
  </si>
  <si>
    <t>nlse16-75</t>
  </si>
  <si>
    <t>nlse16-76</t>
  </si>
  <si>
    <t>nlse16-77</t>
  </si>
  <si>
    <t>nlse16-78</t>
  </si>
  <si>
    <t>hoja + 10.5 ju 14 abr</t>
  </si>
  <si>
    <t>hoja + 10.75 ju 14 abr</t>
  </si>
  <si>
    <t>hoja + 9.5 ju 14 abr</t>
  </si>
  <si>
    <t>hoja + 10.5 vi 15 abr</t>
  </si>
  <si>
    <t>hoja + 10.5 lu 18 abr</t>
  </si>
  <si>
    <t>hoja + 10.75 lu 18 abr</t>
  </si>
  <si>
    <t>hoja + 10.5 ma 19 eneabr</t>
  </si>
  <si>
    <t>hoja + 9.5 vi 15 abr</t>
  </si>
  <si>
    <t>Mayo 2016</t>
  </si>
  <si>
    <t>Viansa  lu 04/04/16</t>
  </si>
  <si>
    <t>fact 846118</t>
  </si>
  <si>
    <t>640 cajas</t>
  </si>
  <si>
    <t>233 cajas</t>
  </si>
  <si>
    <t>ticket 567</t>
  </si>
  <si>
    <t>Ryc Alimentos  vi 01/04/16</t>
  </si>
  <si>
    <t>Cuero Belly fco</t>
  </si>
  <si>
    <t>1 combo</t>
  </si>
  <si>
    <t>Corbata vacio</t>
  </si>
  <si>
    <t>buche</t>
  </si>
  <si>
    <t>lengua de cerdo</t>
  </si>
  <si>
    <t>111 cajas</t>
  </si>
  <si>
    <t>57 cajas</t>
  </si>
  <si>
    <t>37 cajas</t>
  </si>
  <si>
    <t>fact 41060</t>
  </si>
  <si>
    <t>Adams  vi 15/04/16</t>
  </si>
  <si>
    <t>corbata, buche, lengua swift</t>
  </si>
  <si>
    <t>Adams  ju 14/04/16</t>
  </si>
  <si>
    <t>cuero belly combo IBP</t>
  </si>
  <si>
    <t>Mansiva sa 16/04/16</t>
  </si>
  <si>
    <t>Agrop La Gaby  do 10/04/16</t>
  </si>
  <si>
    <t>fact 4271, 4297</t>
  </si>
  <si>
    <t>Agrop El Topete  do 10/04/16</t>
  </si>
  <si>
    <t>fact 4383, 4402</t>
  </si>
  <si>
    <t>Agrop El Topete  lu 11/04/16</t>
  </si>
  <si>
    <t>Agrop El Topete ma 12/04/16</t>
  </si>
  <si>
    <t>Agrop La Gaby  ju 14/04/16</t>
  </si>
  <si>
    <t>Agrop El Topete  vi 15/04/16</t>
  </si>
  <si>
    <t>fact 4398, 4399</t>
  </si>
  <si>
    <t>mayo 2016</t>
  </si>
  <si>
    <t>hoja + 10.75 ju 21 abr</t>
  </si>
  <si>
    <t>hoja + 10.5 ju 21 abr</t>
  </si>
  <si>
    <t>hoja + 9.5 ju 21 abr</t>
  </si>
  <si>
    <t>hoja + 10.5 vi 22 abr</t>
  </si>
  <si>
    <t>hoja + 10.5 lu 25 abr</t>
  </si>
  <si>
    <t>hoja + 10.75 lu 25 abr</t>
  </si>
  <si>
    <t>hoja + 10.5 ma 26 abr</t>
  </si>
  <si>
    <t>hoja +15 lu 25 abr</t>
  </si>
  <si>
    <t>nlse16-69</t>
  </si>
  <si>
    <t>nlse16-79</t>
  </si>
  <si>
    <t>nlin16-33</t>
  </si>
  <si>
    <t>nlin16-34</t>
  </si>
  <si>
    <t>nlma16-04</t>
  </si>
  <si>
    <t>nlma16-08</t>
  </si>
  <si>
    <t>nlse16-80</t>
  </si>
  <si>
    <t>nlse16-81</t>
  </si>
  <si>
    <t>nlse16-82</t>
  </si>
  <si>
    <t>nlse16-83</t>
  </si>
  <si>
    <t>Seaboard ma 26/4/16  nlse16-69</t>
  </si>
  <si>
    <t>Seaboard ma 26/4/16  nlse16-79</t>
  </si>
  <si>
    <t>fact 1246661</t>
  </si>
  <si>
    <t>fact 1245693</t>
  </si>
  <si>
    <t>fact 4300</t>
  </si>
  <si>
    <t>fact 750034</t>
  </si>
  <si>
    <t>San Fandila  mi 20/4/16</t>
  </si>
  <si>
    <t>fact 41040</t>
  </si>
  <si>
    <t>Seaboard ju 28/4/16 nlse16-80</t>
  </si>
  <si>
    <t>Seaboard ju 28/4/16 nlse16-81</t>
  </si>
  <si>
    <t>Seaboard ju 28/4/16 nlse16-82</t>
  </si>
  <si>
    <t>fact 4308</t>
  </si>
  <si>
    <t>P 30.50  R B13199</t>
  </si>
  <si>
    <t>P 30.50  R B13200</t>
  </si>
  <si>
    <t>Indiana  sa 30/04/16 nlin16-34</t>
  </si>
  <si>
    <t>fact 1078</t>
  </si>
  <si>
    <t>ALB  29.80</t>
  </si>
  <si>
    <t>hoja +15 vi 08 abr</t>
  </si>
  <si>
    <t>hoja +15 vi 15 abr</t>
  </si>
  <si>
    <t>fact 7782, 7783</t>
  </si>
  <si>
    <t>fact cic A14570</t>
  </si>
  <si>
    <t>fact 1247228</t>
  </si>
  <si>
    <t>fact 1247226</t>
  </si>
  <si>
    <t>fact 1247227</t>
  </si>
  <si>
    <t>fact 6627</t>
  </si>
  <si>
    <t>Intercam $29,137.91</t>
  </si>
  <si>
    <t>fact 4403</t>
  </si>
  <si>
    <t>fact 5381</t>
  </si>
  <si>
    <t>fact 258</t>
  </si>
  <si>
    <t>P 30.20  R B13601</t>
  </si>
  <si>
    <t>P 31.00  R B13602</t>
  </si>
  <si>
    <t>P 30.50  R B13603</t>
  </si>
  <si>
    <t>hoja + 9.5 vi 22 abr</t>
  </si>
  <si>
    <t>fact 750604</t>
  </si>
  <si>
    <t>fact 1247719</t>
  </si>
  <si>
    <t>Gan Rancho San Felipe</t>
  </si>
  <si>
    <t>fact 498</t>
  </si>
  <si>
    <t>Abastecedora Roel  ma 19/04/16</t>
  </si>
  <si>
    <t>Seaboard  sa 30/04/16 nlse16-83</t>
  </si>
  <si>
    <t>NLIN16-35</t>
  </si>
  <si>
    <t>NLIN16-36</t>
  </si>
  <si>
    <t>NLIN16-37</t>
  </si>
  <si>
    <t>NLIN16-38</t>
  </si>
  <si>
    <t>intercaam $38,000.00</t>
  </si>
  <si>
    <t>NLSE16-84</t>
  </si>
  <si>
    <t>NLSE16-85</t>
  </si>
  <si>
    <t>NLSE16-86</t>
  </si>
  <si>
    <t>NLSE16-87</t>
  </si>
  <si>
    <t>NLSE16-88</t>
  </si>
  <si>
    <t>NLSE16-89</t>
  </si>
  <si>
    <t>NLSE16-90</t>
  </si>
  <si>
    <t>NLSE16-91</t>
  </si>
  <si>
    <t>NLSE16-92</t>
  </si>
  <si>
    <t>Seaboard  ma 03/05/16 nlse16-84</t>
  </si>
  <si>
    <t>Indiana  ma 03/05/16  nlin16-35</t>
  </si>
  <si>
    <t>fact 750948</t>
  </si>
  <si>
    <t>fact 1248676</t>
  </si>
  <si>
    <t>fact 1248677</t>
  </si>
  <si>
    <t>P 30.40  R B14005</t>
  </si>
  <si>
    <t>ALB 32   R B14004</t>
  </si>
  <si>
    <t>P 30.70  R B14006</t>
  </si>
  <si>
    <t>fact 1092</t>
  </si>
  <si>
    <t>Caroline Pride</t>
  </si>
  <si>
    <t>Viansa Alimentos   sa 23/04/16</t>
  </si>
  <si>
    <t>pernil Caroline Pride</t>
  </si>
  <si>
    <t xml:space="preserve">Mansiva  sa 23/04/16 </t>
  </si>
  <si>
    <t>fact 6669</t>
  </si>
  <si>
    <t>intercam $34,514.27</t>
  </si>
  <si>
    <t>Cuero belly fco</t>
  </si>
  <si>
    <t>fact 41244</t>
  </si>
  <si>
    <t>Adams   sa 23/04/16</t>
  </si>
  <si>
    <t>cuero belly combo Seaboard</t>
  </si>
  <si>
    <t>Maple  mi 20/04/16  nlma16-03</t>
  </si>
  <si>
    <t>fact 93407488</t>
  </si>
  <si>
    <t>intercam $30,033.54</t>
  </si>
  <si>
    <t>Maple  sa 23/04/16  nlma16-07</t>
  </si>
  <si>
    <t>intercam $31,165.90</t>
  </si>
  <si>
    <t>fact 93408596</t>
  </si>
  <si>
    <t>Rancho SF y La Gaby</t>
  </si>
  <si>
    <t>fact 80, 4337</t>
  </si>
  <si>
    <t>fact 4340</t>
  </si>
  <si>
    <t>fact cic A14733</t>
  </si>
  <si>
    <t>P 31.0   R B14128</t>
  </si>
  <si>
    <t>Seaboard vi 06/05/16  nlse16-87</t>
  </si>
  <si>
    <t>Seaboard ju 05/05/16  nlse16-85</t>
  </si>
  <si>
    <t>Seaboard ju 05/05/16  nlse16-86</t>
  </si>
  <si>
    <t>Indiana  sa 07/05/16  nlin16-36</t>
  </si>
  <si>
    <t>Maple  ju 28/04/16  nlma16-04</t>
  </si>
  <si>
    <t>fact 93413777</t>
  </si>
  <si>
    <t>intercam $32,862.07</t>
  </si>
  <si>
    <t>fact 4342</t>
  </si>
  <si>
    <t>fact 4423</t>
  </si>
  <si>
    <t>P 31.0    R B14385</t>
  </si>
  <si>
    <t>P 30.90  R B14386</t>
  </si>
  <si>
    <t>Agrop La Gaby  do 17/04/16</t>
  </si>
  <si>
    <t>fact 4300, 4325</t>
  </si>
  <si>
    <t>Agrop La Gaby  lu 18/04/16</t>
  </si>
  <si>
    <t>ALB  33.70</t>
  </si>
  <si>
    <t>Agrop El Topete  ma 19/04/16</t>
  </si>
  <si>
    <t>fact 4403, 4416</t>
  </si>
  <si>
    <t>nlin16-35</t>
  </si>
  <si>
    <t>nl16-42</t>
  </si>
  <si>
    <t>hoja + 10.75 mi 27 abr</t>
  </si>
  <si>
    <t>hoja + 10.5 ju 28 abr</t>
  </si>
  <si>
    <t>hoja + 10 ju 28 abr</t>
  </si>
  <si>
    <t>hoja + 10.5 vi 29 abr</t>
  </si>
  <si>
    <t>nlse16-84</t>
  </si>
  <si>
    <t>nlse16-85</t>
  </si>
  <si>
    <t>nlse16-86</t>
  </si>
  <si>
    <t>nlse16-87</t>
  </si>
  <si>
    <t>Seaboard vi 06/05/16  nlse16-88</t>
  </si>
  <si>
    <t>nlse16-88</t>
  </si>
  <si>
    <t>nlse16-89</t>
  </si>
  <si>
    <t>nl16-43</t>
  </si>
  <si>
    <t>hoja + 10 vi 29 abr</t>
  </si>
  <si>
    <t>nlin16-36</t>
  </si>
  <si>
    <t>hoja + 10.75 lu 2 may</t>
  </si>
  <si>
    <t>hoja + 10.5 ma 3 may</t>
  </si>
  <si>
    <t>Agrop Las Reses  ju 21/04/16</t>
  </si>
  <si>
    <t>fact 5381, 5384</t>
  </si>
  <si>
    <t>fact 258, 263</t>
  </si>
  <si>
    <t>Agrop El Dorado  ju 21/04/16</t>
  </si>
  <si>
    <t>Gan Rancho San Felipe  vi 22/04/16</t>
  </si>
  <si>
    <t>fact 75, 78</t>
  </si>
  <si>
    <t>fact 6743</t>
  </si>
  <si>
    <t>Mansiva  sa 30/04/16  6817</t>
  </si>
  <si>
    <t>intercam $36,958.07</t>
  </si>
  <si>
    <t>fact 4348</t>
  </si>
  <si>
    <t>fact 4428</t>
  </si>
  <si>
    <t>anticipo $166,832.65 29/04/16</t>
  </si>
  <si>
    <t>anticipo $545,000 29/04/16</t>
  </si>
  <si>
    <t>Maple sa 30/04/16  nlma16-08</t>
  </si>
  <si>
    <t>fact 93414780</t>
  </si>
  <si>
    <t>intercam $33,176.87</t>
  </si>
  <si>
    <t>fact 1249667</t>
  </si>
  <si>
    <t>fact 1249668</t>
  </si>
  <si>
    <t>fact 1249669</t>
  </si>
  <si>
    <t>fact 751315</t>
  </si>
  <si>
    <t>fact 1249969</t>
  </si>
  <si>
    <t>fact 751606</t>
  </si>
  <si>
    <t>fact 2711</t>
  </si>
  <si>
    <t>fact 4434</t>
  </si>
  <si>
    <t>P 31.15  R B14698</t>
  </si>
  <si>
    <t>P 31  R B14705</t>
  </si>
  <si>
    <t>Gan Rancho San Felipe  do 24/04/16</t>
  </si>
  <si>
    <t>fact 80</t>
  </si>
  <si>
    <t>fact 4337</t>
  </si>
  <si>
    <t>Agrop El Topete ma 26/04/16</t>
  </si>
  <si>
    <t>Agrop La Gaby  do 24/04/16</t>
  </si>
  <si>
    <t>Agrop La Gaby  lu 25/04/17</t>
  </si>
  <si>
    <t>Agrop La Gaby  mi 27/04/16</t>
  </si>
  <si>
    <t>Agrop La Gaby  ju 28/04/16</t>
  </si>
  <si>
    <t>Agrop El Topete  ju 28/04/16</t>
  </si>
  <si>
    <t>Agrop La Chemita  vi 29/04/16</t>
  </si>
  <si>
    <t>Agrop El Topete  vi 29/04/16</t>
  </si>
  <si>
    <t>Seaboard  sa 07/05/16  nlse16-89</t>
  </si>
  <si>
    <t>intercam $37,000.00</t>
  </si>
  <si>
    <t xml:space="preserve">Gan Rancho Sn Felipe </t>
  </si>
  <si>
    <t>costos de cerdo vivo</t>
  </si>
  <si>
    <t>fact 89</t>
  </si>
  <si>
    <t>Ganaderia Rancho San Felipe SA de CV</t>
  </si>
  <si>
    <t>Transportes Refrigerados Rivera SA de CV</t>
  </si>
  <si>
    <t>fact</t>
  </si>
  <si>
    <t>COSTO</t>
  </si>
  <si>
    <t>IVA</t>
  </si>
  <si>
    <t>RET DE IVA</t>
  </si>
  <si>
    <t>Matanza</t>
  </si>
  <si>
    <t xml:space="preserve">fact </t>
  </si>
  <si>
    <t>Rendimientos de cerdo vivo a canal</t>
  </si>
  <si>
    <t>257 canales</t>
  </si>
  <si>
    <t># piezas</t>
  </si>
  <si>
    <t>rendimiento</t>
  </si>
  <si>
    <t>Costo Total</t>
  </si>
  <si>
    <t>escurrimiento y enfriamiento en cámaras de refrigeración.</t>
  </si>
  <si>
    <t xml:space="preserve">Rendimiento: Kg obtenidos de canal despues de la perdida de peso en matanza de pelo, agua, visceras y humedad por </t>
  </si>
  <si>
    <t>Robo canales domingo 01 mayo 2016</t>
  </si>
  <si>
    <t>Integración de costos y rendimientos de precio de canales</t>
  </si>
  <si>
    <t>peso neto en canal kg</t>
  </si>
  <si>
    <t>perso bruto kg</t>
  </si>
  <si>
    <t>costo de canal de cerdo prom Nacional</t>
  </si>
  <si>
    <t>(1)</t>
  </si>
  <si>
    <t>(2)</t>
  </si>
  <si>
    <t>(3)</t>
  </si>
  <si>
    <t>Costo de carga (1) x (3)</t>
  </si>
  <si>
    <t>Costo real despues de rendimiento (4)/(2)</t>
  </si>
  <si>
    <t>(4)</t>
  </si>
  <si>
    <t>(5)</t>
  </si>
  <si>
    <t>(6)</t>
  </si>
  <si>
    <t>DEUDA AL CIERRE DEL 30 DE ABRIL DE 2016</t>
  </si>
  <si>
    <t>anticipo $166,832.65 29/04/16; saldo $380,000 02/05/16</t>
  </si>
  <si>
    <t>ROBADO</t>
  </si>
  <si>
    <t>anticipo $545,000 29/04/16; Saldo 137,312.50 03/05/16</t>
  </si>
  <si>
    <t>fact 41438</t>
  </si>
  <si>
    <t>Adams  sa  30/04/16</t>
  </si>
  <si>
    <t>cuero belly en combos</t>
  </si>
  <si>
    <t>Indiana  ma 10/05/16  nlin16-37</t>
  </si>
  <si>
    <t>Seaboard  mi 11/05/16 nlse16-90</t>
  </si>
  <si>
    <t>Seaboard  ju 12/05/16  nlse16-91</t>
  </si>
  <si>
    <t>Seaboard  ju 12/05/16  nlse16-92</t>
  </si>
  <si>
    <t>Seaboard  vi 13/05/16  nlse16-93</t>
  </si>
  <si>
    <t>Seaboard  vi 13/05/16  nlse16-94</t>
  </si>
  <si>
    <t>Indiana sa 14/05/16  nlin16-38</t>
  </si>
  <si>
    <t>Seaboard  sa 14/05/16  nlse16-95</t>
  </si>
  <si>
    <t>fact 285</t>
  </si>
  <si>
    <t>fact 4443</t>
  </si>
  <si>
    <t>nl16-44</t>
  </si>
  <si>
    <t>nlin16-37</t>
  </si>
  <si>
    <t>nlse16-90</t>
  </si>
  <si>
    <t>nlse16-91</t>
  </si>
  <si>
    <t>nlse16-92</t>
  </si>
  <si>
    <t>nlse16-93</t>
  </si>
  <si>
    <t>nlse16-94</t>
  </si>
  <si>
    <t>nl16-45</t>
  </si>
  <si>
    <t>nlin16-38</t>
  </si>
  <si>
    <t>hoja + 10 ju 5 may</t>
  </si>
  <si>
    <t>hoja + 10.75 mi 4 may</t>
  </si>
  <si>
    <t>hoja + 10.5 ju 5 may</t>
  </si>
  <si>
    <t>hoja + 10.5 vi 6 may</t>
  </si>
  <si>
    <t>hoja + 10.5 lu 9 may</t>
  </si>
  <si>
    <t>hoja + 10 vi 6 may</t>
  </si>
  <si>
    <t>hoja + 10.75 lu 9 may</t>
  </si>
  <si>
    <t>hoja + 10.5 ma 10 may</t>
  </si>
  <si>
    <t>fact 1251581</t>
  </si>
  <si>
    <t>fact 1251580</t>
  </si>
  <si>
    <t>fact 752148</t>
  </si>
  <si>
    <t>fact 1251582</t>
  </si>
  <si>
    <t>fact 125183</t>
  </si>
  <si>
    <t>intercam $32,000.01</t>
  </si>
  <si>
    <t>P 31.70  R B15126</t>
  </si>
  <si>
    <t>P 31.20  R B15128</t>
  </si>
  <si>
    <t>fact 4365</t>
  </si>
  <si>
    <t>Claim #49750</t>
  </si>
  <si>
    <t>reposicion del cobro en frontera de la carga NLSE16-82 del 28/04/16 por traer colitas en pierna, fuera de especificacion.</t>
  </si>
  <si>
    <t>dif NLSE16-72</t>
  </si>
  <si>
    <t>cargo por diferencia en precio de la carga NLSE16-72 del 14/04/16</t>
  </si>
  <si>
    <t>NLSE16-93</t>
  </si>
  <si>
    <t>NLSE16-94</t>
  </si>
  <si>
    <t>NLIN16-39</t>
  </si>
  <si>
    <t>NLSE16-95</t>
  </si>
  <si>
    <t>NLSE16-96</t>
  </si>
  <si>
    <t>NLSE16-97</t>
  </si>
  <si>
    <t>fact 1830</t>
  </si>
  <si>
    <t>fact 4366</t>
  </si>
  <si>
    <t>intercam $34,000.00</t>
  </si>
  <si>
    <t>Filete Basa</t>
  </si>
  <si>
    <t>Vietnam</t>
  </si>
  <si>
    <t>fact 1833</t>
  </si>
  <si>
    <t>fact 267</t>
  </si>
  <si>
    <t>Export Packers  ma 17/06/15</t>
  </si>
  <si>
    <t>intercam $18,388.50</t>
  </si>
  <si>
    <t>P 31.60  R B15461</t>
  </si>
  <si>
    <t>P 31.75  R B15460</t>
  </si>
  <si>
    <t>se agrega #claim $300.00 por carga con colitas nlse16-82</t>
  </si>
  <si>
    <t>Papa</t>
  </si>
  <si>
    <t>Cavendish</t>
  </si>
  <si>
    <t>Export Packers</t>
  </si>
  <si>
    <t>Seaboard  mi 18/05/16  nlse16-96</t>
  </si>
  <si>
    <t>Indiana  ma 17/05/16  nlin16-39</t>
  </si>
  <si>
    <t>fact 2729</t>
  </si>
  <si>
    <t>fact 4382</t>
  </si>
  <si>
    <t>fact 274</t>
  </si>
  <si>
    <t>fact 2732</t>
  </si>
  <si>
    <t>NLSE16-98</t>
  </si>
  <si>
    <t>NLSE16-99</t>
  </si>
  <si>
    <t>NLSE16-100</t>
  </si>
  <si>
    <t>NLIN16-40</t>
  </si>
  <si>
    <t>NLSE16-101</t>
  </si>
  <si>
    <t>NLSE16-102</t>
  </si>
  <si>
    <t>NLSE16-103</t>
  </si>
  <si>
    <t>NLSE16-104</t>
  </si>
  <si>
    <t>NLSE16-105</t>
  </si>
  <si>
    <t>Seaboard  ju 19/05/16  nlse16-97</t>
  </si>
  <si>
    <t>Seaboard  ju 19/05/16  nlse16-98</t>
  </si>
  <si>
    <t>fact 1253758</t>
  </si>
  <si>
    <t>fact 1253759</t>
  </si>
  <si>
    <t>fact 752423</t>
  </si>
  <si>
    <t>fact 1252931</t>
  </si>
  <si>
    <t>fact 1251821</t>
  </si>
  <si>
    <t>fact 1253760</t>
  </si>
  <si>
    <t>fact 1253761</t>
  </si>
  <si>
    <t>Seaboard  vi 20/05/16  nlse16-99</t>
  </si>
  <si>
    <t>Seaboard  vi 20/05/16  nlse16-100</t>
  </si>
  <si>
    <t>Indiana sa 21/05/16 nlin16-40</t>
  </si>
  <si>
    <t>fact 2734</t>
  </si>
  <si>
    <t>fact 752990</t>
  </si>
  <si>
    <t>fact 4387</t>
  </si>
  <si>
    <t>fact 4457</t>
  </si>
  <si>
    <t>P 31.90  R B16066</t>
  </si>
  <si>
    <t>P 32.40  R B16064</t>
  </si>
  <si>
    <t>P 32.10  R B16068</t>
  </si>
  <si>
    <t>P 31.50  R B15605</t>
  </si>
  <si>
    <t>ALB 32.80  R B16058</t>
  </si>
  <si>
    <t xml:space="preserve">259 cajas </t>
  </si>
  <si>
    <t>fact 37836</t>
  </si>
  <si>
    <t>1600 cajas</t>
  </si>
  <si>
    <t>fact 12200</t>
  </si>
  <si>
    <t>Sukarne lu 02/05/16</t>
  </si>
  <si>
    <t>ALB&amp;CIA</t>
  </si>
  <si>
    <t>229 cajas</t>
  </si>
  <si>
    <t>rem 2813</t>
  </si>
  <si>
    <t>ALB&amp;CIA  ma 03/05/16</t>
  </si>
  <si>
    <t>corbata Seaboard vacio</t>
  </si>
  <si>
    <t>Frigosor</t>
  </si>
  <si>
    <t>fact 41530</t>
  </si>
  <si>
    <t>Adams  mi 04/05/16</t>
  </si>
  <si>
    <t>fact 41657</t>
  </si>
  <si>
    <t>Adams  sa 07/05/16</t>
  </si>
  <si>
    <t>cuero belly fco</t>
  </si>
  <si>
    <t>Sesos de copa</t>
  </si>
  <si>
    <t>Sesos marqueta</t>
  </si>
  <si>
    <t>200 cajas</t>
  </si>
  <si>
    <t>292 cajas</t>
  </si>
  <si>
    <t>fact 41668</t>
  </si>
  <si>
    <t>Adams  lu 09/05/16</t>
  </si>
  <si>
    <t>sesos copa y marqueta</t>
  </si>
  <si>
    <t>fact 280</t>
  </si>
  <si>
    <t>Topete y Dorado</t>
  </si>
  <si>
    <t>fact 4462, 313</t>
  </si>
  <si>
    <t>P 32.40   R b16490</t>
  </si>
  <si>
    <t>P 33.65  R B16491</t>
  </si>
  <si>
    <t>P 33.30  R B16492</t>
  </si>
  <si>
    <t xml:space="preserve">se agrega nota de cargo por $76.77 usd, dif en precio carga NLSE16-72  </t>
  </si>
  <si>
    <t>fact 1254173</t>
  </si>
  <si>
    <t>fact 95329493</t>
  </si>
  <si>
    <t>intercam $32,840.82</t>
  </si>
  <si>
    <t>fact 95332590</t>
  </si>
  <si>
    <t>intercam $33,437.11</t>
  </si>
  <si>
    <t>fact 95336691</t>
  </si>
  <si>
    <t>intercam $31,117.35</t>
  </si>
  <si>
    <t>Smith Farm  vi 13/05/16 nl16-45</t>
  </si>
  <si>
    <t>intercam $31,192.96</t>
  </si>
  <si>
    <t>Smith Farm  ma  10/5/16  nl16-44</t>
  </si>
  <si>
    <t>Smith Farm  vi  06/5/16  nl16-43</t>
  </si>
  <si>
    <t>Smith Farm  ma 03/5/16  nl16-42</t>
  </si>
  <si>
    <t>filete basa</t>
  </si>
  <si>
    <t>nl16-46</t>
  </si>
  <si>
    <t>nl16-47</t>
  </si>
  <si>
    <t>nlin16-39</t>
  </si>
  <si>
    <t>nlin16-40</t>
  </si>
  <si>
    <t>nlse16-96</t>
  </si>
  <si>
    <t>nlse16-97</t>
  </si>
  <si>
    <t>nlse16-98</t>
  </si>
  <si>
    <t>nlse16-99</t>
  </si>
  <si>
    <t>nlse16-100</t>
  </si>
  <si>
    <t>nlse16-101</t>
  </si>
  <si>
    <t>hoja + 10 ju 12 may</t>
  </si>
  <si>
    <t>hoja + 10.75 mi 11 may</t>
  </si>
  <si>
    <t>hoja + 10.5 ju 12 may</t>
  </si>
  <si>
    <t>Nu2</t>
  </si>
  <si>
    <t>hoja + 10.5 vi 13 may</t>
  </si>
  <si>
    <t>hoja + 10.5 lu 16 may</t>
  </si>
  <si>
    <t>hoja + 10 vi 13 may</t>
  </si>
  <si>
    <t>hoja + 10.75 lu 16 may</t>
  </si>
  <si>
    <t>hoja + 10.5 ma 17 may</t>
  </si>
  <si>
    <t xml:space="preserve">Contra </t>
  </si>
  <si>
    <t>Excel</t>
  </si>
  <si>
    <t>Carnes Ali</t>
  </si>
  <si>
    <t>fact 60520</t>
  </si>
  <si>
    <t>junio 2016</t>
  </si>
  <si>
    <t>Carnes Ali  sa 14/05/16</t>
  </si>
  <si>
    <t>fact A60520</t>
  </si>
  <si>
    <t>contra excel</t>
  </si>
  <si>
    <t>Seaboard  sa 21/05/16  nlse16-101</t>
  </si>
  <si>
    <t>factura 5 pagada por transfer CIC</t>
  </si>
  <si>
    <t>factura 6 pagada por transfer CIC</t>
  </si>
  <si>
    <t>Avance de obras al 14/05/16</t>
  </si>
  <si>
    <t>estimado 67% de avance</t>
  </si>
  <si>
    <t>entregado</t>
  </si>
  <si>
    <t>cantidad restante para saldar obra al 9 de julio</t>
  </si>
  <si>
    <t>Ajuste de obra en ampliacion de remodelacion</t>
  </si>
  <si>
    <t xml:space="preserve">avance </t>
  </si>
  <si>
    <t>diferencial final</t>
  </si>
  <si>
    <t>Gan Rancho San Felipe do 01/05/16</t>
  </si>
  <si>
    <t>fact 89, 107</t>
  </si>
  <si>
    <t>ROBO</t>
  </si>
  <si>
    <t>Agrop El Dorado  lu 02/05/16</t>
  </si>
  <si>
    <t>fact 285,298</t>
  </si>
  <si>
    <t>Agrop El Topete  ma 03/05/16</t>
  </si>
  <si>
    <t>fact 4443, 4452</t>
  </si>
  <si>
    <t>Agrop La Gaby  mi 04/05/16</t>
  </si>
  <si>
    <t>Porc Paso Blanco  ju 05/05/16</t>
  </si>
  <si>
    <t>fact 1830, 1835</t>
  </si>
  <si>
    <t>fact 4366, 4381</t>
  </si>
  <si>
    <t>Agrop La Gaby  ju 05/05/16</t>
  </si>
  <si>
    <t>Porc Paso Blanco  vi 06/05/16</t>
  </si>
  <si>
    <t>Porc Soto  vi 06/05/16</t>
  </si>
  <si>
    <t>fact 267, 272</t>
  </si>
  <si>
    <t>Agrop La Chemita  do 08/05/16</t>
  </si>
  <si>
    <t>Agrop La Gaby  do 08/05/16</t>
  </si>
  <si>
    <t>Porc Soto  lu 09/05/16</t>
  </si>
  <si>
    <t>Agrop La Chemita  ma 10/05/16</t>
  </si>
  <si>
    <t>Agrop La Chemita  mi 11/05/16</t>
  </si>
  <si>
    <t>Agrop La Gaby  ju 12/05/16</t>
  </si>
  <si>
    <t>fact 4357</t>
  </si>
  <si>
    <t>Agrop El Topete  ju 12/05/16</t>
  </si>
  <si>
    <t>Porc Soto  vi 13/05/16</t>
  </si>
  <si>
    <t>Agrop El Topete  vi 13/05/16</t>
  </si>
  <si>
    <t>fact 4462</t>
  </si>
  <si>
    <t>fact 313</t>
  </si>
  <si>
    <t>Agrop El Dorado  vi 13/05/16</t>
  </si>
  <si>
    <t>Adams  sa 14/05/16</t>
  </si>
  <si>
    <t>cuero belly combo</t>
  </si>
  <si>
    <t xml:space="preserve">481 cajas </t>
  </si>
  <si>
    <t>Agro El Topete</t>
  </si>
  <si>
    <t>fact 1843</t>
  </si>
  <si>
    <t>fact 4465</t>
  </si>
  <si>
    <t>nlse16-95 ALB</t>
  </si>
  <si>
    <t>P 34.10  R B16734</t>
  </si>
  <si>
    <t>REALCION DE ENTEGA DE REMISIONES CAJA OBRADOR</t>
  </si>
  <si>
    <t>B16577</t>
  </si>
  <si>
    <t>B16490</t>
  </si>
  <si>
    <t>B16491</t>
  </si>
  <si>
    <t>REMISION</t>
  </si>
  <si>
    <t>VALOR</t>
  </si>
  <si>
    <t>PAGOS</t>
  </si>
  <si>
    <t>FECHA ENTREGADA A CAJA</t>
  </si>
  <si>
    <t>FECHA PAGO</t>
  </si>
  <si>
    <t>FECHA RECIBIDA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</si>
  <si>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</si>
  <si>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</si>
  <si>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</si>
  <si>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</si>
  <si>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</si>
  <si>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</si>
  <si>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</si>
  <si>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</si>
  <si>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</si>
  <si>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</si>
  <si>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fact 753278</t>
  </si>
  <si>
    <t>fact 473820</t>
  </si>
  <si>
    <t>Indiana  ma 24/05/16  nlin16-41</t>
  </si>
  <si>
    <t>Seaboard mi 25/05/16 nlse16-102</t>
  </si>
  <si>
    <t>fact 1255725</t>
  </si>
  <si>
    <t>fact 1255726</t>
  </si>
  <si>
    <t>fact 1255727</t>
  </si>
  <si>
    <t>fact 2729,2738</t>
  </si>
  <si>
    <t>fact 4382, 4393</t>
  </si>
  <si>
    <t>fact 274, 282</t>
  </si>
  <si>
    <t>fact 4468</t>
  </si>
  <si>
    <t>ALB 33.0  R B16846</t>
  </si>
  <si>
    <t>fact 41813</t>
  </si>
  <si>
    <t>P 33.90  R B16861</t>
  </si>
  <si>
    <t>Transfer bancomer</t>
  </si>
  <si>
    <t>Seaboard ju 26/05/16 nlse16-103</t>
  </si>
  <si>
    <t>Seaboard ju 26/05/16 nlse16-104</t>
  </si>
  <si>
    <t>nlin16-41</t>
  </si>
  <si>
    <t>nlse16-102</t>
  </si>
  <si>
    <t>nlse16-103</t>
  </si>
  <si>
    <t>nlse16-104</t>
  </si>
  <si>
    <t>nlse16-105</t>
  </si>
  <si>
    <t>nlse16-106</t>
  </si>
  <si>
    <t>nlse16-107</t>
  </si>
  <si>
    <t>nlin16-42</t>
  </si>
  <si>
    <t>nl16-48</t>
  </si>
  <si>
    <t>nl16-49</t>
  </si>
  <si>
    <t>fact 4400</t>
  </si>
  <si>
    <t>B16734</t>
  </si>
  <si>
    <t>B16861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</si>
  <si>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</si>
  <si>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</si>
  <si>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</si>
  <si>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</si>
  <si>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</si>
  <si>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</si>
  <si>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</si>
  <si>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</si>
  <si>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</si>
  <si>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fact 1256244</t>
  </si>
  <si>
    <t>fact 1256245</t>
  </si>
  <si>
    <t>Indiana sa 28/05/16  nlin16-42</t>
  </si>
  <si>
    <t>Seaboard vi 27/05/16 nlse16-105</t>
  </si>
  <si>
    <t>Seaboard vi 27/05/16 nlse16-106</t>
  </si>
  <si>
    <t>hoja + 10 ju 19 may</t>
  </si>
  <si>
    <t>hoja + 10.5 ju 19 may</t>
  </si>
  <si>
    <t>hoja + 10.75 mi 18 may</t>
  </si>
  <si>
    <t>hoja + 10.5 vi 20 may</t>
  </si>
  <si>
    <t>hoja + 10.5 lu 23 may</t>
  </si>
  <si>
    <t>hoja + 10 vi 20 may</t>
  </si>
  <si>
    <t>hoja + 10.75 lu 23 may</t>
  </si>
  <si>
    <t>hoja + 10.5 ma 24 may</t>
  </si>
  <si>
    <t>fact 95345595</t>
  </si>
  <si>
    <t>Intercam $30,439.62</t>
  </si>
  <si>
    <t>Smith Farm  vi 20/05/16 nl16-47</t>
  </si>
  <si>
    <t>Smith Farm  ma 17/05/16 nl16-46</t>
  </si>
  <si>
    <t>fact 95348864</t>
  </si>
  <si>
    <t>intercam $30,671.46</t>
  </si>
  <si>
    <t>Seaboard  sa 28/05/16  nlse16-107</t>
  </si>
  <si>
    <t>fact 1256428</t>
  </si>
  <si>
    <t>fact 753820</t>
  </si>
  <si>
    <t>Junio 2016</t>
  </si>
  <si>
    <t>hoja + 10.5 ju 26 may</t>
  </si>
  <si>
    <t>hoja + 10.5 vi 27 may</t>
  </si>
  <si>
    <t>hoja + 10 vi 27 may</t>
  </si>
  <si>
    <t>hoja + 10.5 lu 30 may</t>
  </si>
  <si>
    <t>hoja + 10 ju 26 may</t>
  </si>
  <si>
    <t>hoja + 10.75 mi 25 may</t>
  </si>
  <si>
    <t>hoja + 10.75 lu 30 may</t>
  </si>
  <si>
    <t>hoja + 10.5 ma 31 may</t>
  </si>
  <si>
    <t>hoja + 10 ju 5 jun</t>
  </si>
  <si>
    <t>hoja + 10.5 ju 2 jun</t>
  </si>
  <si>
    <t>hoja + 10.5 vi 3 jun</t>
  </si>
  <si>
    <t>hoja + 10 vi 3 jun</t>
  </si>
  <si>
    <t>hoja + 10.5 ma 7 jun</t>
  </si>
  <si>
    <t>nlin16-43</t>
  </si>
  <si>
    <t>nl16-50</t>
  </si>
  <si>
    <t>nlse16-108</t>
  </si>
  <si>
    <t>nlse16-109</t>
  </si>
  <si>
    <t>nlse16-110</t>
  </si>
  <si>
    <t>nlse16-111</t>
  </si>
  <si>
    <t>nlse16-112</t>
  </si>
  <si>
    <t>nlse16-113</t>
  </si>
  <si>
    <t>nl16-51</t>
  </si>
  <si>
    <t>nl16-52</t>
  </si>
  <si>
    <t>nl16-53</t>
  </si>
  <si>
    <t>nl16-54</t>
  </si>
  <si>
    <t>nlse16-114</t>
  </si>
  <si>
    <t>nlse16-115</t>
  </si>
  <si>
    <t>nlse16-116</t>
  </si>
  <si>
    <t>nlse16-117</t>
  </si>
  <si>
    <t>fact 2744</t>
  </si>
  <si>
    <t>B16492</t>
  </si>
  <si>
    <t>vale sobrante</t>
  </si>
  <si>
    <t>P 33.80  R B17146</t>
  </si>
  <si>
    <t>P 33.75  R B17147</t>
  </si>
  <si>
    <t>transfer 11/3/16</t>
  </si>
  <si>
    <t>efectivo</t>
  </si>
  <si>
    <t>fact 5438</t>
  </si>
  <si>
    <t>fact 4475</t>
  </si>
  <si>
    <t>P 33.80  R B17451</t>
  </si>
  <si>
    <t>P 34.50  R B17458</t>
  </si>
  <si>
    <t>1025 cajas</t>
  </si>
  <si>
    <t>fact 41971</t>
  </si>
  <si>
    <t>Adams  vi 20/05/16</t>
  </si>
  <si>
    <t>cuero belly fresco</t>
  </si>
  <si>
    <t>175 cajas</t>
  </si>
  <si>
    <t>fact 60595</t>
  </si>
  <si>
    <t>Carnes Ali lu 16/05/16</t>
  </si>
  <si>
    <t>fact A60595</t>
  </si>
  <si>
    <t>fact 754086</t>
  </si>
  <si>
    <t>fact 4407, 4408</t>
  </si>
  <si>
    <t>fact 289, 290</t>
  </si>
  <si>
    <t>fact 95340512</t>
  </si>
  <si>
    <t>fact 1257197</t>
  </si>
  <si>
    <t>fact 4487</t>
  </si>
  <si>
    <t>P 35.0  R B17643</t>
  </si>
  <si>
    <t>P 34.70  R B17772</t>
  </si>
  <si>
    <t>ALB 32.0  R  B17773</t>
  </si>
  <si>
    <t>fact 293, 294</t>
  </si>
  <si>
    <t>fact 296, 297</t>
  </si>
  <si>
    <t>fact 1258228</t>
  </si>
  <si>
    <t>fact 1258229</t>
  </si>
  <si>
    <t>Indiana  ma 31/05/16  nlin16-43</t>
  </si>
  <si>
    <t>Seaboard  mi 01/06/16  nlse16-108</t>
  </si>
  <si>
    <t>Seaboard  ju 02/06/16  nlse16-109</t>
  </si>
  <si>
    <t>Seaboard  ju 02/06/16  nlse16-110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</si>
  <si>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</si>
  <si>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</si>
  <si>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</si>
  <si>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</si>
  <si>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</si>
  <si>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</si>
  <si>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</si>
  <si>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</si>
  <si>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NLSE16-123</t>
  </si>
  <si>
    <t>NLSE16-124</t>
  </si>
  <si>
    <t>NLSE16-125</t>
  </si>
  <si>
    <t>NLSE16-126</t>
  </si>
  <si>
    <t>NLSE16-127</t>
  </si>
  <si>
    <t>fact 1258230</t>
  </si>
  <si>
    <t>fact 1258500</t>
  </si>
  <si>
    <t>P 34.60   R B18024</t>
  </si>
  <si>
    <t>B17147</t>
  </si>
  <si>
    <t>B17146</t>
  </si>
  <si>
    <t>B17458</t>
  </si>
  <si>
    <t>B17451</t>
  </si>
  <si>
    <t>B17772</t>
  </si>
  <si>
    <t>fact 305</t>
  </si>
  <si>
    <t>fact 4493</t>
  </si>
  <si>
    <t>Seaboard  vi 03/06/16  nlse16-111</t>
  </si>
  <si>
    <t>Seaboard  vi 03/06/16  nlse16-112</t>
  </si>
  <si>
    <t>Indiana sa 04/06/16  nlin16-44</t>
  </si>
  <si>
    <t>B18024</t>
  </si>
  <si>
    <t>fact 4418</t>
  </si>
  <si>
    <t>Porc Paso Blanco  do 15/05/16</t>
  </si>
  <si>
    <t>fact 1843, 1848</t>
  </si>
  <si>
    <t>Agrop El Topete  do 15/05/16</t>
  </si>
  <si>
    <t>Agrop El Topete  lu 16/05/16</t>
  </si>
  <si>
    <t>B17643</t>
  </si>
  <si>
    <t>B18197</t>
  </si>
  <si>
    <t>Agrop La Gaby  ma 17/05/16</t>
  </si>
  <si>
    <t>fact 4395, 4406</t>
  </si>
  <si>
    <t>Agrop La Gaby  mi 18/05/16</t>
  </si>
  <si>
    <t>Agrop La Gaby  ju 19/05/16</t>
  </si>
  <si>
    <t xml:space="preserve">fact 4403 </t>
  </si>
  <si>
    <t>fact 2744, 2746</t>
  </si>
  <si>
    <t>Agrop La Chemita  ju 19/05/16</t>
  </si>
  <si>
    <t>Agrop Las Reses  vi 20/05/16</t>
  </si>
  <si>
    <t>fact 5438, 5441</t>
  </si>
  <si>
    <t>fact 4475, 4477</t>
  </si>
  <si>
    <t>Agrop El Topete  vi 20/05/16</t>
  </si>
  <si>
    <t>P 35.20  RB18334</t>
  </si>
  <si>
    <t>P 34.80  R B18335</t>
  </si>
  <si>
    <t>Porc Soto  do 22/05/16</t>
  </si>
  <si>
    <t>Agrop La Gaby  do 22/05/16</t>
  </si>
  <si>
    <t>Agrop El Topete  lu 23/05/16</t>
  </si>
  <si>
    <t>fact 4487, 4488</t>
  </si>
  <si>
    <t>Smith Farm ma 24/5/16 nl16-48</t>
  </si>
  <si>
    <t>fact 95354106</t>
  </si>
  <si>
    <t>intercam $31,433.60</t>
  </si>
  <si>
    <t>Smith Farm  vi 27/05/16  nl16-49</t>
  </si>
  <si>
    <t>intercam $31,000.14</t>
  </si>
  <si>
    <t>Porc Soto  ma 24/05/16</t>
  </si>
  <si>
    <t>Porc Soto mi 25/05/16</t>
  </si>
  <si>
    <t>fact 298, 297</t>
  </si>
  <si>
    <t>Porc Soto  ju 26/05/16</t>
  </si>
  <si>
    <t>fact 305, 306</t>
  </si>
  <si>
    <t>fact 4493, 4494</t>
  </si>
  <si>
    <t>Agrop El Topete  ju 26/05/16</t>
  </si>
  <si>
    <t>Agrop La Gaby  vi 27/05/16</t>
  </si>
  <si>
    <t>fact 4418, 4419</t>
  </si>
  <si>
    <t>fact 4420, 4421</t>
  </si>
  <si>
    <t>fact 1258634</t>
  </si>
  <si>
    <t>fact 322, 323</t>
  </si>
  <si>
    <t>Seaboard  mi 8/06/16  nlse16-114</t>
  </si>
  <si>
    <t>Seaboard  ju 09/06/16  nlse16-115</t>
  </si>
  <si>
    <t>Seaboard  ju 09/06/16  nlse16-116</t>
  </si>
  <si>
    <t>Seaboard  sa 10/06/16  nlse16-117</t>
  </si>
  <si>
    <t>B18334</t>
  </si>
  <si>
    <t>fact 1259481</t>
  </si>
  <si>
    <t>fact 330, 331</t>
  </si>
  <si>
    <t>P 34.60  R B18677</t>
  </si>
  <si>
    <t>P 34.90  R B18679</t>
  </si>
  <si>
    <t>nlin16-44</t>
  </si>
  <si>
    <t>fact 754902</t>
  </si>
  <si>
    <t>fact 754639</t>
  </si>
  <si>
    <t>Jamon Rebanado</t>
  </si>
  <si>
    <t>De Hector</t>
  </si>
  <si>
    <t>56 cajas</t>
  </si>
  <si>
    <t>fact 5444, 5445</t>
  </si>
  <si>
    <t>77.7% rend</t>
  </si>
  <si>
    <t>fact 1110</t>
  </si>
  <si>
    <t>Viansa  lu 09/05/16</t>
  </si>
  <si>
    <t>jamon rebanado De Hector</t>
  </si>
  <si>
    <t>B18677</t>
  </si>
  <si>
    <t>B18679</t>
  </si>
  <si>
    <t>fact 42019</t>
  </si>
  <si>
    <t>294 cajas</t>
  </si>
  <si>
    <t>fact 42040</t>
  </si>
  <si>
    <t>Adams  ma 24/05/16</t>
  </si>
  <si>
    <t>cuero belly combos</t>
  </si>
  <si>
    <t>Adams  mi 25/05/16</t>
  </si>
  <si>
    <t>fact 42110</t>
  </si>
  <si>
    <t>Adams  vi 27/05/16</t>
  </si>
  <si>
    <t>Kavaliy</t>
  </si>
  <si>
    <t>fact 403</t>
  </si>
  <si>
    <t>Kavaliy  vi 28/05/16</t>
  </si>
  <si>
    <t>Queso Gouda</t>
  </si>
  <si>
    <t>Provex</t>
  </si>
  <si>
    <t>fact 861401</t>
  </si>
  <si>
    <t>Ryc Alimentos  lu 30/05/16</t>
  </si>
  <si>
    <t>ALB 32.60   R B18534</t>
  </si>
  <si>
    <t>ALB 32.3  R B18535</t>
  </si>
  <si>
    <t>Porc Soto  do 29/05/16</t>
  </si>
  <si>
    <t>Porc Soto  lu 30/05/16</t>
  </si>
  <si>
    <t>Agrop Las Reses ma 31/05/16</t>
  </si>
  <si>
    <t>Smith Farm  ma 31/05/16  nl16-50</t>
  </si>
  <si>
    <t>fact 95362510</t>
  </si>
  <si>
    <t>intercam $30,360.21</t>
  </si>
  <si>
    <t>fact 342, 343</t>
  </si>
  <si>
    <t>fact 4506, 4507</t>
  </si>
  <si>
    <t>fact 1260002</t>
  </si>
  <si>
    <t>fact 1260003</t>
  </si>
  <si>
    <t>intercam $31,000.00</t>
  </si>
  <si>
    <t>fact 95357723</t>
  </si>
  <si>
    <t>B18335</t>
  </si>
  <si>
    <t>fact 349, 350</t>
  </si>
  <si>
    <t>fact 4511, 4512</t>
  </si>
  <si>
    <t>fact 1260005</t>
  </si>
  <si>
    <t>fact 1260004</t>
  </si>
  <si>
    <t>P 35.70  R B18948</t>
  </si>
  <si>
    <t>P 35.70  R B18947</t>
  </si>
  <si>
    <t>P 34.70  R B19106</t>
  </si>
  <si>
    <t>B18948</t>
  </si>
  <si>
    <t xml:space="preserve">vale sobrante </t>
  </si>
  <si>
    <t>pagada 03/06/16 con pagos cruzados de notas; se entrega en caja obrador sa 03/06/16</t>
  </si>
  <si>
    <t>fact 4419</t>
  </si>
  <si>
    <t>fact 4517, 4518</t>
  </si>
  <si>
    <t>fact 4447, 4448</t>
  </si>
  <si>
    <t xml:space="preserve">P 34.90 </t>
  </si>
  <si>
    <t>dinero</t>
  </si>
  <si>
    <t>B18947</t>
  </si>
  <si>
    <t>fact 756277</t>
  </si>
  <si>
    <t>Seaboard mi 15/06/16  nlse16-118</t>
  </si>
  <si>
    <t>Seaboard ju 16/06/16 nlse16-119</t>
  </si>
  <si>
    <t>Seaboard ju 16/06/16 nlse16-120</t>
  </si>
  <si>
    <t>Indiana sa  18/06/16 nlin16-45</t>
  </si>
  <si>
    <t>Indiana sa  18/06/16 nlin16-46</t>
  </si>
  <si>
    <t>Seaboard  sa 18/06/16 nlse16-121</t>
  </si>
  <si>
    <t>Smith Farm  sa 04/06/16  nl16-51</t>
  </si>
  <si>
    <t>intercam $32,843.87</t>
  </si>
  <si>
    <t>fact  95366729</t>
  </si>
  <si>
    <t>Porc Soto  mi 01/06/16</t>
  </si>
  <si>
    <t>Agrop El Topete  mi 01/06/16</t>
  </si>
  <si>
    <t xml:space="preserve">Porc Soto ju 02/06/16 </t>
  </si>
  <si>
    <t>Agrop El Topete ju 03/06/16</t>
  </si>
  <si>
    <t>Agrop El Topete  vi 03/06/16</t>
  </si>
  <si>
    <t>fact 4517. 4518</t>
  </si>
  <si>
    <t>Agrop La Gaby  vi 03/06/16</t>
  </si>
  <si>
    <t>fact 361,362</t>
  </si>
  <si>
    <t>fact 4524, 4525</t>
  </si>
  <si>
    <t>ALB  33.30</t>
  </si>
  <si>
    <t>hoja + 10 ju 9 jun</t>
  </si>
  <si>
    <t>hoja + 10.5 ju 9 jun</t>
  </si>
  <si>
    <t>hoja + 10.5 vi 10 jun</t>
  </si>
  <si>
    <t>hoja + 10 vi 10 jun</t>
  </si>
  <si>
    <t>hoja + 10.75 lu 13 jun</t>
  </si>
  <si>
    <t>hoja + 10.5 ma 14 jun</t>
  </si>
  <si>
    <t>nl16-55</t>
  </si>
  <si>
    <t>nl16-61</t>
  </si>
  <si>
    <t>nlse16-118</t>
  </si>
  <si>
    <t>nlse16-119</t>
  </si>
  <si>
    <t>nlse16-120</t>
  </si>
  <si>
    <t>nlse16-121</t>
  </si>
  <si>
    <t>nlin16-45</t>
  </si>
  <si>
    <t>nlin16-46</t>
  </si>
  <si>
    <t>nl16-56</t>
  </si>
  <si>
    <t>nlse16-122</t>
  </si>
  <si>
    <t>nlse16-123</t>
  </si>
  <si>
    <t>nlse16-124</t>
  </si>
  <si>
    <t>nlse16-125</t>
  </si>
  <si>
    <t>nl16-57</t>
  </si>
  <si>
    <t>nl16-62</t>
  </si>
  <si>
    <t>nlin16-47</t>
  </si>
  <si>
    <t>nlin16-48</t>
  </si>
  <si>
    <t>hoja + 10 ju 16 jun</t>
  </si>
  <si>
    <t>hoja + 10.5 ju 16 jun</t>
  </si>
  <si>
    <t>hoja + 10.5 vi 17 jun</t>
  </si>
  <si>
    <t>hoja + 10 vi 17 jun</t>
  </si>
  <si>
    <t>hoja + 10.75 lu 20 jun</t>
  </si>
  <si>
    <t>hoja + 10.5 ma 21 jun</t>
  </si>
  <si>
    <t>nl16-58</t>
  </si>
  <si>
    <t>nl16-59</t>
  </si>
  <si>
    <t>nl16-63</t>
  </si>
  <si>
    <t>nlse16-126</t>
  </si>
  <si>
    <t>nlse16-127</t>
  </si>
  <si>
    <t>nlse16-128</t>
  </si>
  <si>
    <t>nlse16-129</t>
  </si>
  <si>
    <t>nlin16-49</t>
  </si>
  <si>
    <t>nlin16-50</t>
  </si>
  <si>
    <t>hoja + 10 ju 23 jun</t>
  </si>
  <si>
    <t>hoja + 10.5 ju 23 jun</t>
  </si>
  <si>
    <t>hoja + 10.5 vi 24 jun</t>
  </si>
  <si>
    <t>hoja + 10 vi 24 jun</t>
  </si>
  <si>
    <t>hoja + 10.5 ma 28 jun</t>
  </si>
  <si>
    <t>fact 4529, 4530</t>
  </si>
  <si>
    <t>P 34.90  R B19461</t>
  </si>
  <si>
    <t>fact 1261510</t>
  </si>
  <si>
    <t>nota de cargo 114</t>
  </si>
  <si>
    <t>#claim 50194</t>
  </si>
  <si>
    <t>fact 363, 364</t>
  </si>
  <si>
    <t>fact 95370754</t>
  </si>
  <si>
    <t>intercam $30,539.00</t>
  </si>
  <si>
    <t>descuento de $600usd por cargo en carga nl16-50, rechazo en frontera por moretones</t>
  </si>
  <si>
    <t>fact 5459, 5460</t>
  </si>
  <si>
    <t>REMODELACION LA CENTRAL 2015 -2016</t>
  </si>
  <si>
    <t xml:space="preserve">Camara de congelación </t>
  </si>
  <si>
    <t>Trabajos realizados por Erisa</t>
  </si>
  <si>
    <t>Mayo -junio 2016</t>
  </si>
  <si>
    <t xml:space="preserve">Iluminacion camara, </t>
  </si>
  <si>
    <t xml:space="preserve">Equipo de refrigeracion Compresor </t>
  </si>
  <si>
    <t>Bohn de 22HP</t>
  </si>
  <si>
    <t>Costo</t>
  </si>
  <si>
    <t>Total</t>
  </si>
  <si>
    <t>Difusores marca Bohn  (2) Carlos Castro</t>
  </si>
  <si>
    <t>Instalacion , Materiales y mano de obra</t>
  </si>
  <si>
    <t>anticipo 50%</t>
  </si>
  <si>
    <t>anticipo 40%</t>
  </si>
  <si>
    <t>resto  saldo</t>
  </si>
  <si>
    <t>B19106</t>
  </si>
  <si>
    <t>B19626</t>
  </si>
  <si>
    <t>B19611</t>
  </si>
  <si>
    <t>vale rosa</t>
  </si>
  <si>
    <t>rem 1101</t>
  </si>
  <si>
    <t>rem 1088</t>
  </si>
  <si>
    <t>rem 1092</t>
  </si>
  <si>
    <t>rem 1079</t>
  </si>
  <si>
    <t>rem 1083</t>
  </si>
  <si>
    <t>B19252</t>
  </si>
  <si>
    <t>fact 1262093</t>
  </si>
  <si>
    <t>fact 1262612</t>
  </si>
  <si>
    <t>fact 1262613</t>
  </si>
  <si>
    <t>combos con colitas $1000usd mas</t>
  </si>
  <si>
    <t>fact 4537, 4538</t>
  </si>
  <si>
    <t>fact 377, 378</t>
  </si>
  <si>
    <t>P 34.70 R B19838</t>
  </si>
  <si>
    <t>P 34.70  R B19839</t>
  </si>
  <si>
    <t>ALB 34.40</t>
  </si>
  <si>
    <t>P 35.10  R B20009</t>
  </si>
  <si>
    <t>fact 2772, 2773</t>
  </si>
  <si>
    <t>fact 4543, 4544</t>
  </si>
  <si>
    <t>P 35.40  R  B20134</t>
  </si>
  <si>
    <t>fact 42323</t>
  </si>
  <si>
    <t>Adams International  sa 4/06/16</t>
  </si>
  <si>
    <t>fact 42512</t>
  </si>
  <si>
    <t>Canal de RES</t>
  </si>
  <si>
    <t>Gura</t>
  </si>
  <si>
    <t>Gpo Gan Gura</t>
  </si>
  <si>
    <t>fact A3479</t>
  </si>
  <si>
    <t>8 medias</t>
  </si>
  <si>
    <t>Gpo Ganadero Gura lu 06/06/16</t>
  </si>
  <si>
    <t>canales de res</t>
  </si>
  <si>
    <t>Smith Farm ma 07/06/16 nl16-52</t>
  </si>
  <si>
    <t>nl16-60</t>
  </si>
  <si>
    <t>Smith Farm vi 10/06/16  nl16-53</t>
  </si>
  <si>
    <t>Smith Farm vi 10/06/16  nl16-60</t>
  </si>
  <si>
    <t>fact 95373104</t>
  </si>
  <si>
    <t>fact 95373105</t>
  </si>
  <si>
    <t>Intercam $32,704.79</t>
  </si>
  <si>
    <t>intercam $32,180.08</t>
  </si>
  <si>
    <t>Seaboard  mi 22/06/16  nlse16-122</t>
  </si>
  <si>
    <t>Seaboard  ju 23/06/16  nlse16-123</t>
  </si>
  <si>
    <t>Seaboard  ju 23/06/16  nlse16-124</t>
  </si>
  <si>
    <t>Seaboard  sa 25/06/16  nlse16-125</t>
  </si>
  <si>
    <t>Indiana  sa 25/06/16  nlin16-47</t>
  </si>
  <si>
    <t>Indiana  sa 25/06/16  nlin16-48</t>
  </si>
  <si>
    <t>Porc Soto  do 05/06/16</t>
  </si>
  <si>
    <t>fact 361, 362</t>
  </si>
  <si>
    <t>Agrop El Topete  do 05/06/16</t>
  </si>
  <si>
    <t>fact 4473, 4474</t>
  </si>
  <si>
    <t>fact 4472, 4471</t>
  </si>
  <si>
    <t>P 36.65  R B20335</t>
  </si>
  <si>
    <t>Agrop El Topete  lu 06/06/16</t>
  </si>
  <si>
    <t>Porc Soto ma 07/06/16</t>
  </si>
  <si>
    <t>Agrop Las Reses  mi 08/06/16</t>
  </si>
  <si>
    <t>Agrop El Topete  ju 09/06/16</t>
  </si>
  <si>
    <t>fact 4536, 4537</t>
  </si>
  <si>
    <t>Porc Soto  ju 09/06/16</t>
  </si>
  <si>
    <t>Agrop La Chemita  vi 10/06/16</t>
  </si>
  <si>
    <t>Agrop El Topete  vi 10/06/16</t>
  </si>
  <si>
    <t>B20134</t>
  </si>
  <si>
    <t>B19838</t>
  </si>
  <si>
    <t>B20009</t>
  </si>
  <si>
    <t>B19839</t>
  </si>
  <si>
    <t>rem Proledo 1134</t>
  </si>
  <si>
    <t>fact 4550, 4551</t>
  </si>
  <si>
    <t>intercam $36,000.00</t>
  </si>
  <si>
    <t>NLSE16-128</t>
  </si>
  <si>
    <t>NLSE16-129</t>
  </si>
  <si>
    <t>NLSE16-130</t>
  </si>
  <si>
    <t>fact 4554, 4555</t>
  </si>
  <si>
    <t>P 36.30  R B20452</t>
  </si>
  <si>
    <t>nlse16-130</t>
  </si>
  <si>
    <t xml:space="preserve">Agrop El Topete </t>
  </si>
  <si>
    <t>fact 4558,4559,4562,4563</t>
  </si>
  <si>
    <t>Excell</t>
  </si>
  <si>
    <t>B20452</t>
  </si>
  <si>
    <t>B20413</t>
  </si>
  <si>
    <t>B19461</t>
  </si>
  <si>
    <t>B19724</t>
  </si>
  <si>
    <t>rem 1143</t>
  </si>
  <si>
    <t>rem 1119</t>
  </si>
  <si>
    <t>rem 1115</t>
  </si>
  <si>
    <t>rem 1112</t>
  </si>
  <si>
    <t>B20708</t>
  </si>
  <si>
    <t>B20707</t>
  </si>
  <si>
    <t>ALB  35.50</t>
  </si>
  <si>
    <t>P 36.60  R B20707</t>
  </si>
  <si>
    <t>P 36.60  R B20708</t>
  </si>
  <si>
    <t>fact 5479, 5480</t>
  </si>
  <si>
    <t>fact 5481, 5482</t>
  </si>
  <si>
    <t>fact 4572, 4573</t>
  </si>
  <si>
    <t>fact 5491, 5492</t>
  </si>
  <si>
    <t>P 37.20  R B21032</t>
  </si>
  <si>
    <t>P  37.20  R B21033</t>
  </si>
  <si>
    <t>fact 737</t>
  </si>
  <si>
    <t>Abastecedora Roel  mi 15/06/16</t>
  </si>
  <si>
    <t>contral excell</t>
  </si>
  <si>
    <t>Smith Farm ma 14/06/16  nl16-54</t>
  </si>
  <si>
    <t>fact 95380918</t>
  </si>
  <si>
    <t>intercam $33,141.90</t>
  </si>
  <si>
    <t>fact 1264029</t>
  </si>
  <si>
    <t>fact 1264272</t>
  </si>
  <si>
    <t>fact 1264273</t>
  </si>
  <si>
    <t>fact 1265339</t>
  </si>
  <si>
    <t>fact 756839</t>
  </si>
  <si>
    <t>fact 756840</t>
  </si>
  <si>
    <t>fact 394 y 395</t>
  </si>
  <si>
    <t>fact 4579, 4580</t>
  </si>
  <si>
    <t>NLIN16-51</t>
  </si>
  <si>
    <t>NLIN16-52</t>
  </si>
  <si>
    <t>NLIN16-53</t>
  </si>
  <si>
    <t>NLIN16-54</t>
  </si>
  <si>
    <t>NLIN16-55</t>
  </si>
  <si>
    <t>intercam $40,000.00</t>
  </si>
  <si>
    <t>Seaboard  mi 29/06/16  nlse16-126</t>
  </si>
  <si>
    <t>Smith Farm vi 17/06/16 nl16-55</t>
  </si>
  <si>
    <t>Smith Farm vi 17/06/16 nl16-61</t>
  </si>
  <si>
    <t>fact 95381432</t>
  </si>
  <si>
    <t>intercam $33,644.72</t>
  </si>
  <si>
    <t>fact 95381433</t>
  </si>
  <si>
    <t>intercam $34,123.82</t>
  </si>
  <si>
    <t xml:space="preserve">139 cajas </t>
  </si>
  <si>
    <t>Res</t>
  </si>
  <si>
    <t>3 canales</t>
  </si>
  <si>
    <t>fact A3486</t>
  </si>
  <si>
    <t>Gpo Ganadero Gura lu 13/06/16</t>
  </si>
  <si>
    <t>fact 398, 399</t>
  </si>
  <si>
    <t>fact 42725</t>
  </si>
  <si>
    <t>Adams International  vi 17/06/16</t>
  </si>
  <si>
    <t>4 canales</t>
  </si>
  <si>
    <t>fact A3489</t>
  </si>
  <si>
    <t>Gpo Ganadero Gura lu 17/06/16</t>
  </si>
  <si>
    <t>fact 1265340</t>
  </si>
  <si>
    <t xml:space="preserve">tramite de papeles </t>
  </si>
  <si>
    <t>pierna con pelos 800usd , pago en factura 11344 17/6/16 BSL</t>
  </si>
  <si>
    <t>pierna con colitas, 800usd  pagado en fact 11327 15/6/16 BSL</t>
  </si>
  <si>
    <t>pierna con tetillas  800usd pagado en factura 11334 16/6/16 BSL</t>
  </si>
  <si>
    <t>Seaboard ju 30/06/16 nlse16-127</t>
  </si>
  <si>
    <t>Seaboard ju 30/06/16 nlse16-128</t>
  </si>
  <si>
    <t>Indiana sa 2/07/16  nlin16-49</t>
  </si>
  <si>
    <t>Indiana sa 2/07/16  nlin16-50</t>
  </si>
  <si>
    <t>Seaboard sa  02/07/16 nlse16-129</t>
  </si>
  <si>
    <t>Seaboard sa  02/07/16 nlse16-130</t>
  </si>
  <si>
    <t>Fact 4582, 4583</t>
  </si>
  <si>
    <t>P 37.25  R B21361</t>
  </si>
  <si>
    <t>P 36.90  R B21362</t>
  </si>
  <si>
    <t>P 37.20   R B21479</t>
  </si>
  <si>
    <t>Topete y Soto</t>
  </si>
  <si>
    <t>fact 4587,4588, 406,407</t>
  </si>
  <si>
    <t>P 37.30  R B21622</t>
  </si>
  <si>
    <t>fact 4483, 4484</t>
  </si>
  <si>
    <t>fact 413, 414</t>
  </si>
  <si>
    <t>fact 4487,4488, 4489,4490</t>
  </si>
  <si>
    <t>B20961</t>
  </si>
  <si>
    <t>B21030</t>
  </si>
  <si>
    <t>B21103</t>
  </si>
  <si>
    <t>B21109</t>
  </si>
  <si>
    <t>B21222</t>
  </si>
  <si>
    <t>B20335</t>
  </si>
  <si>
    <t>B20577</t>
  </si>
  <si>
    <t>rem 1158</t>
  </si>
  <si>
    <t>B21033</t>
  </si>
  <si>
    <t>B21342</t>
  </si>
  <si>
    <t>claim #50512</t>
  </si>
  <si>
    <t>aplicable carga NLSE16-120</t>
  </si>
  <si>
    <t>claim #50511</t>
  </si>
  <si>
    <t>Reclamo aplicado 23/06/16</t>
  </si>
  <si>
    <t>Reclamo aplicado  23/06/16</t>
  </si>
  <si>
    <t>Reclamo aplicado  27/6/16</t>
  </si>
  <si>
    <t>Corbata fresca</t>
  </si>
  <si>
    <t>fact 757670</t>
  </si>
  <si>
    <t>fact 757836</t>
  </si>
  <si>
    <t>descuenta $800usd  claim #50512 por tetillas</t>
  </si>
  <si>
    <t>descuenta $800usd  claim #50511 por colitas</t>
  </si>
  <si>
    <t>fact 1266342</t>
  </si>
  <si>
    <t>fact 1266341</t>
  </si>
  <si>
    <t>fact 1266803</t>
  </si>
  <si>
    <t>Julio 2016</t>
  </si>
  <si>
    <t>Smith Farm ma 21/6/16  nl16-56</t>
  </si>
  <si>
    <t>fact 95386607</t>
  </si>
  <si>
    <t>intercam $34,332.97</t>
  </si>
  <si>
    <t>Smith Farm  vi 24/06/16  nl16-57</t>
  </si>
  <si>
    <t>fact 95389559</t>
  </si>
  <si>
    <t>fact 95389558</t>
  </si>
  <si>
    <t>Smith Farm  vi 24/06/16  nl16-62</t>
  </si>
  <si>
    <t>intercam $35,591.00</t>
  </si>
  <si>
    <t>intercam $35,718.62</t>
  </si>
  <si>
    <t>Seaboard  mi 6/07/16  nlse16-131</t>
  </si>
  <si>
    <t>Seaboard  ju 07/07/16  nlse16-132</t>
  </si>
  <si>
    <t>Seaboard  ju 07/07/16  nlse16-133</t>
  </si>
  <si>
    <t>Seaboard  vi 08/07/16  nlse16-134</t>
  </si>
  <si>
    <t>Seaboard  vi 08/07/16  nlse16-135</t>
  </si>
  <si>
    <t>Indiana sa 09/07/16  nlin16-51</t>
  </si>
  <si>
    <t>Seaboard  ma 12/07/16  nlse16-136</t>
  </si>
  <si>
    <t>Seaboard  ju 14/07/16  nlse16-138</t>
  </si>
  <si>
    <t>Indiana  sa 16/07/16  nlin16-52</t>
  </si>
  <si>
    <t>Seaboard  sa 16/07/16  nlse16-140</t>
  </si>
  <si>
    <t>Seaboard  ju 14/07/16  nlse16-139</t>
  </si>
  <si>
    <t>Seaboard  mi 13/07/16  nlse16-137</t>
  </si>
  <si>
    <t>Smith Farm  ma 28/06/16  nl16-58</t>
  </si>
  <si>
    <t>fact 95394923</t>
  </si>
  <si>
    <t>intercam $37,665.73</t>
  </si>
  <si>
    <t>fact 425, 426</t>
  </si>
  <si>
    <t>fact 4600,4601</t>
  </si>
  <si>
    <t>P 37.00  R  B21925</t>
  </si>
  <si>
    <t>P  37.00  R  B21926</t>
  </si>
  <si>
    <t>fact 4602,4603</t>
  </si>
  <si>
    <t>aplicable carga NLSE16-118</t>
  </si>
  <si>
    <t>NLSE16-131</t>
  </si>
  <si>
    <t>ALB 38.10</t>
  </si>
  <si>
    <t>B21361</t>
  </si>
  <si>
    <t>B21552</t>
  </si>
  <si>
    <t>B21362</t>
  </si>
  <si>
    <t>B21479</t>
  </si>
  <si>
    <t>B21622</t>
  </si>
  <si>
    <t>rem 1193</t>
  </si>
  <si>
    <t>rem 1190</t>
  </si>
  <si>
    <t>rem 1175</t>
  </si>
  <si>
    <t>intercam $37,500.00</t>
  </si>
  <si>
    <t>fact 429, 430</t>
  </si>
  <si>
    <t>NLSE16-132</t>
  </si>
  <si>
    <t>NLSE16-133</t>
  </si>
  <si>
    <t>NLSE16-134</t>
  </si>
  <si>
    <t>NLSE16-135</t>
  </si>
  <si>
    <t>NLSE16-136</t>
  </si>
  <si>
    <t>NLSE16-137</t>
  </si>
  <si>
    <t>NLSE16-138</t>
  </si>
  <si>
    <t>NLSE16-139</t>
  </si>
  <si>
    <t>NLSE16-141</t>
  </si>
  <si>
    <t>intercam $39,000.00</t>
  </si>
  <si>
    <t>fact 1268151</t>
  </si>
  <si>
    <t>fact 126842</t>
  </si>
  <si>
    <t>fact 126843</t>
  </si>
  <si>
    <t>hoja + 10.75 vi 24 jun</t>
  </si>
  <si>
    <t>fact 758485</t>
  </si>
  <si>
    <t>fact 758486</t>
  </si>
  <si>
    <t>Agrop La Gaby  do 12/06/16</t>
  </si>
  <si>
    <t>Agrop La Gaby  do 12/06/17</t>
  </si>
  <si>
    <t>Agrop El Topete  lu 13/06/16</t>
  </si>
  <si>
    <t>Agrop El Topete ma 14/06/16</t>
  </si>
  <si>
    <t>Agrop El Topete  mi 15/06/16</t>
  </si>
  <si>
    <t>Agrop Las reses  ju 16/06/16</t>
  </si>
  <si>
    <t>fact 5479,5480</t>
  </si>
  <si>
    <t>fact 5481,5482</t>
  </si>
  <si>
    <t>Agrop El Topete  vi 17/06/16</t>
  </si>
  <si>
    <t>fact 4572,4573</t>
  </si>
  <si>
    <t>fact 5491,5492</t>
  </si>
  <si>
    <t>Agrop las Reses vi 17/06/16</t>
  </si>
  <si>
    <t>B21926</t>
  </si>
  <si>
    <t>37.57 / corb 42.21</t>
  </si>
  <si>
    <t>pierna con residuos de pelo  600USd</t>
  </si>
  <si>
    <t>P 37.50  R B22401</t>
  </si>
  <si>
    <t>P 37.80  R B22267</t>
  </si>
  <si>
    <t>P 38.00  R B22268</t>
  </si>
  <si>
    <t>fact 355,356</t>
  </si>
  <si>
    <t>fact 42892</t>
  </si>
  <si>
    <t>Adams International  lu 27/06/16</t>
  </si>
  <si>
    <t>Grupo Gura</t>
  </si>
  <si>
    <t>3.5 canales</t>
  </si>
  <si>
    <t>fact 3507 y 3508</t>
  </si>
  <si>
    <t>Grupo Ganadero Gura lu 20/06/16</t>
  </si>
  <si>
    <t>fact 3507, 3508</t>
  </si>
  <si>
    <t>res en canal y pata</t>
  </si>
  <si>
    <t>B21925</t>
  </si>
  <si>
    <t>B22268</t>
  </si>
  <si>
    <t>B22496</t>
  </si>
  <si>
    <t>B22401</t>
  </si>
  <si>
    <t xml:space="preserve">vale rosa </t>
  </si>
  <si>
    <t>fact 1993, 1994</t>
  </si>
  <si>
    <t>fact 360,361</t>
  </si>
  <si>
    <t>fact 367,368</t>
  </si>
  <si>
    <t>fact 4614,4615</t>
  </si>
  <si>
    <t>pierna con colas 600 usd</t>
  </si>
  <si>
    <t>pagado en fact  11409 BSL</t>
  </si>
  <si>
    <t>Reclamo aplicado 30/jul</t>
  </si>
  <si>
    <t>ALB 39.00</t>
  </si>
  <si>
    <t>fact 1268453</t>
  </si>
  <si>
    <t>fact 4617,4618</t>
  </si>
  <si>
    <t>fact 4621,4622</t>
  </si>
  <si>
    <t>P 38.70  R B22846</t>
  </si>
  <si>
    <t>P 38.30  R B22845</t>
  </si>
  <si>
    <t>Gpo America</t>
  </si>
  <si>
    <t>nl16-64</t>
  </si>
  <si>
    <t>nl16-65</t>
  </si>
  <si>
    <t>nl16-66</t>
  </si>
  <si>
    <t>nlse16-132</t>
  </si>
  <si>
    <t>nlse16-133</t>
  </si>
  <si>
    <t>nlse16-134</t>
  </si>
  <si>
    <t>nlse16-135</t>
  </si>
  <si>
    <t>nlse16-131</t>
  </si>
  <si>
    <t>nlin16-51</t>
  </si>
  <si>
    <t>hoja + 10 ju 30 jun</t>
  </si>
  <si>
    <t>hoja + 10.5 ju 30 jun</t>
  </si>
  <si>
    <t>hoja + 10.5 lu 4 jul</t>
  </si>
  <si>
    <t>hoja + 10.5 ma 5 jul</t>
  </si>
  <si>
    <t>hoja + 10 lu 4 jul</t>
  </si>
  <si>
    <t>hoja + 10.75 lu 4 jul</t>
  </si>
  <si>
    <t>Consorcio Int</t>
  </si>
  <si>
    <t>225 cajas</t>
  </si>
  <si>
    <t>rem 084575</t>
  </si>
  <si>
    <t>reempacado</t>
  </si>
  <si>
    <t>135 cajas</t>
  </si>
  <si>
    <t>Consorcio Int de Carnes 22/6/16</t>
  </si>
  <si>
    <t>buche, corbata y cuero</t>
  </si>
  <si>
    <t>29 y 30/06/16</t>
  </si>
  <si>
    <t>efectivo caja de Obrador</t>
  </si>
  <si>
    <t>670 cajas</t>
  </si>
  <si>
    <t>fact 412</t>
  </si>
  <si>
    <t>Kavaliy     lu 27/06/16</t>
  </si>
  <si>
    <t xml:space="preserve">fact 412 </t>
  </si>
  <si>
    <t>Porc Soto  do  19/06/16</t>
  </si>
  <si>
    <t>fact 394, 395</t>
  </si>
  <si>
    <t>Agrop El Topete  do 19/06/16</t>
  </si>
  <si>
    <t>Porc Soto  lu 20/06/16</t>
  </si>
  <si>
    <t>fact 398,399</t>
  </si>
  <si>
    <t>Agrop El Topete  ma 21/06/16</t>
  </si>
  <si>
    <t>fact 4582, 4583</t>
  </si>
  <si>
    <t>Agrop El Topete  mi 22/06/16</t>
  </si>
  <si>
    <t>fact 4587, 4588</t>
  </si>
  <si>
    <t>fact 406, 407</t>
  </si>
  <si>
    <t>Porc Soto  mi 22/06/16</t>
  </si>
  <si>
    <t>fact 4483,4484</t>
  </si>
  <si>
    <t>Agrop La Gaby  vi 24/06/16</t>
  </si>
  <si>
    <t>Porc Soto  ju 23/06/16</t>
  </si>
  <si>
    <t>Agrop La Gaby  ju 23/06/16</t>
  </si>
  <si>
    <t>fact 4487,4488,4489,4490</t>
  </si>
  <si>
    <t>fact 417, 418</t>
  </si>
  <si>
    <t>Porc Soto  vi 24/06/16</t>
  </si>
  <si>
    <t>B22267</t>
  </si>
  <si>
    <t>B22767</t>
  </si>
  <si>
    <t>B22843</t>
  </si>
  <si>
    <t>Porc Soto  do 26/06/16</t>
  </si>
  <si>
    <t>fact 425,426</t>
  </si>
  <si>
    <t>fact 4600, 4601</t>
  </si>
  <si>
    <t>Agrop El Topete  do 26/06/16</t>
  </si>
  <si>
    <t>Agrop El Topete  lu 27/06/16</t>
  </si>
  <si>
    <t>Poc Soto  ma 28/06/16</t>
  </si>
  <si>
    <t>Agrop EL Dorado  mi 29/06/16</t>
  </si>
  <si>
    <t>Agrop El Dorado  ju 30/06/16</t>
  </si>
  <si>
    <t>Porc Paso Blanco  ju 30/06/16</t>
  </si>
  <si>
    <t>unquebrado</t>
  </si>
  <si>
    <t>DEUDA AL CIERRE DEL 30 DE JUNIO DE 2016</t>
  </si>
  <si>
    <t>SE CAMBIA EL PAGO A LA NLSE16-136</t>
  </si>
  <si>
    <t>PAGO DE LA CARGA CANCELADA 129</t>
  </si>
  <si>
    <t>intercam $42,000.00</t>
  </si>
  <si>
    <t>Smith Farm  vi 01/07/16 nl16-59</t>
  </si>
  <si>
    <t>Smith Farm  vi 01/07/16 nl16-63</t>
  </si>
  <si>
    <t>fact 95398026</t>
  </si>
  <si>
    <t>intercam $35,995.63</t>
  </si>
  <si>
    <t>nota credito por $800usd  carga nl16-61</t>
  </si>
  <si>
    <t>fact 95398027</t>
  </si>
  <si>
    <t>intercam $36,650.28</t>
  </si>
  <si>
    <t>claim #50626</t>
  </si>
  <si>
    <t>aplicable a carga NLSE16-126</t>
  </si>
  <si>
    <t>fact 442, 443</t>
  </si>
  <si>
    <t>fact 444,445</t>
  </si>
  <si>
    <t>Aleman</t>
  </si>
  <si>
    <t>fact 16165</t>
  </si>
  <si>
    <t>Grupo America  sa 02/07/16</t>
  </si>
  <si>
    <t>pernil Indiana</t>
  </si>
  <si>
    <t>fact 16159</t>
  </si>
  <si>
    <t>Grupo America  lu 04/07/16</t>
  </si>
  <si>
    <t>intercam $43,000.00</t>
  </si>
  <si>
    <t>fact 1269758</t>
  </si>
  <si>
    <t>Seaboard  sa 09/07/16  nlse16-131</t>
  </si>
  <si>
    <t>B22970</t>
  </si>
  <si>
    <t>B23043</t>
  </si>
  <si>
    <t>rem 1228</t>
  </si>
  <si>
    <t>P 38.90  R B23043</t>
  </si>
  <si>
    <t>nlse16-136</t>
  </si>
  <si>
    <t>nl16-67</t>
  </si>
  <si>
    <t>hoja + 10 ju 7 jul</t>
  </si>
  <si>
    <t>hoja + 10.5 ju 7 jul</t>
  </si>
  <si>
    <t>10 combos</t>
  </si>
  <si>
    <t>nlse16-156</t>
  </si>
  <si>
    <t>Claim #1716062301</t>
  </si>
  <si>
    <t>Porc Soto y Dorado</t>
  </si>
  <si>
    <t>fact 448,449,378,379</t>
  </si>
  <si>
    <t>P 38.30  R B23325</t>
  </si>
  <si>
    <t>P 38.30  R B23326</t>
  </si>
  <si>
    <t>nlse16-137</t>
  </si>
  <si>
    <t>nlse16-138</t>
  </si>
  <si>
    <t>nlse16-139</t>
  </si>
  <si>
    <t>hoja + 10.5 vi 8 jul</t>
  </si>
  <si>
    <t>nl16-68</t>
  </si>
  <si>
    <t>hoja + 10 vi 8 jul</t>
  </si>
  <si>
    <t>nlin16-52</t>
  </si>
  <si>
    <t>nl16-69</t>
  </si>
  <si>
    <t>nlse16-140</t>
  </si>
  <si>
    <t>hoja + 10 lu 11 jul</t>
  </si>
  <si>
    <t>hoja + 10.75 lu 11 jul</t>
  </si>
  <si>
    <t>hoja + 10.5 ma 12 jul</t>
  </si>
  <si>
    <t>NLSE16-156</t>
  </si>
  <si>
    <t>Seaboard ma  12/04/16  nlse16-156</t>
  </si>
  <si>
    <t>intercam $38,000.00</t>
  </si>
  <si>
    <t>fact 1270427</t>
  </si>
  <si>
    <t>fact 1270590</t>
  </si>
  <si>
    <t>fact 127591</t>
  </si>
  <si>
    <t>fact 759328</t>
  </si>
  <si>
    <t>P 38.20  R B23462</t>
  </si>
  <si>
    <t>hoja + 10 ju 14 jul</t>
  </si>
  <si>
    <t>hoja + 10.5 ju 14 jul</t>
  </si>
  <si>
    <t>hoja + 10.5 vi 15 jul</t>
  </si>
  <si>
    <t>hoja + 10.75 lu 18 jul</t>
  </si>
  <si>
    <t>hoja + 10 lu 18 jul</t>
  </si>
  <si>
    <t>hoja + 10.5 ma 19 jul</t>
  </si>
  <si>
    <t>nl16-70</t>
  </si>
  <si>
    <t>nl16-71</t>
  </si>
  <si>
    <t>nl16-72</t>
  </si>
  <si>
    <t>nlse16-141</t>
  </si>
  <si>
    <t>nlse16-142</t>
  </si>
  <si>
    <t>nlse16-143</t>
  </si>
  <si>
    <t>nlse16-144</t>
  </si>
  <si>
    <t>nlse16-145</t>
  </si>
  <si>
    <t>nl16-73</t>
  </si>
  <si>
    <t>nl16-74</t>
  </si>
  <si>
    <t>nl16-75</t>
  </si>
  <si>
    <t>nlse16-146</t>
  </si>
  <si>
    <t>nlse16-147</t>
  </si>
  <si>
    <t>nlse16-148</t>
  </si>
  <si>
    <t>nlse16-149</t>
  </si>
  <si>
    <t>nlse16-150</t>
  </si>
  <si>
    <t>nlse16-151</t>
  </si>
  <si>
    <t>nlin16-53</t>
  </si>
  <si>
    <t>nlin16-54</t>
  </si>
  <si>
    <t>nl16-76</t>
  </si>
  <si>
    <t>nl16-77</t>
  </si>
  <si>
    <t>nl16-78</t>
  </si>
  <si>
    <t>nlse16-152</t>
  </si>
  <si>
    <t>nlse16-153</t>
  </si>
  <si>
    <t>nlse16-154</t>
  </si>
  <si>
    <t>nlse16-155</t>
  </si>
  <si>
    <t>nlin16-55</t>
  </si>
  <si>
    <t>hoja + 10 ju 21 jul</t>
  </si>
  <si>
    <t>hoja + 10.5 ju 21 jul</t>
  </si>
  <si>
    <t>nlse16-157</t>
  </si>
  <si>
    <t>corbata</t>
  </si>
  <si>
    <t>nana</t>
  </si>
  <si>
    <t>nlcong-03</t>
  </si>
  <si>
    <t>hoja + 10.5 vi 22 jul</t>
  </si>
  <si>
    <t>hoja + 10 vi 22 jul</t>
  </si>
  <si>
    <t>hoja + 10.75 lu 25 jul</t>
  </si>
  <si>
    <t>hoja + 10 lu 25 jul</t>
  </si>
  <si>
    <t>hoja + 10.5 ma 26 jul</t>
  </si>
  <si>
    <t>hoja + 10 ju 28 jul</t>
  </si>
  <si>
    <t>hoja + 10.5 ju 28 jul</t>
  </si>
  <si>
    <t>hoja + 10.5 vi 29 jul</t>
  </si>
  <si>
    <t>hoja + 10 vi 29 jul</t>
  </si>
  <si>
    <t>hoja + 10.75 lu 1 ago</t>
  </si>
  <si>
    <t>hoja + 10 lu 1 ago</t>
  </si>
  <si>
    <t>hoja + 10.5 ma 2 ago</t>
  </si>
  <si>
    <t>Agosto 2016</t>
  </si>
  <si>
    <t>fact 2004, 2005</t>
  </si>
  <si>
    <t>fact 4631, 4632</t>
  </si>
  <si>
    <t>NLSE16-142</t>
  </si>
  <si>
    <t>NLSE16-143</t>
  </si>
  <si>
    <t>NLSE16-144</t>
  </si>
  <si>
    <t>NLSE16-145</t>
  </si>
  <si>
    <t>fact 4636,4637</t>
  </si>
  <si>
    <t>fact 453,454</t>
  </si>
  <si>
    <t>P 39.30  R B23724</t>
  </si>
  <si>
    <t>P 39.40  R B23725</t>
  </si>
  <si>
    <t>Smith Farm  mi 05/07/16 nl16-64</t>
  </si>
  <si>
    <t>fact 95406198</t>
  </si>
  <si>
    <t>Intercam $37,263.13</t>
  </si>
  <si>
    <t>Smith Farm sa 09/07/16  nl16-65</t>
  </si>
  <si>
    <t>fact 95408040</t>
  </si>
  <si>
    <t>Smith Farm sa 09/07/16  nl16-66</t>
  </si>
  <si>
    <t>fact 95408041</t>
  </si>
  <si>
    <t>intercam $38,655.91</t>
  </si>
  <si>
    <t>intercam $38,194.14</t>
  </si>
  <si>
    <t>Seaboard  ma 19/07/16 nlse16-141</t>
  </si>
  <si>
    <t>Seaboard  mi 20/07/16 nlse16-142</t>
  </si>
  <si>
    <t>Seaboard  ju 21/07/16 nlse16-143</t>
  </si>
  <si>
    <t>Seaboard  ju 21/07/16 nlse16-144</t>
  </si>
  <si>
    <t>Indiana  sa 23/07/16  nlin16-53</t>
  </si>
  <si>
    <t>Seaboard  sa 23/07/16 nlse16-145</t>
  </si>
  <si>
    <t>Seaboard  ma 26/07/16 nlse16-146</t>
  </si>
  <si>
    <t>Seaboard  mi 27/07/16 nlse16-147</t>
  </si>
  <si>
    <t>Seaboard  ma 26/07/16 nlse16-157</t>
  </si>
  <si>
    <t>Seaboard  ma 26/07/16 nlcong16-03</t>
  </si>
  <si>
    <t>Seaboard  ju 28/07/16 nlse16-148</t>
  </si>
  <si>
    <t>Seaboard  ju 28/07/16 nlse16-149</t>
  </si>
  <si>
    <t>Indiana  sa 30/07/16  nlin16-54</t>
  </si>
  <si>
    <t>Seaboard  sa 30/07/16 nlse16-150</t>
  </si>
  <si>
    <t>Seaboard  ma 02/08/16 nlse16-151</t>
  </si>
  <si>
    <t>Seaboard  mi 03/08/16 nlse16-152</t>
  </si>
  <si>
    <t>Seaboard  ju 04/08/16 nlse16-153</t>
  </si>
  <si>
    <t>Seaboard  ju 04/08/16 nlse16-154</t>
  </si>
  <si>
    <t>Indiana  sa 06/08/16  nlin16-55</t>
  </si>
  <si>
    <t>B23326</t>
  </si>
  <si>
    <t>B23325</t>
  </si>
  <si>
    <t>B22845</t>
  </si>
  <si>
    <t>B23261</t>
  </si>
  <si>
    <t>Agrop El Dorado  vi 01/07/16</t>
  </si>
  <si>
    <t>fact 367, 368</t>
  </si>
  <si>
    <t>fact 4814,4819</t>
  </si>
  <si>
    <t>Agrop El Topete vi 01/07/16</t>
  </si>
  <si>
    <t>Agrop El Topete  do 03/07/16</t>
  </si>
  <si>
    <t>fact 4617, 4618</t>
  </si>
  <si>
    <t>Porc Soto  lu 04/07/16</t>
  </si>
  <si>
    <t>fact 442,443</t>
  </si>
  <si>
    <t>Porc Soto  ma 05/07/16</t>
  </si>
  <si>
    <t>Porc Soto mi 06/07/16</t>
  </si>
  <si>
    <t>fact 448,449</t>
  </si>
  <si>
    <t>fact 378,379</t>
  </si>
  <si>
    <t>Agrop El Dorado  mi 06/07/16</t>
  </si>
  <si>
    <t>Agrop El Topete  ju 07/07/16</t>
  </si>
  <si>
    <t>fact 2004,2005</t>
  </si>
  <si>
    <t>Porc Paso Blanco  ju 07/07/16</t>
  </si>
  <si>
    <t>Agrop El Topete  vi 08/07/16</t>
  </si>
  <si>
    <t>Porc Soto  vi 08/07/16</t>
  </si>
  <si>
    <t>411 cajas</t>
  </si>
  <si>
    <t>fact 87850</t>
  </si>
  <si>
    <t>fact 870850</t>
  </si>
  <si>
    <t>Ryc Alimentos  ma 05/07/16</t>
  </si>
  <si>
    <t>fact 43047</t>
  </si>
  <si>
    <t>Adams International sa 02/07/16</t>
  </si>
  <si>
    <t>Wagstaff</t>
  </si>
  <si>
    <t>161 cajas</t>
  </si>
  <si>
    <t>fact 43145</t>
  </si>
  <si>
    <t>Adams International ma 05/07/16</t>
  </si>
  <si>
    <t>Adams International ju  07/07/16</t>
  </si>
  <si>
    <t>fact 43164</t>
  </si>
  <si>
    <t>fact 416</t>
  </si>
  <si>
    <t xml:space="preserve">Kavaliy  sa 0/07/16  </t>
  </si>
  <si>
    <t>678 cajas</t>
  </si>
  <si>
    <t>fact 467,468</t>
  </si>
  <si>
    <t>fact 4538,4539</t>
  </si>
  <si>
    <t xml:space="preserve">Porc Soto  do 10/07/16  </t>
  </si>
  <si>
    <t>Agrop La Gaby  do 10/07/16</t>
  </si>
  <si>
    <t>fact 43234</t>
  </si>
  <si>
    <t>ALB $39.9  R B23958</t>
  </si>
  <si>
    <t>P 39  RB23957</t>
  </si>
  <si>
    <t>fact 1271431</t>
  </si>
  <si>
    <t>fact 1271070</t>
  </si>
  <si>
    <t>fact 1271069</t>
  </si>
  <si>
    <t>Ros</t>
  </si>
  <si>
    <t>B23975</t>
  </si>
  <si>
    <t>B23725</t>
  </si>
  <si>
    <t>B22846</t>
  </si>
  <si>
    <t>B23462</t>
  </si>
  <si>
    <t>B23782</t>
  </si>
  <si>
    <t>B23766</t>
  </si>
  <si>
    <t>rem 1256</t>
  </si>
  <si>
    <t>P 38.80  R B24062</t>
  </si>
  <si>
    <t>fact 2012,2014</t>
  </si>
  <si>
    <t>fact 1271432</t>
  </si>
  <si>
    <t>40.06, cue 18.34</t>
  </si>
  <si>
    <t>fact 760165</t>
  </si>
  <si>
    <t>P 39.00  R B24186</t>
  </si>
  <si>
    <t>ALB 40.5  R B24187</t>
  </si>
  <si>
    <t>fact 2021,2022,4671,4672</t>
  </si>
  <si>
    <t>fact 1272376</t>
  </si>
  <si>
    <t>fact 1272377</t>
  </si>
  <si>
    <t>NLSE16-146</t>
  </si>
  <si>
    <t>NLSE16-147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</si>
  <si>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</si>
  <si>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</si>
  <si>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</si>
  <si>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</si>
  <si>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</si>
  <si>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</si>
  <si>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</si>
  <si>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</si>
  <si>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NLSE16-157</t>
  </si>
  <si>
    <t>NLSE16-158</t>
  </si>
  <si>
    <t>NLSE16-159</t>
  </si>
  <si>
    <t>fact 93477778</t>
  </si>
  <si>
    <t>intercam $20,343.35</t>
  </si>
  <si>
    <t>Maple   ma 12/07/16  cuero belly</t>
  </si>
  <si>
    <t>Smith Farm  ma 12/07/16 nl16-67</t>
  </si>
  <si>
    <t>fact 95412260</t>
  </si>
  <si>
    <t>intercam $38,474.84</t>
  </si>
  <si>
    <t>Smith Farm  vi 15/07/16  nl16-68</t>
  </si>
  <si>
    <t>fact 95415078</t>
  </si>
  <si>
    <t>intercam $39,736.09</t>
  </si>
  <si>
    <t>fact 95415079</t>
  </si>
  <si>
    <t>Smith Farm  sa 16/07/16  nl16-69</t>
  </si>
  <si>
    <t>intercam $38,770.95</t>
  </si>
  <si>
    <t>NLCONG16-03</t>
  </si>
  <si>
    <t>intercam $52,000.00</t>
  </si>
  <si>
    <t>B23724</t>
  </si>
  <si>
    <t>B24210</t>
  </si>
  <si>
    <t>B24186</t>
  </si>
  <si>
    <t>rem 1264</t>
  </si>
  <si>
    <t>rem 1282</t>
  </si>
  <si>
    <t>AGOSTO 2016</t>
  </si>
  <si>
    <t>fact 2016,2017</t>
  </si>
  <si>
    <t>fact 4685,4686</t>
  </si>
  <si>
    <t>Porc Paso Blanco ju 14/07/16</t>
  </si>
  <si>
    <t>P 38.90 R B24296</t>
  </si>
  <si>
    <t>Agrop El Topete ju 14/07/16</t>
  </si>
  <si>
    <t>P 39.70  R B24484</t>
  </si>
  <si>
    <t>Porc Soto  lu 11/07/16</t>
  </si>
  <si>
    <t>fact 470,471</t>
  </si>
  <si>
    <t>Porc Paso Blanco  ma 12/07/16</t>
  </si>
  <si>
    <t>Porc Paso Blanco  mi 13/07/16</t>
  </si>
  <si>
    <t>fact 2021, 2022</t>
  </si>
  <si>
    <t>fact 4671, 4672</t>
  </si>
  <si>
    <t>Agrop El Topete  mi 13/07/16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</si>
  <si>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</si>
  <si>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</si>
  <si>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</si>
  <si>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</si>
  <si>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</si>
  <si>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</si>
  <si>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</si>
  <si>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</si>
  <si>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saber precios el ju 21 para ma 26</t>
  </si>
  <si>
    <t>NLIN16-56</t>
  </si>
  <si>
    <t>NLIN16-57</t>
  </si>
  <si>
    <t>NLIN16-58</t>
  </si>
  <si>
    <t>NLIN16-59</t>
  </si>
  <si>
    <t>fact 421</t>
  </si>
  <si>
    <t>Kavaliy  ju 14/07/16</t>
  </si>
  <si>
    <t xml:space="preserve">fact 421 </t>
  </si>
  <si>
    <t>601 cajas</t>
  </si>
  <si>
    <t>fact 872829</t>
  </si>
  <si>
    <t>Paso Blanco y Topete</t>
  </si>
  <si>
    <t>fact  872829</t>
  </si>
  <si>
    <t>Ryc Alimentos  mi 13/07/16</t>
  </si>
  <si>
    <t>Agrop La Topete</t>
  </si>
  <si>
    <t>fact 4691,4692</t>
  </si>
  <si>
    <t>fact 2026,2027</t>
  </si>
  <si>
    <t>cobro de tres certificados Indiana NLIN16-49,50 y 51  60usd c/u</t>
  </si>
  <si>
    <t>cobro de 1 certificado Indiana NLIN16-52  60usd</t>
  </si>
  <si>
    <t>Agrop El Topete  vi 15/07/16</t>
  </si>
  <si>
    <t>fact 4691, 4692</t>
  </si>
  <si>
    <t>fact 2026, 2027</t>
  </si>
  <si>
    <t>Porc Paso Blanco  vi 15/07/16</t>
  </si>
  <si>
    <t>P 39.60  R B24627</t>
  </si>
  <si>
    <t>B24292</t>
  </si>
  <si>
    <t>B24062</t>
  </si>
  <si>
    <t>B24599</t>
  </si>
  <si>
    <t>B24596</t>
  </si>
  <si>
    <t>B24486</t>
  </si>
  <si>
    <t>B24296</t>
  </si>
  <si>
    <t>B24536</t>
  </si>
  <si>
    <t>B24484</t>
  </si>
  <si>
    <t>B24602</t>
  </si>
  <si>
    <t>B24605</t>
  </si>
  <si>
    <t>B24703</t>
  </si>
  <si>
    <t>B24716</t>
  </si>
  <si>
    <t>fact 4549,4550,4551,4552</t>
  </si>
  <si>
    <t>Agrop La Gaby do 17/07/16</t>
  </si>
  <si>
    <t>Porc Paso Blanco Lu 18/07/16</t>
  </si>
  <si>
    <t>fact 2031,2032</t>
  </si>
  <si>
    <t>fact 2818,2819</t>
  </si>
  <si>
    <t>Smith Farm  mi 20/07/16 nl16-70</t>
  </si>
  <si>
    <t>fact 95419701</t>
  </si>
  <si>
    <t>hoja + 10 vi 15 jul</t>
  </si>
  <si>
    <t>Smith Farm vi 22/07/16  nl16-71</t>
  </si>
  <si>
    <t>fact 95421914</t>
  </si>
  <si>
    <t>intercam $37,580.04</t>
  </si>
  <si>
    <t>P 39.30  P R24926</t>
  </si>
  <si>
    <t>ALB  41.3  R B24927</t>
  </si>
  <si>
    <t>debe 80segun NU3</t>
  </si>
  <si>
    <t>hoja + 10 ju 4 ago</t>
  </si>
  <si>
    <t>hoja + 10.5 ju 4 ago</t>
  </si>
  <si>
    <t>hoja + 10.5 vi 5 ago</t>
  </si>
  <si>
    <t>hoja + 10 vi 5 ago</t>
  </si>
  <si>
    <t>hoja + 10.75 lu 8 ago</t>
  </si>
  <si>
    <t>hoja + 10 lu 8 ago</t>
  </si>
  <si>
    <t>hoja + 10.5 ma 9 ago</t>
  </si>
  <si>
    <t>hoja + 10 ju 11 ago</t>
  </si>
  <si>
    <t>hoja + 10.5 ju 11 ago</t>
  </si>
  <si>
    <t>hoja + 10.5 vi 12 ago</t>
  </si>
  <si>
    <t>hoja + 10 vi 12 ago</t>
  </si>
  <si>
    <t>hoja + 10.75 lu 15 ago</t>
  </si>
  <si>
    <t>hoja + 10 lu 15 ago</t>
  </si>
  <si>
    <t>hoja + 10.5 ma 16 ago</t>
  </si>
  <si>
    <t>hoja + 10 ju 18 ago</t>
  </si>
  <si>
    <t>hoja + 10.5 ju 18 ago</t>
  </si>
  <si>
    <t>hoja + 10.5 vi 19 ago</t>
  </si>
  <si>
    <t>hoja + 10 vi 19 ago</t>
  </si>
  <si>
    <t>hoja + 10.75 lu 22 ago</t>
  </si>
  <si>
    <t>hoja + 10 lu 22 ago</t>
  </si>
  <si>
    <t>hoja + 10.5 ma 23 ago</t>
  </si>
  <si>
    <t>hoja + 10 ju 25 ago</t>
  </si>
  <si>
    <t>hoja + 10.5 ju 25 ago</t>
  </si>
  <si>
    <t>hoja + 10.5 vi 26 ago</t>
  </si>
  <si>
    <t>hoja + 10 vi 26 ago</t>
  </si>
  <si>
    <t>hoja + 10.75 lu 29 ago</t>
  </si>
  <si>
    <t>hoja + 10 lu 29 ago</t>
  </si>
  <si>
    <t>hoja + 10.5 ma 30 ago</t>
  </si>
  <si>
    <t>septiembre 16</t>
  </si>
  <si>
    <t>Seaboard sa  6/08/16  nlse16-155</t>
  </si>
  <si>
    <t>Seaboard  ma 09/08/16  nlse16-158</t>
  </si>
  <si>
    <t>Seaboard  mi 10/08/16  nlse16-159</t>
  </si>
  <si>
    <t>Seaboard  ju 11/08/16  nlse16-160</t>
  </si>
  <si>
    <t>Seaboard  ju 11/08/16  nlse16-161</t>
  </si>
  <si>
    <t>Indiana  sa 13/08/16  nlin16-56</t>
  </si>
  <si>
    <t>Seaboard  sa 13/08/16  nlse16-162</t>
  </si>
  <si>
    <t>Seaboard  ma 16/08/16  nlse16-163</t>
  </si>
  <si>
    <t>Seaboard  mi 17/08/16  nlse16-164</t>
  </si>
  <si>
    <t>Seaboard  ju 18/08/16  nlse16-165</t>
  </si>
  <si>
    <t>Seaboard  ju 18/08/16  nlse16-166</t>
  </si>
  <si>
    <t>Indiana  sa  20/08/16  nlin16-57</t>
  </si>
  <si>
    <t>fact 1984,1985</t>
  </si>
  <si>
    <t>Porc San Bernardo mi 20/07/16</t>
  </si>
  <si>
    <t>Agrop La Chemita ma 19/07/16</t>
  </si>
  <si>
    <t>Smith Farm sa 23/07/16 nl16-72</t>
  </si>
  <si>
    <t>fact 95423261</t>
  </si>
  <si>
    <t>intercam $39,089.50</t>
  </si>
  <si>
    <t>P 39.30  R C00048</t>
  </si>
  <si>
    <t>P 39.20  R C00066</t>
  </si>
  <si>
    <t>intercam $38,696.18-600</t>
  </si>
  <si>
    <t>se aplica nota de credito 600usd por colitas en carga NL16-63</t>
  </si>
  <si>
    <t>fact 1273792</t>
  </si>
  <si>
    <t>fact 1273793</t>
  </si>
  <si>
    <t>fact 1274490</t>
  </si>
  <si>
    <t>fact 1274491</t>
  </si>
  <si>
    <t>fact 761018</t>
  </si>
  <si>
    <t>B24627</t>
  </si>
  <si>
    <t>fact 4569,4570</t>
  </si>
  <si>
    <t>fact 4567,4568</t>
  </si>
  <si>
    <t>Agrop La Gaby ju 21/07/16</t>
  </si>
  <si>
    <t>Agrop La Gaby vi 22/07/16</t>
  </si>
  <si>
    <t>fact 4579,4580</t>
  </si>
  <si>
    <t>Porc San Bernardo 22/07/16</t>
  </si>
  <si>
    <t>fact 1988,1989</t>
  </si>
  <si>
    <t>P 39.30 R  C00237</t>
  </si>
  <si>
    <t>P 39.40 R  C00340</t>
  </si>
  <si>
    <t>C00066</t>
  </si>
  <si>
    <t>B24993</t>
  </si>
  <si>
    <t>efectivo depositado</t>
  </si>
  <si>
    <t>Smith Farm 26/07/16 nl16-73</t>
  </si>
  <si>
    <t>fac 95427193</t>
  </si>
  <si>
    <t>intercam $34,519.35</t>
  </si>
  <si>
    <t>P 39.70 R C00471</t>
  </si>
  <si>
    <t>fact 4715,4716</t>
  </si>
  <si>
    <t>Agrop El Topete do 24/07/16</t>
  </si>
  <si>
    <t>Smith Farm vi 29/07/16 nl16-74</t>
  </si>
  <si>
    <t>fact 95429626</t>
  </si>
  <si>
    <t>intercam $33,842.15</t>
  </si>
  <si>
    <t>Agrop El Topete lu 25/07/16</t>
  </si>
  <si>
    <t>Agrao La Gaby ma 26/07/16</t>
  </si>
  <si>
    <t>83 cajas</t>
  </si>
  <si>
    <t>fact 4722 ,4723</t>
  </si>
  <si>
    <t>ALB  39.30 C00367</t>
  </si>
  <si>
    <t>P 39.30 C00708</t>
  </si>
  <si>
    <t>fact 4722,4723</t>
  </si>
  <si>
    <t>P 39.40 C00780</t>
  </si>
  <si>
    <t>Si hubiera dinero que se pague</t>
  </si>
  <si>
    <t>fact 4587,4591</t>
  </si>
  <si>
    <t>ALB 37.00 C00872</t>
  </si>
  <si>
    <t>P 38.70 C00871</t>
  </si>
  <si>
    <t>Lupe</t>
  </si>
  <si>
    <t>Asencion</t>
  </si>
  <si>
    <t>fact 761849</t>
  </si>
  <si>
    <t>fact 1276839</t>
  </si>
  <si>
    <t>fact 1276840</t>
  </si>
  <si>
    <t>fact 1275459</t>
  </si>
  <si>
    <t>fact 1275458</t>
  </si>
  <si>
    <t>fact 1275827</t>
  </si>
  <si>
    <t>fact 1275460</t>
  </si>
  <si>
    <t>fact 1276156</t>
  </si>
  <si>
    <t>fact 2040,2041</t>
  </si>
  <si>
    <t>Porc Paso Blanco mi 27/07/16</t>
  </si>
  <si>
    <t>fact 4596,4597</t>
  </si>
  <si>
    <t>fact 2001,2002</t>
  </si>
  <si>
    <t>Agrop La Gaby ju 28/07/16</t>
  </si>
  <si>
    <t>Porc San Bernardo ju 28/07/16</t>
  </si>
  <si>
    <t>P 39.50 C01027</t>
  </si>
  <si>
    <t>David</t>
  </si>
  <si>
    <t>fact 4598,4599</t>
  </si>
  <si>
    <t>fact 4739,4740</t>
  </si>
  <si>
    <t>Agrop La Gaby vi 29/07/16</t>
  </si>
  <si>
    <t>Agrop El Topete vi 29/07/16</t>
  </si>
  <si>
    <t xml:space="preserve">20 combos </t>
  </si>
  <si>
    <t>P 39.40 C01164</t>
  </si>
  <si>
    <t>1153 cajas</t>
  </si>
  <si>
    <t>209 cajas</t>
  </si>
  <si>
    <t>Smith Farm lu 2/08/16 NL16-76</t>
  </si>
  <si>
    <t>fact 95435375</t>
  </si>
  <si>
    <t>fact 2843,2844</t>
  </si>
  <si>
    <t>Arop La Chemita do 31/07/16</t>
  </si>
  <si>
    <t>P 39.70 C01481</t>
  </si>
  <si>
    <t>P 39.30 C01483</t>
  </si>
  <si>
    <t>ALB 36.00 C01499</t>
  </si>
  <si>
    <t>fact 5586,5587</t>
  </si>
  <si>
    <t>Agrop Las Reses lu 01/08/16</t>
  </si>
  <si>
    <t>fact 470, 471</t>
  </si>
  <si>
    <t>fact 2818,2819,11</t>
  </si>
  <si>
    <t>intercam $30,891.68</t>
  </si>
  <si>
    <t>370 cajas</t>
  </si>
  <si>
    <t>Cimeira</t>
  </si>
  <si>
    <t>Cimeira ma 26/07/16</t>
  </si>
  <si>
    <t>P39.70 C01535</t>
  </si>
  <si>
    <t>Smith Farm vi 5/08/16 nl16-77</t>
  </si>
  <si>
    <t>fact 95438489</t>
  </si>
  <si>
    <t>intercam $30,519.84</t>
  </si>
  <si>
    <t>fact 5589,5590</t>
  </si>
  <si>
    <t>Agrop Las Reses ma 2/08/16</t>
  </si>
  <si>
    <t>ALB 34.50</t>
  </si>
  <si>
    <t>P 39.70 C01640</t>
  </si>
  <si>
    <t>Sabado</t>
  </si>
  <si>
    <t>Agrop Las Reses mi 3/08/16</t>
  </si>
  <si>
    <t>fact 5594,5595</t>
  </si>
  <si>
    <t>ALB 33.50</t>
  </si>
  <si>
    <t>P 39.50</t>
  </si>
  <si>
    <t>Joel</t>
  </si>
  <si>
    <t>Smith Farm sa 6/08/16 nl16-78</t>
  </si>
  <si>
    <t>fact 95439667</t>
  </si>
  <si>
    <t>intercam $30,302.38</t>
  </si>
  <si>
    <t>nlse-158</t>
  </si>
  <si>
    <t>nl16-79</t>
  </si>
  <si>
    <t>nlse-159</t>
  </si>
  <si>
    <t>nlse-160</t>
  </si>
  <si>
    <t>nlse-161</t>
  </si>
  <si>
    <t>nl16-80</t>
  </si>
  <si>
    <t>nlin16.56</t>
  </si>
  <si>
    <t>nl16-81</t>
  </si>
  <si>
    <t>nlse-162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</si>
</sst>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  <numFmt numFmtId="167" formatCode="_-&quot;$&quot;* #,##0.000_-;\-&quot;$&quot;* #,##0.000_-;_-&quot;$&quot;* &quot;-&quot;??_-;_-@_-"/>
    <numFmt numFmtId="168" formatCode="_-&quot;$&quot;* #,##0.0000_-;\-&quot;$&quot;* #,##0.0000_-;_-&quot;$&quot;* &quot;-&quot;??_-;_-@_-"/>
    <numFmt numFmtId="169" formatCode="&quot;$&quot;#,##0.000;\-&quot;$&quot;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DD13"/>
        <bgColor indexed="64"/>
      </patternFill>
    </fill>
    <fill>
      <patternFill patternType="solid">
        <fgColor rgb="FFC5400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E10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B8E1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7" fontId="0" fillId="0" borderId="0" xfId="0" quotePrefix="1" applyNumberFormat="1"/>
    <xf numFmtId="44" fontId="0" fillId="0" borderId="0" xfId="1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0" borderId="0" xfId="0" applyFont="1"/>
    <xf numFmtId="0" fontId="0" fillId="2" borderId="2" xfId="0" applyFont="1" applyFill="1" applyBorder="1"/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wrapText="1"/>
    </xf>
    <xf numFmtId="3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wrapText="1"/>
    </xf>
    <xf numFmtId="44" fontId="0" fillId="0" borderId="0" xfId="1" applyFont="1" applyFill="1" applyBorder="1"/>
    <xf numFmtId="164" fontId="0" fillId="0" borderId="3" xfId="0" applyNumberFormat="1" applyFont="1" applyFill="1" applyBorder="1"/>
    <xf numFmtId="0" fontId="0" fillId="2" borderId="4" xfId="0" applyFont="1" applyFill="1" applyBorder="1" applyAlignment="1">
      <alignment textRotation="255"/>
    </xf>
    <xf numFmtId="0" fontId="0" fillId="0" borderId="5" xfId="0" applyFont="1" applyFill="1" applyBorder="1"/>
    <xf numFmtId="0" fontId="4" fillId="0" borderId="0" xfId="0" applyFont="1" applyFill="1" applyBorder="1"/>
    <xf numFmtId="4" fontId="4" fillId="0" borderId="0" xfId="0" applyNumberFormat="1" applyFont="1" applyFill="1" applyBorder="1"/>
    <xf numFmtId="4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5" fontId="4" fillId="0" borderId="0" xfId="0" applyNumberFormat="1" applyFont="1" applyFill="1" applyBorder="1"/>
    <xf numFmtId="164" fontId="4" fillId="0" borderId="0" xfId="0" applyNumberFormat="1" applyFont="1" applyFill="1" applyBorder="1"/>
    <xf numFmtId="14" fontId="0" fillId="0" borderId="6" xfId="0" applyNumberFormat="1" applyFont="1" applyFill="1" applyBorder="1"/>
    <xf numFmtId="10" fontId="0" fillId="0" borderId="0" xfId="0" applyNumberFormat="1" applyFont="1" applyFill="1" applyBorder="1"/>
    <xf numFmtId="10" fontId="0" fillId="5" borderId="0" xfId="0" applyNumberFormat="1" applyFont="1" applyFill="1" applyBorder="1"/>
    <xf numFmtId="44" fontId="0" fillId="6" borderId="0" xfId="1" applyFont="1" applyFill="1"/>
    <xf numFmtId="0" fontId="0" fillId="6" borderId="0" xfId="0" applyFont="1" applyFill="1" applyBorder="1"/>
    <xf numFmtId="44" fontId="0" fillId="0" borderId="0" xfId="1" applyFont="1" applyFill="1"/>
    <xf numFmtId="165" fontId="4" fillId="6" borderId="0" xfId="0" applyNumberFormat="1" applyFont="1" applyFill="1" applyBorder="1"/>
    <xf numFmtId="0" fontId="0" fillId="3" borderId="0" xfId="0" applyFont="1" applyFill="1"/>
    <xf numFmtId="4" fontId="0" fillId="6" borderId="0" xfId="0" applyNumberFormat="1" applyFont="1" applyFill="1" applyBorder="1"/>
    <xf numFmtId="0" fontId="0" fillId="0" borderId="7" xfId="0" applyFont="1" applyFill="1" applyBorder="1"/>
    <xf numFmtId="4" fontId="0" fillId="0" borderId="1" xfId="0" applyNumberFormat="1" applyFont="1" applyFill="1" applyBorder="1"/>
    <xf numFmtId="14" fontId="0" fillId="0" borderId="8" xfId="0" applyNumberFormat="1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textRotation="255"/>
    </xf>
    <xf numFmtId="164" fontId="0" fillId="6" borderId="0" xfId="0" applyNumberFormat="1" applyFont="1" applyFill="1" applyBorder="1"/>
    <xf numFmtId="0" fontId="0" fillId="0" borderId="0" xfId="0" quotePrefix="1"/>
    <xf numFmtId="0" fontId="8" fillId="0" borderId="0" xfId="0" applyFont="1"/>
    <xf numFmtId="0" fontId="0" fillId="6" borderId="0" xfId="0" applyFill="1"/>
    <xf numFmtId="0" fontId="0" fillId="0" borderId="0" xfId="0" applyFill="1"/>
    <xf numFmtId="44" fontId="0" fillId="7" borderId="0" xfId="1" applyFont="1" applyFill="1"/>
    <xf numFmtId="0" fontId="0" fillId="7" borderId="0" xfId="0" applyFill="1"/>
    <xf numFmtId="14" fontId="0" fillId="7" borderId="0" xfId="0" applyNumberFormat="1" applyFill="1"/>
    <xf numFmtId="0" fontId="1" fillId="7" borderId="0" xfId="0" applyFont="1" applyFill="1"/>
    <xf numFmtId="0" fontId="8" fillId="8" borderId="0" xfId="0" applyFont="1" applyFill="1"/>
    <xf numFmtId="0" fontId="8" fillId="0" borderId="0" xfId="0" applyFont="1" applyFill="1"/>
    <xf numFmtId="14" fontId="0" fillId="7" borderId="0" xfId="1" applyNumberFormat="1" applyFont="1" applyFill="1"/>
    <xf numFmtId="14" fontId="0" fillId="0" borderId="0" xfId="0" applyNumberFormat="1" applyFill="1"/>
    <xf numFmtId="0" fontId="1" fillId="0" borderId="0" xfId="0" applyFont="1" applyFill="1"/>
    <xf numFmtId="44" fontId="0" fillId="9" borderId="0" xfId="1" applyFont="1" applyFill="1"/>
    <xf numFmtId="0" fontId="0" fillId="9" borderId="0" xfId="0" applyFill="1"/>
    <xf numFmtId="167" fontId="0" fillId="9" borderId="0" xfId="1" applyNumberFormat="1" applyFont="1" applyFill="1"/>
    <xf numFmtId="14" fontId="0" fillId="9" borderId="0" xfId="0" applyNumberFormat="1" applyFill="1"/>
    <xf numFmtId="0" fontId="1" fillId="9" borderId="0" xfId="0" applyFont="1" applyFill="1"/>
    <xf numFmtId="44" fontId="0" fillId="10" borderId="0" xfId="1" applyFont="1" applyFill="1"/>
    <xf numFmtId="0" fontId="0" fillId="10" borderId="0" xfId="0" applyFill="1"/>
    <xf numFmtId="14" fontId="0" fillId="10" borderId="0" xfId="0" applyNumberFormat="1" applyFill="1"/>
    <xf numFmtId="0" fontId="1" fillId="10" borderId="0" xfId="0" applyFont="1" applyFill="1"/>
    <xf numFmtId="0" fontId="0" fillId="3" borderId="0" xfId="0" applyFill="1"/>
    <xf numFmtId="167" fontId="0" fillId="7" borderId="0" xfId="1" applyNumberFormat="1" applyFont="1" applyFill="1"/>
    <xf numFmtId="0" fontId="3" fillId="0" borderId="0" xfId="0" applyFont="1"/>
    <xf numFmtId="17" fontId="0" fillId="0" borderId="0" xfId="0" applyNumberFormat="1"/>
    <xf numFmtId="8" fontId="0" fillId="0" borderId="0" xfId="1" applyNumberFormat="1" applyFont="1"/>
    <xf numFmtId="44" fontId="9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NumberFormat="1" applyFont="1"/>
    <xf numFmtId="14" fontId="0" fillId="6" borderId="0" xfId="0" applyNumberFormat="1" applyFill="1"/>
    <xf numFmtId="44" fontId="0" fillId="5" borderId="0" xfId="1" applyFont="1" applyFill="1"/>
    <xf numFmtId="14" fontId="0" fillId="5" borderId="0" xfId="0" applyNumberFormat="1" applyFill="1"/>
    <xf numFmtId="0" fontId="0" fillId="5" borderId="0" xfId="0" applyFill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44" fontId="3" fillId="0" borderId="0" xfId="1" applyFont="1"/>
    <xf numFmtId="0" fontId="0" fillId="11" borderId="0" xfId="0" applyFill="1"/>
    <xf numFmtId="0" fontId="0" fillId="12" borderId="0" xfId="0" applyFill="1"/>
    <xf numFmtId="44" fontId="0" fillId="12" borderId="0" xfId="1" applyFont="1" applyFill="1"/>
    <xf numFmtId="14" fontId="0" fillId="12" borderId="0" xfId="0" applyNumberFormat="1" applyFill="1"/>
    <xf numFmtId="0" fontId="0" fillId="13" borderId="4" xfId="0" applyFont="1" applyFill="1" applyBorder="1" applyAlignment="1">
      <alignment textRotation="255"/>
    </xf>
    <xf numFmtId="0" fontId="0" fillId="10" borderId="4" xfId="0" applyFont="1" applyFill="1" applyBorder="1" applyAlignment="1">
      <alignment textRotation="255"/>
    </xf>
    <xf numFmtId="0" fontId="0" fillId="6" borderId="0" xfId="0" applyFont="1" applyFill="1"/>
    <xf numFmtId="0" fontId="0" fillId="7" borderId="0" xfId="0" applyFont="1" applyFill="1" applyBorder="1"/>
    <xf numFmtId="0" fontId="0" fillId="0" borderId="0" xfId="0" applyFont="1" applyFill="1"/>
    <xf numFmtId="0" fontId="0" fillId="3" borderId="0" xfId="0" applyFont="1" applyFill="1" applyBorder="1"/>
    <xf numFmtId="0" fontId="9" fillId="7" borderId="0" xfId="0" applyFont="1" applyFill="1"/>
    <xf numFmtId="0" fontId="4" fillId="3" borderId="0" xfId="0" applyFont="1" applyFill="1" applyBorder="1"/>
    <xf numFmtId="2" fontId="0" fillId="9" borderId="0" xfId="0" applyNumberFormat="1" applyFill="1"/>
    <xf numFmtId="164" fontId="0" fillId="9" borderId="0" xfId="0" applyNumberFormat="1" applyFont="1" applyFill="1" applyBorder="1"/>
    <xf numFmtId="0" fontId="0" fillId="14" borderId="4" xfId="0" applyFont="1" applyFill="1" applyBorder="1" applyAlignment="1">
      <alignment textRotation="255"/>
    </xf>
    <xf numFmtId="164" fontId="4" fillId="4" borderId="0" xfId="0" applyNumberFormat="1" applyFont="1" applyFill="1" applyBorder="1"/>
    <xf numFmtId="165" fontId="4" fillId="15" borderId="0" xfId="0" applyNumberFormat="1" applyFont="1" applyFill="1" applyBorder="1"/>
    <xf numFmtId="0" fontId="0" fillId="16" borderId="4" xfId="0" applyFont="1" applyFill="1" applyBorder="1" applyAlignment="1">
      <alignment textRotation="255"/>
    </xf>
    <xf numFmtId="0" fontId="0" fillId="17" borderId="4" xfId="0" applyFont="1" applyFill="1" applyBorder="1" applyAlignment="1">
      <alignment textRotation="255"/>
    </xf>
    <xf numFmtId="0" fontId="0" fillId="5" borderId="0" xfId="0" applyFont="1" applyFill="1" applyBorder="1"/>
    <xf numFmtId="14" fontId="0" fillId="5" borderId="6" xfId="0" applyNumberFormat="1" applyFont="1" applyFill="1" applyBorder="1"/>
    <xf numFmtId="4" fontId="4" fillId="5" borderId="0" xfId="0" applyNumberFormat="1" applyFont="1" applyFill="1" applyBorder="1"/>
    <xf numFmtId="4" fontId="0" fillId="5" borderId="0" xfId="0" applyNumberFormat="1" applyFont="1" applyFill="1" applyBorder="1"/>
    <xf numFmtId="0" fontId="0" fillId="5" borderId="4" xfId="0" applyFont="1" applyFill="1" applyBorder="1" applyAlignment="1">
      <alignment textRotation="255"/>
    </xf>
    <xf numFmtId="44" fontId="0" fillId="0" borderId="0" xfId="1" applyFont="1" applyAlignment="1">
      <alignment horizontal="right"/>
    </xf>
    <xf numFmtId="0" fontId="0" fillId="9" borderId="0" xfId="0" applyFont="1" applyFill="1"/>
    <xf numFmtId="0" fontId="9" fillId="9" borderId="0" xfId="0" applyFont="1" applyFill="1"/>
    <xf numFmtId="0" fontId="0" fillId="8" borderId="0" xfId="0" applyFill="1"/>
    <xf numFmtId="44" fontId="3" fillId="0" borderId="0" xfId="0" applyNumberFormat="1" applyFont="1"/>
    <xf numFmtId="44" fontId="3" fillId="6" borderId="0" xfId="1" applyFont="1" applyFill="1"/>
    <xf numFmtId="44" fontId="3" fillId="6" borderId="0" xfId="0" applyNumberFormat="1" applyFont="1" applyFill="1"/>
    <xf numFmtId="44" fontId="3" fillId="0" borderId="0" xfId="1" applyFont="1" applyAlignment="1">
      <alignment horizontal="right"/>
    </xf>
    <xf numFmtId="0" fontId="0" fillId="7" borderId="0" xfId="0" applyFont="1" applyFill="1"/>
    <xf numFmtId="167" fontId="0" fillId="6" borderId="0" xfId="1" applyNumberFormat="1" applyFont="1" applyFill="1"/>
    <xf numFmtId="0" fontId="0" fillId="15" borderId="0" xfId="0" applyFont="1" applyFill="1" applyBorder="1"/>
    <xf numFmtId="167" fontId="0" fillId="0" borderId="0" xfId="1" applyNumberFormat="1" applyFont="1"/>
    <xf numFmtId="0" fontId="0" fillId="18" borderId="0" xfId="0" applyFont="1" applyFill="1" applyBorder="1"/>
    <xf numFmtId="164" fontId="0" fillId="5" borderId="0" xfId="0" applyNumberFormat="1" applyFont="1" applyFill="1" applyBorder="1"/>
    <xf numFmtId="44" fontId="0" fillId="5" borderId="0" xfId="1" applyFont="1" applyFill="1" applyBorder="1"/>
    <xf numFmtId="164" fontId="0" fillId="19" borderId="0" xfId="0" applyNumberFormat="1" applyFont="1" applyFill="1" applyBorder="1"/>
    <xf numFmtId="0" fontId="0" fillId="20" borderId="4" xfId="0" applyFont="1" applyFill="1" applyBorder="1" applyAlignment="1">
      <alignment textRotation="255"/>
    </xf>
    <xf numFmtId="0" fontId="0" fillId="9" borderId="0" xfId="0" applyFont="1" applyFill="1" applyBorder="1"/>
    <xf numFmtId="0" fontId="0" fillId="21" borderId="4" xfId="0" applyFont="1" applyFill="1" applyBorder="1" applyAlignment="1">
      <alignment textRotation="255"/>
    </xf>
    <xf numFmtId="44" fontId="0" fillId="0" borderId="0" xfId="0" applyNumberFormat="1"/>
    <xf numFmtId="44" fontId="0" fillId="20" borderId="0" xfId="1" applyFont="1" applyFill="1"/>
    <xf numFmtId="0" fontId="0" fillId="20" borderId="0" xfId="0" applyFill="1"/>
    <xf numFmtId="14" fontId="0" fillId="20" borderId="0" xfId="0" applyNumberFormat="1" applyFill="1"/>
    <xf numFmtId="0" fontId="0" fillId="21" borderId="0" xfId="0" applyFont="1" applyFill="1" applyBorder="1"/>
    <xf numFmtId="0" fontId="0" fillId="22" borderId="4" xfId="0" applyFont="1" applyFill="1" applyBorder="1" applyAlignment="1">
      <alignment textRotation="255"/>
    </xf>
    <xf numFmtId="44" fontId="0" fillId="9" borderId="0" xfId="1" applyNumberFormat="1" applyFont="1" applyFill="1"/>
    <xf numFmtId="166" fontId="0" fillId="21" borderId="0" xfId="0" applyNumberFormat="1" applyFont="1" applyFill="1" applyBorder="1"/>
    <xf numFmtId="44" fontId="0" fillId="21" borderId="0" xfId="1" applyFont="1" applyFill="1"/>
    <xf numFmtId="167" fontId="0" fillId="0" borderId="0" xfId="1" applyNumberFormat="1" applyFont="1" applyFill="1"/>
    <xf numFmtId="0" fontId="0" fillId="23" borderId="4" xfId="0" applyFont="1" applyFill="1" applyBorder="1" applyAlignment="1">
      <alignment textRotation="255"/>
    </xf>
    <xf numFmtId="10" fontId="0" fillId="0" borderId="0" xfId="0" applyNumberFormat="1"/>
    <xf numFmtId="4" fontId="0" fillId="0" borderId="0" xfId="0" applyNumberFormat="1"/>
    <xf numFmtId="44" fontId="0" fillId="0" borderId="0" xfId="1" quotePrefix="1" applyFont="1"/>
    <xf numFmtId="44" fontId="0" fillId="0" borderId="0" xfId="1" quotePrefix="1" applyFont="1" applyAlignment="1">
      <alignment wrapText="1"/>
    </xf>
    <xf numFmtId="0" fontId="10" fillId="7" borderId="0" xfId="0" applyFont="1" applyFill="1"/>
    <xf numFmtId="165" fontId="4" fillId="21" borderId="0" xfId="0" applyNumberFormat="1" applyFont="1" applyFill="1" applyBorder="1"/>
    <xf numFmtId="164" fontId="0" fillId="21" borderId="0" xfId="0" applyNumberFormat="1" applyFont="1" applyFill="1" applyBorder="1"/>
    <xf numFmtId="164" fontId="0" fillId="3" borderId="0" xfId="0" applyNumberFormat="1" applyFont="1" applyFill="1" applyBorder="1"/>
    <xf numFmtId="0" fontId="0" fillId="24" borderId="4" xfId="0" applyFont="1" applyFill="1" applyBorder="1" applyAlignment="1">
      <alignment textRotation="255"/>
    </xf>
    <xf numFmtId="0" fontId="0" fillId="21" borderId="0" xfId="0" applyFill="1"/>
    <xf numFmtId="0" fontId="0" fillId="4" borderId="4" xfId="0" applyFont="1" applyFill="1" applyBorder="1" applyAlignment="1">
      <alignment textRotation="255"/>
    </xf>
    <xf numFmtId="0" fontId="3" fillId="0" borderId="0" xfId="0" applyFont="1" applyAlignment="1">
      <alignment wrapText="1"/>
    </xf>
    <xf numFmtId="0" fontId="0" fillId="25" borderId="4" xfId="0" applyFont="1" applyFill="1" applyBorder="1" applyAlignment="1">
      <alignment textRotation="255"/>
    </xf>
    <xf numFmtId="164" fontId="0" fillId="26" borderId="0" xfId="0" applyNumberFormat="1" applyFont="1" applyFill="1" applyBorder="1"/>
    <xf numFmtId="164" fontId="0" fillId="27" borderId="0" xfId="0" applyNumberFormat="1" applyFont="1" applyFill="1" applyBorder="1"/>
    <xf numFmtId="165" fontId="4" fillId="27" borderId="0" xfId="0" applyNumberFormat="1" applyFont="1" applyFill="1" applyBorder="1"/>
    <xf numFmtId="164" fontId="4" fillId="27" borderId="0" xfId="0" applyNumberFormat="1" applyFont="1" applyFill="1" applyBorder="1"/>
    <xf numFmtId="0" fontId="0" fillId="27" borderId="0" xfId="0" applyFont="1" applyFill="1"/>
    <xf numFmtId="14" fontId="0" fillId="21" borderId="0" xfId="1" applyNumberFormat="1" applyFont="1" applyFill="1"/>
    <xf numFmtId="14" fontId="0" fillId="21" borderId="0" xfId="0" applyNumberFormat="1" applyFill="1"/>
    <xf numFmtId="14" fontId="0" fillId="15" borderId="0" xfId="1" applyNumberFormat="1" applyFont="1" applyFill="1"/>
    <xf numFmtId="14" fontId="0" fillId="15" borderId="0" xfId="0" applyNumberFormat="1" applyFill="1"/>
    <xf numFmtId="44" fontId="0" fillId="15" borderId="0" xfId="1" applyFont="1" applyFill="1"/>
    <xf numFmtId="164" fontId="4" fillId="26" borderId="0" xfId="0" applyNumberFormat="1" applyFont="1" applyFill="1" applyBorder="1"/>
    <xf numFmtId="0" fontId="0" fillId="8" borderId="4" xfId="0" applyFont="1" applyFill="1" applyBorder="1" applyAlignment="1">
      <alignment textRotation="255"/>
    </xf>
    <xf numFmtId="0" fontId="0" fillId="28" borderId="4" xfId="0" applyFont="1" applyFill="1" applyBorder="1" applyAlignment="1">
      <alignment textRotation="255"/>
    </xf>
    <xf numFmtId="44" fontId="0" fillId="18" borderId="0" xfId="1" applyFont="1" applyFill="1"/>
    <xf numFmtId="14" fontId="0" fillId="18" borderId="0" xfId="0" applyNumberFormat="1" applyFill="1"/>
    <xf numFmtId="14" fontId="0" fillId="18" borderId="0" xfId="1" applyNumberFormat="1" applyFont="1" applyFill="1"/>
    <xf numFmtId="0" fontId="0" fillId="5" borderId="0" xfId="0" applyFont="1" applyFill="1"/>
    <xf numFmtId="44" fontId="0" fillId="29" borderId="0" xfId="1" applyFont="1" applyFill="1"/>
    <xf numFmtId="14" fontId="0" fillId="29" borderId="0" xfId="0" applyNumberFormat="1" applyFill="1"/>
    <xf numFmtId="14" fontId="0" fillId="29" borderId="0" xfId="1" applyNumberFormat="1" applyFont="1" applyFill="1"/>
    <xf numFmtId="44" fontId="0" fillId="11" borderId="0" xfId="1" applyFont="1" applyFill="1"/>
    <xf numFmtId="14" fontId="0" fillId="11" borderId="0" xfId="0" applyNumberFormat="1" applyFill="1"/>
    <xf numFmtId="164" fontId="0" fillId="11" borderId="0" xfId="0" applyNumberFormat="1" applyFont="1" applyFill="1" applyBorder="1"/>
    <xf numFmtId="44" fontId="0" fillId="27" borderId="0" xfId="1" applyFont="1" applyFill="1"/>
    <xf numFmtId="0" fontId="0" fillId="28" borderId="0" xfId="0" applyFont="1" applyFill="1"/>
    <xf numFmtId="44" fontId="0" fillId="28" borderId="0" xfId="1" applyFont="1" applyFill="1"/>
    <xf numFmtId="14" fontId="0" fillId="28" borderId="0" xfId="0" applyNumberFormat="1" applyFill="1"/>
    <xf numFmtId="164" fontId="4" fillId="30" borderId="0" xfId="0" applyNumberFormat="1" applyFont="1" applyFill="1" applyBorder="1"/>
    <xf numFmtId="0" fontId="9" fillId="0" borderId="0" xfId="0" applyFont="1"/>
    <xf numFmtId="44" fontId="0" fillId="13" borderId="0" xfId="1" applyFont="1" applyFill="1"/>
    <xf numFmtId="14" fontId="0" fillId="13" borderId="0" xfId="0" applyNumberFormat="1" applyFill="1"/>
    <xf numFmtId="44" fontId="0" fillId="31" borderId="0" xfId="1" applyFont="1" applyFill="1"/>
    <xf numFmtId="14" fontId="0" fillId="31" borderId="0" xfId="0" applyNumberFormat="1" applyFill="1"/>
    <xf numFmtId="0" fontId="4" fillId="32" borderId="0" xfId="0" applyFont="1" applyFill="1" applyBorder="1"/>
    <xf numFmtId="0" fontId="0" fillId="32" borderId="0" xfId="0" applyFont="1" applyFill="1" applyBorder="1"/>
    <xf numFmtId="4" fontId="4" fillId="32" borderId="0" xfId="0" applyNumberFormat="1" applyFont="1" applyFill="1" applyBorder="1"/>
    <xf numFmtId="4" fontId="0" fillId="32" borderId="0" xfId="0" applyNumberFormat="1" applyFont="1" applyFill="1" applyBorder="1"/>
    <xf numFmtId="0" fontId="0" fillId="32" borderId="0" xfId="0" applyFont="1" applyFill="1"/>
    <xf numFmtId="15" fontId="0" fillId="32" borderId="0" xfId="0" applyNumberFormat="1" applyFont="1" applyFill="1" applyBorder="1"/>
    <xf numFmtId="164" fontId="0" fillId="32" borderId="0" xfId="0" applyNumberFormat="1" applyFont="1" applyFill="1" applyBorder="1"/>
    <xf numFmtId="166" fontId="0" fillId="32" borderId="0" xfId="0" applyNumberFormat="1" applyFont="1" applyFill="1" applyBorder="1"/>
    <xf numFmtId="165" fontId="4" fillId="32" borderId="0" xfId="0" applyNumberFormat="1" applyFont="1" applyFill="1" applyBorder="1"/>
    <xf numFmtId="164" fontId="4" fillId="32" borderId="0" xfId="0" applyNumberFormat="1" applyFont="1" applyFill="1" applyBorder="1"/>
    <xf numFmtId="44" fontId="0" fillId="32" borderId="0" xfId="1" applyFont="1" applyFill="1" applyBorder="1"/>
    <xf numFmtId="14" fontId="0" fillId="32" borderId="6" xfId="0" applyNumberFormat="1" applyFont="1" applyFill="1" applyBorder="1"/>
    <xf numFmtId="0" fontId="0" fillId="33" borderId="4" xfId="0" applyFont="1" applyFill="1" applyBorder="1" applyAlignment="1">
      <alignment textRotation="255"/>
    </xf>
    <xf numFmtId="0" fontId="0" fillId="32" borderId="0" xfId="0" applyFill="1"/>
    <xf numFmtId="0" fontId="10" fillId="0" borderId="0" xfId="0" applyFont="1"/>
    <xf numFmtId="0" fontId="0" fillId="9" borderId="4" xfId="0" applyFont="1" applyFill="1" applyBorder="1" applyAlignment="1">
      <alignment textRotation="255"/>
    </xf>
    <xf numFmtId="0" fontId="0" fillId="34" borderId="4" xfId="0" applyFont="1" applyFill="1" applyBorder="1" applyAlignment="1">
      <alignment textRotation="255"/>
    </xf>
    <xf numFmtId="0" fontId="0" fillId="6" borderId="4" xfId="0" applyFont="1" applyFill="1" applyBorder="1" applyAlignment="1">
      <alignment textRotation="255"/>
    </xf>
    <xf numFmtId="0" fontId="0" fillId="32" borderId="4" xfId="0" applyFont="1" applyFill="1" applyBorder="1" applyAlignment="1">
      <alignment textRotation="255"/>
    </xf>
    <xf numFmtId="44" fontId="0" fillId="3" borderId="0" xfId="1" applyFont="1" applyFill="1"/>
    <xf numFmtId="14" fontId="0" fillId="3" borderId="0" xfId="0" applyNumberFormat="1" applyFill="1"/>
    <xf numFmtId="0" fontId="0" fillId="0" borderId="0" xfId="0" quotePrefix="1" applyFill="1"/>
    <xf numFmtId="0" fontId="11" fillId="0" borderId="0" xfId="0" applyFont="1" applyFill="1" applyBorder="1"/>
    <xf numFmtId="0" fontId="0" fillId="18" borderId="4" xfId="0" applyFont="1" applyFill="1" applyBorder="1" applyAlignment="1">
      <alignment textRotation="255"/>
    </xf>
    <xf numFmtId="44" fontId="0" fillId="8" borderId="0" xfId="1" applyFont="1" applyFill="1"/>
    <xf numFmtId="164" fontId="0" fillId="29" borderId="0" xfId="0" applyNumberFormat="1" applyFont="1" applyFill="1" applyBorder="1"/>
    <xf numFmtId="0" fontId="4" fillId="5" borderId="0" xfId="0" applyFont="1" applyFill="1" applyBorder="1"/>
    <xf numFmtId="15" fontId="0" fillId="5" borderId="0" xfId="0" applyNumberFormat="1" applyFont="1" applyFill="1" applyBorder="1"/>
    <xf numFmtId="166" fontId="0" fillId="5" borderId="0" xfId="0" applyNumberFormat="1" applyFont="1" applyFill="1" applyBorder="1"/>
    <xf numFmtId="165" fontId="4" fillId="5" borderId="0" xfId="0" applyNumberFormat="1" applyFont="1" applyFill="1" applyBorder="1"/>
    <xf numFmtId="164" fontId="4" fillId="5" borderId="0" xfId="0" applyNumberFormat="1" applyFont="1" applyFill="1" applyBorder="1"/>
    <xf numFmtId="44" fontId="4" fillId="7" borderId="0" xfId="1" applyFont="1" applyFill="1"/>
    <xf numFmtId="0" fontId="4" fillId="7" borderId="0" xfId="0" applyFont="1" applyFill="1"/>
    <xf numFmtId="14" fontId="4" fillId="7" borderId="0" xfId="1" applyNumberFormat="1" applyFont="1" applyFill="1"/>
    <xf numFmtId="164" fontId="0" fillId="6" borderId="0" xfId="0" applyNumberFormat="1" applyFill="1"/>
    <xf numFmtId="168" fontId="0" fillId="9" borderId="0" xfId="1" applyNumberFormat="1" applyFont="1" applyFill="1"/>
    <xf numFmtId="4" fontId="4" fillId="6" borderId="0" xfId="0" applyNumberFormat="1" applyFont="1" applyFill="1" applyBorder="1"/>
    <xf numFmtId="169" fontId="0" fillId="20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DA735"/>
      <color rgb="FFCCFFCC"/>
      <color rgb="FFE6E10D"/>
      <color rgb="FFCC99FF"/>
      <color rgb="FFFF5050"/>
      <color rgb="FFAB8E15"/>
      <color rgb="FFC540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153"/>
  <sheetViews>
    <sheetView topLeftCell="A64" zoomScale="74" zoomScaleNormal="74" workbookViewId="0">
      <selection activeCell="F14" sqref="F14"/>
    </sheetView>
  </sheetViews>
  <sheetFormatPr baseColWidth="10" defaultRowHeight="15" x14ac:dyDescent="0.25"/>
  <cols>
    <col min="1" max="1" width="3" customWidth="1"/>
    <col min="2" max="2" width="16.140625" customWidth="1"/>
    <col min="4" max="4" width="16.85546875" bestFit="1" customWidth="1"/>
    <col min="9" max="9" width="14" customWidth="1"/>
    <col min="13" max="13" width="4" customWidth="1"/>
    <col min="17" max="17" width="12.28515625" customWidth="1"/>
    <col min="19" max="19" width="14" customWidth="1"/>
    <col min="22" max="22" width="6.42578125" customWidth="1"/>
    <col min="23" max="23" width="0" hidden="1" customWidth="1"/>
    <col min="25" max="25" width="16" customWidth="1"/>
    <col min="26" max="26" width="15.28515625" customWidth="1"/>
    <col min="27" max="27" width="11.42578125" style="2"/>
  </cols>
  <sheetData>
    <row r="2" spans="1:28" x14ac:dyDescent="0.25">
      <c r="A2" s="1" t="s">
        <v>0</v>
      </c>
      <c r="AB2" s="2"/>
    </row>
    <row r="3" spans="1:28" s="12" customFormat="1" ht="30.75" thickBot="1" x14ac:dyDescent="0.3">
      <c r="A3" s="3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4" t="s">
        <v>9</v>
      </c>
      <c r="K3" s="7" t="s">
        <v>10</v>
      </c>
      <c r="L3" s="7" t="s">
        <v>11</v>
      </c>
      <c r="M3" s="4" t="s">
        <v>12</v>
      </c>
      <c r="N3" s="4" t="s">
        <v>13</v>
      </c>
      <c r="O3" s="8" t="s">
        <v>14</v>
      </c>
      <c r="P3" s="9" t="s">
        <v>15</v>
      </c>
      <c r="Q3" s="8" t="s">
        <v>16</v>
      </c>
      <c r="R3" s="10" t="s">
        <v>17</v>
      </c>
      <c r="S3" s="10" t="s">
        <v>18</v>
      </c>
      <c r="T3" s="10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11" t="s">
        <v>24</v>
      </c>
      <c r="Z3" s="8"/>
      <c r="AA3" s="2"/>
      <c r="AB3" s="2"/>
    </row>
    <row r="4" spans="1:28" s="12" customFormat="1" x14ac:dyDescent="0.25">
      <c r="A4" s="13"/>
      <c r="B4" s="14"/>
      <c r="C4" s="14"/>
      <c r="D4" s="14"/>
      <c r="E4" s="14"/>
      <c r="F4" s="15"/>
      <c r="G4" s="15"/>
      <c r="H4" s="15"/>
      <c r="I4" s="16"/>
      <c r="J4" s="14"/>
      <c r="K4" s="17"/>
      <c r="L4" s="17"/>
      <c r="M4" s="14"/>
      <c r="N4" s="14"/>
      <c r="O4" s="18"/>
      <c r="P4" s="19"/>
      <c r="Q4" s="18"/>
      <c r="R4" s="20"/>
      <c r="S4" s="20"/>
      <c r="T4" s="20"/>
      <c r="U4" s="18"/>
      <c r="V4" s="18"/>
      <c r="W4" s="18"/>
      <c r="X4" s="18"/>
      <c r="Y4" s="21"/>
      <c r="Z4" s="22"/>
      <c r="AA4" s="2"/>
      <c r="AB4" s="2"/>
    </row>
    <row r="5" spans="1:28" s="12" customFormat="1" x14ac:dyDescent="0.25">
      <c r="A5" s="23"/>
      <c r="B5" s="24" t="s">
        <v>25</v>
      </c>
      <c r="C5" s="25" t="s">
        <v>26</v>
      </c>
      <c r="D5" s="25" t="s">
        <v>26</v>
      </c>
      <c r="E5" s="14" t="s">
        <v>27</v>
      </c>
      <c r="F5" s="26">
        <f>40904*0.4536</f>
        <v>18554.054400000001</v>
      </c>
      <c r="G5" s="27">
        <v>18440.13</v>
      </c>
      <c r="H5" s="27">
        <f>G5-F5</f>
        <v>-113.92439999999988</v>
      </c>
      <c r="I5" s="25" t="s">
        <v>28</v>
      </c>
      <c r="J5" s="93" t="s">
        <v>29</v>
      </c>
      <c r="K5" s="17">
        <v>42368</v>
      </c>
      <c r="L5" s="17">
        <v>42371</v>
      </c>
      <c r="M5" s="25" t="s">
        <v>30</v>
      </c>
      <c r="N5" s="25" t="s">
        <v>31</v>
      </c>
      <c r="O5" s="18"/>
      <c r="P5" s="28">
        <f>0.4943+0.1075</f>
        <v>0.6018</v>
      </c>
      <c r="Q5" s="29">
        <v>17500</v>
      </c>
      <c r="R5" s="18">
        <v>8707</v>
      </c>
      <c r="S5" s="30">
        <v>17.265000000000001</v>
      </c>
      <c r="T5" s="101">
        <f>W5*F5*0.005</f>
        <v>2266.1140584026039</v>
      </c>
      <c r="V5" s="18">
        <v>0.1</v>
      </c>
      <c r="W5" s="18">
        <f>IF(O5&gt;0,O5,((P5*2.2046*S5)+(Q5+R5)/G5)+V5)</f>
        <v>24.42715763949257</v>
      </c>
      <c r="X5" s="18">
        <f>IF(O5&gt;0,O5,((P5*2.2046*S5)+(Q5+R5+T5)/G5)+V5)</f>
        <v>24.550047991046632</v>
      </c>
      <c r="Y5" s="21">
        <f>X5*F5</f>
        <v>455502.92594848998</v>
      </c>
      <c r="Z5" s="32">
        <v>42360</v>
      </c>
      <c r="AA5" s="2"/>
      <c r="AB5" s="2"/>
    </row>
    <row r="6" spans="1:28" s="12" customFormat="1" x14ac:dyDescent="0.25">
      <c r="A6" s="23"/>
      <c r="B6" s="14" t="s">
        <v>32</v>
      </c>
      <c r="C6" s="14" t="s">
        <v>33</v>
      </c>
      <c r="D6" s="25" t="s">
        <v>34</v>
      </c>
      <c r="E6" s="14">
        <f>228+102</f>
        <v>330</v>
      </c>
      <c r="F6" s="26">
        <f>20220+13170</f>
        <v>33390</v>
      </c>
      <c r="G6" s="27">
        <f>18160+8080</f>
        <v>26240</v>
      </c>
      <c r="H6" s="27">
        <f t="shared" ref="H6:H10" si="0">G6-F6</f>
        <v>-7150</v>
      </c>
      <c r="I6" s="25" t="s">
        <v>35</v>
      </c>
      <c r="J6" s="14"/>
      <c r="K6" s="33">
        <v>0.78600000000000003</v>
      </c>
      <c r="L6" s="17">
        <v>42372</v>
      </c>
      <c r="M6" s="25" t="s">
        <v>36</v>
      </c>
      <c r="N6" s="14"/>
      <c r="O6" s="18">
        <v>24.5</v>
      </c>
      <c r="P6" s="19"/>
      <c r="Q6" s="29">
        <f>16500+13000</f>
        <v>29500</v>
      </c>
      <c r="R6" s="18">
        <f>59.25*E6</f>
        <v>19552.5</v>
      </c>
      <c r="S6" s="30">
        <f>-35*E6</f>
        <v>-11550</v>
      </c>
      <c r="T6" s="101">
        <f>W6*F6*0.0045</f>
        <v>4908.5256445312498</v>
      </c>
      <c r="U6" s="18">
        <f>E6*5</f>
        <v>1650</v>
      </c>
      <c r="V6" s="14"/>
      <c r="W6" s="18">
        <f>((O6*F6)+Q6+R6+S6+U6)/G6</f>
        <v>32.66796875</v>
      </c>
      <c r="X6" s="18">
        <f>((O6*F6)+Q6+R6+S6+T6+U6)/G6</f>
        <v>32.855031465111708</v>
      </c>
      <c r="Y6" s="21">
        <f t="shared" ref="Y6:Y18" si="1">X6*F6</f>
        <v>1097029.5006200799</v>
      </c>
      <c r="Z6" s="32">
        <v>42387</v>
      </c>
      <c r="AA6" s="2">
        <v>34</v>
      </c>
      <c r="AB6" s="2" t="s">
        <v>37</v>
      </c>
    </row>
    <row r="7" spans="1:28" s="12" customFormat="1" x14ac:dyDescent="0.25">
      <c r="A7" s="23"/>
      <c r="B7" s="24" t="s">
        <v>32</v>
      </c>
      <c r="C7" s="14" t="s">
        <v>33</v>
      </c>
      <c r="D7" s="26" t="s">
        <v>38</v>
      </c>
      <c r="E7" s="14">
        <f>200+129</f>
        <v>329</v>
      </c>
      <c r="F7" s="26">
        <f>16720+13400</f>
        <v>30120</v>
      </c>
      <c r="G7" s="27">
        <f>13630+8340</f>
        <v>21970</v>
      </c>
      <c r="H7" s="27">
        <f t="shared" si="0"/>
        <v>-8150</v>
      </c>
      <c r="I7" s="25" t="s">
        <v>932</v>
      </c>
      <c r="J7" s="14"/>
      <c r="K7" s="34">
        <v>0.72899999999999998</v>
      </c>
      <c r="L7" s="17">
        <v>42373</v>
      </c>
      <c r="M7" s="25" t="s">
        <v>39</v>
      </c>
      <c r="N7" s="14"/>
      <c r="O7" s="46">
        <v>22.5</v>
      </c>
      <c r="P7" s="19"/>
      <c r="Q7" s="29">
        <f>16500+13000</f>
        <v>29500</v>
      </c>
      <c r="R7" s="18">
        <f>59.25*E7</f>
        <v>19493.25</v>
      </c>
      <c r="S7" s="30">
        <f t="shared" ref="S7" si="2">-35*E7</f>
        <v>-11515</v>
      </c>
      <c r="T7" s="101">
        <f>W7*F7*0.0045</f>
        <v>4422.3133047337269</v>
      </c>
      <c r="U7" s="18">
        <f>E7*5</f>
        <v>1645</v>
      </c>
      <c r="V7" s="14"/>
      <c r="W7" s="18">
        <f>((O7*F7)+Q7+R7+S7+U7)/G7</f>
        <v>32.627366863905323</v>
      </c>
      <c r="X7" s="18">
        <f>((O7*F7)+Q7+R7+S7+T7+U7)/G7</f>
        <v>32.828655589655611</v>
      </c>
      <c r="Y7" s="21">
        <f t="shared" si="1"/>
        <v>988799.10636042699</v>
      </c>
      <c r="Z7" s="32">
        <v>42387</v>
      </c>
      <c r="AA7" s="2"/>
      <c r="AB7" s="35" t="s">
        <v>906</v>
      </c>
    </row>
    <row r="8" spans="1:28" s="12" customFormat="1" x14ac:dyDescent="0.25">
      <c r="A8" s="23"/>
      <c r="B8" s="24" t="s">
        <v>25</v>
      </c>
      <c r="C8" s="25" t="s">
        <v>40</v>
      </c>
      <c r="D8" s="25" t="s">
        <v>41</v>
      </c>
      <c r="E8" s="14" t="s">
        <v>42</v>
      </c>
      <c r="F8" s="26">
        <f>40509*0.4536</f>
        <v>18374.882399999999</v>
      </c>
      <c r="G8" s="27">
        <v>18367.45</v>
      </c>
      <c r="H8" s="27">
        <f t="shared" si="0"/>
        <v>-7.4323999999978696</v>
      </c>
      <c r="I8" s="12" t="s">
        <v>43</v>
      </c>
      <c r="J8" s="93" t="s">
        <v>44</v>
      </c>
      <c r="K8" s="17">
        <v>42373</v>
      </c>
      <c r="L8" s="17">
        <v>42374</v>
      </c>
      <c r="M8" s="25" t="s">
        <v>45</v>
      </c>
      <c r="N8" s="25" t="s">
        <v>46</v>
      </c>
      <c r="O8" s="18"/>
      <c r="P8" s="28">
        <v>0.60550000000000004</v>
      </c>
      <c r="Q8" s="29">
        <v>18500</v>
      </c>
      <c r="R8" s="18">
        <v>8752</v>
      </c>
      <c r="S8" s="30">
        <v>17.898</v>
      </c>
      <c r="T8" s="101">
        <f t="shared" ref="T8:T10" si="3">W8*F8*0.005</f>
        <v>2340.5455515356971</v>
      </c>
      <c r="V8" s="18">
        <v>0.1</v>
      </c>
      <c r="W8" s="18">
        <f t="shared" ref="W8:W10" si="4">IF(O8&gt;0,O8,((P8*2.2046*S8)+(Q8+R8)/G8)+V8)</f>
        <v>25.475488774128941</v>
      </c>
      <c r="X8" s="18">
        <f t="shared" ref="X8:X10" si="5">IF(O8&gt;0,O8,((P8*2.2046*S8)+(Q8+R8+T8)/G8)+V8)</f>
        <v>25.602917761361009</v>
      </c>
      <c r="Y8" s="21">
        <f t="shared" si="1"/>
        <v>470450.60296187981</v>
      </c>
      <c r="Z8" s="32">
        <v>42384</v>
      </c>
      <c r="AA8" s="37">
        <v>26.5</v>
      </c>
      <c r="AB8" s="37"/>
    </row>
    <row r="9" spans="1:28" s="12" customFormat="1" x14ac:dyDescent="0.25">
      <c r="A9" s="23"/>
      <c r="B9" s="24" t="s">
        <v>25</v>
      </c>
      <c r="C9" s="25" t="s">
        <v>40</v>
      </c>
      <c r="D9" s="25" t="s">
        <v>41</v>
      </c>
      <c r="E9" s="14" t="s">
        <v>47</v>
      </c>
      <c r="F9" s="26">
        <f>42493*0.4536</f>
        <v>19274.824799999999</v>
      </c>
      <c r="G9" s="27">
        <v>19331.12</v>
      </c>
      <c r="H9" s="27">
        <f t="shared" si="0"/>
        <v>56.295200000000477</v>
      </c>
      <c r="I9" s="12" t="s">
        <v>48</v>
      </c>
      <c r="J9" s="93" t="s">
        <v>49</v>
      </c>
      <c r="K9" s="17">
        <v>42373</v>
      </c>
      <c r="L9" s="17">
        <v>42375</v>
      </c>
      <c r="M9" s="25" t="s">
        <v>50</v>
      </c>
      <c r="N9" s="25" t="s">
        <v>51</v>
      </c>
      <c r="O9" s="18"/>
      <c r="P9" s="28">
        <v>0.60550000000000004</v>
      </c>
      <c r="Q9" s="29">
        <v>18500</v>
      </c>
      <c r="R9" s="18">
        <v>8752</v>
      </c>
      <c r="S9" s="30">
        <v>17.898</v>
      </c>
      <c r="T9" s="101">
        <f t="shared" si="3"/>
        <v>2448.0496910428469</v>
      </c>
      <c r="V9" s="18">
        <v>0.1</v>
      </c>
      <c r="W9" s="18">
        <f t="shared" si="4"/>
        <v>25.401524698090611</v>
      </c>
      <c r="X9" s="18">
        <f t="shared" si="5"/>
        <v>25.528162455811987</v>
      </c>
      <c r="Y9" s="21">
        <f t="shared" si="1"/>
        <v>492050.85880171374</v>
      </c>
      <c r="Z9" s="32">
        <v>42384</v>
      </c>
      <c r="AA9" s="37"/>
      <c r="AB9" s="37"/>
    </row>
    <row r="10" spans="1:28" s="12" customFormat="1" x14ac:dyDescent="0.25">
      <c r="A10" s="23"/>
      <c r="B10" s="24" t="s">
        <v>25</v>
      </c>
      <c r="C10" s="25" t="s">
        <v>26</v>
      </c>
      <c r="D10" s="25" t="s">
        <v>26</v>
      </c>
      <c r="E10" s="14" t="s">
        <v>27</v>
      </c>
      <c r="F10" s="26">
        <f>41496*0.4536</f>
        <v>18822.585599999999</v>
      </c>
      <c r="G10" s="27">
        <v>18790.13</v>
      </c>
      <c r="H10" s="27">
        <f t="shared" si="0"/>
        <v>-32.455599999997503</v>
      </c>
      <c r="I10" s="12" t="s">
        <v>52</v>
      </c>
      <c r="J10" s="93" t="s">
        <v>44</v>
      </c>
      <c r="K10" s="17">
        <v>42373</v>
      </c>
      <c r="L10" s="17">
        <v>42375</v>
      </c>
      <c r="M10" s="25" t="s">
        <v>50</v>
      </c>
      <c r="N10" s="25" t="s">
        <v>51</v>
      </c>
      <c r="O10" s="18"/>
      <c r="P10" s="28">
        <v>0.61299999999999999</v>
      </c>
      <c r="Q10" s="29">
        <v>18500</v>
      </c>
      <c r="R10" s="18">
        <v>8752</v>
      </c>
      <c r="S10" s="30">
        <v>17.23</v>
      </c>
      <c r="T10" s="101">
        <f t="shared" si="3"/>
        <v>2337.322711203331</v>
      </c>
      <c r="V10" s="18">
        <v>0.1</v>
      </c>
      <c r="W10" s="18">
        <f t="shared" si="4"/>
        <v>24.835299048429683</v>
      </c>
      <c r="X10" s="18">
        <f t="shared" si="5"/>
        <v>24.959690029822752</v>
      </c>
      <c r="Y10" s="21">
        <f t="shared" si="1"/>
        <v>469805.90213580529</v>
      </c>
      <c r="Z10" s="32">
        <v>42361</v>
      </c>
      <c r="AA10" s="37"/>
      <c r="AB10" s="37"/>
    </row>
    <row r="11" spans="1:28" s="12" customFormat="1" x14ac:dyDescent="0.25">
      <c r="A11" s="23"/>
      <c r="B11" s="24" t="s">
        <v>32</v>
      </c>
      <c r="C11" s="14" t="s">
        <v>33</v>
      </c>
      <c r="D11" s="25" t="s">
        <v>34</v>
      </c>
      <c r="E11" s="14">
        <f>200+130</f>
        <v>330</v>
      </c>
      <c r="F11" s="26">
        <f>20510+13415</f>
        <v>33925</v>
      </c>
      <c r="G11" s="27">
        <f>15880+10790</f>
        <v>26670</v>
      </c>
      <c r="H11" s="27">
        <f>G11-F11</f>
        <v>-7255</v>
      </c>
      <c r="I11" s="12" t="s">
        <v>53</v>
      </c>
      <c r="J11" s="14"/>
      <c r="K11" s="33">
        <v>0.78600000000000003</v>
      </c>
      <c r="L11" s="17">
        <v>42374</v>
      </c>
      <c r="M11" s="25" t="s">
        <v>45</v>
      </c>
      <c r="N11" s="14"/>
      <c r="O11" s="18">
        <v>24.5</v>
      </c>
      <c r="P11" s="19"/>
      <c r="Q11" s="29">
        <f>16500+13000</f>
        <v>29500</v>
      </c>
      <c r="R11" s="18">
        <f>59.25*E11</f>
        <v>19552.5</v>
      </c>
      <c r="S11" s="30">
        <f t="shared" ref="S11" si="6">-35*E11</f>
        <v>-11550</v>
      </c>
      <c r="T11" s="101">
        <f>W11*F11*0.0045</f>
        <v>4981.7946639482561</v>
      </c>
      <c r="U11" s="18">
        <f>E11*5</f>
        <v>1650</v>
      </c>
      <c r="V11" s="14"/>
      <c r="W11" s="18">
        <f>((O11*F11)+Q11+R11+S11+U11)/G11</f>
        <v>32.632733408323958</v>
      </c>
      <c r="X11" s="18">
        <f>((O11*F11)+Q11+R11+S11+T11+U11)/G11</f>
        <v>32.819527358978185</v>
      </c>
      <c r="Y11" s="21">
        <f t="shared" si="1"/>
        <v>1113402.465653335</v>
      </c>
      <c r="Z11" s="32">
        <v>42388</v>
      </c>
      <c r="AA11" s="37">
        <v>34</v>
      </c>
      <c r="AB11" s="37" t="s">
        <v>54</v>
      </c>
    </row>
    <row r="12" spans="1:28" s="12" customFormat="1" x14ac:dyDescent="0.25">
      <c r="A12" s="23"/>
      <c r="B12" s="24" t="s">
        <v>55</v>
      </c>
      <c r="C12" s="25" t="s">
        <v>56</v>
      </c>
      <c r="D12" s="25" t="s">
        <v>57</v>
      </c>
      <c r="E12" s="14" t="s">
        <v>58</v>
      </c>
      <c r="F12" s="26">
        <v>2724</v>
      </c>
      <c r="G12" s="27">
        <v>2724</v>
      </c>
      <c r="H12" s="27">
        <f>G12-F12</f>
        <v>0</v>
      </c>
      <c r="I12" s="12" t="s">
        <v>59</v>
      </c>
      <c r="J12" s="14"/>
      <c r="K12" s="33"/>
      <c r="L12" s="17">
        <v>42374</v>
      </c>
      <c r="M12" s="25" t="s">
        <v>45</v>
      </c>
      <c r="N12" s="14"/>
      <c r="O12" s="18">
        <v>47.7</v>
      </c>
      <c r="P12" s="19"/>
      <c r="Q12" s="18"/>
      <c r="R12" s="18"/>
      <c r="S12" s="30"/>
      <c r="T12" s="31"/>
      <c r="U12" s="18"/>
      <c r="V12" s="18"/>
      <c r="W12" s="18">
        <f t="shared" ref="W12:W13" si="7">IF(O12&gt;0,O12,((P12*2.2046*S12)+(Q12+R12)/G12)+V12)</f>
        <v>47.7</v>
      </c>
      <c r="X12" s="18">
        <f t="shared" ref="X12:X13" si="8">IF(O12&gt;0,O12,((P12*2.2046*S12)+(Q12+R12+T12)/G12)+V12)</f>
        <v>47.7</v>
      </c>
      <c r="Y12" s="21">
        <f t="shared" si="1"/>
        <v>129934.8</v>
      </c>
      <c r="Z12" s="32">
        <v>42381</v>
      </c>
      <c r="AA12" s="37"/>
      <c r="AB12" s="37"/>
    </row>
    <row r="13" spans="1:28" s="12" customFormat="1" x14ac:dyDescent="0.25">
      <c r="A13" s="23"/>
      <c r="B13" s="24" t="s">
        <v>60</v>
      </c>
      <c r="C13" s="25" t="s">
        <v>61</v>
      </c>
      <c r="D13" s="25" t="s">
        <v>57</v>
      </c>
      <c r="E13" s="14" t="s">
        <v>62</v>
      </c>
      <c r="F13" s="26">
        <v>37.299999999999997</v>
      </c>
      <c r="G13" s="27">
        <v>37.299999999999997</v>
      </c>
      <c r="H13" s="27">
        <f>G13-F13</f>
        <v>0</v>
      </c>
      <c r="I13" s="12" t="s">
        <v>59</v>
      </c>
      <c r="J13" s="14"/>
      <c r="K13" s="33"/>
      <c r="L13" s="17">
        <v>42374</v>
      </c>
      <c r="M13" s="25" t="s">
        <v>45</v>
      </c>
      <c r="N13" s="14"/>
      <c r="O13" s="18">
        <v>175</v>
      </c>
      <c r="P13" s="19"/>
      <c r="Q13" s="18"/>
      <c r="R13" s="18"/>
      <c r="S13" s="30"/>
      <c r="T13" s="31"/>
      <c r="U13" s="18"/>
      <c r="V13" s="18"/>
      <c r="W13" s="18">
        <f t="shared" si="7"/>
        <v>175</v>
      </c>
      <c r="X13" s="18">
        <f t="shared" si="8"/>
        <v>175</v>
      </c>
      <c r="Y13" s="21">
        <f t="shared" si="1"/>
        <v>6527.4999999999991</v>
      </c>
      <c r="Z13" s="32">
        <v>42381</v>
      </c>
      <c r="AA13" s="37"/>
      <c r="AB13" s="37"/>
    </row>
    <row r="14" spans="1:28" s="12" customFormat="1" x14ac:dyDescent="0.25">
      <c r="A14" s="23"/>
      <c r="B14" s="24" t="s">
        <v>25</v>
      </c>
      <c r="C14" s="14" t="s">
        <v>40</v>
      </c>
      <c r="D14" s="14" t="s">
        <v>41</v>
      </c>
      <c r="E14" s="14" t="s">
        <v>63</v>
      </c>
      <c r="F14" s="26">
        <f>33828*0.4536</f>
        <v>15344.380800000001</v>
      </c>
      <c r="G14" s="27">
        <f>18774.3-3391</f>
        <v>15383.3</v>
      </c>
      <c r="H14" s="27">
        <f>G14-F14</f>
        <v>38.919199999998455</v>
      </c>
      <c r="I14" s="25" t="s">
        <v>970</v>
      </c>
      <c r="J14" s="93" t="s">
        <v>64</v>
      </c>
      <c r="K14" s="17">
        <v>42374</v>
      </c>
      <c r="L14" s="17">
        <v>42376</v>
      </c>
      <c r="M14" s="25" t="s">
        <v>65</v>
      </c>
      <c r="N14" s="25" t="s">
        <v>51</v>
      </c>
      <c r="O14" s="18"/>
      <c r="P14" s="28">
        <v>0.60550000000000004</v>
      </c>
      <c r="Q14" s="29">
        <f>(18500*G14)/(G14+G15)</f>
        <v>15158.543860490139</v>
      </c>
      <c r="R14" s="18">
        <f>(8926*G14)/(G14+G15)</f>
        <v>7313.7925674991875</v>
      </c>
      <c r="S14" s="30">
        <v>17.829999999999998</v>
      </c>
      <c r="T14" s="101">
        <f t="shared" ref="T14:T28" si="9">W14*F14*0.005</f>
        <v>1945.8080144587097</v>
      </c>
      <c r="V14" s="18">
        <v>0.1</v>
      </c>
      <c r="W14" s="18">
        <f>IF(O14&gt;0,O14,((P14*2.2046*S14)+(Q14+R14)/G14)+V14)</f>
        <v>25.361831667508014</v>
      </c>
      <c r="X14" s="18">
        <f>IF(O14&gt;0,O14,((P14*2.2046*S14)+(Q14+R14+T14)/G14)+V14)</f>
        <v>25.488320003200531</v>
      </c>
      <c r="Y14" s="21">
        <f t="shared" si="1"/>
        <v>391102.48808136617</v>
      </c>
      <c r="Z14" s="32">
        <v>42384</v>
      </c>
      <c r="AA14" s="37">
        <v>26.5</v>
      </c>
      <c r="AB14" s="37"/>
    </row>
    <row r="15" spans="1:28" s="12" customFormat="1" x14ac:dyDescent="0.25">
      <c r="A15" s="23"/>
      <c r="B15" s="24" t="s">
        <v>66</v>
      </c>
      <c r="C15" s="14" t="s">
        <v>40</v>
      </c>
      <c r="D15" s="25" t="s">
        <v>41</v>
      </c>
      <c r="E15" s="14" t="s">
        <v>67</v>
      </c>
      <c r="F15" s="26">
        <f>7486*0.4536</f>
        <v>3395.6496000000002</v>
      </c>
      <c r="G15" s="27">
        <f>830+816+864+881</f>
        <v>3391</v>
      </c>
      <c r="H15" s="27">
        <f>G15-F15</f>
        <v>-4.6496000000001914</v>
      </c>
      <c r="I15" s="25"/>
      <c r="J15" s="14"/>
      <c r="K15" s="17">
        <v>42374</v>
      </c>
      <c r="L15" s="17">
        <v>42376</v>
      </c>
      <c r="M15" s="25" t="s">
        <v>65</v>
      </c>
      <c r="N15" s="25"/>
      <c r="O15" s="18"/>
      <c r="P15" s="28">
        <v>0.37</v>
      </c>
      <c r="Q15" s="29">
        <f>(18500*G15)/(G15+G14)</f>
        <v>3341.4561395098622</v>
      </c>
      <c r="R15" s="18">
        <f>(8926*G15)/(G15+G14)</f>
        <v>1612.2074325008123</v>
      </c>
      <c r="S15" s="30">
        <v>17.829999999999998</v>
      </c>
      <c r="T15" s="101">
        <f t="shared" si="9"/>
        <v>273.43117681797935</v>
      </c>
      <c r="V15" s="18">
        <v>0.1</v>
      </c>
      <c r="W15" s="18">
        <f>IF(O15&gt;0,O15,((P15*2.2046*S15)+(Q15+R15)/G15)+V15)</f>
        <v>16.104793428508014</v>
      </c>
      <c r="X15" s="18">
        <f>IF(O15&gt;0,O15,((P15*2.2046*S15)+(Q15+R15+T15)/G15)+V15)</f>
        <v>16.185427806808804</v>
      </c>
      <c r="Y15" s="21">
        <f t="shared" si="1"/>
        <v>54960.041458019194</v>
      </c>
      <c r="Z15" s="32">
        <v>42384</v>
      </c>
      <c r="AA15" s="37">
        <v>26.5</v>
      </c>
      <c r="AB15" s="37"/>
    </row>
    <row r="16" spans="1:28" s="12" customFormat="1" x14ac:dyDescent="0.25">
      <c r="A16" s="23"/>
      <c r="B16" s="24" t="s">
        <v>32</v>
      </c>
      <c r="C16" s="14" t="s">
        <v>68</v>
      </c>
      <c r="D16" s="25" t="s">
        <v>68</v>
      </c>
      <c r="E16" s="14">
        <v>260</v>
      </c>
      <c r="F16" s="26">
        <f>13870+12710</f>
        <v>26580</v>
      </c>
      <c r="G16" s="27">
        <f>10510+10570</f>
        <v>21080</v>
      </c>
      <c r="H16" s="27">
        <f t="shared" ref="H16:H17" si="10">G16-F16</f>
        <v>-5500</v>
      </c>
      <c r="I16" s="25" t="s">
        <v>69</v>
      </c>
      <c r="J16" s="14"/>
      <c r="K16" s="17">
        <v>42374</v>
      </c>
      <c r="L16" s="17">
        <v>42375</v>
      </c>
      <c r="M16" s="25" t="s">
        <v>50</v>
      </c>
      <c r="N16" s="14"/>
      <c r="O16" s="18">
        <v>24</v>
      </c>
      <c r="P16" s="19"/>
      <c r="Q16" s="29">
        <v>22000</v>
      </c>
      <c r="R16" s="99">
        <f>98*E16</f>
        <v>25480</v>
      </c>
      <c r="S16" s="30">
        <f>-35*E16</f>
        <v>-9100</v>
      </c>
      <c r="T16" s="31"/>
      <c r="U16" s="18">
        <f>E16*10</f>
        <v>2600</v>
      </c>
      <c r="V16" s="14"/>
      <c r="W16" s="18">
        <f>((O16*F16)+Q16+R16+S16+U16)/G16</f>
        <v>32.205882352941174</v>
      </c>
      <c r="X16" s="18">
        <f>((O16*F16)+Q16+R16+S16+T16+U16)/G16</f>
        <v>32.205882352941174</v>
      </c>
      <c r="Y16" s="21">
        <f t="shared" si="1"/>
        <v>856032.35294117639</v>
      </c>
      <c r="Z16" s="32">
        <v>42375</v>
      </c>
      <c r="AA16" s="37">
        <v>34</v>
      </c>
      <c r="AB16" s="37" t="s">
        <v>70</v>
      </c>
    </row>
    <row r="17" spans="1:28" s="12" customFormat="1" x14ac:dyDescent="0.25">
      <c r="A17" s="23"/>
      <c r="B17" s="24" t="s">
        <v>32</v>
      </c>
      <c r="C17" s="14" t="s">
        <v>33</v>
      </c>
      <c r="D17" s="25" t="s">
        <v>34</v>
      </c>
      <c r="E17" s="14">
        <v>119</v>
      </c>
      <c r="F17" s="26">
        <v>13120</v>
      </c>
      <c r="G17" s="27">
        <v>10210</v>
      </c>
      <c r="H17" s="27">
        <f t="shared" si="10"/>
        <v>-2910</v>
      </c>
      <c r="I17" s="25" t="s">
        <v>71</v>
      </c>
      <c r="J17" s="14"/>
      <c r="K17" s="17"/>
      <c r="L17" s="17">
        <v>42375</v>
      </c>
      <c r="M17" s="25" t="s">
        <v>50</v>
      </c>
      <c r="N17" s="14"/>
      <c r="O17" s="18">
        <v>24.5</v>
      </c>
      <c r="P17" s="19"/>
      <c r="Q17" s="29">
        <v>13000</v>
      </c>
      <c r="R17" s="18">
        <f t="shared" ref="R17" si="11">59.25*E17</f>
        <v>7050.75</v>
      </c>
      <c r="S17" s="30">
        <f t="shared" ref="S17" si="12">-35*E17</f>
        <v>-4165</v>
      </c>
      <c r="T17" s="101">
        <f t="shared" ref="T17" si="13">W17*F17*0.0045</f>
        <v>1954.0490773751221</v>
      </c>
      <c r="U17" s="18">
        <f t="shared" ref="U17" si="14">E17*5</f>
        <v>595</v>
      </c>
      <c r="V17" s="14"/>
      <c r="W17" s="18">
        <f t="shared" ref="W17" si="15">((O17*F17)+Q17+R17+S17+U17)/G17</f>
        <v>33.09703721841332</v>
      </c>
      <c r="X17" s="18">
        <f t="shared" ref="X17" si="16">((O17*F17)+Q17+R17+S17+T17+U17)/G17</f>
        <v>33.288423024228706</v>
      </c>
      <c r="Y17" s="21">
        <f t="shared" si="1"/>
        <v>436744.11007788061</v>
      </c>
      <c r="Z17" s="32">
        <v>42388</v>
      </c>
      <c r="AA17" s="37">
        <v>34</v>
      </c>
      <c r="AB17" s="37"/>
    </row>
    <row r="18" spans="1:28" s="12" customFormat="1" x14ac:dyDescent="0.25">
      <c r="A18" s="23"/>
      <c r="B18" s="24" t="s">
        <v>25</v>
      </c>
      <c r="C18" s="25" t="s">
        <v>72</v>
      </c>
      <c r="D18" s="25" t="s">
        <v>72</v>
      </c>
      <c r="E18" s="14" t="s">
        <v>42</v>
      </c>
      <c r="F18" s="26">
        <f>41898*0.4536</f>
        <v>19004.932799999999</v>
      </c>
      <c r="G18" s="27">
        <v>18915.16</v>
      </c>
      <c r="H18" s="27">
        <f>G18-F18</f>
        <v>-89.772799999998824</v>
      </c>
      <c r="I18" s="39" t="s">
        <v>73</v>
      </c>
      <c r="J18" s="93" t="s">
        <v>74</v>
      </c>
      <c r="K18" s="17">
        <v>42375</v>
      </c>
      <c r="L18" s="17">
        <v>42376</v>
      </c>
      <c r="M18" s="25" t="s">
        <v>65</v>
      </c>
      <c r="N18" s="25" t="s">
        <v>75</v>
      </c>
      <c r="O18" s="18"/>
      <c r="P18" s="28">
        <f>0.4996+0.105</f>
        <v>0.60460000000000003</v>
      </c>
      <c r="Q18" s="29">
        <v>18500</v>
      </c>
      <c r="R18" s="18">
        <v>8926</v>
      </c>
      <c r="S18" s="30">
        <v>17.23</v>
      </c>
      <c r="T18" s="101">
        <f>W18*F18*0.005</f>
        <v>2329.608990279406</v>
      </c>
      <c r="V18" s="18">
        <v>0.1</v>
      </c>
      <c r="W18" s="18">
        <f t="shared" ref="W18" si="17">IF(O18&gt;0,O18,((P18*2.2046*S18)+(Q18+R18)/G18)+V18)</f>
        <v>24.515835070770745</v>
      </c>
      <c r="X18" s="18">
        <f t="shared" ref="X18" si="18">IF(O18&gt;0,O18,((P18*2.2046*S18)+(Q18+R18+T18)/G18)+V18)</f>
        <v>24.63899601629166</v>
      </c>
      <c r="Y18" s="21">
        <f t="shared" si="1"/>
        <v>468262.46354909067</v>
      </c>
      <c r="Z18" s="32">
        <v>42361</v>
      </c>
      <c r="AA18" s="37">
        <v>26.5</v>
      </c>
      <c r="AB18" s="37" t="s">
        <v>76</v>
      </c>
    </row>
    <row r="19" spans="1:28" s="12" customFormat="1" x14ac:dyDescent="0.25">
      <c r="A19" s="23"/>
      <c r="B19" s="24" t="s">
        <v>25</v>
      </c>
      <c r="C19" s="25" t="s">
        <v>72</v>
      </c>
      <c r="D19" s="25" t="s">
        <v>72</v>
      </c>
      <c r="E19" s="14" t="s">
        <v>42</v>
      </c>
      <c r="F19" s="26">
        <f>42655*0.4536</f>
        <v>19348.308000000001</v>
      </c>
      <c r="G19" s="27">
        <v>19267.47</v>
      </c>
      <c r="H19" s="27">
        <f>G19-F19</f>
        <v>-80.837999999999738</v>
      </c>
      <c r="I19" s="12" t="s">
        <v>77</v>
      </c>
      <c r="J19" s="93" t="s">
        <v>29</v>
      </c>
      <c r="K19" s="17">
        <v>42375</v>
      </c>
      <c r="L19" s="17">
        <v>42376</v>
      </c>
      <c r="M19" s="25" t="s">
        <v>65</v>
      </c>
      <c r="N19" s="25" t="s">
        <v>75</v>
      </c>
      <c r="O19" s="18"/>
      <c r="P19" s="28">
        <v>0.60460000000000003</v>
      </c>
      <c r="Q19" s="29">
        <v>18500</v>
      </c>
      <c r="R19" s="18">
        <v>8926</v>
      </c>
      <c r="S19" s="30">
        <v>17.274999999999999</v>
      </c>
      <c r="T19" s="101">
        <f t="shared" si="9"/>
        <v>2374.9373779369762</v>
      </c>
      <c r="V19" s="18">
        <v>0.1</v>
      </c>
      <c r="W19" s="18">
        <f>IF(O19&gt;0,O19,((P19*2.2046*S19)+(Q19+R19)/G19)+V19)</f>
        <v>24.549302997832946</v>
      </c>
      <c r="X19" s="18">
        <f>IF(O19&gt;0,O19,((P19*2.2046*S19)+(Q19+R19+T19)/G19)+V19)</f>
        <v>24.672564504296275</v>
      </c>
      <c r="Y19" s="21">
        <f>X19*F19</f>
        <v>477372.37717899168</v>
      </c>
      <c r="Z19" s="32">
        <v>42367</v>
      </c>
      <c r="AA19" s="37">
        <v>26.5</v>
      </c>
      <c r="AB19" s="37"/>
    </row>
    <row r="20" spans="1:28" s="12" customFormat="1" x14ac:dyDescent="0.25">
      <c r="A20" s="23"/>
      <c r="B20" s="24" t="s">
        <v>32</v>
      </c>
      <c r="C20" s="14" t="s">
        <v>33</v>
      </c>
      <c r="D20" s="25" t="s">
        <v>34</v>
      </c>
      <c r="E20" s="14">
        <f>250</f>
        <v>250</v>
      </c>
      <c r="F20" s="26">
        <f>24085</f>
        <v>24085</v>
      </c>
      <c r="G20" s="27">
        <f>19230</f>
        <v>19230</v>
      </c>
      <c r="H20" s="27">
        <f t="shared" ref="H20:H28" si="19">G20-F20</f>
        <v>-4855</v>
      </c>
      <c r="I20" s="25" t="s">
        <v>78</v>
      </c>
      <c r="J20" s="14"/>
      <c r="K20" s="17"/>
      <c r="L20" s="17">
        <v>42376</v>
      </c>
      <c r="M20" s="25" t="s">
        <v>65</v>
      </c>
      <c r="N20" s="14"/>
      <c r="O20" s="18">
        <v>24</v>
      </c>
      <c r="P20" s="19"/>
      <c r="Q20" s="29">
        <f>16500</f>
        <v>16500</v>
      </c>
      <c r="R20" s="18">
        <f t="shared" ref="R20:R21" si="20">59.25*E20</f>
        <v>14812.5</v>
      </c>
      <c r="S20" s="30">
        <f t="shared" ref="S20:S21" si="21">-35*E20</f>
        <v>-8750</v>
      </c>
      <c r="T20" s="101">
        <f t="shared" ref="T20:T21" si="22">W20*F20*0.0045</f>
        <v>3392.110170631825</v>
      </c>
      <c r="U20" s="18">
        <f t="shared" ref="U20:U21" si="23">E20*5</f>
        <v>1250</v>
      </c>
      <c r="V20" s="14"/>
      <c r="W20" s="18">
        <f t="shared" ref="W20:W21" si="24">((O20*F20)+Q20+R20+S20+U20)/G20</f>
        <v>31.297581903276132</v>
      </c>
      <c r="X20" s="18">
        <f t="shared" ref="X20:X21" si="25">((O20*F20)+Q20+R20+S20+T20+U20)/G20</f>
        <v>31.473978688020374</v>
      </c>
      <c r="Y20" s="21">
        <f t="shared" ref="Y20:Y28" si="26">X20*F20</f>
        <v>758050.77670097072</v>
      </c>
      <c r="Z20" s="32">
        <v>42389</v>
      </c>
      <c r="AA20" s="37" t="s">
        <v>79</v>
      </c>
    </row>
    <row r="21" spans="1:28" s="12" customFormat="1" x14ac:dyDescent="0.25">
      <c r="A21" s="23"/>
      <c r="B21" s="24" t="s">
        <v>32</v>
      </c>
      <c r="C21" s="14" t="s">
        <v>33</v>
      </c>
      <c r="D21" s="25" t="s">
        <v>80</v>
      </c>
      <c r="E21" s="14">
        <v>130</v>
      </c>
      <c r="F21" s="26">
        <f>14215-200</f>
        <v>14015</v>
      </c>
      <c r="G21" s="27">
        <v>10840</v>
      </c>
      <c r="H21" s="27">
        <f t="shared" si="19"/>
        <v>-3175</v>
      </c>
      <c r="I21" s="25" t="s">
        <v>81</v>
      </c>
      <c r="J21" s="14"/>
      <c r="K21" s="17"/>
      <c r="L21" s="17">
        <v>42376</v>
      </c>
      <c r="M21" s="25" t="s">
        <v>65</v>
      </c>
      <c r="N21" s="14"/>
      <c r="O21" s="18">
        <v>24</v>
      </c>
      <c r="P21" s="19"/>
      <c r="Q21" s="29">
        <v>13000</v>
      </c>
      <c r="R21" s="18">
        <f t="shared" si="20"/>
        <v>7702.5</v>
      </c>
      <c r="S21" s="30">
        <f t="shared" si="21"/>
        <v>-4550</v>
      </c>
      <c r="T21" s="101">
        <f t="shared" si="22"/>
        <v>2054.7118052352398</v>
      </c>
      <c r="U21" s="18">
        <f t="shared" si="23"/>
        <v>650</v>
      </c>
      <c r="V21" s="14"/>
      <c r="W21" s="18">
        <f t="shared" si="24"/>
        <v>32.579566420664207</v>
      </c>
      <c r="X21" s="18">
        <f t="shared" si="25"/>
        <v>32.76911548018775</v>
      </c>
      <c r="Y21" s="21">
        <f t="shared" si="26"/>
        <v>459259.15345483134</v>
      </c>
      <c r="Z21" s="32">
        <v>42389</v>
      </c>
      <c r="AA21" s="37"/>
      <c r="AB21" s="37" t="s">
        <v>82</v>
      </c>
    </row>
    <row r="22" spans="1:28" s="12" customFormat="1" x14ac:dyDescent="0.25">
      <c r="A22" s="23"/>
      <c r="B22" s="24" t="s">
        <v>25</v>
      </c>
      <c r="C22" s="25" t="s">
        <v>72</v>
      </c>
      <c r="D22" s="25" t="s">
        <v>72</v>
      </c>
      <c r="E22" s="14" t="s">
        <v>42</v>
      </c>
      <c r="F22" s="26">
        <f>42902*0.4536</f>
        <v>19460.3472</v>
      </c>
      <c r="G22" s="27">
        <v>19363.330000000002</v>
      </c>
      <c r="H22" s="27">
        <f t="shared" si="19"/>
        <v>-97.017199999998411</v>
      </c>
      <c r="I22" s="12" t="s">
        <v>83</v>
      </c>
      <c r="J22" s="93" t="s">
        <v>44</v>
      </c>
      <c r="K22" s="17">
        <v>42376</v>
      </c>
      <c r="L22" s="17">
        <v>42377</v>
      </c>
      <c r="M22" s="25" t="s">
        <v>84</v>
      </c>
      <c r="N22" s="25" t="s">
        <v>85</v>
      </c>
      <c r="O22" s="18"/>
      <c r="P22" s="28">
        <f>0.514+0.105</f>
        <v>0.61899999999999999</v>
      </c>
      <c r="Q22" s="29">
        <v>18500</v>
      </c>
      <c r="R22" s="18">
        <v>8965</v>
      </c>
      <c r="S22" s="30">
        <v>17.274999999999999</v>
      </c>
      <c r="T22" s="101">
        <f t="shared" si="9"/>
        <v>2441.5619630055676</v>
      </c>
      <c r="V22" s="18">
        <v>0.1</v>
      </c>
      <c r="W22" s="18">
        <f>IF(O22&gt;0,O22,((P22*2.2046*S22)+(Q22+R22)/G22)+V22)</f>
        <v>25.092686558085333</v>
      </c>
      <c r="X22" s="18">
        <f>IF(O22&gt;0,O22,((P22*2.2046*S22)+(Q22+R22+T22)/G22)+V22)</f>
        <v>25.218778607490346</v>
      </c>
      <c r="Y22" s="21">
        <f t="shared" si="26"/>
        <v>490766.18766169465</v>
      </c>
      <c r="Z22" s="32">
        <v>42367</v>
      </c>
      <c r="AA22" s="2">
        <v>27</v>
      </c>
      <c r="AB22" s="2"/>
    </row>
    <row r="23" spans="1:28" s="12" customFormat="1" x14ac:dyDescent="0.25">
      <c r="A23" s="23"/>
      <c r="B23" s="24" t="s">
        <v>25</v>
      </c>
      <c r="C23" s="25" t="s">
        <v>72</v>
      </c>
      <c r="D23" s="25" t="s">
        <v>72</v>
      </c>
      <c r="E23" s="14" t="s">
        <v>42</v>
      </c>
      <c r="F23" s="26">
        <f>42852*0.4536</f>
        <v>19437.6672</v>
      </c>
      <c r="G23" s="27">
        <v>19346.09</v>
      </c>
      <c r="H23" s="27">
        <f t="shared" si="19"/>
        <v>-91.577199999999721</v>
      </c>
      <c r="I23" s="12" t="s">
        <v>86</v>
      </c>
      <c r="J23" s="93" t="s">
        <v>44</v>
      </c>
      <c r="K23" s="17">
        <v>42375</v>
      </c>
      <c r="L23" s="17">
        <v>42376</v>
      </c>
      <c r="M23" s="25" t="s">
        <v>65</v>
      </c>
      <c r="N23" s="25" t="s">
        <v>85</v>
      </c>
      <c r="O23" s="18"/>
      <c r="P23" s="28">
        <v>0.61899999999999999</v>
      </c>
      <c r="Q23" s="29">
        <v>18500</v>
      </c>
      <c r="R23" s="18">
        <v>8926</v>
      </c>
      <c r="S23" s="30">
        <v>17.274999999999999</v>
      </c>
      <c r="T23" s="101">
        <f t="shared" si="9"/>
        <v>2438.6433743703769</v>
      </c>
      <c r="V23" s="18">
        <v>0.1</v>
      </c>
      <c r="W23" s="18">
        <f>IF(O23&gt;0,O23,((P23*2.2046*S23)+(Q23+R23)/G23)+V23)</f>
        <v>25.091934636789919</v>
      </c>
      <c r="X23" s="18">
        <f>IF(O23&gt;0,O23,((P23*2.2046*S23)+(Q23+R23+T23)/G23)+V23)</f>
        <v>25.21798818943908</v>
      </c>
      <c r="Y23" s="21">
        <f t="shared" si="26"/>
        <v>490178.86187984736</v>
      </c>
      <c r="Z23" s="32">
        <v>42367</v>
      </c>
      <c r="AA23" s="2">
        <v>27</v>
      </c>
      <c r="AB23" s="2"/>
    </row>
    <row r="24" spans="1:28" s="12" customFormat="1" x14ac:dyDescent="0.25">
      <c r="A24" s="23"/>
      <c r="B24" s="24" t="s">
        <v>32</v>
      </c>
      <c r="C24" s="14" t="s">
        <v>33</v>
      </c>
      <c r="D24" s="25" t="s">
        <v>87</v>
      </c>
      <c r="E24" s="14">
        <v>250</v>
      </c>
      <c r="F24" s="26">
        <v>26545</v>
      </c>
      <c r="G24" s="27">
        <f>21000+300</f>
        <v>21300</v>
      </c>
      <c r="H24" s="27">
        <f t="shared" si="19"/>
        <v>-5245</v>
      </c>
      <c r="I24" s="12" t="s">
        <v>88</v>
      </c>
      <c r="J24" s="14"/>
      <c r="K24" s="17"/>
      <c r="L24" s="17">
        <v>42377</v>
      </c>
      <c r="M24" s="25" t="s">
        <v>84</v>
      </c>
      <c r="N24" s="14"/>
      <c r="O24" s="18">
        <v>24</v>
      </c>
      <c r="P24" s="19"/>
      <c r="Q24" s="29">
        <v>16500</v>
      </c>
      <c r="R24" s="18">
        <f>59.25*E24</f>
        <v>14812.5</v>
      </c>
      <c r="S24" s="30">
        <f>-35*E24</f>
        <v>-8750</v>
      </c>
      <c r="T24" s="101">
        <f>W24*F24*0.0045</f>
        <v>3706.3502984154925</v>
      </c>
      <c r="U24" s="18">
        <f>E24*5</f>
        <v>1250</v>
      </c>
      <c r="V24" s="14"/>
      <c r="W24" s="18">
        <f>((O24*F24)+Q24+R24+S24+U24)/G24</f>
        <v>31.02781690140845</v>
      </c>
      <c r="X24" s="18">
        <f>((O24*F24)+Q24+R24+S24+T24+U24)/G24</f>
        <v>31.20182395767209</v>
      </c>
      <c r="Y24" s="21">
        <f t="shared" si="26"/>
        <v>828252.41695640562</v>
      </c>
      <c r="Z24" s="32">
        <v>42390</v>
      </c>
      <c r="AA24" s="2">
        <v>34</v>
      </c>
      <c r="AB24" s="2"/>
    </row>
    <row r="25" spans="1:28" s="12" customFormat="1" x14ac:dyDescent="0.25">
      <c r="A25" s="23"/>
      <c r="B25" s="24" t="s">
        <v>32</v>
      </c>
      <c r="C25" s="14" t="s">
        <v>33</v>
      </c>
      <c r="D25" s="25" t="s">
        <v>34</v>
      </c>
      <c r="E25" s="14">
        <v>130</v>
      </c>
      <c r="F25" s="26">
        <v>13190</v>
      </c>
      <c r="G25" s="27">
        <f>10880-300</f>
        <v>10580</v>
      </c>
      <c r="H25" s="27">
        <f t="shared" si="19"/>
        <v>-2610</v>
      </c>
      <c r="I25" s="25" t="s">
        <v>89</v>
      </c>
      <c r="J25" s="14"/>
      <c r="K25" s="17"/>
      <c r="L25" s="17">
        <v>42377</v>
      </c>
      <c r="M25" s="25" t="s">
        <v>84</v>
      </c>
      <c r="N25" s="14"/>
      <c r="O25" s="18">
        <v>24</v>
      </c>
      <c r="P25" s="19"/>
      <c r="Q25" s="18">
        <v>13000</v>
      </c>
      <c r="R25" s="18">
        <f>59.25*E25</f>
        <v>7702.5</v>
      </c>
      <c r="S25" s="30">
        <f>-35*E25</f>
        <v>-4550</v>
      </c>
      <c r="T25" s="101">
        <f>W25*F25*0.0045</f>
        <v>1870.2014354914934</v>
      </c>
      <c r="U25" s="18">
        <f>E25*5</f>
        <v>650</v>
      </c>
      <c r="V25" s="14"/>
      <c r="W25" s="18">
        <f>((O25*F25)+Q25+R25+S25+U25)/G25</f>
        <v>31.508742911153121</v>
      </c>
      <c r="X25" s="18">
        <f>((O25*F25)+Q25+R25+S25+T25+U25)/G25</f>
        <v>31.685510532655151</v>
      </c>
      <c r="Y25" s="21">
        <f t="shared" si="26"/>
        <v>417931.88392572146</v>
      </c>
      <c r="Z25" s="32">
        <v>42390</v>
      </c>
      <c r="AA25" s="2">
        <v>34</v>
      </c>
      <c r="AB25" s="2" t="s">
        <v>90</v>
      </c>
    </row>
    <row r="26" spans="1:28" s="12" customFormat="1" x14ac:dyDescent="0.25">
      <c r="A26" s="23"/>
      <c r="B26" s="24" t="s">
        <v>25</v>
      </c>
      <c r="C26" s="25" t="s">
        <v>26</v>
      </c>
      <c r="D26" s="25" t="s">
        <v>26</v>
      </c>
      <c r="E26" s="14" t="s">
        <v>27</v>
      </c>
      <c r="F26" s="26">
        <f>41685*0.4536</f>
        <v>18908.315999999999</v>
      </c>
      <c r="G26" s="27">
        <v>18920.13</v>
      </c>
      <c r="H26" s="27">
        <f t="shared" si="19"/>
        <v>11.814000000002125</v>
      </c>
      <c r="I26" s="12" t="s">
        <v>1192</v>
      </c>
      <c r="J26" s="93" t="s">
        <v>91</v>
      </c>
      <c r="K26" s="17">
        <v>42377</v>
      </c>
      <c r="L26" s="17">
        <v>42379</v>
      </c>
      <c r="M26" s="25" t="s">
        <v>36</v>
      </c>
      <c r="N26" s="25" t="s">
        <v>92</v>
      </c>
      <c r="O26" s="18"/>
      <c r="P26" s="28">
        <f>0.514+0.1075</f>
        <v>0.62150000000000005</v>
      </c>
      <c r="Q26" s="29">
        <v>18500</v>
      </c>
      <c r="R26" s="18">
        <v>8965</v>
      </c>
      <c r="S26" s="30">
        <v>17.274999999999999</v>
      </c>
      <c r="T26" s="101">
        <f t="shared" si="9"/>
        <v>2384.4448651700382</v>
      </c>
      <c r="V26" s="18">
        <v>0.1</v>
      </c>
      <c r="W26" s="18">
        <f>IF(O26&gt;0,O26,((P26*2.2046*S26)+(Q26+R26)/G26)+V26)</f>
        <v>25.221123501109652</v>
      </c>
      <c r="X26" s="18">
        <f>IF(O26&gt;0,O26,((P26*2.2046*S26)+(Q26+R26+T26)/G26)+V26)</f>
        <v>25.347150376462519</v>
      </c>
      <c r="Y26" s="21">
        <f t="shared" si="26"/>
        <v>479271.92901767226</v>
      </c>
      <c r="Z26" s="32">
        <v>42367</v>
      </c>
      <c r="AA26" s="2">
        <v>27</v>
      </c>
      <c r="AB26" s="2"/>
    </row>
    <row r="27" spans="1:28" s="12" customFormat="1" x14ac:dyDescent="0.25">
      <c r="A27" s="23"/>
      <c r="B27" s="24" t="s">
        <v>25</v>
      </c>
      <c r="C27" s="25" t="s">
        <v>72</v>
      </c>
      <c r="D27" s="25" t="s">
        <v>72</v>
      </c>
      <c r="E27" s="14" t="s">
        <v>42</v>
      </c>
      <c r="F27" s="26">
        <f>42468*0.4536</f>
        <v>19263.484799999998</v>
      </c>
      <c r="G27" s="27">
        <v>19225.62</v>
      </c>
      <c r="H27" s="27">
        <f t="shared" si="19"/>
        <v>-37.864799999999377</v>
      </c>
      <c r="I27" s="12" t="s">
        <v>93</v>
      </c>
      <c r="J27" s="93" t="s">
        <v>44</v>
      </c>
      <c r="K27" s="17">
        <v>42377</v>
      </c>
      <c r="L27" s="17">
        <v>42378</v>
      </c>
      <c r="M27" s="25" t="s">
        <v>30</v>
      </c>
      <c r="N27" s="25" t="s">
        <v>94</v>
      </c>
      <c r="O27" s="18"/>
      <c r="P27" s="28">
        <f>0.5212+0.105</f>
        <v>0.62619999999999998</v>
      </c>
      <c r="Q27" s="29">
        <v>18500</v>
      </c>
      <c r="R27" s="18">
        <v>8965</v>
      </c>
      <c r="S27" s="30">
        <v>17.495000000000001</v>
      </c>
      <c r="T27" s="101">
        <f t="shared" si="9"/>
        <v>2473.5055173146334</v>
      </c>
      <c r="V27" s="18">
        <v>0.1</v>
      </c>
      <c r="W27" s="18">
        <f>IF(O27&gt;0,O27,((P27*2.2046*S27)+(Q27+R27)/G27)+V27)</f>
        <v>25.680769009298189</v>
      </c>
      <c r="X27" s="18">
        <f>IF(O27&gt;0,O27,((P27*2.2046*S27)+(Q27+R27+T27)/G27)+V27)</f>
        <v>25.809425745326187</v>
      </c>
      <c r="Y27" s="21">
        <f t="shared" si="26"/>
        <v>497179.48054181965</v>
      </c>
      <c r="Z27" s="32">
        <v>42375</v>
      </c>
      <c r="AA27" s="2">
        <v>27</v>
      </c>
      <c r="AB27" s="2"/>
    </row>
    <row r="28" spans="1:28" s="12" customFormat="1" x14ac:dyDescent="0.25">
      <c r="A28" s="23"/>
      <c r="B28" s="24" t="s">
        <v>25</v>
      </c>
      <c r="C28" s="25" t="s">
        <v>40</v>
      </c>
      <c r="D28" s="25" t="s">
        <v>41</v>
      </c>
      <c r="E28" s="14" t="s">
        <v>47</v>
      </c>
      <c r="F28" s="26">
        <f>41174*0.4536</f>
        <v>18676.526399999999</v>
      </c>
      <c r="G28" s="27">
        <v>18684.28</v>
      </c>
      <c r="H28" s="27">
        <f t="shared" si="19"/>
        <v>7.7536000000000058</v>
      </c>
      <c r="I28" s="39" t="s">
        <v>95</v>
      </c>
      <c r="J28" s="93" t="s">
        <v>96</v>
      </c>
      <c r="K28" s="17">
        <v>42377</v>
      </c>
      <c r="L28" s="17">
        <v>42378</v>
      </c>
      <c r="M28" s="25" t="s">
        <v>30</v>
      </c>
      <c r="N28" s="25" t="s">
        <v>97</v>
      </c>
      <c r="O28" s="18"/>
      <c r="P28" s="28">
        <f>0.514+0.1</f>
        <v>0.61399999999999999</v>
      </c>
      <c r="Q28" s="29">
        <v>18500</v>
      </c>
      <c r="R28" s="18">
        <v>8965</v>
      </c>
      <c r="S28" s="30">
        <v>17.829999999999998</v>
      </c>
      <c r="T28" s="101">
        <f t="shared" si="9"/>
        <v>2400.407590329613</v>
      </c>
      <c r="V28" s="18">
        <v>0.1</v>
      </c>
      <c r="W28" s="18">
        <f t="shared" ref="W28" si="27">IF(O28&gt;0,O28,((P28*2.2046*S28)+(Q28+R28)/G28)+V28)</f>
        <v>25.705075332740815</v>
      </c>
      <c r="X28" s="18">
        <f t="shared" ref="X28" si="28">IF(O28&gt;0,O28,((P28*2.2046*S28)+(Q28+R28+T28)/G28)+V28)</f>
        <v>25.833547373961007</v>
      </c>
      <c r="Y28" s="21">
        <f t="shared" si="26"/>
        <v>482480.92953543342</v>
      </c>
      <c r="Z28" s="32">
        <v>42389</v>
      </c>
      <c r="AA28" s="37">
        <v>27</v>
      </c>
      <c r="AB28" s="37" t="s">
        <v>827</v>
      </c>
    </row>
    <row r="29" spans="1:28" s="12" customFormat="1" ht="15.75" thickBot="1" x14ac:dyDescent="0.3">
      <c r="A29" s="23"/>
      <c r="B29" s="41"/>
      <c r="C29" s="4"/>
      <c r="D29" s="4"/>
      <c r="E29" s="4"/>
      <c r="F29" s="42"/>
      <c r="G29" s="42"/>
      <c r="H29" s="42"/>
      <c r="I29" s="6"/>
      <c r="J29" s="4"/>
      <c r="K29" s="7"/>
      <c r="L29" s="7"/>
      <c r="M29" s="4"/>
      <c r="N29" s="4"/>
      <c r="O29" s="8"/>
      <c r="P29" s="9"/>
      <c r="Q29" s="8"/>
      <c r="R29" s="8"/>
      <c r="S29" s="8"/>
      <c r="T29" s="8"/>
      <c r="U29" s="8"/>
      <c r="V29" s="8"/>
      <c r="W29" s="8"/>
      <c r="X29" s="8"/>
      <c r="Y29" s="8"/>
      <c r="Z29" s="43"/>
      <c r="AA29" s="2"/>
      <c r="AB29" s="2"/>
    </row>
    <row r="30" spans="1:28" s="12" customFormat="1" x14ac:dyDescent="0.25">
      <c r="A30" s="44"/>
      <c r="B30" s="14" t="s">
        <v>25</v>
      </c>
      <c r="C30" s="25" t="s">
        <v>72</v>
      </c>
      <c r="D30" s="25" t="s">
        <v>886</v>
      </c>
      <c r="E30" s="14" t="s">
        <v>42</v>
      </c>
      <c r="F30" s="15">
        <v>19307.939999999999</v>
      </c>
      <c r="G30" s="15">
        <v>19246.11</v>
      </c>
      <c r="H30" s="27">
        <f t="shared" ref="H30:H36" si="29">G30-F30</f>
        <v>-61.829999999998108</v>
      </c>
      <c r="I30" s="16" t="s">
        <v>911</v>
      </c>
      <c r="J30" s="14"/>
      <c r="K30" s="17"/>
      <c r="L30" s="17">
        <v>42379</v>
      </c>
      <c r="M30" s="25" t="s">
        <v>36</v>
      </c>
      <c r="N30" s="14"/>
      <c r="O30" s="18">
        <v>25.5</v>
      </c>
      <c r="P30" s="19"/>
      <c r="Q30" s="18"/>
      <c r="R30" s="20"/>
      <c r="S30" s="20"/>
      <c r="T30" s="20"/>
      <c r="U30" s="18"/>
      <c r="V30" s="18"/>
      <c r="W30" s="18">
        <f>IF(O30&gt;0,O30,((P30*2.2046*S30)+(Q30+R30)/G30)+V30)</f>
        <v>25.5</v>
      </c>
      <c r="X30" s="18">
        <f>IF(O30&gt;0,O30,((P30*2.2046*S30)+(Q30+R30+T30)/G30)+V30)</f>
        <v>25.5</v>
      </c>
      <c r="Y30" s="21">
        <f t="shared" ref="Y30:Y42" si="30">X30*F30</f>
        <v>492352.47</v>
      </c>
      <c r="Z30" s="32">
        <v>42394</v>
      </c>
      <c r="AA30" s="2"/>
      <c r="AB30" s="2"/>
    </row>
    <row r="31" spans="1:28" s="12" customFormat="1" x14ac:dyDescent="0.25">
      <c r="A31" s="45"/>
      <c r="B31" s="14" t="s">
        <v>32</v>
      </c>
      <c r="C31" s="14" t="s">
        <v>33</v>
      </c>
      <c r="D31" s="25" t="s">
        <v>34</v>
      </c>
      <c r="E31" s="14">
        <v>250</v>
      </c>
      <c r="F31" s="26">
        <v>27780</v>
      </c>
      <c r="G31" s="27">
        <v>22240</v>
      </c>
      <c r="H31" s="27">
        <f t="shared" si="29"/>
        <v>-5540</v>
      </c>
      <c r="I31" s="25" t="s">
        <v>99</v>
      </c>
      <c r="J31" s="14"/>
      <c r="K31" s="17"/>
      <c r="L31" s="17">
        <v>42379</v>
      </c>
      <c r="M31" s="25" t="s">
        <v>36</v>
      </c>
      <c r="N31" s="14"/>
      <c r="O31" s="18">
        <v>23.5</v>
      </c>
      <c r="P31" s="19"/>
      <c r="Q31" s="29">
        <f>16500</f>
        <v>16500</v>
      </c>
      <c r="R31" s="18">
        <f>59.25*E31</f>
        <v>14812.5</v>
      </c>
      <c r="S31" s="30">
        <f>-35*E31</f>
        <v>-8750</v>
      </c>
      <c r="T31" s="101">
        <f>W31*F31*0.0045</f>
        <v>3803.3758509442446</v>
      </c>
      <c r="U31" s="18">
        <f>E31*5</f>
        <v>1250</v>
      </c>
      <c r="V31" s="14"/>
      <c r="W31" s="18">
        <f>((O31*F31)+Q31+R31+S31+U31)/G31</f>
        <v>30.424572841726619</v>
      </c>
      <c r="X31" s="18">
        <f>((O31*F31)+Q31+R31+S31+T31+U31)/G31</f>
        <v>30.595587942938138</v>
      </c>
      <c r="Y31" s="21">
        <f t="shared" si="30"/>
        <v>849945.43305482145</v>
      </c>
      <c r="Z31" s="32">
        <v>42394</v>
      </c>
      <c r="AA31" s="2">
        <v>33</v>
      </c>
      <c r="AB31" s="2"/>
    </row>
    <row r="32" spans="1:28" s="12" customFormat="1" x14ac:dyDescent="0.25">
      <c r="A32" s="45"/>
      <c r="B32" s="24" t="s">
        <v>32</v>
      </c>
      <c r="C32" s="14" t="s">
        <v>33</v>
      </c>
      <c r="D32" s="25" t="s">
        <v>34</v>
      </c>
      <c r="E32" s="14">
        <v>249</v>
      </c>
      <c r="F32" s="26">
        <v>24935</v>
      </c>
      <c r="G32" s="27">
        <f>11750+7780</f>
        <v>19530</v>
      </c>
      <c r="H32" s="27">
        <f t="shared" si="29"/>
        <v>-5405</v>
      </c>
      <c r="I32" s="25" t="s">
        <v>225</v>
      </c>
      <c r="J32" s="14"/>
      <c r="K32" s="17"/>
      <c r="L32" s="17">
        <v>42380</v>
      </c>
      <c r="M32" s="25" t="s">
        <v>39</v>
      </c>
      <c r="N32" s="14"/>
      <c r="O32" s="18">
        <v>23.5</v>
      </c>
      <c r="P32" s="19"/>
      <c r="Q32" s="29">
        <v>16500</v>
      </c>
      <c r="R32" s="18">
        <f>59.25*E32</f>
        <v>14753.25</v>
      </c>
      <c r="S32" s="30">
        <f t="shared" ref="S32" si="31">-35*E32</f>
        <v>-8715</v>
      </c>
      <c r="T32" s="101">
        <f>W32*F32*0.0045</f>
        <v>3503.2856281682029</v>
      </c>
      <c r="U32" s="18">
        <f>E32*5</f>
        <v>1245</v>
      </c>
      <c r="V32" s="14"/>
      <c r="W32" s="18">
        <f>((O32*F32)+Q32+R32+S32+U32)/G32</f>
        <v>31.221492575524834</v>
      </c>
      <c r="X32" s="18">
        <f>((O32*F32)+Q32+R32+S32+T32+U32)/G32</f>
        <v>31.400872279988128</v>
      </c>
      <c r="Y32" s="21">
        <f t="shared" si="30"/>
        <v>782980.75030150393</v>
      </c>
      <c r="Z32" s="32">
        <v>42394</v>
      </c>
      <c r="AA32" s="2">
        <v>33</v>
      </c>
      <c r="AB32" s="2" t="s">
        <v>835</v>
      </c>
    </row>
    <row r="33" spans="1:28" s="12" customFormat="1" x14ac:dyDescent="0.25">
      <c r="A33" s="45"/>
      <c r="B33" s="24" t="s">
        <v>55</v>
      </c>
      <c r="C33" s="25" t="s">
        <v>56</v>
      </c>
      <c r="D33" s="25" t="s">
        <v>57</v>
      </c>
      <c r="E33" s="14" t="s">
        <v>889</v>
      </c>
      <c r="F33" s="26">
        <v>1362</v>
      </c>
      <c r="G33" s="27">
        <v>1362</v>
      </c>
      <c r="H33" s="27">
        <f>G33-F33</f>
        <v>0</v>
      </c>
      <c r="I33" s="94" t="s">
        <v>941</v>
      </c>
      <c r="J33" s="14"/>
      <c r="K33" s="33"/>
      <c r="L33" s="17">
        <v>42380</v>
      </c>
      <c r="M33" s="25" t="s">
        <v>39</v>
      </c>
      <c r="N33" s="14"/>
      <c r="O33" s="18">
        <v>49</v>
      </c>
      <c r="P33" s="19"/>
      <c r="Q33" s="18"/>
      <c r="R33" s="18"/>
      <c r="S33" s="30"/>
      <c r="T33" s="31"/>
      <c r="U33" s="18"/>
      <c r="V33" s="18"/>
      <c r="W33" s="18">
        <f t="shared" ref="W33" si="32">IF(O33&gt;0,O33,((P33*2.2046*S33)+(Q33+R33)/G33)+V33)</f>
        <v>49</v>
      </c>
      <c r="X33" s="18">
        <f t="shared" ref="X33" si="33">IF(O33&gt;0,O33,((P33*2.2046*S33)+(Q33+R33+T33)/G33)+V33)</f>
        <v>49</v>
      </c>
      <c r="Y33" s="21">
        <f t="shared" si="30"/>
        <v>66738</v>
      </c>
      <c r="Z33" s="32">
        <v>42387</v>
      </c>
      <c r="AA33" s="37"/>
      <c r="AB33" s="37"/>
    </row>
    <row r="34" spans="1:28" s="12" customFormat="1" x14ac:dyDescent="0.25">
      <c r="A34" s="45"/>
      <c r="B34" s="24" t="s">
        <v>25</v>
      </c>
      <c r="C34" s="14" t="s">
        <v>40</v>
      </c>
      <c r="D34" s="14" t="s">
        <v>41</v>
      </c>
      <c r="E34" s="14" t="s">
        <v>831</v>
      </c>
      <c r="F34" s="26">
        <f>37894*0.4536</f>
        <v>17188.718400000002</v>
      </c>
      <c r="G34" s="27">
        <f>18951.12-1781.2</f>
        <v>17169.919999999998</v>
      </c>
      <c r="H34" s="27">
        <f>G34-F34</f>
        <v>-18.798400000003312</v>
      </c>
      <c r="I34" s="25" t="s">
        <v>100</v>
      </c>
      <c r="J34" s="93" t="s">
        <v>44</v>
      </c>
      <c r="K34" s="17">
        <v>42381</v>
      </c>
      <c r="L34" s="17">
        <v>42382</v>
      </c>
      <c r="M34" s="25" t="s">
        <v>50</v>
      </c>
      <c r="N34" s="25" t="s">
        <v>101</v>
      </c>
      <c r="O34" s="18"/>
      <c r="P34" s="28">
        <f>0.516+0.1</f>
        <v>0.61599999999999999</v>
      </c>
      <c r="Q34" s="29">
        <f>(18500*G34)/(G34+G35)</f>
        <v>16762.084883895193</v>
      </c>
      <c r="R34" s="18">
        <f>(8965*G34)/(G34+G35)</f>
        <v>8122.8157288713737</v>
      </c>
      <c r="S34" s="30">
        <v>18.297000000000001</v>
      </c>
      <c r="T34" s="101">
        <f t="shared" ref="T34:T36" si="34">W34*F34*0.005</f>
        <v>2268.6763721689181</v>
      </c>
      <c r="V34" s="18">
        <v>0.1</v>
      </c>
      <c r="W34" s="18">
        <f>IF(O34&gt;0,O34,((P34*2.2046*S34)+(Q34+R34)/G34)+V34)</f>
        <v>26.397271970770291</v>
      </c>
      <c r="X34" s="18">
        <f>IF(O34&gt;0,O34,((P34*2.2046*S34)+(Q34+R34+T34)/G34)+V34)</f>
        <v>26.529402835222129</v>
      </c>
      <c r="Y34" s="21">
        <f t="shared" si="30"/>
        <v>456006.43465479481</v>
      </c>
      <c r="Z34" s="32">
        <v>42395</v>
      </c>
      <c r="AA34" s="37">
        <v>28</v>
      </c>
      <c r="AB34" s="37"/>
    </row>
    <row r="35" spans="1:28" s="12" customFormat="1" x14ac:dyDescent="0.25">
      <c r="A35" s="45"/>
      <c r="B35" s="24" t="s">
        <v>66</v>
      </c>
      <c r="C35" s="14" t="s">
        <v>40</v>
      </c>
      <c r="D35" s="25" t="s">
        <v>41</v>
      </c>
      <c r="E35" s="14" t="s">
        <v>832</v>
      </c>
      <c r="F35" s="26">
        <f>3925*0.4536</f>
        <v>1780.38</v>
      </c>
      <c r="G35" s="27">
        <f>893.5+886.7</f>
        <v>1780.2</v>
      </c>
      <c r="H35" s="27">
        <f>G35-F35</f>
        <v>-0.18000000000006366</v>
      </c>
      <c r="I35" s="25"/>
      <c r="J35" s="14"/>
      <c r="K35" s="17">
        <v>42381</v>
      </c>
      <c r="L35" s="17">
        <v>42382</v>
      </c>
      <c r="M35" s="25" t="s">
        <v>50</v>
      </c>
      <c r="N35" s="25"/>
      <c r="O35" s="18"/>
      <c r="P35" s="28">
        <v>0.37</v>
      </c>
      <c r="Q35" s="29">
        <f>(18500*G35)/(G35+G34)</f>
        <v>1737.9151161048057</v>
      </c>
      <c r="R35" s="18">
        <f>(8965*G35)/(G35+G34)</f>
        <v>842.18427112862616</v>
      </c>
      <c r="S35" s="30">
        <v>18.297000000000001</v>
      </c>
      <c r="T35" s="101">
        <f t="shared" si="34"/>
        <v>146.65195413987823</v>
      </c>
      <c r="V35" s="18">
        <v>0.1</v>
      </c>
      <c r="W35" s="18">
        <f>IF(O35&gt;0,O35,((P35*2.2046*S35)+(Q35+R35)/G35)+V35)</f>
        <v>16.474230685570294</v>
      </c>
      <c r="X35" s="18">
        <f>IF(O35&gt;0,O35,((P35*2.2046*S35)+(Q35+R35+T35)/G35)+V35)</f>
        <v>16.556610167729534</v>
      </c>
      <c r="Y35" s="21">
        <f t="shared" si="30"/>
        <v>29477.057610422311</v>
      </c>
      <c r="Z35" s="32">
        <v>42395</v>
      </c>
      <c r="AA35" s="37"/>
      <c r="AB35" s="37"/>
    </row>
    <row r="36" spans="1:28" s="12" customFormat="1" x14ac:dyDescent="0.25">
      <c r="A36" s="45"/>
      <c r="B36" s="24" t="s">
        <v>25</v>
      </c>
      <c r="C36" s="25" t="s">
        <v>26</v>
      </c>
      <c r="D36" s="25" t="s">
        <v>26</v>
      </c>
      <c r="E36" s="14" t="s">
        <v>27</v>
      </c>
      <c r="F36" s="26">
        <f>40742*0.4536</f>
        <v>18480.571199999998</v>
      </c>
      <c r="G36" s="27">
        <v>18430.13</v>
      </c>
      <c r="H36" s="27">
        <f t="shared" si="29"/>
        <v>-50.44119999999748</v>
      </c>
      <c r="I36" s="12" t="s">
        <v>102</v>
      </c>
      <c r="J36" s="93" t="s">
        <v>44</v>
      </c>
      <c r="K36" s="17">
        <v>42380</v>
      </c>
      <c r="L36" s="17">
        <v>42381</v>
      </c>
      <c r="M36" s="25" t="s">
        <v>45</v>
      </c>
      <c r="N36" s="25" t="s">
        <v>103</v>
      </c>
      <c r="O36" s="18"/>
      <c r="P36" s="28">
        <f>0.516+0.1075</f>
        <v>0.62350000000000005</v>
      </c>
      <c r="Q36" s="29">
        <v>18500</v>
      </c>
      <c r="R36" s="18">
        <v>8965</v>
      </c>
      <c r="S36" s="30">
        <v>17.495000000000001</v>
      </c>
      <c r="T36" s="101">
        <f t="shared" si="34"/>
        <v>2369.0513772550203</v>
      </c>
      <c r="V36" s="18">
        <v>0.1</v>
      </c>
      <c r="W36" s="18">
        <f t="shared" ref="W36" si="35">IF(O36&gt;0,O36,((P36*2.2046*S36)+(Q36+R36)/G36)+V36)</f>
        <v>25.638291713137313</v>
      </c>
      <c r="X36" s="18">
        <f t="shared" ref="X36" si="36">IF(O36&gt;0,O36,((P36*2.2046*S36)+(Q36+R36+T36)/G36)+V36)</f>
        <v>25.766834017356274</v>
      </c>
      <c r="Y36" s="21">
        <f t="shared" si="30"/>
        <v>476185.81065633462</v>
      </c>
      <c r="Z36" s="32">
        <v>42375</v>
      </c>
      <c r="AA36" s="37">
        <v>28</v>
      </c>
      <c r="AB36" s="37"/>
    </row>
    <row r="37" spans="1:28" s="12" customFormat="1" x14ac:dyDescent="0.25">
      <c r="A37" s="45"/>
      <c r="B37" s="24" t="s">
        <v>32</v>
      </c>
      <c r="C37" s="14" t="s">
        <v>33</v>
      </c>
      <c r="D37" s="25" t="s">
        <v>87</v>
      </c>
      <c r="E37" s="14">
        <v>200</v>
      </c>
      <c r="F37" s="26">
        <v>22090</v>
      </c>
      <c r="G37" s="27">
        <v>17900</v>
      </c>
      <c r="H37" s="27">
        <f>G37-F37</f>
        <v>-4190</v>
      </c>
      <c r="I37" s="25" t="s">
        <v>833</v>
      </c>
      <c r="J37" s="14"/>
      <c r="K37" s="17"/>
      <c r="L37" s="17">
        <v>42381</v>
      </c>
      <c r="M37" s="25" t="s">
        <v>45</v>
      </c>
      <c r="N37" s="14"/>
      <c r="O37" s="18">
        <v>23.5</v>
      </c>
      <c r="P37" s="19"/>
      <c r="Q37" s="29">
        <v>16500</v>
      </c>
      <c r="R37" s="18">
        <f>59.25*E37</f>
        <v>11850</v>
      </c>
      <c r="S37" s="30">
        <f t="shared" ref="S37:S38" si="37">-35*E37</f>
        <v>-7000</v>
      </c>
      <c r="T37" s="101">
        <f>W37*F37*0.0045</f>
        <v>3006.9457164804467</v>
      </c>
      <c r="U37" s="18">
        <f>E37*5</f>
        <v>1000</v>
      </c>
      <c r="V37" s="14"/>
      <c r="W37" s="18">
        <f>((O37*F37)+Q37+R37+S37+U37)/G37</f>
        <v>30.249441340782123</v>
      </c>
      <c r="X37" s="18">
        <f>((O37*F37)+Q37+R37+S37+T37+U37)/G37</f>
        <v>30.41742713499891</v>
      </c>
      <c r="Y37" s="21">
        <f t="shared" si="30"/>
        <v>671920.96541212592</v>
      </c>
      <c r="Z37" s="32">
        <v>42394</v>
      </c>
      <c r="AA37" s="37">
        <v>33</v>
      </c>
      <c r="AB37" s="37"/>
    </row>
    <row r="38" spans="1:28" s="12" customFormat="1" x14ac:dyDescent="0.25">
      <c r="A38" s="45"/>
      <c r="B38" s="24" t="s">
        <v>32</v>
      </c>
      <c r="C38" s="14" t="s">
        <v>33</v>
      </c>
      <c r="D38" s="25" t="s">
        <v>34</v>
      </c>
      <c r="E38" s="14">
        <v>100</v>
      </c>
      <c r="F38" s="26">
        <v>11820</v>
      </c>
      <c r="G38" s="27">
        <v>9330</v>
      </c>
      <c r="H38" s="27">
        <f>G38-F38</f>
        <v>-2490</v>
      </c>
      <c r="I38" s="25" t="s">
        <v>834</v>
      </c>
      <c r="J38" s="14"/>
      <c r="K38" s="17"/>
      <c r="L38" s="17">
        <v>42381</v>
      </c>
      <c r="M38" s="25" t="s">
        <v>45</v>
      </c>
      <c r="N38" s="14"/>
      <c r="O38" s="18">
        <v>23.5</v>
      </c>
      <c r="P38" s="19"/>
      <c r="Q38" s="29">
        <v>13000</v>
      </c>
      <c r="R38" s="18">
        <f>59.25*E38</f>
        <v>5925</v>
      </c>
      <c r="S38" s="30">
        <f t="shared" si="37"/>
        <v>-3500</v>
      </c>
      <c r="T38" s="101">
        <f>W38*F38*0.0045</f>
        <v>1674.3448070739551</v>
      </c>
      <c r="U38" s="18">
        <f>E38*5</f>
        <v>500</v>
      </c>
      <c r="V38" s="14"/>
      <c r="W38" s="18">
        <f>((O38*F38)+Q38+R38+S38+U38)/G38</f>
        <v>31.478563772775992</v>
      </c>
      <c r="X38" s="18">
        <f>((O38*F38)+Q38+R38+S38+T38+U38)/G38</f>
        <v>31.65802195145487</v>
      </c>
      <c r="Y38" s="21">
        <f t="shared" si="30"/>
        <v>374197.81946619658</v>
      </c>
      <c r="Z38" s="32">
        <v>42394</v>
      </c>
      <c r="AA38" s="37">
        <v>33</v>
      </c>
      <c r="AB38" s="37" t="s">
        <v>843</v>
      </c>
    </row>
    <row r="39" spans="1:28" s="12" customFormat="1" x14ac:dyDescent="0.25">
      <c r="A39" s="45"/>
      <c r="B39" s="24" t="s">
        <v>25</v>
      </c>
      <c r="C39" s="14" t="s">
        <v>40</v>
      </c>
      <c r="D39" s="14" t="s">
        <v>41</v>
      </c>
      <c r="E39" s="14" t="s">
        <v>27</v>
      </c>
      <c r="F39" s="26">
        <f>36906*0.4536</f>
        <v>16740.561600000001</v>
      </c>
      <c r="G39" s="27">
        <f>18350.15-1708</f>
        <v>16642.150000000001</v>
      </c>
      <c r="H39" s="27">
        <f>G39-F39</f>
        <v>-98.411599999999453</v>
      </c>
      <c r="I39" s="25" t="s">
        <v>104</v>
      </c>
      <c r="J39" s="93" t="s">
        <v>49</v>
      </c>
      <c r="K39" s="17">
        <v>42381</v>
      </c>
      <c r="L39" s="17">
        <v>42382</v>
      </c>
      <c r="M39" s="25" t="s">
        <v>50</v>
      </c>
      <c r="N39" s="25" t="s">
        <v>101</v>
      </c>
      <c r="O39" s="18"/>
      <c r="P39" s="28">
        <v>0.61599999999999999</v>
      </c>
      <c r="Q39" s="29">
        <f>(18500*G39)/(G39+G40)</f>
        <v>16778.052223006351</v>
      </c>
      <c r="R39" s="18">
        <f>(8965*G39)/(G39+G40)</f>
        <v>8130.5534150946987</v>
      </c>
      <c r="S39" s="30">
        <v>18.297000000000001</v>
      </c>
      <c r="T39" s="101">
        <f t="shared" ref="T39:T40" si="38">W39*F39*0.005</f>
        <v>2213.4921972980542</v>
      </c>
      <c r="V39" s="18">
        <v>0.1</v>
      </c>
      <c r="W39" s="18">
        <f>IF(O39&gt;0,O39,((P39*2.2046*S39)+(Q39+R39)/G39)+V39)</f>
        <v>26.44465878967948</v>
      </c>
      <c r="X39" s="18">
        <f>IF(O39&gt;0,O39,((P39*2.2046*S39)+(Q39+R39+T39)/G39)+V39)</f>
        <v>26.577663972140762</v>
      </c>
      <c r="Y39" s="21">
        <f t="shared" si="30"/>
        <v>444925.02090972313</v>
      </c>
      <c r="Z39" s="32">
        <v>42395</v>
      </c>
      <c r="AA39" s="37"/>
      <c r="AB39" s="37"/>
    </row>
    <row r="40" spans="1:28" s="12" customFormat="1" x14ac:dyDescent="0.25">
      <c r="A40" s="45"/>
      <c r="B40" s="24" t="s">
        <v>66</v>
      </c>
      <c r="C40" s="14" t="s">
        <v>40</v>
      </c>
      <c r="D40" s="25" t="s">
        <v>41</v>
      </c>
      <c r="E40" s="14" t="s">
        <v>832</v>
      </c>
      <c r="F40" s="26">
        <f>3770*0.4536</f>
        <v>1710.0720000000001</v>
      </c>
      <c r="G40" s="27">
        <f>883.5+824.5</f>
        <v>1708</v>
      </c>
      <c r="H40" s="27">
        <f>G40-F40</f>
        <v>-2.0720000000001164</v>
      </c>
      <c r="I40" s="25"/>
      <c r="J40" s="14"/>
      <c r="K40" s="17">
        <v>42381</v>
      </c>
      <c r="L40" s="17">
        <v>42382</v>
      </c>
      <c r="M40" s="25" t="s">
        <v>50</v>
      </c>
      <c r="N40" s="25"/>
      <c r="O40" s="18"/>
      <c r="P40" s="28">
        <v>0.37</v>
      </c>
      <c r="Q40" s="29">
        <f>(18500*G40)/(G40+G39)</f>
        <v>1721.9477769936484</v>
      </c>
      <c r="R40" s="18">
        <f>(8965*G40)/(G40+G39)</f>
        <v>834.44658490530048</v>
      </c>
      <c r="S40" s="30">
        <v>18.297000000000001</v>
      </c>
      <c r="T40" s="101">
        <f t="shared" si="38"/>
        <v>141.26577744560117</v>
      </c>
      <c r="V40" s="18">
        <v>0.1</v>
      </c>
      <c r="W40" s="18">
        <f>IF(O40&gt;0,O40,((P40*2.2046*S40)+(Q40+R40)/G40)+V40)</f>
        <v>16.52161750447948</v>
      </c>
      <c r="X40" s="18">
        <f>IF(O40&gt;0,O40,((P40*2.2046*S40)+(Q40+R40+T40)/G40)+V40)</f>
        <v>16.604325805091658</v>
      </c>
      <c r="Y40" s="21">
        <f t="shared" si="30"/>
        <v>28394.592638164704</v>
      </c>
      <c r="Z40" s="32">
        <v>42395</v>
      </c>
      <c r="AA40" s="37"/>
      <c r="AB40" s="37"/>
    </row>
    <row r="41" spans="1:28" s="12" customFormat="1" x14ac:dyDescent="0.25">
      <c r="A41" s="45"/>
      <c r="B41" s="24" t="s">
        <v>32</v>
      </c>
      <c r="C41" s="14" t="s">
        <v>68</v>
      </c>
      <c r="D41" s="25" t="s">
        <v>68</v>
      </c>
      <c r="E41" s="14">
        <v>256</v>
      </c>
      <c r="F41" s="26">
        <f>12940+12820</f>
        <v>25760</v>
      </c>
      <c r="G41" s="27">
        <f>10120+10330</f>
        <v>20450</v>
      </c>
      <c r="H41" s="27">
        <f t="shared" ref="H41" si="39">G41-F41</f>
        <v>-5310</v>
      </c>
      <c r="I41" s="25" t="s">
        <v>897</v>
      </c>
      <c r="J41" s="14"/>
      <c r="K41" s="17">
        <v>42381</v>
      </c>
      <c r="L41" s="17">
        <v>42382</v>
      </c>
      <c r="M41" s="25" t="s">
        <v>50</v>
      </c>
      <c r="N41" s="14"/>
      <c r="O41" s="18">
        <v>23.2</v>
      </c>
      <c r="P41" s="19"/>
      <c r="Q41" s="29">
        <v>22000</v>
      </c>
      <c r="R41" s="99">
        <f>98*E41</f>
        <v>25088</v>
      </c>
      <c r="S41" s="30">
        <f>-35*E41</f>
        <v>-8960</v>
      </c>
      <c r="T41" s="31"/>
      <c r="U41" s="18">
        <f>E41*10</f>
        <v>2560</v>
      </c>
      <c r="V41" s="14"/>
      <c r="W41" s="18">
        <f>((O41*F41)+Q41+R41+S41+U41)/G41</f>
        <v>31.213691931540342</v>
      </c>
      <c r="X41" s="18">
        <f>((O41*F41)+Q41+R41+S41+T41+U41)/G41</f>
        <v>31.213691931540342</v>
      </c>
      <c r="Y41" s="21">
        <f t="shared" si="30"/>
        <v>804064.70415647922</v>
      </c>
      <c r="Z41" s="32">
        <v>42382</v>
      </c>
      <c r="AA41" s="37">
        <v>33</v>
      </c>
      <c r="AB41" s="37" t="s">
        <v>905</v>
      </c>
    </row>
    <row r="42" spans="1:28" s="12" customFormat="1" x14ac:dyDescent="0.25">
      <c r="A42" s="45"/>
      <c r="B42" s="24" t="s">
        <v>25</v>
      </c>
      <c r="C42" s="25" t="s">
        <v>72</v>
      </c>
      <c r="D42" s="25" t="s">
        <v>72</v>
      </c>
      <c r="E42" s="14" t="s">
        <v>42</v>
      </c>
      <c r="F42" s="26">
        <f>42562*0.4536</f>
        <v>19306.123200000002</v>
      </c>
      <c r="G42" s="27">
        <v>19027.7</v>
      </c>
      <c r="H42" s="27">
        <f>G42-F42</f>
        <v>-278.42320000000109</v>
      </c>
      <c r="I42" s="12" t="s">
        <v>105</v>
      </c>
      <c r="J42" s="93" t="s">
        <v>837</v>
      </c>
      <c r="K42" s="17">
        <v>42382</v>
      </c>
      <c r="L42" s="17">
        <v>42383</v>
      </c>
      <c r="M42" s="25" t="s">
        <v>65</v>
      </c>
      <c r="N42" s="25" t="s">
        <v>106</v>
      </c>
      <c r="O42" s="18"/>
      <c r="P42" s="28">
        <f>0.5192+0.105</f>
        <v>0.62419999999999998</v>
      </c>
      <c r="Q42" s="29">
        <v>18500</v>
      </c>
      <c r="R42" s="18">
        <v>8965</v>
      </c>
      <c r="S42" s="30">
        <v>17.495000000000001</v>
      </c>
      <c r="T42" s="101">
        <f>W42*F42*0.005</f>
        <v>2472.9685726092066</v>
      </c>
      <c r="V42" s="18">
        <v>0.1</v>
      </c>
      <c r="W42" s="18">
        <f t="shared" ref="W42" si="40">IF(O42&gt;0,O42,((P42*2.2046*S42)+(Q42+R42)/G42)+V42)</f>
        <v>25.618489501913118</v>
      </c>
      <c r="X42" s="18">
        <f t="shared" ref="X42" si="41">IF(O42&gt;0,O42,((P42*2.2046*S42)+(Q42+R42+T42)/G42)+V42)</f>
        <v>25.748456264717301</v>
      </c>
      <c r="Y42" s="21">
        <f t="shared" si="30"/>
        <v>497102.86885644408</v>
      </c>
      <c r="Z42" s="32">
        <v>42375</v>
      </c>
      <c r="AA42" s="37">
        <v>28</v>
      </c>
      <c r="AB42" s="37"/>
    </row>
    <row r="43" spans="1:28" s="12" customFormat="1" x14ac:dyDescent="0.25">
      <c r="A43" s="45"/>
      <c r="B43" s="24" t="s">
        <v>25</v>
      </c>
      <c r="C43" s="25" t="s">
        <v>72</v>
      </c>
      <c r="D43" s="25" t="s">
        <v>72</v>
      </c>
      <c r="E43" s="14" t="s">
        <v>42</v>
      </c>
      <c r="F43" s="26">
        <f>42613*0.4536</f>
        <v>19329.256799999999</v>
      </c>
      <c r="G43" s="27">
        <v>19093.54</v>
      </c>
      <c r="H43" s="27">
        <f>G43-F43</f>
        <v>-235.71679999999833</v>
      </c>
      <c r="I43" s="12" t="s">
        <v>107</v>
      </c>
      <c r="J43" s="93" t="s">
        <v>44</v>
      </c>
      <c r="K43" s="17">
        <v>42381</v>
      </c>
      <c r="L43" s="17">
        <v>42382</v>
      </c>
      <c r="M43" s="25" t="s">
        <v>50</v>
      </c>
      <c r="N43" s="25" t="s">
        <v>106</v>
      </c>
      <c r="O43" s="18"/>
      <c r="P43" s="28">
        <v>0.62419999999999998</v>
      </c>
      <c r="Q43" s="29">
        <v>18500</v>
      </c>
      <c r="R43" s="18">
        <v>8965</v>
      </c>
      <c r="S43" s="30">
        <v>17.495000000000001</v>
      </c>
      <c r="T43" s="101">
        <f t="shared" ref="T43" si="42">W43*F43*0.005</f>
        <v>2475.4507713394419</v>
      </c>
      <c r="V43" s="18">
        <v>0.1</v>
      </c>
      <c r="W43" s="18">
        <f>IF(O43&gt;0,O43,((P43*2.2046*S43)+(Q43+R43)/G43)+V43)</f>
        <v>25.613512169173955</v>
      </c>
      <c r="X43" s="18">
        <f>IF(O43&gt;0,O43,((P43*2.2046*S43)+(Q43+R43+T43)/G43)+V43)</f>
        <v>25.743160771336751</v>
      </c>
      <c r="Y43" s="21">
        <f>X43*F43</f>
        <v>497596.16539285413</v>
      </c>
      <c r="Z43" s="32">
        <v>42375</v>
      </c>
      <c r="AA43" s="37">
        <v>28</v>
      </c>
      <c r="AB43" s="37"/>
    </row>
    <row r="44" spans="1:28" s="12" customFormat="1" x14ac:dyDescent="0.25">
      <c r="A44" s="45"/>
      <c r="B44" s="24" t="s">
        <v>55</v>
      </c>
      <c r="C44" s="25" t="s">
        <v>56</v>
      </c>
      <c r="D44" s="25" t="s">
        <v>842</v>
      </c>
      <c r="E44" s="14" t="s">
        <v>933</v>
      </c>
      <c r="F44" s="26">
        <v>18670.169999999998</v>
      </c>
      <c r="G44" s="27">
        <v>18670.169999999998</v>
      </c>
      <c r="H44" s="27">
        <f>G44-F44</f>
        <v>0</v>
      </c>
      <c r="I44" s="25" t="s">
        <v>934</v>
      </c>
      <c r="J44" s="14"/>
      <c r="K44" s="17"/>
      <c r="L44" s="17">
        <v>42382</v>
      </c>
      <c r="M44" s="25" t="s">
        <v>50</v>
      </c>
      <c r="N44" s="25"/>
      <c r="O44" s="18">
        <v>46.3</v>
      </c>
      <c r="P44" s="28"/>
      <c r="Q44" s="18"/>
      <c r="R44" s="18"/>
      <c r="S44" s="30"/>
      <c r="T44" s="31"/>
      <c r="V44" s="18"/>
      <c r="W44" s="18">
        <f>IF(O44&gt;0,O44,((P44*2.2046*S44)+(Q44+R44)/G44)+V44)</f>
        <v>46.3</v>
      </c>
      <c r="X44" s="18">
        <f>IF(O44&gt;0,O44,((P44*2.2046*S44)+(Q44+R44+T44)/G44)+V44)</f>
        <v>46.3</v>
      </c>
      <c r="Y44" s="21">
        <f>X44*F44</f>
        <v>864428.87099999981</v>
      </c>
      <c r="Z44" s="32">
        <v>42396</v>
      </c>
      <c r="AA44" s="37"/>
      <c r="AB44" s="37"/>
    </row>
    <row r="45" spans="1:28" s="12" customFormat="1" x14ac:dyDescent="0.25">
      <c r="A45" s="45"/>
      <c r="B45" s="24" t="s">
        <v>32</v>
      </c>
      <c r="C45" s="14" t="s">
        <v>33</v>
      </c>
      <c r="D45" s="25" t="s">
        <v>34</v>
      </c>
      <c r="E45" s="14">
        <v>200</v>
      </c>
      <c r="F45" s="26">
        <v>21620</v>
      </c>
      <c r="G45" s="27">
        <f>16340+800</f>
        <v>17140</v>
      </c>
      <c r="H45" s="27">
        <f t="shared" ref="H45:H58" si="43">G45-F45</f>
        <v>-4480</v>
      </c>
      <c r="I45" s="12" t="s">
        <v>904</v>
      </c>
      <c r="J45" s="14"/>
      <c r="K45" s="17"/>
      <c r="L45" s="17">
        <v>42383</v>
      </c>
      <c r="M45" s="25" t="s">
        <v>65</v>
      </c>
      <c r="N45" s="14"/>
      <c r="O45" s="18">
        <v>23.5</v>
      </c>
      <c r="P45" s="19"/>
      <c r="Q45" s="29">
        <v>16500</v>
      </c>
      <c r="R45" s="18">
        <f t="shared" ref="R45:R46" si="44">59.25*E45</f>
        <v>11850</v>
      </c>
      <c r="S45" s="30">
        <f t="shared" ref="S45:S46" si="45">-35*E45</f>
        <v>-7000</v>
      </c>
      <c r="T45" s="101">
        <f t="shared" ref="T45:T46" si="46">W45*F45*0.0045</f>
        <v>3010.7678996499417</v>
      </c>
      <c r="U45" s="18">
        <f t="shared" ref="U45:U46" si="47">E45*5</f>
        <v>1000</v>
      </c>
      <c r="V45" s="14"/>
      <c r="W45" s="18">
        <f t="shared" ref="W45:W46" si="48">((O45*F45)+Q45+R45+S45+U45)/G45</f>
        <v>30.946324387397901</v>
      </c>
      <c r="X45" s="18">
        <f t="shared" ref="X45:X46" si="49">((O45*F45)+Q45+R45+S45+T45+U45)/G45</f>
        <v>31.12198179111143</v>
      </c>
      <c r="Y45" s="21">
        <f t="shared" ref="Y45:Y57" si="50">X45*F45</f>
        <v>672857.24632382917</v>
      </c>
      <c r="Z45" s="32">
        <v>42396</v>
      </c>
      <c r="AA45" s="37"/>
      <c r="AB45" s="37"/>
    </row>
    <row r="46" spans="1:28" s="12" customFormat="1" x14ac:dyDescent="0.25">
      <c r="A46" s="45"/>
      <c r="B46" s="24" t="s">
        <v>32</v>
      </c>
      <c r="C46" s="14" t="s">
        <v>33</v>
      </c>
      <c r="D46" s="25" t="s">
        <v>87</v>
      </c>
      <c r="E46" s="14">
        <v>130</v>
      </c>
      <c r="F46" s="26">
        <v>13140</v>
      </c>
      <c r="G46" s="27">
        <f>11240-800</f>
        <v>10440</v>
      </c>
      <c r="H46" s="27">
        <f t="shared" si="43"/>
        <v>-2700</v>
      </c>
      <c r="I46" s="12" t="s">
        <v>903</v>
      </c>
      <c r="J46" s="14"/>
      <c r="K46" s="17"/>
      <c r="L46" s="17">
        <v>42383</v>
      </c>
      <c r="M46" s="25" t="s">
        <v>65</v>
      </c>
      <c r="N46" s="14"/>
      <c r="O46" s="18">
        <v>23.5</v>
      </c>
      <c r="P46" s="19"/>
      <c r="Q46" s="29">
        <v>13000</v>
      </c>
      <c r="R46" s="18">
        <f t="shared" si="44"/>
        <v>7702.5</v>
      </c>
      <c r="S46" s="30">
        <f t="shared" si="45"/>
        <v>-4550</v>
      </c>
      <c r="T46" s="101">
        <f t="shared" si="46"/>
        <v>1844.0885560344825</v>
      </c>
      <c r="U46" s="18">
        <f t="shared" si="47"/>
        <v>650</v>
      </c>
      <c r="V46" s="14"/>
      <c r="W46" s="18">
        <f t="shared" si="48"/>
        <v>31.187021072796934</v>
      </c>
      <c r="X46" s="18">
        <f t="shared" si="49"/>
        <v>31.363657907666138</v>
      </c>
      <c r="Y46" s="21">
        <f t="shared" si="50"/>
        <v>412118.46490673308</v>
      </c>
      <c r="Z46" s="32">
        <v>42396</v>
      </c>
      <c r="AA46" s="37"/>
      <c r="AB46" s="37" t="s">
        <v>929</v>
      </c>
    </row>
    <row r="47" spans="1:28" s="12" customFormat="1" x14ac:dyDescent="0.25">
      <c r="A47" s="45"/>
      <c r="B47" s="24" t="s">
        <v>942</v>
      </c>
      <c r="C47" s="25" t="s">
        <v>943</v>
      </c>
      <c r="D47" s="25" t="s">
        <v>57</v>
      </c>
      <c r="E47" s="14" t="s">
        <v>944</v>
      </c>
      <c r="F47" s="26">
        <v>150.1</v>
      </c>
      <c r="G47" s="27">
        <v>150.1</v>
      </c>
      <c r="H47" s="27">
        <f t="shared" si="43"/>
        <v>0</v>
      </c>
      <c r="I47" s="92" t="s">
        <v>945</v>
      </c>
      <c r="J47" s="14"/>
      <c r="K47" s="17"/>
      <c r="L47" s="17">
        <v>42384</v>
      </c>
      <c r="M47" s="25" t="s">
        <v>84</v>
      </c>
      <c r="N47" s="14"/>
      <c r="O47" s="18">
        <v>175</v>
      </c>
      <c r="P47" s="19"/>
      <c r="Q47" s="18"/>
      <c r="R47" s="18"/>
      <c r="S47" s="30"/>
      <c r="T47" s="31"/>
      <c r="U47" s="18"/>
      <c r="V47" s="18"/>
      <c r="W47" s="18">
        <f>IF(O47&gt;0,O47,((P47*2.2046*S47)+(Q47+R47)/G47)+V47)</f>
        <v>175</v>
      </c>
      <c r="X47" s="18">
        <f>IF(O47&gt;0,O47,((P47*2.2046*S47)+(Q47+R47+T47)/G47)+V47)</f>
        <v>175</v>
      </c>
      <c r="Y47" s="21">
        <f t="shared" si="50"/>
        <v>26267.5</v>
      </c>
      <c r="Z47" s="32">
        <v>42391</v>
      </c>
      <c r="AA47" s="37"/>
      <c r="AB47" s="37"/>
    </row>
    <row r="48" spans="1:28" s="12" customFormat="1" x14ac:dyDescent="0.25">
      <c r="A48" s="45"/>
      <c r="B48" s="24" t="s">
        <v>25</v>
      </c>
      <c r="C48" s="25" t="s">
        <v>40</v>
      </c>
      <c r="D48" s="25" t="s">
        <v>98</v>
      </c>
      <c r="E48" s="14" t="s">
        <v>831</v>
      </c>
      <c r="F48" s="26">
        <v>18528.98</v>
      </c>
      <c r="G48" s="27">
        <v>18440.59</v>
      </c>
      <c r="H48" s="27">
        <f t="shared" si="43"/>
        <v>-88.389999999999418</v>
      </c>
      <c r="I48" s="12" t="s">
        <v>965</v>
      </c>
      <c r="J48" s="14"/>
      <c r="K48" s="17"/>
      <c r="L48" s="17">
        <v>42384</v>
      </c>
      <c r="M48" s="25" t="s">
        <v>84</v>
      </c>
      <c r="N48" s="14"/>
      <c r="O48" s="18">
        <v>25.9</v>
      </c>
      <c r="P48" s="19"/>
      <c r="Q48" s="18"/>
      <c r="R48" s="18"/>
      <c r="S48" s="30"/>
      <c r="T48" s="31"/>
      <c r="U48" s="18"/>
      <c r="V48" s="18"/>
      <c r="W48" s="18">
        <f>IF(O48&gt;0,O48,((P48*2.2046*S48)+(Q48+R48)/G48)+V48)</f>
        <v>25.9</v>
      </c>
      <c r="X48" s="18">
        <f>IF(O48&gt;0,O48,((P48*2.2046*S48)+(Q48+R48+T48)/G48)+V48)</f>
        <v>25.9</v>
      </c>
      <c r="Y48" s="21">
        <f t="shared" ref="Y48" si="51">X48*F48</f>
        <v>479900.58199999994</v>
      </c>
      <c r="Z48" s="32">
        <v>42391</v>
      </c>
      <c r="AA48" s="37">
        <v>28.5</v>
      </c>
      <c r="AB48" s="37"/>
    </row>
    <row r="49" spans="1:28" s="12" customFormat="1" x14ac:dyDescent="0.25">
      <c r="A49" s="45"/>
      <c r="B49" s="24" t="s">
        <v>25</v>
      </c>
      <c r="C49" s="25" t="s">
        <v>72</v>
      </c>
      <c r="D49" s="25" t="s">
        <v>72</v>
      </c>
      <c r="E49" s="14" t="s">
        <v>42</v>
      </c>
      <c r="F49" s="26">
        <f>42260*0.4536</f>
        <v>19169.135999999999</v>
      </c>
      <c r="G49" s="27">
        <v>18912.900000000001</v>
      </c>
      <c r="H49" s="27">
        <f t="shared" si="43"/>
        <v>-256.23599999999715</v>
      </c>
      <c r="I49" s="12" t="s">
        <v>108</v>
      </c>
      <c r="J49" s="93" t="s">
        <v>29</v>
      </c>
      <c r="K49" s="17">
        <v>42383</v>
      </c>
      <c r="L49" s="17">
        <v>42384</v>
      </c>
      <c r="M49" s="25" t="s">
        <v>84</v>
      </c>
      <c r="N49" s="25" t="s">
        <v>109</v>
      </c>
      <c r="O49" s="18"/>
      <c r="P49" s="28">
        <f>0.5408+0.105</f>
        <v>0.64579999999999993</v>
      </c>
      <c r="Q49" s="29">
        <v>18500</v>
      </c>
      <c r="R49" s="18">
        <v>8965</v>
      </c>
      <c r="S49" s="30">
        <v>17.495000000000001</v>
      </c>
      <c r="T49" s="101">
        <f t="shared" ref="T49:T51" si="52">W49*F49*0.005</f>
        <v>2536.1103995170897</v>
      </c>
      <c r="V49" s="18">
        <v>0.1</v>
      </c>
      <c r="W49" s="18">
        <f>IF(O49&gt;0,O49,((P49*2.2046*S49)+(Q49+R49)/G49)+V49)</f>
        <v>26.46035167695706</v>
      </c>
      <c r="X49" s="18">
        <f>IF(O49&gt;0,O49,((P49*2.2046*S49)+(Q49+R49+T49)/G49)+V49)</f>
        <v>26.594445887761175</v>
      </c>
      <c r="Y49" s="21">
        <f t="shared" si="50"/>
        <v>509792.55006713467</v>
      </c>
      <c r="Z49" s="32">
        <v>42375</v>
      </c>
      <c r="AA49" s="2">
        <v>28.5</v>
      </c>
      <c r="AB49" s="2"/>
    </row>
    <row r="50" spans="1:28" s="12" customFormat="1" x14ac:dyDescent="0.25">
      <c r="A50" s="45"/>
      <c r="B50" s="24" t="s">
        <v>25</v>
      </c>
      <c r="C50" s="25" t="s">
        <v>72</v>
      </c>
      <c r="D50" s="25" t="s">
        <v>72</v>
      </c>
      <c r="E50" s="14" t="s">
        <v>42</v>
      </c>
      <c r="F50" s="26">
        <f>42708*0.4536</f>
        <v>19372.3488</v>
      </c>
      <c r="G50" s="27">
        <v>19238.79</v>
      </c>
      <c r="H50" s="27">
        <f t="shared" si="43"/>
        <v>-133.55879999999888</v>
      </c>
      <c r="I50" s="12" t="s">
        <v>110</v>
      </c>
      <c r="J50" s="93" t="s">
        <v>74</v>
      </c>
      <c r="K50" s="17">
        <v>42383</v>
      </c>
      <c r="L50" s="17">
        <v>42385</v>
      </c>
      <c r="M50" s="25" t="s">
        <v>30</v>
      </c>
      <c r="N50" s="25" t="s">
        <v>109</v>
      </c>
      <c r="O50" s="18"/>
      <c r="P50" s="28">
        <v>0.64580000000000004</v>
      </c>
      <c r="Q50" s="29">
        <v>18500</v>
      </c>
      <c r="R50" s="18">
        <v>8965</v>
      </c>
      <c r="S50" s="30">
        <v>17.495000000000001</v>
      </c>
      <c r="T50" s="101">
        <f t="shared" si="52"/>
        <v>2560.6131230301335</v>
      </c>
      <c r="V50" s="18">
        <v>0.1</v>
      </c>
      <c r="W50" s="18">
        <f>IF(O50&gt;0,O50,((P50*2.2046*S50)+(Q50+R50)/G50)+V50)</f>
        <v>26.435752829622121</v>
      </c>
      <c r="X50" s="18">
        <f>IF(O50&gt;0,O50,((P50*2.2046*S50)+(Q50+R50+T50)/G50)+V50)</f>
        <v>26.568849200185454</v>
      </c>
      <c r="Y50" s="21">
        <f t="shared" si="50"/>
        <v>514701.01392059366</v>
      </c>
      <c r="Z50" s="32">
        <v>42375</v>
      </c>
      <c r="AA50" s="2">
        <v>28.5</v>
      </c>
      <c r="AB50" s="2"/>
    </row>
    <row r="51" spans="1:28" s="12" customFormat="1" x14ac:dyDescent="0.25">
      <c r="A51" s="45"/>
      <c r="B51" s="24" t="s">
        <v>55</v>
      </c>
      <c r="C51" s="25" t="s">
        <v>56</v>
      </c>
      <c r="D51" s="25" t="s">
        <v>111</v>
      </c>
      <c r="E51" s="14" t="s">
        <v>898</v>
      </c>
      <c r="F51" s="26">
        <f>40800*0.4536</f>
        <v>18506.88</v>
      </c>
      <c r="G51" s="27">
        <v>18506.88</v>
      </c>
      <c r="H51" s="27">
        <f t="shared" si="43"/>
        <v>0</v>
      </c>
      <c r="I51" s="12">
        <v>7712</v>
      </c>
      <c r="J51" s="93" t="s">
        <v>74</v>
      </c>
      <c r="K51" s="17">
        <v>42383</v>
      </c>
      <c r="L51" s="17">
        <v>42384</v>
      </c>
      <c r="M51" s="25" t="s">
        <v>84</v>
      </c>
      <c r="N51" s="25"/>
      <c r="O51" s="18"/>
      <c r="P51" s="28">
        <v>1.1599999999999999</v>
      </c>
      <c r="Q51" s="29">
        <v>18500</v>
      </c>
      <c r="R51" s="18">
        <v>8965</v>
      </c>
      <c r="S51" s="30">
        <v>18.297000000000001</v>
      </c>
      <c r="T51" s="101">
        <f t="shared" si="52"/>
        <v>4476.4089235016454</v>
      </c>
      <c r="V51" s="18">
        <v>0.1</v>
      </c>
      <c r="W51" s="18">
        <f>IF(O51&gt;0,O51,((P51*2.2046*S51)+(Q51+R51)/G51)+V51)</f>
        <v>48.375619483150537</v>
      </c>
      <c r="X51" s="18">
        <f>IF(O51&gt;0,O51,((P51*2.2046*S51)+(Q51+R51+T51)/G51)+V51)</f>
        <v>48.617497580566287</v>
      </c>
      <c r="Y51" s="21">
        <f t="shared" si="50"/>
        <v>899758.19362383068</v>
      </c>
      <c r="Z51" s="32">
        <v>42398</v>
      </c>
      <c r="AA51" s="2">
        <v>52</v>
      </c>
      <c r="AB51" s="2"/>
    </row>
    <row r="52" spans="1:28" s="12" customFormat="1" x14ac:dyDescent="0.25">
      <c r="A52" s="45"/>
      <c r="B52" s="24" t="s">
        <v>32</v>
      </c>
      <c r="C52" s="14" t="s">
        <v>33</v>
      </c>
      <c r="D52" s="25" t="s">
        <v>38</v>
      </c>
      <c r="E52" s="14">
        <v>200</v>
      </c>
      <c r="F52" s="26">
        <v>24860</v>
      </c>
      <c r="G52" s="27">
        <f>17680+2150</f>
        <v>19830</v>
      </c>
      <c r="H52" s="27">
        <f t="shared" si="43"/>
        <v>-5030</v>
      </c>
      <c r="I52" s="12" t="s">
        <v>909</v>
      </c>
      <c r="J52" s="14"/>
      <c r="K52" s="17"/>
      <c r="L52" s="17">
        <v>42384</v>
      </c>
      <c r="M52" s="25" t="s">
        <v>84</v>
      </c>
      <c r="N52" s="14"/>
      <c r="O52" s="18">
        <v>23.5</v>
      </c>
      <c r="P52" s="19"/>
      <c r="Q52" s="29">
        <v>16500</v>
      </c>
      <c r="R52" s="18">
        <f>59.25*E52</f>
        <v>11850</v>
      </c>
      <c r="S52" s="30">
        <f>-35*E52</f>
        <v>-7000</v>
      </c>
      <c r="T52" s="101">
        <f>W52*F52*0.0045</f>
        <v>3421.8793343419061</v>
      </c>
      <c r="U52" s="18">
        <f>E52*5</f>
        <v>1000</v>
      </c>
      <c r="V52" s="14"/>
      <c r="W52" s="18">
        <f>((O52*F52)+Q52+R52+S52+U52)/G52</f>
        <v>30.587997982854262</v>
      </c>
      <c r="X52" s="18">
        <f>((O52*F52)+Q52+R52+S52+T52+U52)/G52</f>
        <v>30.760558715801405</v>
      </c>
      <c r="Y52" s="21">
        <f t="shared" si="50"/>
        <v>764707.48967482289</v>
      </c>
      <c r="Z52" s="32">
        <v>42397</v>
      </c>
      <c r="AA52" s="2"/>
      <c r="AB52" s="2"/>
    </row>
    <row r="53" spans="1:28" s="12" customFormat="1" x14ac:dyDescent="0.25">
      <c r="A53" s="45"/>
      <c r="B53" s="24" t="s">
        <v>32</v>
      </c>
      <c r="C53" s="14" t="s">
        <v>33</v>
      </c>
      <c r="D53" s="25" t="s">
        <v>34</v>
      </c>
      <c r="E53" s="14">
        <v>130</v>
      </c>
      <c r="F53" s="26">
        <v>13550</v>
      </c>
      <c r="G53" s="27">
        <f>12920-2150</f>
        <v>10770</v>
      </c>
      <c r="H53" s="27">
        <f t="shared" si="43"/>
        <v>-2780</v>
      </c>
      <c r="I53" s="12" t="s">
        <v>910</v>
      </c>
      <c r="J53" s="14"/>
      <c r="K53" s="17"/>
      <c r="L53" s="17">
        <v>42384</v>
      </c>
      <c r="M53" s="25" t="s">
        <v>84</v>
      </c>
      <c r="N53" s="14"/>
      <c r="O53" s="18">
        <v>23.5</v>
      </c>
      <c r="P53" s="19"/>
      <c r="Q53" s="29">
        <v>13000</v>
      </c>
      <c r="R53" s="18">
        <f>59.25*E53</f>
        <v>7702.5</v>
      </c>
      <c r="S53" s="30">
        <f>-35*E53</f>
        <v>-4550</v>
      </c>
      <c r="T53" s="101">
        <f>W53*F53*0.0045</f>
        <v>1897.9105675487465</v>
      </c>
      <c r="U53" s="18">
        <f>E53*5</f>
        <v>650</v>
      </c>
      <c r="V53" s="14"/>
      <c r="W53" s="18">
        <f>((O53*F53)+Q53+R53+S53+U53)/G53</f>
        <v>31.126044568245124</v>
      </c>
      <c r="X53" s="18">
        <f>((O53*F53)+Q53+R53+S53+T53+U53)/G53</f>
        <v>31.302266533662838</v>
      </c>
      <c r="Y53" s="21">
        <f t="shared" si="50"/>
        <v>424145.71153113147</v>
      </c>
      <c r="Z53" s="32">
        <v>42397</v>
      </c>
      <c r="AA53" s="2"/>
      <c r="AB53" s="2" t="s">
        <v>930</v>
      </c>
    </row>
    <row r="54" spans="1:28" s="12" customFormat="1" x14ac:dyDescent="0.25">
      <c r="A54" s="45"/>
      <c r="B54" s="24" t="s">
        <v>25</v>
      </c>
      <c r="C54" s="25" t="s">
        <v>26</v>
      </c>
      <c r="D54" s="25" t="s">
        <v>26</v>
      </c>
      <c r="E54" s="14" t="s">
        <v>27</v>
      </c>
      <c r="F54" s="26">
        <f>41344*0.4536</f>
        <v>18753.6384</v>
      </c>
      <c r="G54" s="27">
        <v>18740.13</v>
      </c>
      <c r="H54" s="27">
        <f t="shared" si="43"/>
        <v>-13.508399999998801</v>
      </c>
      <c r="I54" s="12" t="s">
        <v>1193</v>
      </c>
      <c r="J54" s="93" t="s">
        <v>907</v>
      </c>
      <c r="K54" s="17">
        <v>42384</v>
      </c>
      <c r="L54" s="17">
        <v>42386</v>
      </c>
      <c r="M54" s="25" t="s">
        <v>36</v>
      </c>
      <c r="N54" s="25" t="s">
        <v>846</v>
      </c>
      <c r="O54" s="18"/>
      <c r="P54" s="28">
        <f>0.5408+0.1075</f>
        <v>0.64829999999999999</v>
      </c>
      <c r="Q54" s="29">
        <v>18500</v>
      </c>
      <c r="R54" s="18">
        <v>8965</v>
      </c>
      <c r="S54" s="30">
        <v>17.495000000000001</v>
      </c>
      <c r="T54" s="101">
        <f t="shared" ref="T54:T57" si="53">W54*F54*0.005</f>
        <v>2491.4361846558691</v>
      </c>
      <c r="V54" s="18">
        <v>0.1</v>
      </c>
      <c r="W54" s="18">
        <f>IF(O54&gt;0,O54,((P54*2.2046*S54)+(Q54+R54)/G54)+V54)</f>
        <v>26.570163415925403</v>
      </c>
      <c r="X54" s="18">
        <f>IF(O54&gt;0,O54,((P54*2.2046*S54)+(Q54+R54+T54)/G54)+V54)</f>
        <v>26.703109995519881</v>
      </c>
      <c r="Y54" s="21">
        <f t="shared" si="50"/>
        <v>500780.46901140548</v>
      </c>
      <c r="Z54" s="32">
        <v>42375</v>
      </c>
      <c r="AA54" s="2">
        <v>29</v>
      </c>
      <c r="AB54" s="2"/>
    </row>
    <row r="55" spans="1:28" s="12" customFormat="1" x14ac:dyDescent="0.25">
      <c r="A55" s="45"/>
      <c r="B55" s="24" t="s">
        <v>25</v>
      </c>
      <c r="C55" s="25" t="s">
        <v>72</v>
      </c>
      <c r="D55" s="25" t="s">
        <v>72</v>
      </c>
      <c r="E55" s="14" t="s">
        <v>42</v>
      </c>
      <c r="F55" s="26">
        <f>42223*0.4536</f>
        <v>19152.352800000001</v>
      </c>
      <c r="G55" s="27">
        <v>19078.830000000002</v>
      </c>
      <c r="H55" s="27">
        <f t="shared" si="43"/>
        <v>-73.522799999998824</v>
      </c>
      <c r="I55" s="12" t="s">
        <v>112</v>
      </c>
      <c r="J55" s="93" t="s">
        <v>44</v>
      </c>
      <c r="K55" s="17">
        <v>42384</v>
      </c>
      <c r="L55" s="17">
        <v>42385</v>
      </c>
      <c r="M55" s="25" t="s">
        <v>30</v>
      </c>
      <c r="N55" s="25" t="s">
        <v>113</v>
      </c>
      <c r="O55" s="18"/>
      <c r="P55" s="28">
        <f>0.5352+0.105</f>
        <v>0.64019999999999999</v>
      </c>
      <c r="Q55" s="29">
        <v>18500</v>
      </c>
      <c r="R55" s="18">
        <v>8965</v>
      </c>
      <c r="S55" s="30">
        <v>17.898</v>
      </c>
      <c r="T55" s="101">
        <f t="shared" si="53"/>
        <v>2566.4651653058572</v>
      </c>
      <c r="V55" s="18">
        <v>0.1</v>
      </c>
      <c r="W55" s="18">
        <f>IF(O55&gt;0,O55,((P55*2.2046*S55)+(Q55+R55)/G55)+V55)</f>
        <v>26.800520981483352</v>
      </c>
      <c r="X55" s="18">
        <f>IF(O55&gt;0,O55,((P55*2.2046*S55)+(Q55+R55+T55)/G55)+V55)</f>
        <v>26.935039983188688</v>
      </c>
      <c r="Y55" s="21">
        <f t="shared" si="50"/>
        <v>515869.38844013581</v>
      </c>
      <c r="Z55" s="32">
        <v>42375</v>
      </c>
      <c r="AA55" s="2">
        <v>29</v>
      </c>
      <c r="AB55" s="2"/>
    </row>
    <row r="56" spans="1:28" s="12" customFormat="1" x14ac:dyDescent="0.25">
      <c r="A56" s="45"/>
      <c r="B56" s="24" t="s">
        <v>25</v>
      </c>
      <c r="C56" s="25" t="s">
        <v>40</v>
      </c>
      <c r="D56" s="25" t="s">
        <v>41</v>
      </c>
      <c r="E56" s="14" t="s">
        <v>47</v>
      </c>
      <c r="F56" s="26">
        <f>42192*0.4536</f>
        <v>19138.2912</v>
      </c>
      <c r="G56" s="27">
        <v>19150</v>
      </c>
      <c r="H56" s="27">
        <f t="shared" si="43"/>
        <v>11.708800000000338</v>
      </c>
      <c r="I56" s="39" t="s">
        <v>908</v>
      </c>
      <c r="J56" s="93" t="s">
        <v>91</v>
      </c>
      <c r="K56" s="17">
        <v>42384</v>
      </c>
      <c r="L56" s="17">
        <v>42386</v>
      </c>
      <c r="M56" s="25" t="s">
        <v>36</v>
      </c>
      <c r="N56" s="25" t="s">
        <v>825</v>
      </c>
      <c r="O56" s="18"/>
      <c r="P56" s="28">
        <f>0.5408+0.1</f>
        <v>0.64079999999999993</v>
      </c>
      <c r="Q56" s="29">
        <v>18500</v>
      </c>
      <c r="R56" s="18">
        <v>8965</v>
      </c>
      <c r="S56" s="30">
        <v>18.297000000000001</v>
      </c>
      <c r="T56" s="101">
        <f t="shared" si="53"/>
        <v>2620.2728322857479</v>
      </c>
      <c r="V56" s="18">
        <v>0.1</v>
      </c>
      <c r="W56" s="18">
        <f t="shared" ref="W56:W57" si="54">IF(O56&gt;0,O56,((P56*2.2046*S56)+(Q56+R56)/G56)+V56)</f>
        <v>27.382516076312477</v>
      </c>
      <c r="X56" s="18">
        <f t="shared" ref="X56:X57" si="55">IF(O56&gt;0,O56,((P56*2.2046*S56)+(Q56+R56+T56)/G56)+V56)</f>
        <v>27.519344944839148</v>
      </c>
      <c r="Y56" s="21">
        <f t="shared" si="50"/>
        <v>526673.23718757951</v>
      </c>
      <c r="Z56" s="32">
        <v>42397</v>
      </c>
      <c r="AA56" s="37">
        <v>29</v>
      </c>
      <c r="AB56" s="37" t="s">
        <v>912</v>
      </c>
    </row>
    <row r="57" spans="1:28" s="12" customFormat="1" x14ac:dyDescent="0.25">
      <c r="A57" s="45"/>
      <c r="B57" s="24" t="s">
        <v>114</v>
      </c>
      <c r="C57" s="25" t="s">
        <v>115</v>
      </c>
      <c r="D57" s="25" t="s">
        <v>115</v>
      </c>
      <c r="E57" s="14" t="s">
        <v>900</v>
      </c>
      <c r="F57" s="26">
        <f>40746.706*0.4536</f>
        <v>18482.7058416</v>
      </c>
      <c r="G57" s="27">
        <v>18482.71</v>
      </c>
      <c r="H57" s="27">
        <f t="shared" si="43"/>
        <v>4.1583999991416931E-3</v>
      </c>
      <c r="I57" s="12">
        <v>3119993</v>
      </c>
      <c r="J57" s="93" t="s">
        <v>29</v>
      </c>
      <c r="K57" s="17">
        <v>42384</v>
      </c>
      <c r="L57" s="17">
        <v>42387</v>
      </c>
      <c r="M57" s="25" t="s">
        <v>39</v>
      </c>
      <c r="N57" s="25"/>
      <c r="O57" s="18"/>
      <c r="P57" s="28">
        <v>0.47</v>
      </c>
      <c r="Q57" s="29">
        <v>18500</v>
      </c>
      <c r="R57" s="18">
        <v>9865</v>
      </c>
      <c r="S57" s="30">
        <v>18.297000000000001</v>
      </c>
      <c r="T57" s="101">
        <f t="shared" si="53"/>
        <v>1903.1026415473514</v>
      </c>
      <c r="V57" s="18">
        <v>0.1</v>
      </c>
      <c r="W57" s="18">
        <f t="shared" si="54"/>
        <v>20.593333658580857</v>
      </c>
      <c r="X57" s="18">
        <f t="shared" si="55"/>
        <v>20.696300303707428</v>
      </c>
      <c r="Y57" s="21">
        <f t="shared" si="50"/>
        <v>382523.63052284112</v>
      </c>
      <c r="Z57" s="32">
        <v>42398</v>
      </c>
      <c r="AA57" s="37"/>
      <c r="AB57" s="37"/>
    </row>
    <row r="58" spans="1:28" s="12" customFormat="1" x14ac:dyDescent="0.25">
      <c r="A58" s="45"/>
      <c r="B58" s="24" t="s">
        <v>855</v>
      </c>
      <c r="C58" s="25" t="s">
        <v>856</v>
      </c>
      <c r="D58" s="25" t="s">
        <v>857</v>
      </c>
      <c r="E58" s="14" t="s">
        <v>937</v>
      </c>
      <c r="F58" s="26">
        <v>18436.79</v>
      </c>
      <c r="G58" s="27">
        <v>18412.7</v>
      </c>
      <c r="H58" s="27">
        <f t="shared" si="43"/>
        <v>-24.090000000000146</v>
      </c>
      <c r="I58" s="12" t="s">
        <v>938</v>
      </c>
      <c r="J58" s="14"/>
      <c r="K58" s="17"/>
      <c r="L58" s="17">
        <v>42385</v>
      </c>
      <c r="M58" s="25" t="s">
        <v>30</v>
      </c>
      <c r="N58" s="25"/>
      <c r="O58" s="18">
        <v>95</v>
      </c>
      <c r="P58" s="28"/>
      <c r="Q58" s="18"/>
      <c r="R58" s="18"/>
      <c r="S58" s="30"/>
      <c r="T58" s="31"/>
      <c r="V58" s="18"/>
      <c r="W58" s="18">
        <f t="shared" ref="W58" si="56">IF(O58&gt;0,O58,((P58*2.2046*S58)+(Q58+R58)/G58)+V58)</f>
        <v>95</v>
      </c>
      <c r="X58" s="18">
        <f t="shared" ref="X58" si="57">IF(O58&gt;0,O58,((P58*2.2046*S58)+(Q58+R58+T58)/G58)+V58)</f>
        <v>95</v>
      </c>
      <c r="Y58" s="21">
        <f t="shared" ref="Y58" si="58">X58*F58</f>
        <v>1751495.05</v>
      </c>
      <c r="Z58" s="32">
        <v>42405</v>
      </c>
      <c r="AA58" s="37"/>
      <c r="AB58" s="37"/>
    </row>
    <row r="59" spans="1:28" s="12" customFormat="1" ht="15.75" thickBot="1" x14ac:dyDescent="0.3">
      <c r="A59" s="45"/>
      <c r="B59" s="41"/>
      <c r="C59" s="4"/>
      <c r="D59" s="4"/>
      <c r="E59" s="4"/>
      <c r="F59" s="42"/>
      <c r="G59" s="42"/>
      <c r="H59" s="42"/>
      <c r="I59" s="6"/>
      <c r="J59" s="4"/>
      <c r="K59" s="7"/>
      <c r="L59" s="7"/>
      <c r="M59" s="4"/>
      <c r="N59" s="4"/>
      <c r="O59" s="8"/>
      <c r="P59" s="9"/>
      <c r="Q59" s="8"/>
      <c r="R59" s="8"/>
      <c r="S59" s="8"/>
      <c r="T59" s="8"/>
      <c r="U59" s="8"/>
      <c r="V59" s="8"/>
      <c r="W59" s="8"/>
      <c r="X59" s="8"/>
      <c r="Y59" s="8"/>
      <c r="Z59" s="43"/>
      <c r="AA59" s="2"/>
      <c r="AB59" s="2"/>
    </row>
    <row r="60" spans="1:28" s="12" customFormat="1" x14ac:dyDescent="0.25">
      <c r="A60" s="90"/>
      <c r="B60" s="14" t="s">
        <v>32</v>
      </c>
      <c r="C60" s="14" t="s">
        <v>33</v>
      </c>
      <c r="D60" s="25" t="s">
        <v>38</v>
      </c>
      <c r="E60" s="14">
        <v>199</v>
      </c>
      <c r="F60" s="26">
        <v>23965</v>
      </c>
      <c r="G60" s="27">
        <v>19200</v>
      </c>
      <c r="H60" s="27">
        <f t="shared" ref="H60:H67" si="59">G60-F60</f>
        <v>-4765</v>
      </c>
      <c r="I60" s="25" t="s">
        <v>953</v>
      </c>
      <c r="J60" s="14"/>
      <c r="K60" s="17"/>
      <c r="L60" s="17">
        <v>42386</v>
      </c>
      <c r="M60" s="25" t="s">
        <v>36</v>
      </c>
      <c r="N60" s="14"/>
      <c r="O60" s="18">
        <v>23</v>
      </c>
      <c r="P60" s="19"/>
      <c r="Q60" s="29">
        <f>16500</f>
        <v>16500</v>
      </c>
      <c r="R60" s="18">
        <f>59.25*E60</f>
        <v>11790.75</v>
      </c>
      <c r="S60" s="30">
        <f>-35*E60</f>
        <v>-6965</v>
      </c>
      <c r="T60" s="101">
        <f>W60*F60*0.0045</f>
        <v>3221.3214723632809</v>
      </c>
      <c r="U60" s="18">
        <f>E60*5</f>
        <v>995</v>
      </c>
      <c r="V60" s="14"/>
      <c r="W60" s="18">
        <f>((O60*F60)+Q60+R60+S60+U60)/G60</f>
        <v>29.870611979166668</v>
      </c>
      <c r="X60" s="18">
        <f>((O60*F60)+Q60+R60+S60+T60+U60)/G60</f>
        <v>30.03838913918559</v>
      </c>
      <c r="Y60" s="21">
        <f t="shared" ref="Y60:Y73" si="60">X60*F60</f>
        <v>719869.99572058266</v>
      </c>
      <c r="Z60" s="32">
        <v>42401</v>
      </c>
      <c r="AA60" s="2">
        <v>33</v>
      </c>
      <c r="AB60" s="2"/>
    </row>
    <row r="61" spans="1:28" s="12" customFormat="1" x14ac:dyDescent="0.25">
      <c r="A61" s="90"/>
      <c r="B61" s="24" t="s">
        <v>32</v>
      </c>
      <c r="C61" s="14" t="s">
        <v>33</v>
      </c>
      <c r="D61" s="25" t="s">
        <v>38</v>
      </c>
      <c r="E61" s="14">
        <v>251</v>
      </c>
      <c r="F61" s="26">
        <v>29985</v>
      </c>
      <c r="G61" s="27">
        <f>16170+7450</f>
        <v>23620</v>
      </c>
      <c r="H61" s="27">
        <f t="shared" si="59"/>
        <v>-6365</v>
      </c>
      <c r="I61" s="25" t="s">
        <v>954</v>
      </c>
      <c r="J61" s="95" t="s">
        <v>989</v>
      </c>
      <c r="K61" s="17"/>
      <c r="L61" s="17">
        <v>42387</v>
      </c>
      <c r="M61" s="25" t="s">
        <v>39</v>
      </c>
      <c r="N61" s="14"/>
      <c r="O61" s="18">
        <v>23</v>
      </c>
      <c r="P61" s="19"/>
      <c r="Q61" s="29">
        <v>16500</v>
      </c>
      <c r="R61" s="18">
        <f>59.25*E61</f>
        <v>14871.75</v>
      </c>
      <c r="S61" s="30">
        <f t="shared" ref="S61" si="61">-35*E61</f>
        <v>-8785</v>
      </c>
      <c r="T61" s="101">
        <f>W61*F61*0.0045</f>
        <v>4075.9483581445807</v>
      </c>
      <c r="U61" s="18">
        <f>E61*5</f>
        <v>1255</v>
      </c>
      <c r="V61" s="14"/>
      <c r="W61" s="18">
        <f>((O61*F61)+Q61+R61+S61+U61)/G61</f>
        <v>30.207313717188821</v>
      </c>
      <c r="X61" s="18">
        <f>((O61*F61)+Q61+R61+S61+T61+U61)/G61</f>
        <v>30.379877153181397</v>
      </c>
      <c r="Y61" s="21">
        <f t="shared" si="60"/>
        <v>910940.61643814424</v>
      </c>
      <c r="Z61" s="32">
        <v>42401</v>
      </c>
      <c r="AA61" s="2">
        <v>32.5</v>
      </c>
      <c r="AB61" s="2" t="s">
        <v>988</v>
      </c>
    </row>
    <row r="62" spans="1:28" s="12" customFormat="1" x14ac:dyDescent="0.25">
      <c r="A62" s="90"/>
      <c r="B62" s="24" t="s">
        <v>25</v>
      </c>
      <c r="C62" s="14" t="s">
        <v>26</v>
      </c>
      <c r="D62" s="25" t="s">
        <v>931</v>
      </c>
      <c r="E62" s="14" t="s">
        <v>27</v>
      </c>
      <c r="F62" s="26">
        <v>18465.14</v>
      </c>
      <c r="G62" s="27">
        <v>18360.13</v>
      </c>
      <c r="H62" s="27">
        <f t="shared" si="59"/>
        <v>-105.0099999999984</v>
      </c>
      <c r="I62" s="25" t="s">
        <v>967</v>
      </c>
      <c r="J62" s="14"/>
      <c r="K62" s="17"/>
      <c r="L62" s="17">
        <v>42387</v>
      </c>
      <c r="M62" s="25" t="s">
        <v>39</v>
      </c>
      <c r="N62" s="14"/>
      <c r="O62" s="18">
        <v>27.5</v>
      </c>
      <c r="P62" s="19"/>
      <c r="Q62" s="18"/>
      <c r="R62" s="18"/>
      <c r="S62" s="30"/>
      <c r="T62" s="31"/>
      <c r="U62" s="18"/>
      <c r="V62" s="18"/>
      <c r="W62" s="18">
        <f>IF(O62&gt;0,O62,((P62*2.2046*S62)+(Q62+R62)/G62)+V62)</f>
        <v>27.5</v>
      </c>
      <c r="X62" s="18">
        <f>IF(O62&gt;0,O62,((P62*2.2046*S62)+(Q62+R62+T62)/G62)+V62)</f>
        <v>27.5</v>
      </c>
      <c r="Y62" s="21">
        <f t="shared" ref="Y62" si="62">X62*F62</f>
        <v>507791.35</v>
      </c>
      <c r="Z62" s="32">
        <v>42394</v>
      </c>
      <c r="AA62" s="2">
        <v>29</v>
      </c>
      <c r="AB62" s="2"/>
    </row>
    <row r="63" spans="1:28" s="12" customFormat="1" x14ac:dyDescent="0.25">
      <c r="A63" s="90"/>
      <c r="B63" s="24" t="s">
        <v>25</v>
      </c>
      <c r="C63" s="14" t="s">
        <v>40</v>
      </c>
      <c r="D63" s="14" t="s">
        <v>41</v>
      </c>
      <c r="E63" s="14" t="s">
        <v>831</v>
      </c>
      <c r="F63" s="26">
        <f>37149*0.4536</f>
        <v>16850.786400000001</v>
      </c>
      <c r="G63" s="27">
        <f>18597.06-1703.5</f>
        <v>16893.560000000001</v>
      </c>
      <c r="H63" s="27">
        <f t="shared" si="59"/>
        <v>42.773600000000442</v>
      </c>
      <c r="I63" s="25" t="s">
        <v>858</v>
      </c>
      <c r="J63" s="93" t="s">
        <v>29</v>
      </c>
      <c r="K63" s="17">
        <v>42387</v>
      </c>
      <c r="L63" s="17">
        <v>42388</v>
      </c>
      <c r="M63" s="25" t="s">
        <v>45</v>
      </c>
      <c r="N63" s="25" t="s">
        <v>836</v>
      </c>
      <c r="O63" s="18"/>
      <c r="P63" s="28">
        <f>0.545+0.1</f>
        <v>0.64500000000000002</v>
      </c>
      <c r="Q63" s="29">
        <f>(18500*G63)/(G63+G64)</f>
        <v>16805.390744558546</v>
      </c>
      <c r="R63" s="18">
        <f>(11777*G63)/(G63+G64)</f>
        <v>10698.220908036001</v>
      </c>
      <c r="S63" s="30">
        <v>18.536999999999999</v>
      </c>
      <c r="T63" s="101">
        <f t="shared" ref="T63:T64" si="63">W63*F63*0.005</f>
        <v>2366.4448486189081</v>
      </c>
      <c r="V63" s="18">
        <v>0.1</v>
      </c>
      <c r="W63" s="18">
        <f>IF(O63&gt;0,O63,((P63*2.2046*S63)+(Q63+R63)/G63)+V63)</f>
        <v>28.087055315340155</v>
      </c>
      <c r="X63" s="18">
        <f>IF(O63&gt;0,O63,((P63*2.2046*S63)+(Q63+R63+T63)/G63)+V63)</f>
        <v>28.227135017227674</v>
      </c>
      <c r="Y63" s="21">
        <f t="shared" si="60"/>
        <v>475649.4228592639</v>
      </c>
      <c r="Z63" s="32">
        <v>42398</v>
      </c>
      <c r="AA63" s="37">
        <v>29.5</v>
      </c>
      <c r="AB63" s="37"/>
    </row>
    <row r="64" spans="1:28" s="12" customFormat="1" x14ac:dyDescent="0.25">
      <c r="A64" s="90"/>
      <c r="B64" s="24" t="s">
        <v>66</v>
      </c>
      <c r="C64" s="14" t="s">
        <v>40</v>
      </c>
      <c r="D64" s="25" t="s">
        <v>41</v>
      </c>
      <c r="E64" s="14" t="s">
        <v>832</v>
      </c>
      <c r="F64" s="26">
        <f>3766*0.4536</f>
        <v>1708.2575999999999</v>
      </c>
      <c r="G64" s="27">
        <f>863+840.5</f>
        <v>1703.5</v>
      </c>
      <c r="H64" s="27">
        <f>G64-F64</f>
        <v>-4.7575999999999112</v>
      </c>
      <c r="I64" s="25"/>
      <c r="J64" s="14"/>
      <c r="K64" s="17">
        <v>42387</v>
      </c>
      <c r="L64" s="17">
        <v>42388</v>
      </c>
      <c r="M64" s="25" t="s">
        <v>45</v>
      </c>
      <c r="N64" s="25"/>
      <c r="O64" s="18"/>
      <c r="P64" s="28">
        <v>0.37</v>
      </c>
      <c r="Q64" s="29">
        <f>(18500*G64)/(G64+G63)</f>
        <v>1694.6092554414513</v>
      </c>
      <c r="R64" s="18">
        <f>(11777*G64)/(G64+G63)</f>
        <v>1078.7790919639986</v>
      </c>
      <c r="S64" s="30">
        <v>18.536999999999999</v>
      </c>
      <c r="T64" s="101">
        <f t="shared" si="63"/>
        <v>143.90977858096622</v>
      </c>
      <c r="V64" s="18">
        <v>0.1</v>
      </c>
      <c r="W64" s="18">
        <f>IF(O64&gt;0,O64,((P64*2.2046*S64)+(Q64+R64)/G64)+V64)</f>
        <v>16.848721010340153</v>
      </c>
      <c r="X64" s="18">
        <f>IF(O64&gt;0,O64,((P64*2.2046*S64)+(Q64+R64+T64)/G64)+V64)</f>
        <v>16.933199894156395</v>
      </c>
      <c r="Y64" s="21">
        <f t="shared" si="60"/>
        <v>28926.267411511857</v>
      </c>
      <c r="Z64" s="32">
        <v>42398</v>
      </c>
      <c r="AA64" s="37"/>
      <c r="AB64" s="37"/>
    </row>
    <row r="65" spans="1:28" s="12" customFormat="1" x14ac:dyDescent="0.25">
      <c r="A65" s="90"/>
      <c r="B65" s="24" t="s">
        <v>25</v>
      </c>
      <c r="C65" s="14" t="s">
        <v>115</v>
      </c>
      <c r="D65" s="14" t="s">
        <v>115</v>
      </c>
      <c r="E65" s="14" t="s">
        <v>831</v>
      </c>
      <c r="F65" s="26">
        <f>37562.391*0.4536</f>
        <v>17038.300557600003</v>
      </c>
      <c r="G65" s="27">
        <f>19005.18-1989.57</f>
        <v>17015.61</v>
      </c>
      <c r="H65" s="27">
        <f>G65-F65</f>
        <v>-22.690557600002649</v>
      </c>
      <c r="I65" s="25">
        <v>3119990</v>
      </c>
      <c r="J65" s="93" t="s">
        <v>49</v>
      </c>
      <c r="K65" s="17">
        <v>42387</v>
      </c>
      <c r="L65" s="17">
        <v>42388</v>
      </c>
      <c r="M65" s="25" t="s">
        <v>45</v>
      </c>
      <c r="N65" s="25" t="s">
        <v>848</v>
      </c>
      <c r="O65" s="18"/>
      <c r="P65" s="28">
        <f>0.535+0.09</f>
        <v>0.625</v>
      </c>
      <c r="Q65" s="29">
        <f>(18500*G65)/(G65+G66)</f>
        <v>16563.315106723534</v>
      </c>
      <c r="R65" s="18">
        <f>(9937*G65)/(G65+G66)</f>
        <v>8896.73849813577</v>
      </c>
      <c r="S65" s="30">
        <v>18.536999999999999</v>
      </c>
      <c r="T65" s="101">
        <f t="shared" ref="T65:T66" si="64">W65*F65*0.005</f>
        <v>2311.9223301932307</v>
      </c>
      <c r="V65" s="18">
        <v>0.1</v>
      </c>
      <c r="W65" s="18">
        <f>IF(O65&gt;0,O65,((P65*2.2046*S65)+(Q65+R65)/G65)+V65)</f>
        <v>27.137945153362004</v>
      </c>
      <c r="X65" s="18">
        <f>IF(O65&gt;0,O65,((P65*2.2046*S65)+(Q65+R65+T65)/G65)+V65)</f>
        <v>27.273815823305263</v>
      </c>
      <c r="Y65" s="21">
        <f t="shared" ref="Y65:Y66" si="65">X65*F65</f>
        <v>464699.47135010187</v>
      </c>
      <c r="Z65" s="32">
        <v>42395</v>
      </c>
      <c r="AA65" s="37">
        <v>29.5</v>
      </c>
      <c r="AB65" s="37"/>
    </row>
    <row r="66" spans="1:28" s="12" customFormat="1" x14ac:dyDescent="0.25">
      <c r="A66" s="90"/>
      <c r="B66" s="24" t="s">
        <v>828</v>
      </c>
      <c r="C66" s="14" t="s">
        <v>115</v>
      </c>
      <c r="D66" s="25" t="s">
        <v>115</v>
      </c>
      <c r="E66" s="14" t="s">
        <v>948</v>
      </c>
      <c r="F66" s="26">
        <f>4387.511*0.4536</f>
        <v>1990.1749896000001</v>
      </c>
      <c r="G66" s="27">
        <v>1989.57</v>
      </c>
      <c r="H66" s="27">
        <f>G66-F66</f>
        <v>-0.60498960000018087</v>
      </c>
      <c r="I66" s="25"/>
      <c r="J66" s="14"/>
      <c r="K66" s="17">
        <v>42387</v>
      </c>
      <c r="L66" s="17">
        <v>42388</v>
      </c>
      <c r="M66" s="25" t="s">
        <v>45</v>
      </c>
      <c r="N66" s="25"/>
      <c r="O66" s="18"/>
      <c r="P66" s="28">
        <v>1.32</v>
      </c>
      <c r="Q66" s="29">
        <f>(18500*G66)/(G66+G65)</f>
        <v>1936.6848932764647</v>
      </c>
      <c r="R66" s="18">
        <f>(9937*G66)/(G66+G65)</f>
        <v>1040.2615018642286</v>
      </c>
      <c r="S66" s="30">
        <v>18.536999999999999</v>
      </c>
      <c r="T66" s="101">
        <f t="shared" si="64"/>
        <v>552.67439023423196</v>
      </c>
      <c r="V66" s="18">
        <v>0.1</v>
      </c>
      <c r="W66" s="18">
        <f>IF(O66&gt;0,O66,((P66*2.2046*S66)+(Q66+R66)/G66)+V66)</f>
        <v>55.54028094236201</v>
      </c>
      <c r="X66" s="18">
        <f>IF(O66&gt;0,O66,((P66*2.2046*S66)+(Q66+R66+T66)/G66)+V66)</f>
        <v>55.818066790678095</v>
      </c>
      <c r="Y66" s="21">
        <f t="shared" si="65"/>
        <v>111087.72049462989</v>
      </c>
      <c r="Z66" s="32">
        <v>42395</v>
      </c>
      <c r="AA66" s="37"/>
      <c r="AB66" s="37"/>
    </row>
    <row r="67" spans="1:28" s="12" customFormat="1" x14ac:dyDescent="0.25">
      <c r="A67" s="90"/>
      <c r="B67" s="24" t="s">
        <v>25</v>
      </c>
      <c r="C67" s="25" t="s">
        <v>26</v>
      </c>
      <c r="D67" s="25" t="s">
        <v>26</v>
      </c>
      <c r="E67" s="14" t="s">
        <v>27</v>
      </c>
      <c r="F67" s="26">
        <f>41086*0.4536</f>
        <v>18636.6096</v>
      </c>
      <c r="G67" s="27">
        <v>18590.13</v>
      </c>
      <c r="H67" s="27">
        <f t="shared" si="59"/>
        <v>-46.479599999998754</v>
      </c>
      <c r="I67" s="12" t="s">
        <v>859</v>
      </c>
      <c r="J67" s="93" t="s">
        <v>44</v>
      </c>
      <c r="K67" s="17">
        <v>42387</v>
      </c>
      <c r="L67" s="17">
        <v>42388</v>
      </c>
      <c r="M67" s="25" t="s">
        <v>45</v>
      </c>
      <c r="N67" s="25" t="s">
        <v>847</v>
      </c>
      <c r="O67" s="18"/>
      <c r="P67" s="28">
        <f>0.545+0.1075</f>
        <v>0.65250000000000008</v>
      </c>
      <c r="Q67" s="29">
        <v>18500</v>
      </c>
      <c r="R67" s="18">
        <v>9017</v>
      </c>
      <c r="S67" s="30">
        <v>17.82</v>
      </c>
      <c r="T67" s="101">
        <f t="shared" ref="T67" si="66">W67*F67*0.005</f>
        <v>2535.910564967382</v>
      </c>
      <c r="V67" s="18">
        <v>0.1</v>
      </c>
      <c r="W67" s="18">
        <f t="shared" ref="W67" si="67">IF(O67&gt;0,O67,((P67*2.2046*S67)+(Q67+R67)/G67)+V67)</f>
        <v>27.214290789966238</v>
      </c>
      <c r="X67" s="18">
        <f t="shared" ref="X67" si="68">IF(O67&gt;0,O67,((P67*2.2046*S67)+(Q67+R67+T67)/G67)+V67)</f>
        <v>27.350702453842036</v>
      </c>
      <c r="Y67" s="21">
        <f t="shared" si="60"/>
        <v>509724.36391801602</v>
      </c>
      <c r="Z67" s="32">
        <v>42382</v>
      </c>
      <c r="AA67" s="37">
        <v>29</v>
      </c>
      <c r="AB67" s="37"/>
    </row>
    <row r="68" spans="1:28" s="12" customFormat="1" x14ac:dyDescent="0.25">
      <c r="A68" s="90"/>
      <c r="B68" s="24" t="s">
        <v>32</v>
      </c>
      <c r="C68" s="14" t="s">
        <v>33</v>
      </c>
      <c r="D68" s="25" t="s">
        <v>38</v>
      </c>
      <c r="E68" s="14">
        <v>248</v>
      </c>
      <c r="F68" s="26">
        <v>28890</v>
      </c>
      <c r="G68" s="27">
        <f>16070+6720</f>
        <v>22790</v>
      </c>
      <c r="H68" s="27">
        <f>G68-F68</f>
        <v>-6100</v>
      </c>
      <c r="I68" s="12" t="s">
        <v>955</v>
      </c>
      <c r="J68" s="95" t="s">
        <v>990</v>
      </c>
      <c r="K68" s="17"/>
      <c r="L68" s="17">
        <v>42388</v>
      </c>
      <c r="M68" s="25" t="s">
        <v>45</v>
      </c>
      <c r="N68" s="14"/>
      <c r="O68" s="18">
        <v>23</v>
      </c>
      <c r="P68" s="19"/>
      <c r="Q68" s="18">
        <v>16500</v>
      </c>
      <c r="R68" s="18">
        <f>59.25*E68</f>
        <v>14694</v>
      </c>
      <c r="S68" s="30">
        <f t="shared" ref="S68" si="69">-35*E68</f>
        <v>-8680</v>
      </c>
      <c r="T68" s="101">
        <f>W68*F68*0.0045</f>
        <v>3925.9570478279948</v>
      </c>
      <c r="U68" s="18">
        <f>E68*5</f>
        <v>1240</v>
      </c>
      <c r="V68" s="14"/>
      <c r="W68" s="18">
        <f>((O68*F68)+Q68+R68+S68+U68)/G68</f>
        <v>30.198508117595438</v>
      </c>
      <c r="X68" s="18">
        <f>((O68*F68)+Q68+R68+S68+T68+U68)/G68</f>
        <v>30.370774771734446</v>
      </c>
      <c r="Y68" s="21">
        <f t="shared" si="60"/>
        <v>877411.68315540813</v>
      </c>
      <c r="Z68" s="32">
        <v>42401</v>
      </c>
      <c r="AA68" s="37">
        <v>32</v>
      </c>
      <c r="AB68" s="37" t="s">
        <v>994</v>
      </c>
    </row>
    <row r="69" spans="1:28" s="12" customFormat="1" x14ac:dyDescent="0.25">
      <c r="A69" s="90"/>
      <c r="B69" s="24" t="s">
        <v>25</v>
      </c>
      <c r="C69" s="14" t="s">
        <v>40</v>
      </c>
      <c r="D69" s="14" t="s">
        <v>41</v>
      </c>
      <c r="E69" s="14" t="s">
        <v>27</v>
      </c>
      <c r="F69" s="26">
        <f>37715*0.4536</f>
        <v>17107.524000000001</v>
      </c>
      <c r="G69" s="27">
        <f>18824.71-1747</f>
        <v>17077.71</v>
      </c>
      <c r="H69" s="27">
        <f>G69-F69</f>
        <v>-29.814000000002125</v>
      </c>
      <c r="I69" s="25" t="s">
        <v>860</v>
      </c>
      <c r="J69" s="93" t="s">
        <v>44</v>
      </c>
      <c r="K69" s="17">
        <v>42388</v>
      </c>
      <c r="L69" s="17">
        <v>42389</v>
      </c>
      <c r="M69" s="25" t="s">
        <v>50</v>
      </c>
      <c r="N69" s="25" t="s">
        <v>836</v>
      </c>
      <c r="O69" s="18"/>
      <c r="P69" s="28">
        <v>0.64500000000000002</v>
      </c>
      <c r="Q69" s="29">
        <f>(18500*G69)/(G69+G70)</f>
        <v>16783.134242174248</v>
      </c>
      <c r="R69" s="18">
        <f>(9017*G69)/(G69+G70)</f>
        <v>8180.1903492802812</v>
      </c>
      <c r="S69" s="30">
        <v>18.536999999999999</v>
      </c>
      <c r="T69" s="101">
        <f t="shared" ref="T69:T70" si="70">W69*F69*0.005</f>
        <v>2388.2746083928791</v>
      </c>
      <c r="V69" s="18">
        <v>0.1</v>
      </c>
      <c r="W69" s="18">
        <f>IF(O69&gt;0,O69,((P69*2.2046*S69)+(Q69+R69)/G69)+V69)</f>
        <v>27.920751224933301</v>
      </c>
      <c r="X69" s="18">
        <f>IF(O69&gt;0,O69,((P69*2.2046*S69)+(Q69+R69+T69)/G69)+V69)</f>
        <v>28.060598699119996</v>
      </c>
      <c r="Y69" s="21">
        <f t="shared" si="60"/>
        <v>480047.36569956416</v>
      </c>
      <c r="Z69" s="32">
        <v>42398</v>
      </c>
      <c r="AA69" s="37">
        <v>29.5</v>
      </c>
      <c r="AB69" s="37"/>
    </row>
    <row r="70" spans="1:28" s="12" customFormat="1" x14ac:dyDescent="0.25">
      <c r="A70" s="90"/>
      <c r="B70" s="24" t="s">
        <v>66</v>
      </c>
      <c r="C70" s="14" t="s">
        <v>40</v>
      </c>
      <c r="D70" s="25" t="s">
        <v>41</v>
      </c>
      <c r="E70" s="14" t="s">
        <v>832</v>
      </c>
      <c r="F70" s="26">
        <f>3861*0.4536</f>
        <v>1751.3496</v>
      </c>
      <c r="G70" s="27">
        <f>860+887</f>
        <v>1747</v>
      </c>
      <c r="H70" s="27">
        <f>G70-F70</f>
        <v>-4.3496000000000095</v>
      </c>
      <c r="J70" s="14"/>
      <c r="K70" s="17">
        <v>42388</v>
      </c>
      <c r="L70" s="17">
        <v>42389</v>
      </c>
      <c r="M70" s="25" t="s">
        <v>50</v>
      </c>
      <c r="N70" s="25"/>
      <c r="O70" s="18"/>
      <c r="P70" s="28">
        <v>0.37</v>
      </c>
      <c r="Q70" s="29">
        <f>(18500*G70)/(G70+G69)</f>
        <v>1716.8657578257514</v>
      </c>
      <c r="R70" s="18">
        <f>(9017*G70)/(G70+G69)</f>
        <v>836.809650719719</v>
      </c>
      <c r="S70" s="30">
        <v>18.536999999999999</v>
      </c>
      <c r="T70" s="101">
        <f t="shared" si="70"/>
        <v>146.0837209987921</v>
      </c>
      <c r="V70" s="18">
        <v>0.1</v>
      </c>
      <c r="W70" s="18">
        <f>IF(O70&gt;0,O70,((P70*2.2046*S70)+(Q70+R70)/G70)+V70)</f>
        <v>16.682416919933299</v>
      </c>
      <c r="X70" s="18">
        <f>IF(O70&gt;0,O70,((P70*2.2046*S70)+(Q70+R70+T70)/G70)+V70)</f>
        <v>16.766036680092881</v>
      </c>
      <c r="Y70" s="21">
        <f t="shared" si="60"/>
        <v>29363.191633265997</v>
      </c>
      <c r="Z70" s="32">
        <v>42398</v>
      </c>
      <c r="AA70" s="37"/>
      <c r="AB70" s="37"/>
    </row>
    <row r="71" spans="1:28" s="12" customFormat="1" x14ac:dyDescent="0.25">
      <c r="A71" s="90"/>
      <c r="B71" s="24" t="s">
        <v>32</v>
      </c>
      <c r="C71" s="14" t="s">
        <v>68</v>
      </c>
      <c r="D71" s="25" t="s">
        <v>68</v>
      </c>
      <c r="E71" s="14">
        <v>259</v>
      </c>
      <c r="F71" s="26">
        <f>12580+12100</f>
        <v>24680</v>
      </c>
      <c r="G71" s="27">
        <f>9630+9910</f>
        <v>19540</v>
      </c>
      <c r="H71" s="27">
        <f t="shared" ref="H71" si="71">G71-F71</f>
        <v>-5140</v>
      </c>
      <c r="I71" s="25" t="s">
        <v>992</v>
      </c>
      <c r="J71" s="14"/>
      <c r="K71" s="17">
        <v>42388</v>
      </c>
      <c r="L71" s="17">
        <v>42389</v>
      </c>
      <c r="M71" s="25" t="s">
        <v>50</v>
      </c>
      <c r="N71" s="14"/>
      <c r="O71" s="18">
        <v>22.5</v>
      </c>
      <c r="P71" s="19"/>
      <c r="Q71" s="29">
        <f>11200+8705.2</f>
        <v>19905.2</v>
      </c>
      <c r="R71" s="99">
        <f>98*E71</f>
        <v>25382</v>
      </c>
      <c r="S71" s="30">
        <f>-35*E71</f>
        <v>-9065</v>
      </c>
      <c r="T71" s="31"/>
      <c r="U71" s="18">
        <f>E71*10</f>
        <v>2590</v>
      </c>
      <c r="V71" s="14"/>
      <c r="W71" s="18">
        <f>((O71*F71)+Q71+R71+S71+U71)/G71</f>
        <v>30.404923234390992</v>
      </c>
      <c r="X71" s="18">
        <f>((O71*F71)+Q71+R71+S71+T71+U71)/G71</f>
        <v>30.404923234390992</v>
      </c>
      <c r="Y71" s="21">
        <f t="shared" si="60"/>
        <v>750393.50542476971</v>
      </c>
      <c r="Z71" s="32">
        <v>42389</v>
      </c>
      <c r="AA71" s="37">
        <v>32</v>
      </c>
      <c r="AB71" s="37" t="s">
        <v>997</v>
      </c>
    </row>
    <row r="72" spans="1:28" s="12" customFormat="1" x14ac:dyDescent="0.25">
      <c r="A72" s="90"/>
      <c r="B72" s="24" t="s">
        <v>1000</v>
      </c>
      <c r="C72" s="14" t="s">
        <v>1001</v>
      </c>
      <c r="D72" s="25" t="s">
        <v>1002</v>
      </c>
      <c r="E72" s="14" t="s">
        <v>1003</v>
      </c>
      <c r="F72" s="26">
        <v>9525.6</v>
      </c>
      <c r="G72" s="27">
        <v>9525.6</v>
      </c>
      <c r="H72" s="27">
        <f>G72-F72</f>
        <v>0</v>
      </c>
      <c r="I72" s="12" t="s">
        <v>1004</v>
      </c>
      <c r="J72" s="14"/>
      <c r="K72" s="17"/>
      <c r="L72" s="17">
        <v>42389</v>
      </c>
      <c r="M72" s="25" t="s">
        <v>50</v>
      </c>
      <c r="N72" s="14"/>
      <c r="O72" s="18">
        <v>28.5</v>
      </c>
      <c r="P72" s="19"/>
      <c r="Q72" s="18"/>
      <c r="R72" s="18"/>
      <c r="S72" s="30"/>
      <c r="T72" s="31"/>
      <c r="U72" s="18"/>
      <c r="V72" s="18"/>
      <c r="W72" s="18">
        <f>IF(O72&gt;0,O72,((P72*2.2046*S72)+(Q72+R72)/G72)+V72)</f>
        <v>28.5</v>
      </c>
      <c r="X72" s="18">
        <f>IF(O72&gt;0,O72,((P72*2.2046*S72)+(Q72+R72+T72)/G72)+V72)</f>
        <v>28.5</v>
      </c>
      <c r="Y72" s="21">
        <f t="shared" ref="Y72" si="72">X72*F72</f>
        <v>271479.60000000003</v>
      </c>
      <c r="Z72" s="32">
        <v>42390</v>
      </c>
      <c r="AA72" s="37"/>
      <c r="AB72" s="37"/>
    </row>
    <row r="73" spans="1:28" s="12" customFormat="1" x14ac:dyDescent="0.25">
      <c r="A73" s="90"/>
      <c r="B73" s="24" t="s">
        <v>25</v>
      </c>
      <c r="C73" s="25" t="s">
        <v>72</v>
      </c>
      <c r="D73" s="25" t="s">
        <v>72</v>
      </c>
      <c r="E73" s="14" t="s">
        <v>42</v>
      </c>
      <c r="F73" s="26">
        <f>42618*0.4536</f>
        <v>19331.524799999999</v>
      </c>
      <c r="G73" s="27">
        <v>19186.3</v>
      </c>
      <c r="H73" s="27">
        <f>G73-F73</f>
        <v>-145.22479999999996</v>
      </c>
      <c r="I73" s="12" t="s">
        <v>861</v>
      </c>
      <c r="J73" s="93" t="s">
        <v>74</v>
      </c>
      <c r="K73" s="17">
        <v>42389</v>
      </c>
      <c r="L73" s="17">
        <v>42390</v>
      </c>
      <c r="M73" s="25" t="s">
        <v>65</v>
      </c>
      <c r="N73" s="25" t="s">
        <v>849</v>
      </c>
      <c r="O73" s="18"/>
      <c r="P73" s="28">
        <f>0.5638+0.105</f>
        <v>0.66879999999999995</v>
      </c>
      <c r="Q73" s="29">
        <v>18500</v>
      </c>
      <c r="R73" s="18">
        <v>9017</v>
      </c>
      <c r="S73" s="30">
        <v>17.97</v>
      </c>
      <c r="T73" s="101">
        <f>W73*F73*0.005</f>
        <v>2709.2961880801558</v>
      </c>
      <c r="V73" s="18">
        <v>0.1</v>
      </c>
      <c r="W73" s="18">
        <f t="shared" ref="W73" si="73">IF(O73&gt;0,O73,((P73*2.2046*S73)+(Q73+R73)/G73)+V73)</f>
        <v>28.029823990709271</v>
      </c>
      <c r="X73" s="18">
        <f t="shared" ref="X73" si="74">IF(O73&gt;0,O73,((P73*2.2046*S73)+(Q73+R73+T73)/G73)+V73)</f>
        <v>28.171033926344606</v>
      </c>
      <c r="Y73" s="21">
        <f t="shared" si="60"/>
        <v>544589.04098877206</v>
      </c>
      <c r="Z73" s="32">
        <v>42383</v>
      </c>
      <c r="AA73" s="37">
        <v>29.5</v>
      </c>
      <c r="AB73" s="37"/>
    </row>
    <row r="74" spans="1:28" s="12" customFormat="1" x14ac:dyDescent="0.25">
      <c r="A74" s="90"/>
      <c r="B74" s="24" t="s">
        <v>25</v>
      </c>
      <c r="C74" s="25" t="s">
        <v>72</v>
      </c>
      <c r="D74" s="25" t="s">
        <v>72</v>
      </c>
      <c r="E74" s="14" t="s">
        <v>42</v>
      </c>
      <c r="F74" s="26">
        <f>42687*0.4536</f>
        <v>19362.823199999999</v>
      </c>
      <c r="G74" s="27">
        <v>19236.73</v>
      </c>
      <c r="H74" s="27">
        <f>G74-F74</f>
        <v>-126.09319999999934</v>
      </c>
      <c r="I74" s="12" t="s">
        <v>862</v>
      </c>
      <c r="J74" s="93" t="s">
        <v>44</v>
      </c>
      <c r="K74" s="17">
        <v>42389</v>
      </c>
      <c r="L74" s="17">
        <v>42390</v>
      </c>
      <c r="M74" s="25" t="s">
        <v>65</v>
      </c>
      <c r="N74" s="25" t="s">
        <v>849</v>
      </c>
      <c r="O74" s="18"/>
      <c r="P74" s="28">
        <v>0.66879999999999995</v>
      </c>
      <c r="Q74" s="29">
        <v>18500</v>
      </c>
      <c r="R74" s="18">
        <v>9017</v>
      </c>
      <c r="S74" s="30">
        <v>17.97</v>
      </c>
      <c r="T74" s="101">
        <f t="shared" ref="T74" si="75">W74*F74*0.005</f>
        <v>2713.318627212373</v>
      </c>
      <c r="V74" s="18">
        <v>0.1</v>
      </c>
      <c r="W74" s="18">
        <f>IF(O74&gt;0,O74,((P74*2.2046*S74)+(Q74+R74)/G74)+V74)</f>
        <v>28.026064166225233</v>
      </c>
      <c r="X74" s="18">
        <f>IF(O74&gt;0,O74,((P74*2.2046*S74)+(Q74+R74+T74)/G74)+V74)</f>
        <v>28.167113015339005</v>
      </c>
      <c r="Y74" s="21">
        <f>X74*F74</f>
        <v>545394.82937042799</v>
      </c>
      <c r="Z74" s="32">
        <v>42383</v>
      </c>
      <c r="AA74" s="37">
        <v>29.5</v>
      </c>
      <c r="AB74" s="37"/>
    </row>
    <row r="75" spans="1:28" s="12" customFormat="1" x14ac:dyDescent="0.25">
      <c r="A75" s="90"/>
      <c r="B75" s="24" t="s">
        <v>32</v>
      </c>
      <c r="C75" s="14" t="s">
        <v>33</v>
      </c>
      <c r="D75" s="25" t="s">
        <v>38</v>
      </c>
      <c r="E75" s="14">
        <v>200</v>
      </c>
      <c r="F75" s="26">
        <v>24170</v>
      </c>
      <c r="G75" s="27">
        <v>19110</v>
      </c>
      <c r="H75" s="27">
        <f t="shared" ref="H75:H83" si="76">G75-F75</f>
        <v>-5060</v>
      </c>
      <c r="I75" s="12" t="s">
        <v>995</v>
      </c>
      <c r="J75" s="14"/>
      <c r="K75" s="17"/>
      <c r="L75" s="17">
        <v>42390</v>
      </c>
      <c r="M75" s="25" t="s">
        <v>65</v>
      </c>
      <c r="N75" s="14"/>
      <c r="O75" s="18">
        <v>23</v>
      </c>
      <c r="P75" s="19"/>
      <c r="Q75" s="29">
        <v>16500</v>
      </c>
      <c r="R75" s="18">
        <f t="shared" ref="R75:R76" si="77">59.25*E75</f>
        <v>11850</v>
      </c>
      <c r="S75" s="30">
        <f t="shared" ref="S75:S76" si="78">-35*E75</f>
        <v>-7000</v>
      </c>
      <c r="T75" s="101">
        <f t="shared" ref="T75:T76" si="79">W75*F75*0.0045</f>
        <v>3291.1799529042387</v>
      </c>
      <c r="U75" s="18">
        <f t="shared" ref="U75:U76" si="80">E75*5</f>
        <v>1000</v>
      </c>
      <c r="V75" s="14"/>
      <c r="W75" s="18">
        <f t="shared" ref="W75:W76" si="81">((O75*F75)+Q75+R75+S75+U75)/G75</f>
        <v>30.259549973835689</v>
      </c>
      <c r="X75" s="18">
        <f t="shared" ref="X75:X76" si="82">((O75*F75)+Q75+R75+S75+T75+U75)/G75</f>
        <v>30.431772891308437</v>
      </c>
      <c r="Y75" s="21">
        <f t="shared" ref="Y75:Y83" si="83">X75*F75</f>
        <v>735535.95078292489</v>
      </c>
      <c r="Z75" s="32">
        <v>42403</v>
      </c>
      <c r="AA75" s="37">
        <v>32</v>
      </c>
      <c r="AB75" s="37"/>
    </row>
    <row r="76" spans="1:28" s="12" customFormat="1" x14ac:dyDescent="0.25">
      <c r="A76" s="90"/>
      <c r="B76" s="24" t="s">
        <v>32</v>
      </c>
      <c r="C76" s="14" t="s">
        <v>33</v>
      </c>
      <c r="D76" s="25" t="s">
        <v>34</v>
      </c>
      <c r="E76" s="14">
        <v>130</v>
      </c>
      <c r="F76" s="26">
        <v>14060</v>
      </c>
      <c r="G76" s="27">
        <v>11310</v>
      </c>
      <c r="H76" s="27">
        <f t="shared" si="76"/>
        <v>-2750</v>
      </c>
      <c r="I76" s="12" t="s">
        <v>996</v>
      </c>
      <c r="J76" s="14"/>
      <c r="K76" s="17"/>
      <c r="L76" s="17">
        <v>42390</v>
      </c>
      <c r="M76" s="25" t="s">
        <v>65</v>
      </c>
      <c r="N76" s="14"/>
      <c r="O76" s="18">
        <v>23</v>
      </c>
      <c r="P76" s="19"/>
      <c r="Q76" s="29">
        <v>13000</v>
      </c>
      <c r="R76" s="18">
        <f t="shared" si="77"/>
        <v>7702.5</v>
      </c>
      <c r="S76" s="30">
        <f t="shared" si="78"/>
        <v>-4550</v>
      </c>
      <c r="T76" s="101">
        <f t="shared" si="79"/>
        <v>1903.0368501326261</v>
      </c>
      <c r="U76" s="18">
        <f t="shared" si="80"/>
        <v>650</v>
      </c>
      <c r="V76" s="14"/>
      <c r="W76" s="18">
        <f t="shared" si="81"/>
        <v>30.078028293545536</v>
      </c>
      <c r="X76" s="18">
        <f t="shared" si="82"/>
        <v>30.246289730338869</v>
      </c>
      <c r="Y76" s="21">
        <f t="shared" si="83"/>
        <v>425262.83360856451</v>
      </c>
      <c r="Z76" s="32">
        <v>42403</v>
      </c>
      <c r="AA76" s="37">
        <v>32</v>
      </c>
      <c r="AB76" s="37" t="s">
        <v>998</v>
      </c>
    </row>
    <row r="77" spans="1:28" s="12" customFormat="1" x14ac:dyDescent="0.25">
      <c r="A77" s="90"/>
      <c r="B77" s="24" t="s">
        <v>25</v>
      </c>
      <c r="C77" s="25" t="s">
        <v>72</v>
      </c>
      <c r="D77" s="25" t="s">
        <v>72</v>
      </c>
      <c r="E77" s="14" t="s">
        <v>42</v>
      </c>
      <c r="F77" s="26">
        <f>42994*0.4536</f>
        <v>19502.078399999999</v>
      </c>
      <c r="G77" s="27">
        <v>19383.82</v>
      </c>
      <c r="H77" s="27">
        <f t="shared" si="76"/>
        <v>-118.2583999999988</v>
      </c>
      <c r="I77" s="12" t="s">
        <v>863</v>
      </c>
      <c r="J77" s="93" t="s">
        <v>74</v>
      </c>
      <c r="K77" s="17">
        <v>42390</v>
      </c>
      <c r="L77" s="17">
        <v>42392</v>
      </c>
      <c r="M77" s="25" t="s">
        <v>30</v>
      </c>
      <c r="N77" s="25" t="s">
        <v>850</v>
      </c>
      <c r="O77" s="18"/>
      <c r="P77" s="28">
        <f>0.5808+0.105</f>
        <v>0.68579999999999997</v>
      </c>
      <c r="Q77" s="29">
        <v>18500</v>
      </c>
      <c r="R77" s="18">
        <v>9069</v>
      </c>
      <c r="S77" s="30">
        <v>18.277999999999999</v>
      </c>
      <c r="T77" s="101">
        <f t="shared" ref="T77:T78" si="84">W77*F77*0.005</f>
        <v>2843.1149066887556</v>
      </c>
      <c r="V77" s="18">
        <v>0.1</v>
      </c>
      <c r="W77" s="18">
        <f>IF(O77&gt;0,O77,((P77*2.2046*S77)+(Q77+R77)/G77)+V77)</f>
        <v>29.157045196667404</v>
      </c>
      <c r="X77" s="18">
        <f>IF(O77&gt;0,O77,((P77*2.2046*S77)+(Q77+R77+T77)/G77)+V77)</f>
        <v>29.30371984112287</v>
      </c>
      <c r="Y77" s="21">
        <f t="shared" si="83"/>
        <v>571483.44175321376</v>
      </c>
      <c r="Z77" s="32">
        <v>42384</v>
      </c>
      <c r="AA77" s="2">
        <v>30.5</v>
      </c>
      <c r="AB77" s="2"/>
    </row>
    <row r="78" spans="1:28" s="12" customFormat="1" x14ac:dyDescent="0.25">
      <c r="A78" s="90"/>
      <c r="B78" s="24" t="s">
        <v>25</v>
      </c>
      <c r="C78" s="25" t="s">
        <v>72</v>
      </c>
      <c r="D78" s="25" t="s">
        <v>72</v>
      </c>
      <c r="E78" s="14" t="s">
        <v>42</v>
      </c>
      <c r="F78" s="26">
        <f>42816*0.4536</f>
        <v>19421.337599999999</v>
      </c>
      <c r="G78" s="27">
        <v>19346.07</v>
      </c>
      <c r="H78" s="27">
        <f t="shared" si="76"/>
        <v>-75.26759999999922</v>
      </c>
      <c r="I78" s="12" t="s">
        <v>864</v>
      </c>
      <c r="J78" s="93" t="s">
        <v>991</v>
      </c>
      <c r="K78" s="17">
        <v>42390</v>
      </c>
      <c r="L78" s="17">
        <v>42391</v>
      </c>
      <c r="M78" s="25" t="s">
        <v>84</v>
      </c>
      <c r="N78" s="25" t="s">
        <v>850</v>
      </c>
      <c r="O78" s="18"/>
      <c r="P78" s="28">
        <v>0.68579999999999997</v>
      </c>
      <c r="Q78" s="29">
        <v>21000</v>
      </c>
      <c r="R78" s="18">
        <v>9069</v>
      </c>
      <c r="S78" s="30">
        <v>18.277999999999999</v>
      </c>
      <c r="T78" s="101">
        <f t="shared" si="84"/>
        <v>2844.1622209261113</v>
      </c>
      <c r="V78" s="18">
        <v>0.1</v>
      </c>
      <c r="W78" s="18">
        <f>IF(O78&gt;0,O78,((P78*2.2046*S78)+(Q78+R78)/G78)+V78)</f>
        <v>29.289045682683682</v>
      </c>
      <c r="X78" s="18">
        <f>IF(O78&gt;0,O78,((P78*2.2046*S78)+(Q78+R78+T78)/G78)+V78)</f>
        <v>29.436060669237857</v>
      </c>
      <c r="Y78" s="21">
        <f t="shared" si="83"/>
        <v>571687.67187135038</v>
      </c>
      <c r="Z78" s="32">
        <v>42384</v>
      </c>
      <c r="AA78" s="2">
        <v>30.5</v>
      </c>
      <c r="AB78" s="2"/>
    </row>
    <row r="79" spans="1:28" s="12" customFormat="1" x14ac:dyDescent="0.25">
      <c r="A79" s="90"/>
      <c r="B79" s="24" t="s">
        <v>32</v>
      </c>
      <c r="C79" s="14" t="s">
        <v>33</v>
      </c>
      <c r="D79" s="25" t="s">
        <v>34</v>
      </c>
      <c r="E79" s="14">
        <v>199</v>
      </c>
      <c r="F79" s="26">
        <v>21285</v>
      </c>
      <c r="G79" s="27">
        <v>16890</v>
      </c>
      <c r="H79" s="27">
        <f t="shared" si="76"/>
        <v>-4395</v>
      </c>
      <c r="I79" s="25" t="s">
        <v>1010</v>
      </c>
      <c r="J79" s="14"/>
      <c r="K79" s="17"/>
      <c r="L79" s="17">
        <v>42391</v>
      </c>
      <c r="M79" s="25" t="s">
        <v>84</v>
      </c>
      <c r="N79" s="14"/>
      <c r="O79" s="18">
        <v>23</v>
      </c>
      <c r="P79" s="19"/>
      <c r="Q79" s="29">
        <v>16500</v>
      </c>
      <c r="R79" s="18">
        <f>59.25*E79</f>
        <v>11790.75</v>
      </c>
      <c r="S79" s="30">
        <f>-35*E79</f>
        <v>-6965</v>
      </c>
      <c r="T79" s="101">
        <f>W79*F79*0.0045</f>
        <v>2902.826466807282</v>
      </c>
      <c r="U79" s="18">
        <f>E79*5</f>
        <v>995</v>
      </c>
      <c r="V79" s="14"/>
      <c r="W79" s="18">
        <f>((O79*F79)+Q79+R79+S79+U79)/G79</f>
        <v>30.306438721136768</v>
      </c>
      <c r="X79" s="18">
        <f>((O79*F79)+Q79+R79+S79+T79+U79)/G79</f>
        <v>30.478305297028257</v>
      </c>
      <c r="Y79" s="21">
        <f t="shared" si="83"/>
        <v>648730.72824724647</v>
      </c>
      <c r="Z79" s="32">
        <v>42404</v>
      </c>
      <c r="AA79" s="2"/>
      <c r="AB79" s="2"/>
    </row>
    <row r="80" spans="1:28" s="12" customFormat="1" x14ac:dyDescent="0.25">
      <c r="A80" s="90"/>
      <c r="B80" s="24" t="s">
        <v>32</v>
      </c>
      <c r="C80" s="14" t="s">
        <v>33</v>
      </c>
      <c r="D80" s="25" t="s">
        <v>34</v>
      </c>
      <c r="E80" s="14">
        <v>129</v>
      </c>
      <c r="F80" s="26">
        <v>13735</v>
      </c>
      <c r="G80" s="27">
        <v>10830</v>
      </c>
      <c r="H80" s="27">
        <f t="shared" si="76"/>
        <v>-2905</v>
      </c>
      <c r="I80" s="25" t="s">
        <v>1011</v>
      </c>
      <c r="J80" s="14"/>
      <c r="K80" s="17"/>
      <c r="L80" s="17">
        <v>42391</v>
      </c>
      <c r="M80" s="25" t="s">
        <v>84</v>
      </c>
      <c r="N80" s="14"/>
      <c r="O80" s="18">
        <v>23</v>
      </c>
      <c r="P80" s="19"/>
      <c r="Q80" s="29">
        <v>13000</v>
      </c>
      <c r="R80" s="18">
        <f>59.25*E80</f>
        <v>7643.25</v>
      </c>
      <c r="S80" s="30">
        <f>-35*E80</f>
        <v>-4515</v>
      </c>
      <c r="T80" s="101">
        <f>W80*F80*0.0045</f>
        <v>1898.6159683171745</v>
      </c>
      <c r="U80" s="18">
        <f>E80*5</f>
        <v>645</v>
      </c>
      <c r="V80" s="14"/>
      <c r="W80" s="18">
        <f>((O80*F80)+Q80+R80+S80+U80)/G80</f>
        <v>30.718213296398893</v>
      </c>
      <c r="X80" s="18">
        <f>((O80*F80)+Q80+R80+S80+T80+U80)/G80</f>
        <v>30.893524096797524</v>
      </c>
      <c r="Y80" s="21">
        <f t="shared" si="83"/>
        <v>424322.55346951401</v>
      </c>
      <c r="Z80" s="32">
        <v>42404</v>
      </c>
      <c r="AA80" s="2"/>
      <c r="AB80" s="2" t="s">
        <v>1012</v>
      </c>
    </row>
    <row r="81" spans="1:28" s="12" customFormat="1" x14ac:dyDescent="0.25">
      <c r="A81" s="90"/>
      <c r="B81" s="24" t="s">
        <v>25</v>
      </c>
      <c r="C81" s="25" t="s">
        <v>26</v>
      </c>
      <c r="D81" s="25" t="s">
        <v>26</v>
      </c>
      <c r="E81" s="14" t="s">
        <v>27</v>
      </c>
      <c r="F81" s="26">
        <f>40725*0.4536</f>
        <v>18472.86</v>
      </c>
      <c r="G81" s="27">
        <v>18440.13</v>
      </c>
      <c r="H81" s="27">
        <f t="shared" si="76"/>
        <v>-32.729999999999563</v>
      </c>
      <c r="I81" s="25" t="s">
        <v>1127</v>
      </c>
      <c r="J81" s="93" t="s">
        <v>91</v>
      </c>
      <c r="K81" s="17">
        <v>42391</v>
      </c>
      <c r="L81" s="17">
        <v>42392</v>
      </c>
      <c r="M81" s="25" t="s">
        <v>30</v>
      </c>
      <c r="N81" s="25" t="s">
        <v>851</v>
      </c>
      <c r="O81" s="18"/>
      <c r="P81" s="28">
        <f>0.5808+0.1075</f>
        <v>0.68830000000000002</v>
      </c>
      <c r="Q81" s="29">
        <v>18500</v>
      </c>
      <c r="R81" s="18">
        <v>9069</v>
      </c>
      <c r="S81" s="30">
        <v>18.277999999999999</v>
      </c>
      <c r="T81" s="101">
        <f t="shared" ref="T81:T83" si="85">W81*F81*0.005</f>
        <v>2709.0975901105708</v>
      </c>
      <c r="V81" s="18">
        <v>0.1</v>
      </c>
      <c r="W81" s="18">
        <f>IF(O81&gt;0,O81,((P81*2.2046*S81)+(Q81+R81)/G81)+V81)</f>
        <v>29.330570253989588</v>
      </c>
      <c r="X81" s="18">
        <f>IF(O81&gt;0,O81,((P81*2.2046*S81)+(Q81+R81+T81)/G81)+V81)</f>
        <v>29.477483404282484</v>
      </c>
      <c r="Y81" s="21">
        <f t="shared" si="83"/>
        <v>544533.42407963378</v>
      </c>
      <c r="Z81" s="32">
        <v>42384</v>
      </c>
      <c r="AA81" s="2">
        <v>30.5</v>
      </c>
      <c r="AB81" s="2"/>
    </row>
    <row r="82" spans="1:28" s="12" customFormat="1" x14ac:dyDescent="0.25">
      <c r="A82" s="90"/>
      <c r="B82" s="24" t="s">
        <v>25</v>
      </c>
      <c r="C82" s="25" t="s">
        <v>72</v>
      </c>
      <c r="D82" s="25" t="s">
        <v>72</v>
      </c>
      <c r="E82" s="14" t="s">
        <v>42</v>
      </c>
      <c r="F82" s="26">
        <f>42761*0.4536</f>
        <v>19396.389599999999</v>
      </c>
      <c r="G82" s="27">
        <v>19304.28</v>
      </c>
      <c r="H82" s="27">
        <f t="shared" si="76"/>
        <v>-92.109599999999773</v>
      </c>
      <c r="I82" s="12" t="s">
        <v>865</v>
      </c>
      <c r="J82" s="93" t="s">
        <v>44</v>
      </c>
      <c r="K82" s="17">
        <v>42391</v>
      </c>
      <c r="L82" s="17">
        <v>42392</v>
      </c>
      <c r="M82" s="25" t="s">
        <v>30</v>
      </c>
      <c r="N82" s="25" t="s">
        <v>853</v>
      </c>
      <c r="O82" s="18"/>
      <c r="P82" s="28">
        <f>0.579+0.105</f>
        <v>0.68399999999999994</v>
      </c>
      <c r="Q82" s="29">
        <v>18500</v>
      </c>
      <c r="R82" s="18">
        <v>9069</v>
      </c>
      <c r="S82" s="30">
        <v>18.297000000000001</v>
      </c>
      <c r="T82" s="101">
        <f t="shared" si="85"/>
        <v>2824.0196881007705</v>
      </c>
      <c r="V82" s="18">
        <v>0.1</v>
      </c>
      <c r="W82" s="18">
        <f>IF(O82&gt;0,O82,((P82*2.2046*S82)+(Q82+R82)/G82)+V82)</f>
        <v>29.119024172424037</v>
      </c>
      <c r="X82" s="18">
        <f>IF(O82&gt;0,O82,((P82*2.2046*S82)+(Q82+R82+T82)/G82)+V82)</f>
        <v>29.265313994582687</v>
      </c>
      <c r="Y82" s="21">
        <f t="shared" si="83"/>
        <v>567641.43200525804</v>
      </c>
      <c r="Z82" s="32">
        <v>42387</v>
      </c>
      <c r="AA82" s="2">
        <v>30.5</v>
      </c>
      <c r="AB82" s="2"/>
    </row>
    <row r="83" spans="1:28" s="12" customFormat="1" x14ac:dyDescent="0.25">
      <c r="A83" s="90"/>
      <c r="B83" s="24" t="s">
        <v>25</v>
      </c>
      <c r="C83" s="25" t="s">
        <v>40</v>
      </c>
      <c r="D83" s="25" t="s">
        <v>41</v>
      </c>
      <c r="E83" s="14" t="s">
        <v>47</v>
      </c>
      <c r="F83" s="26">
        <f>42513*0.4536</f>
        <v>19283.896799999999</v>
      </c>
      <c r="G83" s="27">
        <v>19436.55</v>
      </c>
      <c r="H83" s="27">
        <f t="shared" si="76"/>
        <v>152.65320000000065</v>
      </c>
      <c r="I83" s="97" t="s">
        <v>1016</v>
      </c>
      <c r="J83" s="93" t="s">
        <v>44</v>
      </c>
      <c r="K83" s="17">
        <v>42391</v>
      </c>
      <c r="L83" s="17">
        <v>42392</v>
      </c>
      <c r="M83" s="25" t="s">
        <v>30</v>
      </c>
      <c r="N83" s="25" t="s">
        <v>852</v>
      </c>
      <c r="O83" s="18"/>
      <c r="P83" s="28">
        <f>0.5808+0.1</f>
        <v>0.68079999999999996</v>
      </c>
      <c r="Q83" s="29">
        <v>18500</v>
      </c>
      <c r="R83" s="18">
        <v>9069</v>
      </c>
      <c r="S83" s="30">
        <v>18.47</v>
      </c>
      <c r="T83" s="101">
        <f t="shared" si="85"/>
        <v>2819.2940926324927</v>
      </c>
      <c r="V83" s="18">
        <v>0.1</v>
      </c>
      <c r="W83" s="18">
        <f t="shared" ref="W83" si="86">IF(O83&gt;0,O83,((P83*2.2046*S83)+(Q83+R83)/G83)+V83)</f>
        <v>29.239879489839343</v>
      </c>
      <c r="X83" s="18">
        <f t="shared" ref="X83" si="87">IF(O83&gt;0,O83,((P83*2.2046*S83)+(Q83+R83+T83)/G83)+V83)</f>
        <v>29.38493064823075</v>
      </c>
      <c r="Y83" s="21">
        <f t="shared" si="83"/>
        <v>566655.97009563888</v>
      </c>
      <c r="Z83" s="32">
        <v>42404</v>
      </c>
      <c r="AA83" s="37">
        <v>30.5</v>
      </c>
      <c r="AB83" s="37" t="s">
        <v>1106</v>
      </c>
    </row>
    <row r="84" spans="1:28" s="12" customFormat="1" ht="15.75" thickBot="1" x14ac:dyDescent="0.3">
      <c r="A84" s="90"/>
      <c r="B84" s="41"/>
      <c r="C84" s="4"/>
      <c r="D84" s="4"/>
      <c r="E84" s="4"/>
      <c r="F84" s="42"/>
      <c r="G84" s="42"/>
      <c r="H84" s="42"/>
      <c r="I84" s="6"/>
      <c r="J84" s="4"/>
      <c r="K84" s="7"/>
      <c r="L84" s="7"/>
      <c r="M84" s="4"/>
      <c r="N84" s="4"/>
      <c r="O84" s="8"/>
      <c r="P84" s="9"/>
      <c r="Q84" s="8"/>
      <c r="R84" s="8"/>
      <c r="S84" s="8"/>
      <c r="T84" s="8"/>
      <c r="U84" s="8"/>
      <c r="V84" s="8"/>
      <c r="W84" s="8"/>
      <c r="X84" s="8"/>
      <c r="Y84" s="8"/>
      <c r="Z84" s="43"/>
      <c r="AA84" s="2"/>
      <c r="AB84" s="2"/>
    </row>
    <row r="85" spans="1:28" s="12" customFormat="1" x14ac:dyDescent="0.25">
      <c r="A85" s="91"/>
      <c r="B85" s="14" t="s">
        <v>32</v>
      </c>
      <c r="C85" s="14" t="s">
        <v>33</v>
      </c>
      <c r="D85" s="25" t="s">
        <v>34</v>
      </c>
      <c r="E85" s="14">
        <v>249</v>
      </c>
      <c r="F85" s="26">
        <v>26760</v>
      </c>
      <c r="G85" s="27">
        <f>16050+5160</f>
        <v>21210</v>
      </c>
      <c r="H85" s="27">
        <f t="shared" ref="H85:H87" si="88">G85-F85</f>
        <v>-5550</v>
      </c>
      <c r="I85" s="25" t="s">
        <v>1053</v>
      </c>
      <c r="J85" s="14">
        <v>248</v>
      </c>
      <c r="K85" s="17"/>
      <c r="L85" s="17">
        <v>42393</v>
      </c>
      <c r="M85" s="25" t="s">
        <v>36</v>
      </c>
      <c r="N85" s="14"/>
      <c r="O85" s="18">
        <v>22.5</v>
      </c>
      <c r="P85" s="19"/>
      <c r="Q85" s="29">
        <v>16500</v>
      </c>
      <c r="R85" s="18">
        <f>59.25*E85</f>
        <v>14753.25</v>
      </c>
      <c r="S85" s="30">
        <f>-35*E85</f>
        <v>-8715</v>
      </c>
      <c r="T85" s="101">
        <f>W85*F85*0.0045</f>
        <v>3553.4587913719943</v>
      </c>
      <c r="U85" s="18">
        <f>E85*5</f>
        <v>1245</v>
      </c>
      <c r="V85" s="14"/>
      <c r="W85" s="18">
        <f>((O85*F85)+Q85+R85+S85+U85)/G85</f>
        <v>29.508875530410183</v>
      </c>
      <c r="X85" s="18">
        <f>((O85*F85)+Q85+R85+S85+T85+U85)/G85</f>
        <v>29.676412484270251</v>
      </c>
      <c r="Y85" s="21">
        <f t="shared" ref="Y85:Y96" si="89">X85*F85</f>
        <v>794140.79807907192</v>
      </c>
      <c r="Z85" s="32">
        <v>42408</v>
      </c>
      <c r="AA85" s="2">
        <v>32</v>
      </c>
      <c r="AB85" s="2" t="s">
        <v>1070</v>
      </c>
    </row>
    <row r="86" spans="1:28" s="12" customFormat="1" x14ac:dyDescent="0.25">
      <c r="A86" s="91"/>
      <c r="B86" s="24" t="s">
        <v>32</v>
      </c>
      <c r="C86" s="14" t="s">
        <v>33</v>
      </c>
      <c r="D86" s="25" t="s">
        <v>34</v>
      </c>
      <c r="E86" s="14">
        <v>248</v>
      </c>
      <c r="F86" s="26">
        <v>25060</v>
      </c>
      <c r="G86" s="27">
        <f>14180+5610</f>
        <v>19790</v>
      </c>
      <c r="H86" s="27">
        <f t="shared" si="88"/>
        <v>-5270</v>
      </c>
      <c r="I86" s="25" t="s">
        <v>1069</v>
      </c>
      <c r="J86" s="14">
        <v>246</v>
      </c>
      <c r="K86" s="17"/>
      <c r="L86" s="17">
        <v>42394</v>
      </c>
      <c r="M86" s="25" t="s">
        <v>39</v>
      </c>
      <c r="N86" s="14"/>
      <c r="O86" s="18">
        <v>22.5</v>
      </c>
      <c r="P86" s="19"/>
      <c r="Q86" s="29">
        <v>16500</v>
      </c>
      <c r="R86" s="18">
        <f>59.25*E86</f>
        <v>14694</v>
      </c>
      <c r="S86" s="30">
        <f t="shared" ref="S86" si="90">-35*E86</f>
        <v>-8680</v>
      </c>
      <c r="T86" s="101">
        <f>W86*F86*0.0045</f>
        <v>3348.3629651339061</v>
      </c>
      <c r="U86" s="18">
        <f>E86*5</f>
        <v>1240</v>
      </c>
      <c r="V86" s="14"/>
      <c r="W86" s="18">
        <f>((O86*F86)+Q86+R86+S86+U86)/G86</f>
        <v>29.691965639211723</v>
      </c>
      <c r="X86" s="18">
        <f>((O86*F86)+Q86+R86+S86+T86+U86)/G86</f>
        <v>29.861160331739963</v>
      </c>
      <c r="Y86" s="21">
        <f t="shared" si="89"/>
        <v>748320.67791340349</v>
      </c>
      <c r="Z86" s="32">
        <v>42408</v>
      </c>
      <c r="AA86" s="2">
        <v>32</v>
      </c>
      <c r="AB86" s="2" t="s">
        <v>1083</v>
      </c>
    </row>
    <row r="87" spans="1:28" s="12" customFormat="1" x14ac:dyDescent="0.25">
      <c r="A87" s="91"/>
      <c r="B87" s="24" t="s">
        <v>60</v>
      </c>
      <c r="C87" s="14" t="s">
        <v>1120</v>
      </c>
      <c r="D87" s="25" t="s">
        <v>57</v>
      </c>
      <c r="E87" s="14" t="s">
        <v>1121</v>
      </c>
      <c r="F87" s="26">
        <v>225.79</v>
      </c>
      <c r="G87" s="27">
        <v>225.79</v>
      </c>
      <c r="H87" s="27">
        <f t="shared" si="88"/>
        <v>0</v>
      </c>
      <c r="I87" s="25" t="s">
        <v>1164</v>
      </c>
      <c r="J87" s="14"/>
      <c r="K87" s="17"/>
      <c r="L87" s="17">
        <v>42394</v>
      </c>
      <c r="M87" s="25" t="s">
        <v>39</v>
      </c>
      <c r="N87" s="14"/>
      <c r="O87" s="18">
        <v>175</v>
      </c>
      <c r="P87" s="19"/>
      <c r="Q87" s="18"/>
      <c r="R87" s="18"/>
      <c r="S87" s="30"/>
      <c r="T87" s="31"/>
      <c r="U87" s="18"/>
      <c r="V87" s="18"/>
      <c r="W87" s="18">
        <f>IF(O87&gt;0,O87,((P87*2.2046*S87)+(Q87+R87)/G87)+V87)</f>
        <v>175</v>
      </c>
      <c r="X87" s="18">
        <f>IF(O87&gt;0,O87,((P87*2.2046*S87)+(Q87+R87+T87)/G87)+V87)</f>
        <v>175</v>
      </c>
      <c r="Y87" s="21">
        <f t="shared" si="89"/>
        <v>39513.25</v>
      </c>
      <c r="Z87" s="32">
        <v>42402</v>
      </c>
      <c r="AA87" s="2"/>
      <c r="AB87" s="2"/>
    </row>
    <row r="88" spans="1:28" s="94" customFormat="1" x14ac:dyDescent="0.25">
      <c r="A88" s="91"/>
      <c r="B88" s="24" t="s">
        <v>25</v>
      </c>
      <c r="C88" s="14" t="s">
        <v>1123</v>
      </c>
      <c r="D88" s="25" t="s">
        <v>98</v>
      </c>
      <c r="E88" s="14" t="s">
        <v>831</v>
      </c>
      <c r="F88" s="26">
        <v>18417.849999999999</v>
      </c>
      <c r="G88" s="27">
        <v>18240.59</v>
      </c>
      <c r="H88" s="27">
        <f>G88-F88</f>
        <v>-177.2599999999984</v>
      </c>
      <c r="I88" s="25" t="s">
        <v>1124</v>
      </c>
      <c r="J88" s="14"/>
      <c r="K88" s="17"/>
      <c r="L88" s="17">
        <v>42394</v>
      </c>
      <c r="M88" s="25" t="s">
        <v>39</v>
      </c>
      <c r="N88" s="14"/>
      <c r="O88" s="18">
        <v>30.5</v>
      </c>
      <c r="P88" s="19"/>
      <c r="Q88" s="18"/>
      <c r="R88" s="18"/>
      <c r="S88" s="30"/>
      <c r="T88" s="31"/>
      <c r="U88" s="18"/>
      <c r="V88" s="18"/>
      <c r="W88" s="18">
        <f>IF(O88&gt;0,O88,((P88*2.2046*S88)+(Q88+R88)/G88)+V88)</f>
        <v>30.5</v>
      </c>
      <c r="X88" s="18">
        <f>IF(O88&gt;0,O88,((P88*2.2046*S88)+(Q88+R88+T88)/G88)+V88)</f>
        <v>30.5</v>
      </c>
      <c r="Y88" s="21">
        <f t="shared" ref="Y88" si="91">X88*F88</f>
        <v>561744.42499999993</v>
      </c>
      <c r="Z88" s="32">
        <v>42408</v>
      </c>
      <c r="AA88" s="37"/>
      <c r="AB88" s="37"/>
    </row>
    <row r="89" spans="1:28" s="12" customFormat="1" x14ac:dyDescent="0.25">
      <c r="A89" s="91"/>
      <c r="B89" s="24" t="s">
        <v>25</v>
      </c>
      <c r="C89" s="14" t="s">
        <v>40</v>
      </c>
      <c r="D89" s="14" t="s">
        <v>41</v>
      </c>
      <c r="E89" s="14" t="s">
        <v>831</v>
      </c>
      <c r="F89" s="26">
        <f>36518*0.4536</f>
        <v>16564.5648</v>
      </c>
      <c r="G89" s="27">
        <f>18130.22-1748</f>
        <v>16382.220000000001</v>
      </c>
      <c r="H89" s="27">
        <f>G89-F89</f>
        <v>-182.34479999999894</v>
      </c>
      <c r="I89" s="25" t="s">
        <v>873</v>
      </c>
      <c r="J89" s="93" t="s">
        <v>44</v>
      </c>
      <c r="K89" s="17">
        <v>42394</v>
      </c>
      <c r="L89" s="17">
        <v>42395</v>
      </c>
      <c r="M89" s="25" t="s">
        <v>45</v>
      </c>
      <c r="N89" s="25" t="s">
        <v>866</v>
      </c>
      <c r="O89" s="18"/>
      <c r="P89" s="28">
        <f>0.5846+0.1</f>
        <v>0.68459999999999999</v>
      </c>
      <c r="Q89" s="29">
        <f>(18500*G89)/(G89+G90)</f>
        <v>16716.348174484367</v>
      </c>
      <c r="R89" s="18">
        <f>(9069*G89)/(G89+G90)</f>
        <v>8194.6249510485814</v>
      </c>
      <c r="S89" s="30">
        <v>18.579999999999998</v>
      </c>
      <c r="T89" s="101">
        <f t="shared" ref="T89:T91" si="92">W89*F89*0.005</f>
        <v>2456.7594588251477</v>
      </c>
      <c r="V89" s="18">
        <v>0.1</v>
      </c>
      <c r="W89" s="18">
        <f>IF(O89&gt;0,O89,((P89*2.2046*S89)+(Q89+R89)/G89)+V89)</f>
        <v>29.662831332884128</v>
      </c>
      <c r="X89" s="18">
        <f>IF(O89&gt;0,O89,((P89*2.2046*S89)+(Q89+R89+T89)/G89)+V89)</f>
        <v>29.812796322905328</v>
      </c>
      <c r="Y89" s="21">
        <f t="shared" si="89"/>
        <v>493835.99655996705</v>
      </c>
      <c r="Z89" s="32">
        <v>42374</v>
      </c>
      <c r="AA89" s="37">
        <v>31.5</v>
      </c>
      <c r="AB89" s="37"/>
    </row>
    <row r="90" spans="1:28" s="12" customFormat="1" x14ac:dyDescent="0.25">
      <c r="A90" s="91"/>
      <c r="B90" s="24" t="s">
        <v>66</v>
      </c>
      <c r="C90" s="14" t="s">
        <v>40</v>
      </c>
      <c r="D90" s="25" t="s">
        <v>41</v>
      </c>
      <c r="E90" s="14" t="s">
        <v>832</v>
      </c>
      <c r="F90" s="26">
        <f>3855*0.4536</f>
        <v>1748.6279999999999</v>
      </c>
      <c r="G90" s="27">
        <v>1748</v>
      </c>
      <c r="H90" s="27">
        <f>G90-F90</f>
        <v>-0.62799999999992906</v>
      </c>
      <c r="J90" s="14"/>
      <c r="K90" s="17">
        <v>42394</v>
      </c>
      <c r="L90" s="17">
        <v>42395</v>
      </c>
      <c r="M90" s="25" t="s">
        <v>45</v>
      </c>
      <c r="N90" s="25"/>
      <c r="O90" s="18"/>
      <c r="P90" s="28">
        <v>0.37</v>
      </c>
      <c r="Q90" s="29">
        <f>(18500*G90)/(G90+G89)</f>
        <v>1783.6518255156307</v>
      </c>
      <c r="R90" s="18">
        <f>(9069*G90)/(G90+G89)</f>
        <v>874.37504895141922</v>
      </c>
      <c r="S90" s="30">
        <v>18.579999999999998</v>
      </c>
      <c r="T90" s="101">
        <f t="shared" si="92"/>
        <v>146.67800734072554</v>
      </c>
      <c r="V90" s="18">
        <v>0.1</v>
      </c>
      <c r="W90" s="18">
        <f>IF(O90&gt;0,O90,((P90*2.2046*S90)+(Q90+R90)/G90)+V90)</f>
        <v>16.776353500084127</v>
      </c>
      <c r="X90" s="18">
        <f>IF(O90&gt;0,O90,((P90*2.2046*S90)+(Q90+R90+T90)/G90)+V90)</f>
        <v>16.860265403597126</v>
      </c>
      <c r="Y90" s="21">
        <f t="shared" si="89"/>
        <v>29482.332172161234</v>
      </c>
      <c r="Z90" s="32">
        <v>42374</v>
      </c>
      <c r="AA90" s="37">
        <v>31.5</v>
      </c>
      <c r="AB90" s="37"/>
    </row>
    <row r="91" spans="1:28" s="12" customFormat="1" x14ac:dyDescent="0.25">
      <c r="A91" s="91"/>
      <c r="B91" s="24" t="s">
        <v>25</v>
      </c>
      <c r="C91" s="25" t="s">
        <v>26</v>
      </c>
      <c r="D91" s="25" t="s">
        <v>26</v>
      </c>
      <c r="E91" s="14" t="s">
        <v>27</v>
      </c>
      <c r="F91" s="26">
        <f>41456*0.4536</f>
        <v>18804.441600000002</v>
      </c>
      <c r="G91" s="27">
        <v>18800.13</v>
      </c>
      <c r="H91" s="27">
        <f t="shared" ref="H91" si="93">G91-F91</f>
        <v>-4.311600000000908</v>
      </c>
      <c r="I91" s="12" t="s">
        <v>875</v>
      </c>
      <c r="J91" s="93" t="s">
        <v>29</v>
      </c>
      <c r="K91" s="17">
        <v>42395</v>
      </c>
      <c r="L91" s="17">
        <v>42397</v>
      </c>
      <c r="M91" s="25" t="s">
        <v>65</v>
      </c>
      <c r="N91" s="25" t="s">
        <v>867</v>
      </c>
      <c r="O91" s="18"/>
      <c r="P91" s="28">
        <f>0.5846+0.1075</f>
        <v>0.69210000000000005</v>
      </c>
      <c r="Q91" s="29">
        <v>18500</v>
      </c>
      <c r="R91" s="18">
        <v>9069</v>
      </c>
      <c r="S91" s="30">
        <v>18.231000000000002</v>
      </c>
      <c r="T91" s="101">
        <f t="shared" si="92"/>
        <v>2762.6876857098741</v>
      </c>
      <c r="V91" s="18">
        <v>0.1</v>
      </c>
      <c r="W91" s="18">
        <f t="shared" ref="W91" si="94">IF(O91&gt;0,O91,((P91*2.2046*S91)+(Q91+R91)/G91)+V91)</f>
        <v>29.383352555492781</v>
      </c>
      <c r="X91" s="18">
        <f t="shared" ref="X91" si="95">IF(O91&gt;0,O91,((P91*2.2046*S91)+(Q91+R91+T91)/G91)+V91)</f>
        <v>29.530303011990149</v>
      </c>
      <c r="Y91" s="21">
        <f t="shared" si="89"/>
        <v>555300.85841927293</v>
      </c>
      <c r="Z91" s="32">
        <v>42389</v>
      </c>
      <c r="AA91" s="37">
        <v>31.5</v>
      </c>
      <c r="AB91" s="37"/>
    </row>
    <row r="92" spans="1:28" s="12" customFormat="1" x14ac:dyDescent="0.25">
      <c r="A92" s="91"/>
      <c r="B92" s="24" t="s">
        <v>32</v>
      </c>
      <c r="C92" s="14" t="s">
        <v>33</v>
      </c>
      <c r="D92" s="25" t="s">
        <v>87</v>
      </c>
      <c r="E92" s="14">
        <v>249</v>
      </c>
      <c r="F92" s="26">
        <v>29165</v>
      </c>
      <c r="G92" s="27">
        <f>16590+6620</f>
        <v>23210</v>
      </c>
      <c r="H92" s="27">
        <f>G92-F92</f>
        <v>-5955</v>
      </c>
      <c r="I92" s="25" t="s">
        <v>1071</v>
      </c>
      <c r="J92" s="14">
        <v>248</v>
      </c>
      <c r="K92" s="17"/>
      <c r="L92" s="17">
        <v>42395</v>
      </c>
      <c r="M92" s="25" t="s">
        <v>45</v>
      </c>
      <c r="N92" s="14"/>
      <c r="O92" s="18">
        <v>22.5</v>
      </c>
      <c r="P92" s="19"/>
      <c r="Q92" s="29">
        <v>16500</v>
      </c>
      <c r="R92" s="18">
        <f>59.25*E92</f>
        <v>14753.25</v>
      </c>
      <c r="S92" s="30">
        <f t="shared" ref="S92" si="96">-35*E92</f>
        <v>-8715</v>
      </c>
      <c r="T92" s="101">
        <f>W92*F92*0.0045</f>
        <v>3845.0815260394224</v>
      </c>
      <c r="U92" s="18">
        <f>E92*5</f>
        <v>1245</v>
      </c>
      <c r="V92" s="14"/>
      <c r="W92" s="18">
        <f>((O92*F92)+Q92+R92+S92+U92)/G92</f>
        <v>29.297533390779837</v>
      </c>
      <c r="X92" s="18">
        <f>((O92*F92)+Q92+R92+S92+T92+U92)/G92</f>
        <v>29.463198256184377</v>
      </c>
      <c r="Y92" s="21">
        <f t="shared" si="89"/>
        <v>859294.1771416174</v>
      </c>
      <c r="Z92" s="32">
        <v>42409</v>
      </c>
      <c r="AA92" s="37">
        <v>32</v>
      </c>
      <c r="AB92" s="37" t="s">
        <v>1105</v>
      </c>
    </row>
    <row r="93" spans="1:28" s="12" customFormat="1" x14ac:dyDescent="0.25">
      <c r="A93" s="91"/>
      <c r="B93" s="24" t="s">
        <v>25</v>
      </c>
      <c r="C93" s="14" t="s">
        <v>40</v>
      </c>
      <c r="D93" s="14" t="s">
        <v>41</v>
      </c>
      <c r="E93" s="14" t="s">
        <v>27</v>
      </c>
      <c r="F93" s="26">
        <f>38502*0.4536</f>
        <v>17464.5072</v>
      </c>
      <c r="G93" s="27">
        <f>19269.68-1809</f>
        <v>17460.68</v>
      </c>
      <c r="H93" s="27">
        <f>G93-F93</f>
        <v>-3.8271999999997206</v>
      </c>
      <c r="I93" s="25" t="s">
        <v>874</v>
      </c>
      <c r="J93" s="93" t="s">
        <v>49</v>
      </c>
      <c r="K93" s="17">
        <v>42395</v>
      </c>
      <c r="L93" s="17">
        <v>42396</v>
      </c>
      <c r="M93" s="25" t="s">
        <v>50</v>
      </c>
      <c r="N93" s="25" t="s">
        <v>866</v>
      </c>
      <c r="O93" s="18"/>
      <c r="P93" s="28">
        <f>0.5846+0.1</f>
        <v>0.68459999999999999</v>
      </c>
      <c r="Q93" s="29">
        <f>(18500*G93)/(G93+G94)</f>
        <v>16763.256058222036</v>
      </c>
      <c r="R93" s="18">
        <f>(9069*G93)/(G93+G94)</f>
        <v>8217.6199563251703</v>
      </c>
      <c r="S93" s="30">
        <v>18.16</v>
      </c>
      <c r="T93" s="101">
        <f t="shared" ref="T93:T94" si="97">W93*F93*0.005</f>
        <v>2527.0287151471325</v>
      </c>
      <c r="V93" s="18">
        <v>0.1</v>
      </c>
      <c r="W93" s="18">
        <f>IF(O93&gt;0,O93,((P93*2.2046*S93)+(Q93+R93)/G93)+V93)</f>
        <v>28.939021138221783</v>
      </c>
      <c r="X93" s="18">
        <f>IF(O93&gt;0,O93,((P93*2.2046*S93)+(Q93+R93+T93)/G93)+V93)</f>
        <v>29.083747959579664</v>
      </c>
      <c r="Y93" s="21">
        <f t="shared" si="89"/>
        <v>507933.32564306434</v>
      </c>
      <c r="Z93" s="32">
        <v>42374</v>
      </c>
      <c r="AA93" s="37">
        <v>31.5</v>
      </c>
      <c r="AB93" s="37"/>
    </row>
    <row r="94" spans="1:28" s="12" customFormat="1" x14ac:dyDescent="0.25">
      <c r="A94" s="91"/>
      <c r="B94" s="24" t="s">
        <v>66</v>
      </c>
      <c r="C94" s="14" t="s">
        <v>40</v>
      </c>
      <c r="D94" s="25" t="s">
        <v>41</v>
      </c>
      <c r="E94" s="14" t="s">
        <v>832</v>
      </c>
      <c r="F94" s="26">
        <f>3990*0.4536</f>
        <v>1809.864</v>
      </c>
      <c r="G94" s="27">
        <f>910+899</f>
        <v>1809</v>
      </c>
      <c r="H94" s="27">
        <f>G94-F94</f>
        <v>-0.86400000000003274</v>
      </c>
      <c r="I94" s="25"/>
      <c r="J94" s="14"/>
      <c r="K94" s="17">
        <v>42395</v>
      </c>
      <c r="L94" s="17">
        <v>42396</v>
      </c>
      <c r="M94" s="25" t="s">
        <v>50</v>
      </c>
      <c r="N94" s="25"/>
      <c r="O94" s="18"/>
      <c r="P94" s="28">
        <v>0.37</v>
      </c>
      <c r="Q94" s="29">
        <f>(18500*G94)/(G94+G93)</f>
        <v>1736.7439417779642</v>
      </c>
      <c r="R94" s="18">
        <f>(9069*G94)/(G94+G93)</f>
        <v>851.38004367483006</v>
      </c>
      <c r="S94" s="30">
        <v>18.16</v>
      </c>
      <c r="T94" s="101">
        <f t="shared" si="97"/>
        <v>147.90065187699852</v>
      </c>
      <c r="V94" s="18">
        <v>0.1</v>
      </c>
      <c r="W94" s="18">
        <f>IF(O94&gt;0,O94,((P94*2.2046*S94)+(Q94+R94)/G94)+V94)</f>
        <v>16.343841512621779</v>
      </c>
      <c r="X94" s="18">
        <f>IF(O94&gt;0,O94,((P94*2.2046*S94)+(Q94+R94+T94)/G94)+V94)</f>
        <v>16.425599750254172</v>
      </c>
      <c r="Y94" s="21">
        <f t="shared" si="89"/>
        <v>29728.101666394017</v>
      </c>
      <c r="Z94" s="32">
        <v>42374</v>
      </c>
      <c r="AA94" s="37"/>
      <c r="AB94" s="37"/>
    </row>
    <row r="95" spans="1:28" s="12" customFormat="1" x14ac:dyDescent="0.25">
      <c r="A95" s="91"/>
      <c r="B95" s="24" t="s">
        <v>32</v>
      </c>
      <c r="C95" s="14" t="s">
        <v>68</v>
      </c>
      <c r="D95" s="25" t="s">
        <v>68</v>
      </c>
      <c r="E95" s="14">
        <v>260</v>
      </c>
      <c r="F95" s="26">
        <f>13300+12570</f>
        <v>25870</v>
      </c>
      <c r="G95" s="27">
        <f>10260+10030</f>
        <v>20290</v>
      </c>
      <c r="H95" s="27">
        <f t="shared" ref="H95" si="98">G95-F95</f>
        <v>-5580</v>
      </c>
      <c r="I95" s="25" t="s">
        <v>1073</v>
      </c>
      <c r="J95" s="14"/>
      <c r="K95" s="17">
        <v>42395</v>
      </c>
      <c r="L95" s="17">
        <v>42396</v>
      </c>
      <c r="M95" s="25" t="s">
        <v>50</v>
      </c>
      <c r="N95" s="14"/>
      <c r="O95" s="18">
        <v>22</v>
      </c>
      <c r="P95" s="19"/>
      <c r="Q95" s="29">
        <v>22000</v>
      </c>
      <c r="R95" s="99">
        <f>98*E95</f>
        <v>25480</v>
      </c>
      <c r="S95" s="30">
        <f>-38*E95</f>
        <v>-9880</v>
      </c>
      <c r="T95" s="31"/>
      <c r="U95" s="18">
        <f>E95*10</f>
        <v>2600</v>
      </c>
      <c r="V95" s="14"/>
      <c r="W95" s="18">
        <f>((O95*F95)+Q95+R95+S95+U95)/G95</f>
        <v>30.031542631838345</v>
      </c>
      <c r="X95" s="18">
        <f>((O95*F95)+Q95+R95+S95+T95+U95)/G95</f>
        <v>30.031542631838345</v>
      </c>
      <c r="Y95" s="21">
        <f t="shared" si="89"/>
        <v>776916.00788565795</v>
      </c>
      <c r="Z95" s="32">
        <v>42396</v>
      </c>
      <c r="AA95" s="37">
        <v>32</v>
      </c>
      <c r="AB95" s="37" t="s">
        <v>1104</v>
      </c>
    </row>
    <row r="96" spans="1:28" s="12" customFormat="1" x14ac:dyDescent="0.25">
      <c r="A96" s="91"/>
      <c r="B96" s="24" t="s">
        <v>25</v>
      </c>
      <c r="C96" s="25" t="s">
        <v>72</v>
      </c>
      <c r="D96" s="25" t="s">
        <v>72</v>
      </c>
      <c r="E96" s="14" t="s">
        <v>42</v>
      </c>
      <c r="F96" s="26">
        <f>41920*0.4536</f>
        <v>19014.912</v>
      </c>
      <c r="G96" s="27">
        <v>18775.68</v>
      </c>
      <c r="H96" s="27">
        <f>G96-F96</f>
        <v>-239.23199999999997</v>
      </c>
      <c r="I96" s="12" t="s">
        <v>877</v>
      </c>
      <c r="J96" s="93" t="s">
        <v>44</v>
      </c>
      <c r="K96" s="17">
        <v>42397</v>
      </c>
      <c r="L96" s="17">
        <v>42398</v>
      </c>
      <c r="M96" s="25" t="s">
        <v>84</v>
      </c>
      <c r="N96" s="25" t="s">
        <v>868</v>
      </c>
      <c r="O96" s="18"/>
      <c r="P96" s="28">
        <f>0.5846+0.105</f>
        <v>0.68959999999999999</v>
      </c>
      <c r="Q96" s="29">
        <v>18500</v>
      </c>
      <c r="R96" s="18">
        <v>9069</v>
      </c>
      <c r="S96" s="30">
        <v>18.446999999999999</v>
      </c>
      <c r="T96" s="101">
        <f>W96*F96*0.005</f>
        <v>2815.4586430122781</v>
      </c>
      <c r="V96" s="18">
        <v>0.1</v>
      </c>
      <c r="W96" s="18">
        <f t="shared" ref="W96" si="99">IF(O96&gt;0,O96,((P96*2.2046*S96)+(Q96+R96)/G96)+V96)</f>
        <v>29.613165109702091</v>
      </c>
      <c r="X96" s="18">
        <f t="shared" ref="X96" si="100">IF(O96&gt;0,O96,((P96*2.2046*S96)+(Q96+R96+T96)/G96)+V96)</f>
        <v>29.763117529162386</v>
      </c>
      <c r="Y96" s="21">
        <f t="shared" si="89"/>
        <v>565943.06066268019</v>
      </c>
      <c r="Z96" s="32">
        <v>42390</v>
      </c>
      <c r="AA96" s="37">
        <v>31.5</v>
      </c>
      <c r="AB96" s="37"/>
    </row>
    <row r="97" spans="1:28" s="12" customFormat="1" x14ac:dyDescent="0.25">
      <c r="A97" s="91"/>
      <c r="B97" s="24" t="s">
        <v>25</v>
      </c>
      <c r="C97" s="25" t="s">
        <v>72</v>
      </c>
      <c r="D97" s="25" t="s">
        <v>72</v>
      </c>
      <c r="E97" s="14" t="s">
        <v>42</v>
      </c>
      <c r="F97" s="26">
        <f>41475*0.4536</f>
        <v>18813.060000000001</v>
      </c>
      <c r="G97" s="27">
        <v>18677.02</v>
      </c>
      <c r="H97" s="27">
        <f>G97-F97</f>
        <v>-136.04000000000087</v>
      </c>
      <c r="I97" s="12" t="s">
        <v>878</v>
      </c>
      <c r="J97" s="93" t="s">
        <v>44</v>
      </c>
      <c r="K97" s="17">
        <v>42396</v>
      </c>
      <c r="L97" s="17">
        <v>42397</v>
      </c>
      <c r="M97" s="25" t="s">
        <v>65</v>
      </c>
      <c r="N97" s="25" t="s">
        <v>868</v>
      </c>
      <c r="O97" s="18"/>
      <c r="P97" s="28">
        <v>0.68959999999999999</v>
      </c>
      <c r="Q97" s="29">
        <v>18500</v>
      </c>
      <c r="R97" s="18">
        <v>9069</v>
      </c>
      <c r="S97" s="30">
        <v>18.446999999999999</v>
      </c>
      <c r="T97" s="101">
        <f t="shared" ref="T97" si="101">W97*F97*0.005</f>
        <v>2786.300865849103</v>
      </c>
      <c r="V97" s="18">
        <v>0.1</v>
      </c>
      <c r="W97" s="18">
        <f>IF(O97&gt;0,O97,((P97*2.2046*S97)+(Q97+R97)/G97)+V97)</f>
        <v>29.620921485915666</v>
      </c>
      <c r="X97" s="18">
        <f>IF(O97&gt;0,O97,((P97*2.2046*S97)+(Q97+R97+T97)/G97)+V97)</f>
        <v>29.770104860236039</v>
      </c>
      <c r="Y97" s="21">
        <f>X97*F97</f>
        <v>560066.76894191222</v>
      </c>
      <c r="Z97" s="32">
        <v>42390</v>
      </c>
      <c r="AA97" s="37">
        <v>31.5</v>
      </c>
      <c r="AB97" s="37"/>
    </row>
    <row r="98" spans="1:28" s="12" customFormat="1" x14ac:dyDescent="0.25">
      <c r="A98" s="91"/>
      <c r="B98" s="24" t="s">
        <v>32</v>
      </c>
      <c r="C98" s="25" t="s">
        <v>68</v>
      </c>
      <c r="D98" s="25" t="s">
        <v>68</v>
      </c>
      <c r="E98" s="14">
        <v>140</v>
      </c>
      <c r="F98" s="26">
        <v>15000</v>
      </c>
      <c r="G98" s="27">
        <f>1740+1700+1690+3560+3330</f>
        <v>12020</v>
      </c>
      <c r="H98" s="27">
        <f t="shared" ref="H98:H99" si="102">G98-F98</f>
        <v>-2980</v>
      </c>
      <c r="I98" s="25" t="s">
        <v>1101</v>
      </c>
      <c r="J98" s="14"/>
      <c r="K98" s="17">
        <v>42396</v>
      </c>
      <c r="L98" s="17">
        <v>42397</v>
      </c>
      <c r="M98" s="25" t="s">
        <v>65</v>
      </c>
      <c r="N98" s="25"/>
      <c r="O98" s="18">
        <v>22</v>
      </c>
      <c r="P98" s="19"/>
      <c r="Q98" s="29">
        <v>11000</v>
      </c>
      <c r="R98" s="99">
        <f>98*E98</f>
        <v>13720</v>
      </c>
      <c r="S98" s="30">
        <f>-38*E98</f>
        <v>-5320</v>
      </c>
      <c r="T98" s="31"/>
      <c r="U98" s="18">
        <f>E98*10</f>
        <v>1400</v>
      </c>
      <c r="V98" s="14"/>
      <c r="W98" s="18">
        <f>((O98*F98)+Q98+R98+S98+U98)/G98</f>
        <v>29.184692179700498</v>
      </c>
      <c r="X98" s="18">
        <f>((O98*F98)+Q98+R98+S98+T98+U98)/G98</f>
        <v>29.184692179700498</v>
      </c>
      <c r="Y98" s="21">
        <f t="shared" ref="Y98" si="103">X98*F98</f>
        <v>437770.38269550749</v>
      </c>
      <c r="Z98" s="32">
        <v>42398</v>
      </c>
      <c r="AA98" s="37"/>
      <c r="AB98" s="37" t="s">
        <v>1116</v>
      </c>
    </row>
    <row r="99" spans="1:28" s="12" customFormat="1" x14ac:dyDescent="0.25">
      <c r="A99" s="91"/>
      <c r="B99" s="24" t="s">
        <v>32</v>
      </c>
      <c r="C99" s="14" t="s">
        <v>33</v>
      </c>
      <c r="D99" s="25" t="s">
        <v>1102</v>
      </c>
      <c r="E99" s="14">
        <f>164+165</f>
        <v>329</v>
      </c>
      <c r="F99" s="26">
        <f>18305+20595</f>
        <v>38900</v>
      </c>
      <c r="G99" s="27">
        <f>18960+12280</f>
        <v>31240</v>
      </c>
      <c r="H99" s="27">
        <f t="shared" si="102"/>
        <v>-7660</v>
      </c>
      <c r="I99" s="25" t="s">
        <v>1103</v>
      </c>
      <c r="J99" s="14">
        <v>328</v>
      </c>
      <c r="K99" s="17"/>
      <c r="L99" s="17">
        <v>42397</v>
      </c>
      <c r="M99" s="25" t="s">
        <v>65</v>
      </c>
      <c r="N99" s="14"/>
      <c r="O99" s="18">
        <v>22.5</v>
      </c>
      <c r="P99" s="19"/>
      <c r="Q99" s="29">
        <f t="shared" ref="Q99" si="104">16500+13000</f>
        <v>29500</v>
      </c>
      <c r="R99" s="18">
        <f t="shared" ref="R99" si="105">59.25*E99</f>
        <v>19493.25</v>
      </c>
      <c r="S99" s="30">
        <f t="shared" ref="S99" si="106">-35*E99</f>
        <v>-11515</v>
      </c>
      <c r="T99" s="101">
        <f t="shared" ref="T99" si="107">W99*F99*0.0045</f>
        <v>5123.5927468790014</v>
      </c>
      <c r="U99" s="18">
        <f t="shared" ref="U99" si="108">E99*5</f>
        <v>1645</v>
      </c>
      <c r="V99" s="14"/>
      <c r="W99" s="18">
        <f t="shared" ref="W99" si="109">((O99*F99)+Q99+R99+S99+U99)/G99</f>
        <v>29.269310179257364</v>
      </c>
      <c r="X99" s="18">
        <f t="shared" ref="X99" si="110">((O99*F99)+Q99+R99+S99+T99+U99)/G99</f>
        <v>29.43331762954158</v>
      </c>
      <c r="Y99" s="21">
        <f t="shared" ref="Y99:Y108" si="111">X99*F99</f>
        <v>1144956.0557891675</v>
      </c>
      <c r="Z99" s="32">
        <v>42410</v>
      </c>
      <c r="AA99" s="37">
        <v>32</v>
      </c>
      <c r="AB99" s="37" t="s">
        <v>1117</v>
      </c>
    </row>
    <row r="100" spans="1:28" s="12" customFormat="1" x14ac:dyDescent="0.25">
      <c r="A100" s="91"/>
      <c r="B100" s="24" t="s">
        <v>25</v>
      </c>
      <c r="C100" s="25" t="s">
        <v>72</v>
      </c>
      <c r="D100" s="25" t="s">
        <v>72</v>
      </c>
      <c r="E100" s="14" t="s">
        <v>42</v>
      </c>
      <c r="F100" s="26">
        <f>42644*0.4536</f>
        <v>19343.3184</v>
      </c>
      <c r="G100" s="27">
        <v>19260.22</v>
      </c>
      <c r="H100" s="27">
        <f t="shared" ref="H100:H108" si="112">G100-F100</f>
        <v>-83.098399999998946</v>
      </c>
      <c r="I100" s="12" t="s">
        <v>879</v>
      </c>
      <c r="J100" s="93" t="s">
        <v>29</v>
      </c>
      <c r="K100" s="17">
        <v>42397</v>
      </c>
      <c r="L100" s="17">
        <v>42398</v>
      </c>
      <c r="M100" s="25" t="s">
        <v>84</v>
      </c>
      <c r="N100" s="25" t="s">
        <v>869</v>
      </c>
      <c r="O100" s="18"/>
      <c r="P100" s="28">
        <f>0.59+0.105</f>
        <v>0.69499999999999995</v>
      </c>
      <c r="Q100" s="29">
        <v>18500</v>
      </c>
      <c r="R100" s="18">
        <v>9069</v>
      </c>
      <c r="S100" s="30">
        <v>18.536999999999999</v>
      </c>
      <c r="T100" s="101">
        <f t="shared" ref="T100:T101" si="113">W100*F100*0.005</f>
        <v>2895.0885150982645</v>
      </c>
      <c r="V100" s="18">
        <v>0.1</v>
      </c>
      <c r="W100" s="18">
        <f>IF(O100&gt;0,O100,((P100*2.2046*S100)+(Q100+R100)/G100)+V100)</f>
        <v>29.93373169205822</v>
      </c>
      <c r="X100" s="18">
        <f>IF(O100&gt;0,O100,((P100*2.2046*S100)+(Q100+R100+T100)/G100)+V100)</f>
        <v>30.084046097350488</v>
      </c>
      <c r="Y100" s="21">
        <f t="shared" si="111"/>
        <v>581925.28242132789</v>
      </c>
      <c r="Z100" s="32">
        <v>42391</v>
      </c>
      <c r="AA100" s="2"/>
      <c r="AB100" s="2"/>
    </row>
    <row r="101" spans="1:28" s="12" customFormat="1" x14ac:dyDescent="0.25">
      <c r="A101" s="91"/>
      <c r="B101" s="24" t="s">
        <v>25</v>
      </c>
      <c r="C101" s="25" t="s">
        <v>72</v>
      </c>
      <c r="D101" s="25" t="s">
        <v>72</v>
      </c>
      <c r="E101" s="14" t="s">
        <v>42</v>
      </c>
      <c r="F101" s="26">
        <f>42336*0.4536</f>
        <v>19203.6096</v>
      </c>
      <c r="G101" s="27">
        <v>19051.509999999998</v>
      </c>
      <c r="H101" s="27">
        <f t="shared" si="112"/>
        <v>-152.09960000000137</v>
      </c>
      <c r="I101" s="12" t="s">
        <v>880</v>
      </c>
      <c r="J101" s="93" t="s">
        <v>837</v>
      </c>
      <c r="K101" s="17">
        <v>42397</v>
      </c>
      <c r="L101" s="17">
        <v>42398</v>
      </c>
      <c r="M101" s="25" t="s">
        <v>84</v>
      </c>
      <c r="N101" s="25" t="s">
        <v>869</v>
      </c>
      <c r="O101" s="18"/>
      <c r="P101" s="28">
        <v>0.69499999999999995</v>
      </c>
      <c r="Q101" s="29">
        <v>18500</v>
      </c>
      <c r="R101" s="18">
        <v>9069</v>
      </c>
      <c r="S101" s="30">
        <v>18.536999999999999</v>
      </c>
      <c r="T101" s="101">
        <f t="shared" si="113"/>
        <v>2875.6841449873737</v>
      </c>
      <c r="V101" s="18">
        <v>0.1</v>
      </c>
      <c r="W101" s="18">
        <f>IF(O101&gt;0,O101,((P101*2.2046*S101)+(Q101+R101)/G101)+V101)</f>
        <v>29.949412687366586</v>
      </c>
      <c r="X101" s="18">
        <f>IF(O101&gt;0,O101,((P101*2.2046*S101)+(Q101+R101+T101)/G101)+V101)</f>
        <v>30.100355271182114</v>
      </c>
      <c r="Y101" s="21">
        <f t="shared" si="111"/>
        <v>578035.47144908342</v>
      </c>
      <c r="Z101" s="32">
        <v>42391</v>
      </c>
      <c r="AA101" s="2"/>
      <c r="AB101" s="2"/>
    </row>
    <row r="102" spans="1:28" s="12" customFormat="1" x14ac:dyDescent="0.25">
      <c r="A102" s="91"/>
      <c r="B102" s="24" t="s">
        <v>32</v>
      </c>
      <c r="C102" s="14" t="s">
        <v>33</v>
      </c>
      <c r="D102" s="25" t="s">
        <v>1102</v>
      </c>
      <c r="E102" s="14">
        <f>165+165</f>
        <v>330</v>
      </c>
      <c r="F102" s="26">
        <f>17780+18515</f>
        <v>36295</v>
      </c>
      <c r="G102" s="27">
        <f>17440+11890</f>
        <v>29330</v>
      </c>
      <c r="H102" s="27">
        <f t="shared" si="112"/>
        <v>-6965</v>
      </c>
      <c r="I102" s="25" t="s">
        <v>1115</v>
      </c>
      <c r="J102" s="14"/>
      <c r="K102" s="17"/>
      <c r="L102" s="17">
        <v>42398</v>
      </c>
      <c r="M102" s="25" t="s">
        <v>84</v>
      </c>
      <c r="N102" s="14"/>
      <c r="O102" s="18">
        <v>22.5</v>
      </c>
      <c r="P102" s="19"/>
      <c r="Q102" s="29">
        <f>16500+13000</f>
        <v>29500</v>
      </c>
      <c r="R102" s="18">
        <f>59.25*E102</f>
        <v>19552.5</v>
      </c>
      <c r="S102" s="30">
        <f>-35*E102</f>
        <v>-11550</v>
      </c>
      <c r="T102" s="101">
        <f>W102*F102*0.0045</f>
        <v>4765.5656742243436</v>
      </c>
      <c r="U102" s="18">
        <f>E102*5</f>
        <v>1650</v>
      </c>
      <c r="V102" s="14"/>
      <c r="W102" s="18">
        <f>((O102*F102)+Q102+R102+S102+U102)/G102</f>
        <v>29.17797476986021</v>
      </c>
      <c r="X102" s="18">
        <f>((O102*F102)+Q102+R102+S102+T102+U102)/G102</f>
        <v>29.340455699768984</v>
      </c>
      <c r="Y102" s="21">
        <f t="shared" si="111"/>
        <v>1064911.8396231153</v>
      </c>
      <c r="Z102" s="32">
        <v>42411</v>
      </c>
      <c r="AA102" s="2">
        <v>32</v>
      </c>
      <c r="AB102" s="2" t="s">
        <v>1165</v>
      </c>
    </row>
    <row r="103" spans="1:28" s="12" customFormat="1" x14ac:dyDescent="0.25">
      <c r="A103" s="91"/>
      <c r="B103" s="24" t="s">
        <v>855</v>
      </c>
      <c r="C103" s="25" t="s">
        <v>856</v>
      </c>
      <c r="D103" s="25" t="s">
        <v>1128</v>
      </c>
      <c r="E103" s="14" t="s">
        <v>1129</v>
      </c>
      <c r="F103" s="26">
        <v>18290.900000000001</v>
      </c>
      <c r="G103" s="27">
        <v>18272.7</v>
      </c>
      <c r="H103" s="27">
        <f t="shared" si="112"/>
        <v>-18.200000000000728</v>
      </c>
      <c r="I103" s="25" t="s">
        <v>1130</v>
      </c>
      <c r="J103" s="14"/>
      <c r="K103" s="17"/>
      <c r="L103" s="17">
        <v>42399</v>
      </c>
      <c r="M103" s="25" t="s">
        <v>30</v>
      </c>
      <c r="N103" s="14"/>
      <c r="O103" s="18">
        <v>95</v>
      </c>
      <c r="P103" s="19"/>
      <c r="Q103" s="18"/>
      <c r="R103" s="18"/>
      <c r="S103" s="30"/>
      <c r="T103" s="31"/>
      <c r="U103" s="18"/>
      <c r="V103" s="18"/>
      <c r="W103" s="18">
        <f>IF(O103&gt;0,O103,((P103*2.2046*S103)+(Q103+R103)/G103)+V103)</f>
        <v>95</v>
      </c>
      <c r="X103" s="18">
        <f>IF(O103&gt;0,O103,((P103*2.2046*S103)+(Q103+R103+T103)/G103)+V103)</f>
        <v>95</v>
      </c>
      <c r="Y103" s="21">
        <f t="shared" si="111"/>
        <v>1737635.5000000002</v>
      </c>
      <c r="Z103" s="32">
        <v>42721</v>
      </c>
      <c r="AA103" s="2"/>
      <c r="AB103" s="2"/>
    </row>
    <row r="104" spans="1:28" s="12" customFormat="1" x14ac:dyDescent="0.25">
      <c r="A104" s="91"/>
      <c r="B104" s="24" t="s">
        <v>25</v>
      </c>
      <c r="C104" s="25" t="s">
        <v>26</v>
      </c>
      <c r="D104" s="25" t="s">
        <v>26</v>
      </c>
      <c r="E104" s="14" t="s">
        <v>27</v>
      </c>
      <c r="F104" s="26">
        <f>41784*0.4536</f>
        <v>18953.222399999999</v>
      </c>
      <c r="G104" s="27">
        <v>18930.13</v>
      </c>
      <c r="H104" s="27">
        <f t="shared" ref="H104" si="114">G104-F104</f>
        <v>-23.092399999997724</v>
      </c>
      <c r="I104" s="12" t="s">
        <v>876</v>
      </c>
      <c r="J104" s="93" t="s">
        <v>44</v>
      </c>
      <c r="K104" s="17">
        <v>42398</v>
      </c>
      <c r="L104" s="17">
        <v>42399</v>
      </c>
      <c r="M104" s="25" t="s">
        <v>30</v>
      </c>
      <c r="N104" s="25" t="s">
        <v>870</v>
      </c>
      <c r="O104" s="18"/>
      <c r="P104" s="28">
        <f>0.59+0.1075</f>
        <v>0.69750000000000001</v>
      </c>
      <c r="Q104" s="29">
        <v>18500</v>
      </c>
      <c r="R104" s="18">
        <v>9043</v>
      </c>
      <c r="S104" s="30">
        <v>18.536999999999999</v>
      </c>
      <c r="T104" s="101">
        <f t="shared" ref="T104" si="115">W104*F104*0.005</f>
        <v>2848.6204793964794</v>
      </c>
      <c r="V104" s="18">
        <v>0.1</v>
      </c>
      <c r="W104" s="18">
        <f>IF(O104&gt;0,O104,((P104*2.2046*S104)+(Q104+R104)/G104)+V104)</f>
        <v>30.059484548616698</v>
      </c>
      <c r="X104" s="18">
        <f>IF(O104&gt;0,O104,((P104*2.2046*S104)+(Q104+R104+T104)/G104)+V104)</f>
        <v>30.209965315489217</v>
      </c>
      <c r="Y104" s="21">
        <f t="shared" ref="Y104" si="116">X104*F104</f>
        <v>572576.19132075331</v>
      </c>
      <c r="Z104" s="32">
        <v>42391</v>
      </c>
      <c r="AA104" s="2">
        <v>31</v>
      </c>
      <c r="AB104" s="2"/>
    </row>
    <row r="105" spans="1:28" s="12" customFormat="1" x14ac:dyDescent="0.25">
      <c r="A105" s="91"/>
      <c r="B105" s="24" t="s">
        <v>25</v>
      </c>
      <c r="C105" s="25" t="s">
        <v>26</v>
      </c>
      <c r="D105" s="25" t="s">
        <v>26</v>
      </c>
      <c r="E105" s="14" t="s">
        <v>27</v>
      </c>
      <c r="F105" s="26">
        <f>41520*0.4536</f>
        <v>18833.472000000002</v>
      </c>
      <c r="G105" s="27">
        <v>18790.13</v>
      </c>
      <c r="H105" s="27">
        <f t="shared" si="112"/>
        <v>-43.342000000000553</v>
      </c>
      <c r="I105" s="12" t="s">
        <v>1087</v>
      </c>
      <c r="J105" s="93" t="s">
        <v>74</v>
      </c>
      <c r="K105" s="17">
        <v>42398</v>
      </c>
      <c r="L105" s="17">
        <v>42399</v>
      </c>
      <c r="M105" s="25" t="s">
        <v>30</v>
      </c>
      <c r="N105" s="25" t="s">
        <v>870</v>
      </c>
      <c r="O105" s="18"/>
      <c r="P105" s="28">
        <f>0.59+0.1075</f>
        <v>0.69750000000000001</v>
      </c>
      <c r="Q105" s="29">
        <v>18500</v>
      </c>
      <c r="R105" s="18">
        <v>9043</v>
      </c>
      <c r="S105" s="30">
        <v>18.536999999999999</v>
      </c>
      <c r="T105" s="101">
        <f t="shared" ref="T105:T107" si="117">W105*F105*0.005</f>
        <v>2831.6431396432718</v>
      </c>
      <c r="V105" s="18">
        <v>0.1</v>
      </c>
      <c r="W105" s="18">
        <f>IF(O105&gt;0,O105,((P105*2.2046*S105)+(Q105+R105)/G105)+V105)</f>
        <v>30.070325212932289</v>
      </c>
      <c r="X105" s="18">
        <f>IF(O105&gt;0,O105,((P105*2.2046*S105)+(Q105+R105+T105)/G105)+V105)</f>
        <v>30.221023645547884</v>
      </c>
      <c r="Y105" s="21">
        <f t="shared" si="111"/>
        <v>569166.80263976404</v>
      </c>
      <c r="Z105" s="32">
        <v>42395</v>
      </c>
      <c r="AA105" s="2">
        <v>31</v>
      </c>
      <c r="AB105" s="2"/>
    </row>
    <row r="106" spans="1:28" s="12" customFormat="1" x14ac:dyDescent="0.25">
      <c r="A106" s="91"/>
      <c r="B106" s="24" t="s">
        <v>25</v>
      </c>
      <c r="C106" s="25" t="s">
        <v>72</v>
      </c>
      <c r="D106" s="25" t="s">
        <v>72</v>
      </c>
      <c r="E106" s="14" t="s">
        <v>42</v>
      </c>
      <c r="F106" s="26">
        <f>42664*0.4536</f>
        <v>19352.3904</v>
      </c>
      <c r="G106" s="27">
        <v>19181.95</v>
      </c>
      <c r="H106" s="27">
        <f t="shared" si="112"/>
        <v>-170.4403999999995</v>
      </c>
      <c r="I106" s="12" t="s">
        <v>881</v>
      </c>
      <c r="J106" s="93" t="s">
        <v>991</v>
      </c>
      <c r="K106" s="17">
        <v>42398</v>
      </c>
      <c r="L106" s="17">
        <v>42399</v>
      </c>
      <c r="M106" s="25" t="s">
        <v>30</v>
      </c>
      <c r="N106" s="25" t="s">
        <v>871</v>
      </c>
      <c r="O106" s="18"/>
      <c r="P106" s="28">
        <f>0.6001+0.105</f>
        <v>0.70509999999999995</v>
      </c>
      <c r="Q106" s="29">
        <v>20900</v>
      </c>
      <c r="R106" s="18">
        <v>9043</v>
      </c>
      <c r="S106" s="30">
        <v>18.55</v>
      </c>
      <c r="T106" s="101">
        <f t="shared" si="117"/>
        <v>2950.8811233851484</v>
      </c>
      <c r="V106" s="18">
        <v>0.1</v>
      </c>
      <c r="W106" s="18">
        <f>IF(O106&gt;0,O106,((P106*2.2046*S106)+(Q106+R106)/G106)+V106)</f>
        <v>30.496295934430385</v>
      </c>
      <c r="X106" s="18">
        <f>IF(O106&gt;0,O106,((P106*2.2046*S106)+(Q106+R106+T106)/G106)+V106)</f>
        <v>30.650132281797838</v>
      </c>
      <c r="Y106" s="21">
        <f t="shared" si="111"/>
        <v>593153.32572899456</v>
      </c>
      <c r="Z106" s="32">
        <v>42394</v>
      </c>
      <c r="AA106" s="2">
        <v>31</v>
      </c>
      <c r="AB106" s="2"/>
    </row>
    <row r="107" spans="1:28" s="12" customFormat="1" x14ac:dyDescent="0.25">
      <c r="A107" s="91"/>
      <c r="B107" s="24" t="s">
        <v>25</v>
      </c>
      <c r="C107" s="25" t="s">
        <v>40</v>
      </c>
      <c r="D107" s="25" t="s">
        <v>41</v>
      </c>
      <c r="E107" s="14" t="s">
        <v>42</v>
      </c>
      <c r="F107" s="26">
        <f>40801*0.4536</f>
        <v>18507.333600000002</v>
      </c>
      <c r="G107" s="27">
        <v>18500</v>
      </c>
      <c r="H107" s="27">
        <f t="shared" si="112"/>
        <v>-7.3336000000017521</v>
      </c>
      <c r="I107" s="97" t="s">
        <v>1113</v>
      </c>
      <c r="J107" s="93" t="s">
        <v>44</v>
      </c>
      <c r="K107" s="17">
        <v>42398</v>
      </c>
      <c r="L107" s="17">
        <v>42399</v>
      </c>
      <c r="M107" s="25" t="s">
        <v>30</v>
      </c>
      <c r="N107" s="25" t="s">
        <v>872</v>
      </c>
      <c r="O107" s="18"/>
      <c r="P107" s="28">
        <f>0.59+0.1</f>
        <v>0.69</v>
      </c>
      <c r="Q107" s="29">
        <v>18500</v>
      </c>
      <c r="R107" s="18">
        <v>9043</v>
      </c>
      <c r="S107" s="30">
        <v>18.16</v>
      </c>
      <c r="T107" s="101">
        <f t="shared" si="117"/>
        <v>2703.3042796083046</v>
      </c>
      <c r="V107" s="18">
        <v>0.1</v>
      </c>
      <c r="W107" s="18">
        <f t="shared" ref="W107" si="118">IF(O107&gt;0,O107,((P107*2.2046*S107)+(Q107+R107)/G107)+V107)</f>
        <v>29.213330650810814</v>
      </c>
      <c r="X107" s="18">
        <f t="shared" ref="X107" si="119">IF(O107&gt;0,O107,((P107*2.2046*S107)+(Q107+R107+T107)/G107)+V107)</f>
        <v>29.359455206465316</v>
      </c>
      <c r="Y107" s="21">
        <f t="shared" si="111"/>
        <v>543365.23182031058</v>
      </c>
      <c r="Z107" s="32">
        <v>42411</v>
      </c>
      <c r="AA107" s="37"/>
      <c r="AB107" s="37" t="s">
        <v>1188</v>
      </c>
    </row>
    <row r="108" spans="1:28" s="12" customFormat="1" x14ac:dyDescent="0.25">
      <c r="A108" s="91"/>
      <c r="B108" s="24" t="s">
        <v>32</v>
      </c>
      <c r="C108" s="14" t="s">
        <v>33</v>
      </c>
      <c r="D108" s="25" t="s">
        <v>1102</v>
      </c>
      <c r="E108" s="14">
        <v>250</v>
      </c>
      <c r="F108" s="26">
        <v>27960</v>
      </c>
      <c r="G108" s="27">
        <f>15080+7290</f>
        <v>22370</v>
      </c>
      <c r="H108" s="27">
        <f t="shared" si="112"/>
        <v>-5590</v>
      </c>
      <c r="I108" s="25" t="s">
        <v>1137</v>
      </c>
      <c r="J108" s="14"/>
      <c r="K108" s="17"/>
      <c r="L108" s="17">
        <v>42400</v>
      </c>
      <c r="M108" s="25" t="s">
        <v>36</v>
      </c>
      <c r="N108" s="14"/>
      <c r="O108" s="18">
        <v>22</v>
      </c>
      <c r="P108" s="19"/>
      <c r="Q108" s="29">
        <v>16500</v>
      </c>
      <c r="R108" s="18">
        <f>59.25*E108</f>
        <v>14812.5</v>
      </c>
      <c r="S108" s="30">
        <f t="shared" ref="S108" si="120">-35*E108</f>
        <v>-8750</v>
      </c>
      <c r="T108" s="101">
        <f>W108*F108*0.0045</f>
        <v>3593.6739897183729</v>
      </c>
      <c r="U108" s="18">
        <f>E108*5</f>
        <v>1250</v>
      </c>
      <c r="V108" s="14"/>
      <c r="W108" s="18">
        <f>((O108*F108)+Q108+R108+S108+U108)/G108</f>
        <v>28.562025033527046</v>
      </c>
      <c r="X108" s="18">
        <f>((O108*F108)+Q108+R108+S108+T108+U108)/G108</f>
        <v>28.722672060336095</v>
      </c>
      <c r="Y108" s="21">
        <f t="shared" si="111"/>
        <v>803085.91080699721</v>
      </c>
      <c r="Z108" s="32">
        <v>42415</v>
      </c>
      <c r="AA108" s="2"/>
      <c r="AB108" s="2"/>
    </row>
    <row r="109" spans="1:28" s="12" customFormat="1" ht="15.75" thickBot="1" x14ac:dyDescent="0.3">
      <c r="A109" s="91"/>
      <c r="B109" s="41"/>
      <c r="C109" s="4"/>
      <c r="D109" s="4"/>
      <c r="E109" s="4"/>
      <c r="F109" s="42"/>
      <c r="G109" s="42"/>
      <c r="H109" s="42"/>
      <c r="I109" s="6"/>
      <c r="J109" s="4"/>
      <c r="K109" s="7"/>
      <c r="L109" s="7"/>
      <c r="M109" s="4"/>
      <c r="N109" s="4"/>
      <c r="O109" s="8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43"/>
      <c r="AA109" s="2">
        <v>31.5</v>
      </c>
      <c r="AB109" s="2" t="s">
        <v>1171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2"/>
  <sheetViews>
    <sheetView topLeftCell="A433" workbookViewId="0">
      <selection activeCell="D438" sqref="D438"/>
    </sheetView>
  </sheetViews>
  <sheetFormatPr baseColWidth="10" defaultRowHeight="15" x14ac:dyDescent="0.25"/>
  <cols>
    <col min="1" max="1" width="3.7109375" customWidth="1"/>
    <col min="2" max="2" width="4.5703125" customWidth="1"/>
    <col min="3" max="3" width="14.5703125" customWidth="1"/>
    <col min="4" max="4" width="31.42578125" customWidth="1"/>
    <col min="5" max="5" width="15" customWidth="1"/>
    <col min="6" max="6" width="20" customWidth="1"/>
    <col min="10" max="10" width="17.42578125" customWidth="1"/>
  </cols>
  <sheetData>
    <row r="2" spans="1:12" x14ac:dyDescent="0.25">
      <c r="A2" t="s">
        <v>1142</v>
      </c>
    </row>
    <row r="3" spans="1:12" x14ac:dyDescent="0.25">
      <c r="A3" t="s">
        <v>125</v>
      </c>
      <c r="B3" s="55">
        <v>4</v>
      </c>
      <c r="C3" s="2">
        <v>624730.62</v>
      </c>
      <c r="D3" t="s">
        <v>126</v>
      </c>
      <c r="E3" s="49"/>
      <c r="F3" t="s">
        <v>127</v>
      </c>
    </row>
    <row r="4" spans="1:12" hidden="1" x14ac:dyDescent="0.25">
      <c r="A4" t="s">
        <v>128</v>
      </c>
      <c r="B4" s="48">
        <v>22</v>
      </c>
      <c r="C4" s="51">
        <v>1431786.17</v>
      </c>
      <c r="D4" s="52" t="s">
        <v>129</v>
      </c>
      <c r="E4" s="52" t="s">
        <v>130</v>
      </c>
      <c r="F4" s="52" t="s">
        <v>131</v>
      </c>
      <c r="G4" s="51">
        <v>78</v>
      </c>
      <c r="H4" s="53">
        <v>42376</v>
      </c>
      <c r="I4" s="54" t="s">
        <v>124</v>
      </c>
      <c r="J4" s="52"/>
      <c r="K4" s="50"/>
      <c r="L4" s="50"/>
    </row>
    <row r="5" spans="1:12" hidden="1" x14ac:dyDescent="0.25">
      <c r="A5" t="s">
        <v>125</v>
      </c>
      <c r="B5" s="48">
        <v>4</v>
      </c>
      <c r="C5" s="51">
        <f>30241.36*G5</f>
        <v>521965.87360000005</v>
      </c>
      <c r="D5" s="52" t="s">
        <v>132</v>
      </c>
      <c r="E5" s="52" t="s">
        <v>133</v>
      </c>
      <c r="F5" s="52" t="s">
        <v>134</v>
      </c>
      <c r="G5" s="51">
        <v>17.260000000000002</v>
      </c>
      <c r="H5" s="52">
        <v>29.83</v>
      </c>
      <c r="I5" s="53">
        <v>42367</v>
      </c>
      <c r="J5" s="54" t="s">
        <v>124</v>
      </c>
    </row>
    <row r="6" spans="1:12" hidden="1" x14ac:dyDescent="0.25">
      <c r="A6" t="s">
        <v>125</v>
      </c>
      <c r="B6" s="48">
        <v>4</v>
      </c>
      <c r="C6" s="51">
        <f>31001.05*G6</f>
        <v>535078.12300000002</v>
      </c>
      <c r="D6" s="52" t="s">
        <v>135</v>
      </c>
      <c r="E6" s="52" t="s">
        <v>136</v>
      </c>
      <c r="F6" s="52" t="s">
        <v>137</v>
      </c>
      <c r="G6" s="51">
        <v>17.260000000000002</v>
      </c>
      <c r="H6" s="52">
        <v>29.8</v>
      </c>
      <c r="I6" s="53">
        <v>42367</v>
      </c>
      <c r="J6" s="54" t="s">
        <v>124</v>
      </c>
    </row>
    <row r="7" spans="1:12" hidden="1" x14ac:dyDescent="0.25">
      <c r="A7" t="s">
        <v>125</v>
      </c>
      <c r="B7" s="48">
        <v>4</v>
      </c>
      <c r="C7" s="51">
        <f>30376.6*G7</f>
        <v>524300.11600000004</v>
      </c>
      <c r="D7" s="52" t="s">
        <v>138</v>
      </c>
      <c r="E7" s="52" t="s">
        <v>139</v>
      </c>
      <c r="F7" s="52" t="s">
        <v>140</v>
      </c>
      <c r="G7" s="51">
        <v>17.260000000000002</v>
      </c>
      <c r="H7" s="52">
        <v>29.98</v>
      </c>
      <c r="I7" s="53">
        <v>42367</v>
      </c>
      <c r="J7" s="54" t="s">
        <v>124</v>
      </c>
    </row>
    <row r="8" spans="1:12" hidden="1" x14ac:dyDescent="0.25">
      <c r="A8" t="s">
        <v>125</v>
      </c>
      <c r="B8" s="48">
        <v>4</v>
      </c>
      <c r="C8" s="51">
        <f>29193.27*G8</f>
        <v>503875.84020000004</v>
      </c>
      <c r="D8" s="52" t="s">
        <v>141</v>
      </c>
      <c r="E8" s="52" t="s">
        <v>142</v>
      </c>
      <c r="F8" s="52" t="s">
        <v>143</v>
      </c>
      <c r="G8" s="51">
        <v>17.260000000000002</v>
      </c>
      <c r="H8" s="52">
        <v>29.82</v>
      </c>
      <c r="I8" s="53">
        <v>42367</v>
      </c>
      <c r="J8" s="54" t="s">
        <v>124</v>
      </c>
    </row>
    <row r="9" spans="1:12" s="50" customFormat="1" hidden="1" x14ac:dyDescent="0.25">
      <c r="A9" s="50" t="s">
        <v>125</v>
      </c>
      <c r="B9" s="56">
        <v>4</v>
      </c>
      <c r="C9" s="51">
        <f>30213.28*G9</f>
        <v>528732.4</v>
      </c>
      <c r="D9" s="52" t="s">
        <v>144</v>
      </c>
      <c r="E9" s="52" t="s">
        <v>145</v>
      </c>
      <c r="F9" s="52" t="s">
        <v>146</v>
      </c>
      <c r="G9" s="51">
        <v>17.5</v>
      </c>
      <c r="H9" s="52">
        <v>30.06</v>
      </c>
      <c r="I9" s="53">
        <v>42368</v>
      </c>
      <c r="J9" s="54" t="s">
        <v>124</v>
      </c>
    </row>
    <row r="10" spans="1:12" s="50" customFormat="1" hidden="1" x14ac:dyDescent="0.25">
      <c r="A10" s="50" t="s">
        <v>125</v>
      </c>
      <c r="B10" s="56">
        <v>4</v>
      </c>
      <c r="C10" s="51">
        <f>31295.09*G10</f>
        <v>541092.10609999998</v>
      </c>
      <c r="D10" s="52" t="s">
        <v>147</v>
      </c>
      <c r="E10" s="52" t="s">
        <v>148</v>
      </c>
      <c r="F10" s="52" t="s">
        <v>149</v>
      </c>
      <c r="G10" s="51">
        <v>17.29</v>
      </c>
      <c r="H10" s="52">
        <v>28.53</v>
      </c>
      <c r="I10" s="53">
        <v>42369</v>
      </c>
      <c r="J10" s="54" t="s">
        <v>124</v>
      </c>
    </row>
    <row r="11" spans="1:12" s="50" customFormat="1" hidden="1" x14ac:dyDescent="0.25">
      <c r="A11" s="50" t="s">
        <v>125</v>
      </c>
      <c r="B11" s="56">
        <v>4</v>
      </c>
      <c r="C11" s="51">
        <v>372762.34</v>
      </c>
      <c r="D11" s="52" t="s">
        <v>150</v>
      </c>
      <c r="E11" s="52" t="s">
        <v>151</v>
      </c>
      <c r="F11" s="52" t="s">
        <v>152</v>
      </c>
      <c r="G11" s="57">
        <v>42373</v>
      </c>
      <c r="H11" s="53" t="s">
        <v>153</v>
      </c>
      <c r="I11" s="58"/>
      <c r="J11" s="59"/>
    </row>
    <row r="12" spans="1:12" s="50" customFormat="1" hidden="1" x14ac:dyDescent="0.25">
      <c r="A12" s="50" t="s">
        <v>125</v>
      </c>
      <c r="B12" s="56">
        <v>4</v>
      </c>
      <c r="C12" s="51">
        <v>694452.5</v>
      </c>
      <c r="D12" s="52" t="s">
        <v>154</v>
      </c>
      <c r="E12" s="52" t="s">
        <v>155</v>
      </c>
      <c r="F12" s="52" t="s">
        <v>156</v>
      </c>
      <c r="G12" s="53">
        <v>42009</v>
      </c>
      <c r="H12" s="53" t="s">
        <v>153</v>
      </c>
      <c r="I12" s="58"/>
      <c r="J12" s="59"/>
    </row>
    <row r="13" spans="1:12" s="50" customFormat="1" hidden="1" x14ac:dyDescent="0.25">
      <c r="A13" s="50" t="s">
        <v>125</v>
      </c>
      <c r="B13" s="56">
        <v>4</v>
      </c>
      <c r="C13" s="51">
        <v>545247.5</v>
      </c>
      <c r="D13" s="52" t="s">
        <v>154</v>
      </c>
      <c r="E13" s="52" t="s">
        <v>157</v>
      </c>
      <c r="F13" s="52" t="s">
        <v>156</v>
      </c>
      <c r="G13" s="53">
        <v>42376</v>
      </c>
      <c r="H13" s="53" t="s">
        <v>153</v>
      </c>
      <c r="I13" s="58"/>
      <c r="J13" s="59"/>
    </row>
    <row r="14" spans="1:12" s="50" customFormat="1" hidden="1" x14ac:dyDescent="0.25">
      <c r="A14" s="50" t="s">
        <v>125</v>
      </c>
      <c r="B14" s="56">
        <v>4</v>
      </c>
      <c r="C14" s="51">
        <v>372277.5</v>
      </c>
      <c r="D14" s="52" t="s">
        <v>158</v>
      </c>
      <c r="E14" s="52" t="s">
        <v>159</v>
      </c>
      <c r="F14" s="52" t="s">
        <v>156</v>
      </c>
      <c r="G14" s="57">
        <v>42380</v>
      </c>
      <c r="H14" s="53" t="s">
        <v>153</v>
      </c>
      <c r="I14" s="58"/>
      <c r="J14" s="59"/>
    </row>
    <row r="15" spans="1:12" s="50" customFormat="1" hidden="1" x14ac:dyDescent="0.25">
      <c r="A15" s="50" t="s">
        <v>125</v>
      </c>
      <c r="B15" s="56">
        <v>4</v>
      </c>
      <c r="C15" s="51">
        <v>604660</v>
      </c>
      <c r="D15" s="52" t="s">
        <v>160</v>
      </c>
      <c r="E15" s="52" t="s">
        <v>161</v>
      </c>
      <c r="F15" s="52" t="s">
        <v>156</v>
      </c>
      <c r="G15" s="57">
        <v>42377</v>
      </c>
      <c r="H15" s="53" t="s">
        <v>153</v>
      </c>
      <c r="I15" s="58"/>
      <c r="J15" s="59"/>
    </row>
    <row r="16" spans="1:12" s="50" customFormat="1" hidden="1" x14ac:dyDescent="0.25">
      <c r="A16" s="50" t="s">
        <v>125</v>
      </c>
      <c r="B16" s="56">
        <v>4</v>
      </c>
      <c r="C16" s="51">
        <v>576117.5</v>
      </c>
      <c r="D16" s="52" t="s">
        <v>162</v>
      </c>
      <c r="E16" s="52" t="s">
        <v>163</v>
      </c>
      <c r="F16" s="52" t="s">
        <v>156</v>
      </c>
      <c r="G16" s="57">
        <v>42380</v>
      </c>
      <c r="H16" s="53" t="s">
        <v>153</v>
      </c>
      <c r="I16" s="58"/>
      <c r="J16" s="59"/>
    </row>
    <row r="17" spans="1:10" s="50" customFormat="1" hidden="1" x14ac:dyDescent="0.25">
      <c r="A17" s="50" t="s">
        <v>125</v>
      </c>
      <c r="B17" s="56">
        <v>4</v>
      </c>
      <c r="C17" s="51">
        <v>596207.5</v>
      </c>
      <c r="D17" s="52" t="s">
        <v>164</v>
      </c>
      <c r="E17" s="52" t="s">
        <v>165</v>
      </c>
      <c r="F17" s="52" t="s">
        <v>156</v>
      </c>
      <c r="G17" s="57">
        <v>42380</v>
      </c>
      <c r="H17" s="53" t="s">
        <v>153</v>
      </c>
      <c r="I17" s="58"/>
      <c r="J17" s="59"/>
    </row>
    <row r="18" spans="1:10" s="50" customFormat="1" hidden="1" x14ac:dyDescent="0.25">
      <c r="A18" s="50" t="s">
        <v>125</v>
      </c>
      <c r="B18" s="56">
        <v>4</v>
      </c>
      <c r="C18" s="51">
        <f>330382.5+50895.78</f>
        <v>381278.28</v>
      </c>
      <c r="D18" s="52" t="s">
        <v>166</v>
      </c>
      <c r="E18" s="52" t="s">
        <v>167</v>
      </c>
      <c r="F18" s="52" t="s">
        <v>156</v>
      </c>
      <c r="G18" s="57">
        <v>42380</v>
      </c>
      <c r="H18" s="53" t="s">
        <v>153</v>
      </c>
      <c r="I18" s="58"/>
      <c r="J18" s="59"/>
    </row>
    <row r="19" spans="1:10" s="50" customFormat="1" hidden="1" x14ac:dyDescent="0.25">
      <c r="A19" s="50" t="s">
        <v>125</v>
      </c>
      <c r="B19" s="56">
        <v>4</v>
      </c>
      <c r="C19" s="51">
        <f>269377.5</f>
        <v>269377.5</v>
      </c>
      <c r="D19" s="52" t="s">
        <v>168</v>
      </c>
      <c r="E19" s="52" t="s">
        <v>169</v>
      </c>
      <c r="F19" s="52" t="s">
        <v>156</v>
      </c>
      <c r="G19" s="57">
        <v>42380</v>
      </c>
      <c r="H19" s="53" t="s">
        <v>153</v>
      </c>
      <c r="I19" s="58"/>
      <c r="J19" s="59"/>
    </row>
    <row r="20" spans="1:10" s="50" customFormat="1" hidden="1" x14ac:dyDescent="0.25">
      <c r="A20" s="50" t="s">
        <v>125</v>
      </c>
      <c r="B20" s="56">
        <v>4</v>
      </c>
      <c r="C20" s="51">
        <v>87571.55</v>
      </c>
      <c r="D20" s="52" t="s">
        <v>168</v>
      </c>
      <c r="E20" s="52" t="s">
        <v>1084</v>
      </c>
      <c r="F20" s="52" t="s">
        <v>1085</v>
      </c>
      <c r="G20" s="57">
        <v>42396</v>
      </c>
      <c r="H20" s="53" t="s">
        <v>153</v>
      </c>
      <c r="I20" s="58"/>
      <c r="J20" s="59"/>
    </row>
    <row r="21" spans="1:10" hidden="1" x14ac:dyDescent="0.25">
      <c r="A21" t="s">
        <v>128</v>
      </c>
      <c r="B21" s="48">
        <v>5</v>
      </c>
      <c r="C21" s="51">
        <v>591430</v>
      </c>
      <c r="D21" s="53" t="s">
        <v>170</v>
      </c>
      <c r="E21" s="53" t="s">
        <v>171</v>
      </c>
      <c r="F21" s="53" t="s">
        <v>156</v>
      </c>
      <c r="G21" s="53">
        <v>42381</v>
      </c>
      <c r="H21" s="53" t="s">
        <v>153</v>
      </c>
    </row>
    <row r="22" spans="1:10" hidden="1" x14ac:dyDescent="0.25">
      <c r="A22" t="s">
        <v>128</v>
      </c>
      <c r="B22" s="48">
        <v>5</v>
      </c>
      <c r="C22" s="51">
        <v>612132.5</v>
      </c>
      <c r="D22" s="52" t="s">
        <v>172</v>
      </c>
      <c r="E22" s="52" t="s">
        <v>173</v>
      </c>
      <c r="F22" s="52" t="s">
        <v>156</v>
      </c>
      <c r="G22" s="53">
        <v>42381</v>
      </c>
      <c r="H22" s="53" t="s">
        <v>153</v>
      </c>
    </row>
    <row r="23" spans="1:10" hidden="1" x14ac:dyDescent="0.25">
      <c r="A23" t="s">
        <v>120</v>
      </c>
      <c r="B23" s="48">
        <v>6</v>
      </c>
      <c r="C23" s="51">
        <v>597922.5</v>
      </c>
      <c r="D23" s="52" t="s">
        <v>174</v>
      </c>
      <c r="E23" s="52" t="s">
        <v>175</v>
      </c>
      <c r="F23" s="52" t="s">
        <v>156</v>
      </c>
      <c r="G23" s="53">
        <v>42382</v>
      </c>
      <c r="H23" s="53" t="s">
        <v>153</v>
      </c>
    </row>
    <row r="24" spans="1:10" hidden="1" x14ac:dyDescent="0.25">
      <c r="A24" t="s">
        <v>120</v>
      </c>
      <c r="B24" s="48">
        <v>6</v>
      </c>
      <c r="C24" s="51">
        <v>550760</v>
      </c>
      <c r="D24" s="52" t="s">
        <v>174</v>
      </c>
      <c r="E24" s="52" t="s">
        <v>176</v>
      </c>
      <c r="F24" s="52" t="s">
        <v>156</v>
      </c>
      <c r="G24" s="53">
        <v>42383</v>
      </c>
      <c r="H24" s="53" t="s">
        <v>153</v>
      </c>
    </row>
    <row r="25" spans="1:10" hidden="1" x14ac:dyDescent="0.25">
      <c r="A25" t="s">
        <v>120</v>
      </c>
      <c r="B25" s="48">
        <v>6</v>
      </c>
      <c r="C25" s="51">
        <f>93467.5+10072.44</f>
        <v>103539.94</v>
      </c>
      <c r="D25" s="52" t="s">
        <v>177</v>
      </c>
      <c r="E25" s="52" t="s">
        <v>178</v>
      </c>
      <c r="F25" s="52" t="s">
        <v>156</v>
      </c>
      <c r="G25" s="53">
        <v>42383</v>
      </c>
      <c r="H25" s="53" t="s">
        <v>153</v>
      </c>
    </row>
    <row r="26" spans="1:10" hidden="1" x14ac:dyDescent="0.25">
      <c r="A26" t="s">
        <v>120</v>
      </c>
      <c r="B26" s="48">
        <v>6</v>
      </c>
      <c r="C26" s="51">
        <f>317760.02+320159.82</f>
        <v>637919.84000000008</v>
      </c>
      <c r="D26" s="52" t="s">
        <v>179</v>
      </c>
      <c r="E26" s="52" t="s">
        <v>180</v>
      </c>
      <c r="F26" s="52" t="s">
        <v>152</v>
      </c>
      <c r="G26" s="53">
        <v>42376</v>
      </c>
      <c r="H26" s="53" t="s">
        <v>153</v>
      </c>
    </row>
    <row r="27" spans="1:10" hidden="1" x14ac:dyDescent="0.25">
      <c r="A27" t="s">
        <v>120</v>
      </c>
      <c r="B27" s="48">
        <v>6</v>
      </c>
      <c r="C27" s="60">
        <f>21000*G27</f>
        <v>367395</v>
      </c>
      <c r="D27" s="61" t="s">
        <v>181</v>
      </c>
      <c r="E27" s="61" t="s">
        <v>826</v>
      </c>
      <c r="F27" s="61" t="s">
        <v>182</v>
      </c>
      <c r="G27" s="62">
        <v>17.495000000000001</v>
      </c>
      <c r="H27" s="61">
        <v>25.77</v>
      </c>
      <c r="I27" s="63">
        <v>42375</v>
      </c>
      <c r="J27" s="64" t="s">
        <v>124</v>
      </c>
    </row>
    <row r="28" spans="1:10" hidden="1" x14ac:dyDescent="0.25">
      <c r="A28" t="s">
        <v>120</v>
      </c>
      <c r="B28" s="48">
        <v>6</v>
      </c>
      <c r="C28" s="51">
        <f>25976.31*G28</f>
        <v>449130.39990000002</v>
      </c>
      <c r="D28" s="52" t="s">
        <v>183</v>
      </c>
      <c r="E28" s="52" t="s">
        <v>184</v>
      </c>
      <c r="F28" s="52" t="s">
        <v>185</v>
      </c>
      <c r="G28" s="51">
        <v>17.29</v>
      </c>
      <c r="H28" s="52">
        <v>27</v>
      </c>
      <c r="I28" s="53">
        <v>42369</v>
      </c>
      <c r="J28" s="54" t="s">
        <v>124</v>
      </c>
    </row>
    <row r="29" spans="1:10" hidden="1" x14ac:dyDescent="0.25">
      <c r="A29" t="s">
        <v>186</v>
      </c>
      <c r="B29" s="48">
        <v>7</v>
      </c>
      <c r="C29" s="51">
        <f>26486.18*G29</f>
        <v>457946.05219999998</v>
      </c>
      <c r="D29" s="52" t="s">
        <v>187</v>
      </c>
      <c r="E29" s="52" t="s">
        <v>188</v>
      </c>
      <c r="F29" s="52" t="s">
        <v>189</v>
      </c>
      <c r="G29" s="51">
        <v>17.29</v>
      </c>
      <c r="H29" s="52">
        <v>26.66</v>
      </c>
      <c r="I29" s="53">
        <v>42369</v>
      </c>
      <c r="J29" s="54" t="s">
        <v>124</v>
      </c>
    </row>
    <row r="30" spans="1:10" hidden="1" x14ac:dyDescent="0.25">
      <c r="A30" t="s">
        <v>186</v>
      </c>
      <c r="B30" s="48">
        <v>7</v>
      </c>
      <c r="C30" s="51">
        <f>26354*G30</f>
        <v>455660.66</v>
      </c>
      <c r="D30" s="52" t="s">
        <v>190</v>
      </c>
      <c r="E30" s="52" t="s">
        <v>191</v>
      </c>
      <c r="F30" s="52" t="s">
        <v>192</v>
      </c>
      <c r="G30" s="51">
        <v>17.29</v>
      </c>
      <c r="H30" s="52">
        <v>26.67</v>
      </c>
      <c r="I30" s="53">
        <v>42369</v>
      </c>
      <c r="J30" s="54" t="s">
        <v>124</v>
      </c>
    </row>
    <row r="31" spans="1:10" hidden="1" x14ac:dyDescent="0.25">
      <c r="A31" t="s">
        <v>186</v>
      </c>
      <c r="B31" s="48">
        <v>7</v>
      </c>
      <c r="C31" s="51">
        <f>26050.51*G31</f>
        <v>455883.92499999999</v>
      </c>
      <c r="D31" s="52" t="s">
        <v>193</v>
      </c>
      <c r="E31" s="52" t="s">
        <v>194</v>
      </c>
      <c r="F31" s="52" t="s">
        <v>195</v>
      </c>
      <c r="G31" s="51">
        <v>17.5</v>
      </c>
      <c r="H31" s="52">
        <v>26.79</v>
      </c>
      <c r="I31" s="53">
        <v>42368</v>
      </c>
      <c r="J31" s="54" t="s">
        <v>124</v>
      </c>
    </row>
    <row r="32" spans="1:10" s="50" customFormat="1" hidden="1" x14ac:dyDescent="0.25">
      <c r="A32" t="s">
        <v>186</v>
      </c>
      <c r="B32" s="48">
        <v>7</v>
      </c>
      <c r="C32" s="60">
        <f>10000*G32</f>
        <v>174950</v>
      </c>
      <c r="D32" s="61" t="s">
        <v>196</v>
      </c>
      <c r="E32" s="61" t="s">
        <v>197</v>
      </c>
      <c r="F32" s="61" t="s">
        <v>198</v>
      </c>
      <c r="G32" s="62">
        <v>17.495000000000001</v>
      </c>
      <c r="H32" s="61">
        <v>25.81</v>
      </c>
      <c r="I32" s="63">
        <v>42375</v>
      </c>
      <c r="J32" s="64" t="s">
        <v>124</v>
      </c>
    </row>
    <row r="33" spans="1:17" s="50" customFormat="1" hidden="1" x14ac:dyDescent="0.25">
      <c r="A33" t="s">
        <v>186</v>
      </c>
      <c r="B33" s="48">
        <v>7</v>
      </c>
      <c r="C33" s="60">
        <f t="shared" ref="C33:C34" si="0">10000*G33</f>
        <v>174950</v>
      </c>
      <c r="D33" s="61" t="s">
        <v>199</v>
      </c>
      <c r="E33" s="61" t="s">
        <v>839</v>
      </c>
      <c r="F33" s="61" t="s">
        <v>198</v>
      </c>
      <c r="G33" s="62">
        <v>17.495000000000001</v>
      </c>
      <c r="H33" s="61">
        <v>25.73</v>
      </c>
      <c r="I33" s="63">
        <v>42375</v>
      </c>
      <c r="J33" s="64" t="s">
        <v>124</v>
      </c>
    </row>
    <row r="34" spans="1:17" s="50" customFormat="1" hidden="1" x14ac:dyDescent="0.25">
      <c r="A34" t="s">
        <v>186</v>
      </c>
      <c r="B34" s="48">
        <v>7</v>
      </c>
      <c r="C34" s="60">
        <f t="shared" si="0"/>
        <v>174950</v>
      </c>
      <c r="D34" s="61" t="s">
        <v>200</v>
      </c>
      <c r="E34" s="61" t="s">
        <v>840</v>
      </c>
      <c r="F34" s="61" t="s">
        <v>198</v>
      </c>
      <c r="G34" s="62">
        <v>17.495000000000001</v>
      </c>
      <c r="H34" s="61">
        <v>25.73</v>
      </c>
      <c r="I34" s="63">
        <v>42375</v>
      </c>
      <c r="J34" s="64" t="s">
        <v>124</v>
      </c>
    </row>
    <row r="35" spans="1:17" s="50" customFormat="1" hidden="1" x14ac:dyDescent="0.25">
      <c r="A35" t="s">
        <v>117</v>
      </c>
      <c r="B35" s="48">
        <v>8</v>
      </c>
      <c r="C35" s="60">
        <f>25000*G35</f>
        <v>437375</v>
      </c>
      <c r="D35" s="61" t="s">
        <v>841</v>
      </c>
      <c r="E35" s="61" t="s">
        <v>845</v>
      </c>
      <c r="F35" s="61" t="s">
        <v>201</v>
      </c>
      <c r="G35" s="62">
        <v>17.495000000000001</v>
      </c>
      <c r="H35" s="61">
        <v>25.89</v>
      </c>
      <c r="I35" s="63">
        <v>42375</v>
      </c>
      <c r="J35" s="64" t="s">
        <v>124</v>
      </c>
    </row>
    <row r="36" spans="1:17" s="50" customFormat="1" hidden="1" x14ac:dyDescent="0.25">
      <c r="A36" t="s">
        <v>117</v>
      </c>
      <c r="B36" s="48">
        <v>8</v>
      </c>
      <c r="C36" s="60">
        <f>22000*G36</f>
        <v>384890</v>
      </c>
      <c r="D36" s="61" t="s">
        <v>202</v>
      </c>
      <c r="E36" s="61" t="s">
        <v>838</v>
      </c>
      <c r="F36" s="61" t="s">
        <v>203</v>
      </c>
      <c r="G36" s="62">
        <v>17.495000000000001</v>
      </c>
      <c r="H36" s="61">
        <v>26.58</v>
      </c>
      <c r="I36" s="63">
        <v>42375</v>
      </c>
      <c r="J36" s="64" t="s">
        <v>124</v>
      </c>
    </row>
    <row r="37" spans="1:17" s="50" customFormat="1" hidden="1" x14ac:dyDescent="0.25">
      <c r="A37" t="s">
        <v>117</v>
      </c>
      <c r="B37" s="48">
        <v>8</v>
      </c>
      <c r="C37" s="60">
        <f>22000*G37</f>
        <v>384890</v>
      </c>
      <c r="D37" s="61" t="s">
        <v>204</v>
      </c>
      <c r="E37" s="61" t="s">
        <v>899</v>
      </c>
      <c r="F37" s="61" t="s">
        <v>203</v>
      </c>
      <c r="G37" s="62">
        <v>17.495000000000001</v>
      </c>
      <c r="H37" s="61">
        <v>26.58</v>
      </c>
      <c r="I37" s="63">
        <v>42375</v>
      </c>
      <c r="J37" s="64" t="s">
        <v>124</v>
      </c>
    </row>
    <row r="38" spans="1:17" hidden="1" x14ac:dyDescent="0.25">
      <c r="A38" t="s">
        <v>117</v>
      </c>
      <c r="B38" s="48">
        <v>8</v>
      </c>
      <c r="C38" s="65">
        <f>27762.27*G38</f>
        <v>482508.25260000001</v>
      </c>
      <c r="D38" s="66" t="s">
        <v>205</v>
      </c>
      <c r="E38" s="66" t="s">
        <v>206</v>
      </c>
      <c r="F38" s="66" t="s">
        <v>207</v>
      </c>
      <c r="G38" s="66">
        <v>17.38</v>
      </c>
      <c r="H38" s="66">
        <v>27.06</v>
      </c>
      <c r="I38" s="67">
        <v>42368</v>
      </c>
      <c r="J38" s="68" t="s">
        <v>124</v>
      </c>
      <c r="K38" s="69" t="s">
        <v>208</v>
      </c>
      <c r="L38" s="69"/>
      <c r="M38" s="69"/>
      <c r="N38" s="69"/>
      <c r="O38" s="69"/>
      <c r="P38" s="69"/>
      <c r="Q38" s="69"/>
    </row>
    <row r="39" spans="1:17" hidden="1" x14ac:dyDescent="0.25">
      <c r="A39" t="s">
        <v>117</v>
      </c>
      <c r="B39" s="48">
        <v>8</v>
      </c>
      <c r="C39" s="51">
        <f>26081.11*G39</f>
        <v>450942.39189999999</v>
      </c>
      <c r="D39" s="52" t="s">
        <v>209</v>
      </c>
      <c r="E39" s="52" t="s">
        <v>210</v>
      </c>
      <c r="F39" s="52" t="s">
        <v>211</v>
      </c>
      <c r="G39" s="51">
        <v>17.29</v>
      </c>
      <c r="H39" s="52">
        <v>27.05</v>
      </c>
      <c r="I39" s="53">
        <v>42369</v>
      </c>
      <c r="J39" s="54" t="s">
        <v>124</v>
      </c>
    </row>
    <row r="40" spans="1:17" hidden="1" x14ac:dyDescent="0.25">
      <c r="A40" s="49" t="s">
        <v>118</v>
      </c>
      <c r="B40" s="48">
        <v>9</v>
      </c>
      <c r="C40" s="2"/>
    </row>
    <row r="41" spans="1:17" hidden="1" x14ac:dyDescent="0.25">
      <c r="A41" s="49" t="s">
        <v>119</v>
      </c>
      <c r="B41" s="48">
        <v>10</v>
      </c>
      <c r="C41" s="2"/>
    </row>
    <row r="42" spans="1:17" hidden="1" x14ac:dyDescent="0.25">
      <c r="A42" t="s">
        <v>125</v>
      </c>
      <c r="B42" s="48">
        <v>11</v>
      </c>
      <c r="C42" s="51">
        <f>24677.12*G42</f>
        <v>426667.40479999996</v>
      </c>
      <c r="D42" s="52" t="s">
        <v>212</v>
      </c>
      <c r="E42" s="52" t="s">
        <v>213</v>
      </c>
      <c r="F42" s="52" t="s">
        <v>214</v>
      </c>
      <c r="G42" s="51">
        <v>17.29</v>
      </c>
      <c r="H42" s="52">
        <v>24.67</v>
      </c>
      <c r="I42" s="53">
        <v>42369</v>
      </c>
      <c r="J42" s="54" t="s">
        <v>124</v>
      </c>
    </row>
    <row r="43" spans="1:17" hidden="1" x14ac:dyDescent="0.25">
      <c r="A43" t="s">
        <v>125</v>
      </c>
      <c r="B43" s="48">
        <v>11</v>
      </c>
      <c r="C43" s="51">
        <f>25231.6*G43</f>
        <v>436254.36399999994</v>
      </c>
      <c r="D43" s="52" t="s">
        <v>215</v>
      </c>
      <c r="E43" s="52" t="s">
        <v>216</v>
      </c>
      <c r="F43" s="52" t="s">
        <v>217</v>
      </c>
      <c r="G43" s="51">
        <v>17.29</v>
      </c>
      <c r="H43" s="52">
        <v>24.63</v>
      </c>
      <c r="I43" s="53">
        <v>42369</v>
      </c>
      <c r="J43" s="54" t="s">
        <v>124</v>
      </c>
    </row>
    <row r="44" spans="1:17" hidden="1" x14ac:dyDescent="0.25">
      <c r="A44" t="s">
        <v>125</v>
      </c>
      <c r="B44" s="48">
        <v>11</v>
      </c>
      <c r="C44" s="51">
        <f>24800.73*G44</f>
        <v>428804.62169999996</v>
      </c>
      <c r="D44" s="52" t="s">
        <v>218</v>
      </c>
      <c r="E44" s="52" t="s">
        <v>219</v>
      </c>
      <c r="F44" s="52" t="s">
        <v>220</v>
      </c>
      <c r="G44" s="51">
        <v>17.29</v>
      </c>
      <c r="H44" s="52">
        <v>24.66</v>
      </c>
      <c r="I44" s="53">
        <v>42369</v>
      </c>
      <c r="J44" s="54" t="s">
        <v>124</v>
      </c>
    </row>
    <row r="45" spans="1:17" hidden="1" x14ac:dyDescent="0.25">
      <c r="A45" t="s">
        <v>125</v>
      </c>
      <c r="B45" s="48">
        <v>11</v>
      </c>
      <c r="C45" s="60">
        <f>27000*G45</f>
        <v>483246</v>
      </c>
      <c r="D45" s="61" t="s">
        <v>221</v>
      </c>
      <c r="E45" s="61" t="s">
        <v>949</v>
      </c>
      <c r="F45" s="61" t="s">
        <v>222</v>
      </c>
      <c r="G45" s="62">
        <v>17.898</v>
      </c>
      <c r="H45" s="61">
        <v>26.93</v>
      </c>
      <c r="I45" s="63">
        <v>42380</v>
      </c>
      <c r="J45" s="64" t="s">
        <v>124</v>
      </c>
    </row>
    <row r="46" spans="1:17" hidden="1" x14ac:dyDescent="0.25">
      <c r="A46" t="s">
        <v>125</v>
      </c>
      <c r="B46" s="48">
        <v>11</v>
      </c>
      <c r="C46" s="51">
        <v>586897.5</v>
      </c>
      <c r="D46" s="52" t="s">
        <v>223</v>
      </c>
      <c r="E46" s="52" t="s">
        <v>224</v>
      </c>
      <c r="F46" s="52" t="s">
        <v>156</v>
      </c>
      <c r="G46" s="53">
        <v>42383</v>
      </c>
      <c r="H46" s="53" t="s">
        <v>153</v>
      </c>
      <c r="I46" s="58"/>
      <c r="J46" s="59"/>
    </row>
    <row r="47" spans="1:17" hidden="1" x14ac:dyDescent="0.25">
      <c r="A47" t="s">
        <v>125</v>
      </c>
      <c r="B47" s="48">
        <v>11</v>
      </c>
      <c r="C47" s="51">
        <v>361865</v>
      </c>
      <c r="D47" s="52" t="s">
        <v>223</v>
      </c>
      <c r="E47" s="52" t="s">
        <v>225</v>
      </c>
      <c r="F47" s="52" t="s">
        <v>156</v>
      </c>
      <c r="G47" s="57">
        <v>42387</v>
      </c>
      <c r="H47" s="53" t="s">
        <v>153</v>
      </c>
      <c r="I47" s="58"/>
      <c r="J47" s="59"/>
    </row>
    <row r="48" spans="1:17" hidden="1" x14ac:dyDescent="0.25">
      <c r="A48" t="s">
        <v>125</v>
      </c>
      <c r="B48" s="48">
        <v>11</v>
      </c>
      <c r="C48" s="51">
        <v>554435</v>
      </c>
      <c r="D48" s="52" t="s">
        <v>226</v>
      </c>
      <c r="E48" s="52" t="s">
        <v>227</v>
      </c>
      <c r="F48" s="52" t="s">
        <v>156</v>
      </c>
      <c r="G48" s="53">
        <v>42383</v>
      </c>
      <c r="H48" s="53" t="s">
        <v>153</v>
      </c>
      <c r="I48" s="58"/>
      <c r="J48" s="59"/>
    </row>
    <row r="49" spans="1:11" hidden="1" x14ac:dyDescent="0.25">
      <c r="A49" t="s">
        <v>125</v>
      </c>
      <c r="B49" s="48">
        <v>11</v>
      </c>
      <c r="C49" s="51">
        <f>308455+29032.57</f>
        <v>337487.57</v>
      </c>
      <c r="D49" s="52" t="s">
        <v>228</v>
      </c>
      <c r="E49" s="52" t="s">
        <v>229</v>
      </c>
      <c r="F49" s="52" t="s">
        <v>156</v>
      </c>
      <c r="G49" s="57">
        <v>42387</v>
      </c>
      <c r="H49" s="53" t="s">
        <v>153</v>
      </c>
      <c r="I49" s="58"/>
      <c r="J49" s="59"/>
    </row>
    <row r="50" spans="1:11" hidden="1" x14ac:dyDescent="0.25">
      <c r="A50" t="s">
        <v>125</v>
      </c>
      <c r="B50" s="48">
        <v>11</v>
      </c>
      <c r="C50" s="51">
        <v>572810</v>
      </c>
      <c r="D50" s="52" t="s">
        <v>230</v>
      </c>
      <c r="E50" s="52" t="s">
        <v>231</v>
      </c>
      <c r="F50" s="52" t="s">
        <v>156</v>
      </c>
      <c r="G50" s="57">
        <v>42387</v>
      </c>
      <c r="H50" s="53" t="s">
        <v>153</v>
      </c>
      <c r="I50" s="58"/>
      <c r="J50" s="59"/>
    </row>
    <row r="51" spans="1:11" hidden="1" x14ac:dyDescent="0.25">
      <c r="A51" t="s">
        <v>125</v>
      </c>
      <c r="B51" s="48">
        <v>11</v>
      </c>
      <c r="C51" s="51">
        <f>335160+48585</f>
        <v>383745</v>
      </c>
      <c r="D51" s="52" t="s">
        <v>230</v>
      </c>
      <c r="E51" s="52" t="s">
        <v>232</v>
      </c>
      <c r="F51" s="52" t="s">
        <v>156</v>
      </c>
      <c r="G51" s="53">
        <v>42388</v>
      </c>
      <c r="H51" s="53" t="s">
        <v>153</v>
      </c>
      <c r="I51" s="50"/>
      <c r="J51" s="50"/>
    </row>
    <row r="52" spans="1:11" hidden="1" x14ac:dyDescent="0.25">
      <c r="A52" t="s">
        <v>128</v>
      </c>
      <c r="B52" s="48">
        <v>12</v>
      </c>
      <c r="C52" s="51">
        <f>631120+14871.78</f>
        <v>645991.78</v>
      </c>
      <c r="D52" s="52" t="s">
        <v>233</v>
      </c>
      <c r="E52" s="52" t="s">
        <v>234</v>
      </c>
      <c r="F52" s="52" t="s">
        <v>156</v>
      </c>
      <c r="G52" s="53">
        <v>42388</v>
      </c>
      <c r="H52" s="53" t="s">
        <v>153</v>
      </c>
      <c r="I52" s="50"/>
      <c r="J52" s="50"/>
    </row>
    <row r="53" spans="1:11" hidden="1" x14ac:dyDescent="0.25">
      <c r="A53" t="s">
        <v>128</v>
      </c>
      <c r="B53" s="48">
        <v>12</v>
      </c>
      <c r="C53" s="51">
        <v>574525</v>
      </c>
      <c r="D53" s="52" t="s">
        <v>235</v>
      </c>
      <c r="E53" s="52" t="s">
        <v>236</v>
      </c>
      <c r="F53" s="52" t="s">
        <v>156</v>
      </c>
      <c r="G53" s="53">
        <v>42389</v>
      </c>
      <c r="H53" s="53" t="s">
        <v>153</v>
      </c>
      <c r="I53" s="50"/>
      <c r="J53" s="50"/>
    </row>
    <row r="54" spans="1:11" hidden="1" x14ac:dyDescent="0.25">
      <c r="A54" t="s">
        <v>128</v>
      </c>
      <c r="B54" s="48">
        <v>12</v>
      </c>
      <c r="C54" s="51">
        <v>136462.29999999999</v>
      </c>
      <c r="D54" s="52" t="s">
        <v>237</v>
      </c>
      <c r="E54" s="52" t="s">
        <v>59</v>
      </c>
      <c r="F54" s="52" t="s">
        <v>238</v>
      </c>
      <c r="G54" s="53">
        <v>42387</v>
      </c>
      <c r="H54" s="52" t="s">
        <v>952</v>
      </c>
      <c r="I54" s="50"/>
      <c r="J54" s="50"/>
    </row>
    <row r="55" spans="1:11" hidden="1" x14ac:dyDescent="0.25">
      <c r="A55" t="s">
        <v>120</v>
      </c>
      <c r="B55" s="48">
        <v>13</v>
      </c>
      <c r="C55" s="51">
        <f>300207.8+297424.1</f>
        <v>597631.89999999991</v>
      </c>
      <c r="D55" s="52" t="s">
        <v>844</v>
      </c>
      <c r="E55" s="52" t="s">
        <v>897</v>
      </c>
      <c r="F55" s="52" t="s">
        <v>152</v>
      </c>
      <c r="G55" s="53">
        <v>42383</v>
      </c>
      <c r="H55" s="53" t="s">
        <v>153</v>
      </c>
      <c r="I55" s="50"/>
      <c r="J55" s="50"/>
    </row>
    <row r="56" spans="1:11" hidden="1" x14ac:dyDescent="0.25">
      <c r="A56" t="s">
        <v>120</v>
      </c>
      <c r="B56" s="48">
        <v>13</v>
      </c>
      <c r="C56" s="60">
        <f>28000*G56</f>
        <v>498960</v>
      </c>
      <c r="D56" s="61" t="s">
        <v>817</v>
      </c>
      <c r="E56" s="61" t="s">
        <v>951</v>
      </c>
      <c r="F56" s="61" t="s">
        <v>818</v>
      </c>
      <c r="G56" s="60">
        <v>17.82</v>
      </c>
      <c r="H56" s="61">
        <v>27.35</v>
      </c>
      <c r="I56" s="63">
        <v>42382</v>
      </c>
      <c r="J56" s="64" t="s">
        <v>124</v>
      </c>
    </row>
    <row r="57" spans="1:11" hidden="1" x14ac:dyDescent="0.25">
      <c r="A57" t="s">
        <v>186</v>
      </c>
      <c r="B57" s="48">
        <v>14</v>
      </c>
      <c r="C57" s="60">
        <f t="shared" ref="C57:C61" si="1">28000*G57</f>
        <v>503608</v>
      </c>
      <c r="D57" s="61" t="s">
        <v>819</v>
      </c>
      <c r="E57" s="61" t="s">
        <v>973</v>
      </c>
      <c r="F57" s="61" t="s">
        <v>818</v>
      </c>
      <c r="G57" s="62">
        <v>17.986000000000001</v>
      </c>
      <c r="H57" s="61">
        <v>28.16</v>
      </c>
      <c r="I57" s="63">
        <v>42383</v>
      </c>
      <c r="J57" s="64" t="s">
        <v>124</v>
      </c>
    </row>
    <row r="58" spans="1:11" hidden="1" x14ac:dyDescent="0.25">
      <c r="A58" t="s">
        <v>186</v>
      </c>
      <c r="B58" s="48">
        <v>14</v>
      </c>
      <c r="C58" s="60">
        <f t="shared" si="1"/>
        <v>503608</v>
      </c>
      <c r="D58" s="61" t="s">
        <v>820</v>
      </c>
      <c r="E58" s="61" t="s">
        <v>974</v>
      </c>
      <c r="F58" s="61" t="s">
        <v>818</v>
      </c>
      <c r="G58" s="62">
        <v>17.986000000000001</v>
      </c>
      <c r="H58" s="61">
        <v>28.16</v>
      </c>
      <c r="I58" s="63">
        <v>42383</v>
      </c>
      <c r="J58" s="64" t="s">
        <v>124</v>
      </c>
    </row>
    <row r="59" spans="1:11" hidden="1" x14ac:dyDescent="0.25">
      <c r="A59" t="s">
        <v>117</v>
      </c>
      <c r="B59" s="48">
        <v>15</v>
      </c>
      <c r="C59" s="60">
        <f t="shared" si="1"/>
        <v>511783.99999999994</v>
      </c>
      <c r="D59" s="61" t="s">
        <v>824</v>
      </c>
      <c r="E59" s="61" t="s">
        <v>1009</v>
      </c>
      <c r="F59" s="61" t="s">
        <v>901</v>
      </c>
      <c r="G59" s="62">
        <v>18.277999999999999</v>
      </c>
      <c r="H59" s="61">
        <v>29.47</v>
      </c>
      <c r="I59" s="63">
        <v>42384</v>
      </c>
      <c r="J59" s="64" t="s">
        <v>124</v>
      </c>
    </row>
    <row r="60" spans="1:11" hidden="1" x14ac:dyDescent="0.25">
      <c r="A60" t="s">
        <v>117</v>
      </c>
      <c r="B60" s="48">
        <v>15</v>
      </c>
      <c r="C60" s="60">
        <f t="shared" si="1"/>
        <v>511783.99999999994</v>
      </c>
      <c r="D60" s="61" t="s">
        <v>821</v>
      </c>
      <c r="E60" s="61" t="s">
        <v>1013</v>
      </c>
      <c r="F60" s="61" t="s">
        <v>902</v>
      </c>
      <c r="G60" s="62">
        <v>18.277999999999999</v>
      </c>
      <c r="H60" s="61">
        <v>29.33</v>
      </c>
      <c r="I60" s="63">
        <v>42384</v>
      </c>
      <c r="J60" s="64" t="s">
        <v>124</v>
      </c>
    </row>
    <row r="61" spans="1:11" hidden="1" x14ac:dyDescent="0.25">
      <c r="A61" t="s">
        <v>117</v>
      </c>
      <c r="B61" s="48">
        <v>15</v>
      </c>
      <c r="C61" s="60">
        <f t="shared" si="1"/>
        <v>511783.99999999994</v>
      </c>
      <c r="D61" s="61" t="s">
        <v>822</v>
      </c>
      <c r="E61" s="61" t="s">
        <v>1014</v>
      </c>
      <c r="F61" s="61" t="s">
        <v>902</v>
      </c>
      <c r="G61" s="62">
        <v>18.277999999999999</v>
      </c>
      <c r="H61" s="61">
        <v>29.33</v>
      </c>
      <c r="I61" s="63">
        <v>42384</v>
      </c>
      <c r="J61" s="64" t="s">
        <v>124</v>
      </c>
    </row>
    <row r="62" spans="1:11" hidden="1" x14ac:dyDescent="0.25">
      <c r="A62" t="s">
        <v>117</v>
      </c>
      <c r="B62" s="48">
        <v>15</v>
      </c>
      <c r="C62" s="51">
        <f>31973.77*G62</f>
        <v>570092.31909999996</v>
      </c>
      <c r="D62" s="52" t="s">
        <v>239</v>
      </c>
      <c r="E62" s="52" t="s">
        <v>240</v>
      </c>
      <c r="F62" s="52" t="s">
        <v>241</v>
      </c>
      <c r="G62" s="70">
        <v>17.829999999999998</v>
      </c>
      <c r="H62" s="52">
        <v>29.36</v>
      </c>
      <c r="I62" s="53">
        <v>42381</v>
      </c>
      <c r="J62" s="54" t="s">
        <v>124</v>
      </c>
    </row>
    <row r="63" spans="1:11" hidden="1" x14ac:dyDescent="0.25">
      <c r="A63" t="s">
        <v>117</v>
      </c>
      <c r="B63" s="48">
        <v>15</v>
      </c>
      <c r="C63" s="51">
        <f>31653.88*G63</f>
        <v>564388.68039999995</v>
      </c>
      <c r="D63" s="52" t="s">
        <v>242</v>
      </c>
      <c r="E63" s="52" t="s">
        <v>243</v>
      </c>
      <c r="F63" s="52" t="s">
        <v>244</v>
      </c>
      <c r="G63" s="70">
        <v>17.829999999999998</v>
      </c>
      <c r="H63" s="52">
        <v>29.36</v>
      </c>
      <c r="I63" s="53">
        <v>42381</v>
      </c>
      <c r="J63" s="54" t="s">
        <v>124</v>
      </c>
    </row>
    <row r="64" spans="1:11" hidden="1" x14ac:dyDescent="0.25">
      <c r="A64" t="s">
        <v>117</v>
      </c>
      <c r="B64" s="48">
        <v>15</v>
      </c>
      <c r="C64" s="51">
        <f>24528.2*G64</f>
        <v>439005.72360000003</v>
      </c>
      <c r="D64" s="52" t="s">
        <v>245</v>
      </c>
      <c r="E64" s="52" t="s">
        <v>246</v>
      </c>
      <c r="F64" s="52" t="s">
        <v>247</v>
      </c>
      <c r="G64" s="70">
        <v>17.898</v>
      </c>
      <c r="H64" s="52">
        <v>25.6</v>
      </c>
      <c r="I64" s="53">
        <v>42380</v>
      </c>
      <c r="J64" s="54" t="s">
        <v>124</v>
      </c>
      <c r="K64" s="59"/>
    </row>
    <row r="65" spans="1:10" hidden="1" x14ac:dyDescent="0.25">
      <c r="A65" t="s">
        <v>117</v>
      </c>
      <c r="B65" s="48">
        <v>15</v>
      </c>
      <c r="C65" s="51">
        <f>25729.51*G65</f>
        <v>460506.76997999998</v>
      </c>
      <c r="D65" s="52" t="s">
        <v>248</v>
      </c>
      <c r="E65" s="52" t="s">
        <v>249</v>
      </c>
      <c r="F65" s="52" t="s">
        <v>250</v>
      </c>
      <c r="G65" s="70">
        <v>17.898</v>
      </c>
      <c r="H65" s="52">
        <v>25.53</v>
      </c>
      <c r="I65" s="53">
        <v>42380</v>
      </c>
      <c r="J65" s="54" t="s">
        <v>124</v>
      </c>
    </row>
    <row r="66" spans="1:10" hidden="1" x14ac:dyDescent="0.25">
      <c r="A66" t="s">
        <v>117</v>
      </c>
      <c r="B66" s="48">
        <v>15</v>
      </c>
      <c r="C66" s="51">
        <f>23252.68*G66</f>
        <v>414595.28439999995</v>
      </c>
      <c r="D66" s="52" t="s">
        <v>251</v>
      </c>
      <c r="E66" s="52" t="s">
        <v>252</v>
      </c>
      <c r="F66" s="52" t="s">
        <v>253</v>
      </c>
      <c r="G66" s="70">
        <v>17.829999999999998</v>
      </c>
      <c r="H66" s="52">
        <v>25.49</v>
      </c>
      <c r="I66" s="53">
        <v>42381</v>
      </c>
      <c r="J66" s="54" t="s">
        <v>124</v>
      </c>
    </row>
    <row r="67" spans="1:10" hidden="1" x14ac:dyDescent="0.25">
      <c r="A67" s="49" t="s">
        <v>118</v>
      </c>
      <c r="B67" s="48">
        <v>16</v>
      </c>
      <c r="C67" s="2"/>
    </row>
    <row r="68" spans="1:10" hidden="1" x14ac:dyDescent="0.25">
      <c r="A68" s="49" t="s">
        <v>119</v>
      </c>
      <c r="B68" s="48">
        <v>17</v>
      </c>
      <c r="C68" s="2"/>
    </row>
    <row r="69" spans="1:10" hidden="1" x14ac:dyDescent="0.25">
      <c r="A69" s="50" t="s">
        <v>125</v>
      </c>
      <c r="B69" s="48">
        <v>18</v>
      </c>
      <c r="C69" s="60">
        <f>30000*G69</f>
        <v>548910</v>
      </c>
      <c r="D69" s="61" t="s">
        <v>823</v>
      </c>
      <c r="E69" s="61" t="s">
        <v>1015</v>
      </c>
      <c r="F69" s="61" t="s">
        <v>901</v>
      </c>
      <c r="G69" s="62">
        <v>18.297000000000001</v>
      </c>
      <c r="H69" s="61">
        <v>29.26</v>
      </c>
      <c r="I69" s="63">
        <v>42387</v>
      </c>
      <c r="J69" s="64" t="s">
        <v>124</v>
      </c>
    </row>
    <row r="70" spans="1:10" s="50" customFormat="1" hidden="1" x14ac:dyDescent="0.25">
      <c r="A70" s="50" t="s">
        <v>125</v>
      </c>
      <c r="B70" s="56">
        <v>18</v>
      </c>
      <c r="C70" s="51">
        <v>66738</v>
      </c>
      <c r="D70" s="52" t="s">
        <v>890</v>
      </c>
      <c r="E70" s="52" t="s">
        <v>941</v>
      </c>
      <c r="F70" s="52" t="s">
        <v>891</v>
      </c>
      <c r="G70" s="53">
        <v>42394</v>
      </c>
      <c r="H70" s="52" t="s">
        <v>952</v>
      </c>
    </row>
    <row r="71" spans="1:10" hidden="1" x14ac:dyDescent="0.25">
      <c r="A71" t="s">
        <v>125</v>
      </c>
      <c r="B71" s="48">
        <v>18</v>
      </c>
      <c r="C71" s="51">
        <v>495390</v>
      </c>
      <c r="D71" s="52" t="s">
        <v>254</v>
      </c>
      <c r="E71" s="52" t="s">
        <v>255</v>
      </c>
      <c r="F71" s="52" t="s">
        <v>156</v>
      </c>
      <c r="G71" s="53">
        <v>42389</v>
      </c>
      <c r="H71" s="53" t="s">
        <v>153</v>
      </c>
    </row>
    <row r="72" spans="1:10" hidden="1" x14ac:dyDescent="0.25">
      <c r="A72" t="s">
        <v>125</v>
      </c>
      <c r="B72" s="48">
        <v>18</v>
      </c>
      <c r="C72" s="51">
        <v>322665</v>
      </c>
      <c r="D72" s="52" t="s">
        <v>254</v>
      </c>
      <c r="E72" s="52" t="s">
        <v>256</v>
      </c>
      <c r="F72" s="52" t="s">
        <v>156</v>
      </c>
      <c r="G72" s="53">
        <v>42390</v>
      </c>
      <c r="H72" s="53" t="s">
        <v>153</v>
      </c>
    </row>
    <row r="73" spans="1:10" hidden="1" x14ac:dyDescent="0.25">
      <c r="A73" t="s">
        <v>125</v>
      </c>
      <c r="B73" s="48">
        <v>18</v>
      </c>
      <c r="C73" s="51">
        <f>409640+19493.25-33440</f>
        <v>395693.25</v>
      </c>
      <c r="D73" s="52" t="s">
        <v>257</v>
      </c>
      <c r="E73" s="52" t="s">
        <v>883</v>
      </c>
      <c r="F73" s="52" t="s">
        <v>156</v>
      </c>
      <c r="G73" s="96" t="s">
        <v>1008</v>
      </c>
      <c r="H73" s="53">
        <v>42391</v>
      </c>
      <c r="I73" s="53" t="s">
        <v>153</v>
      </c>
    </row>
    <row r="74" spans="1:10" hidden="1" x14ac:dyDescent="0.25">
      <c r="A74" t="s">
        <v>125</v>
      </c>
      <c r="B74" s="48">
        <v>18</v>
      </c>
      <c r="C74" s="51">
        <f>328300-26800</f>
        <v>301500</v>
      </c>
      <c r="D74" s="52" t="s">
        <v>257</v>
      </c>
      <c r="E74" s="52" t="s">
        <v>258</v>
      </c>
      <c r="F74" s="52" t="s">
        <v>156</v>
      </c>
      <c r="G74" s="96" t="s">
        <v>1008</v>
      </c>
      <c r="H74" s="53">
        <v>42391</v>
      </c>
      <c r="I74" s="53" t="s">
        <v>153</v>
      </c>
    </row>
    <row r="75" spans="1:10" hidden="1" x14ac:dyDescent="0.25">
      <c r="A75" t="s">
        <v>128</v>
      </c>
      <c r="B75" s="48">
        <v>19</v>
      </c>
      <c r="C75" s="51">
        <f>502495-2512.48</f>
        <v>499982.52</v>
      </c>
      <c r="D75" s="52" t="s">
        <v>259</v>
      </c>
      <c r="E75" s="52" t="s">
        <v>260</v>
      </c>
      <c r="F75" s="52" t="s">
        <v>156</v>
      </c>
      <c r="G75" s="52" t="s">
        <v>261</v>
      </c>
      <c r="H75" s="53">
        <v>42394</v>
      </c>
      <c r="I75" s="53" t="s">
        <v>153</v>
      </c>
    </row>
    <row r="76" spans="1:10" x14ac:dyDescent="0.25">
      <c r="A76" t="s">
        <v>128</v>
      </c>
      <c r="B76" s="48">
        <v>19</v>
      </c>
      <c r="C76" s="51">
        <f>328667.5+68493</f>
        <v>397160.5</v>
      </c>
      <c r="D76" s="52" t="s">
        <v>259</v>
      </c>
      <c r="E76" s="52" t="s">
        <v>884</v>
      </c>
      <c r="F76" s="52" t="s">
        <v>156</v>
      </c>
      <c r="G76" s="53">
        <v>42394</v>
      </c>
      <c r="H76" s="53" t="s">
        <v>153</v>
      </c>
    </row>
    <row r="77" spans="1:10" x14ac:dyDescent="0.25">
      <c r="A77" t="s">
        <v>128</v>
      </c>
      <c r="B77" s="48">
        <v>19</v>
      </c>
      <c r="C77" s="35">
        <v>321440</v>
      </c>
      <c r="D77" t="s">
        <v>262</v>
      </c>
      <c r="E77" t="s">
        <v>71</v>
      </c>
      <c r="F77" t="s">
        <v>156</v>
      </c>
      <c r="G77" s="69" t="s">
        <v>261</v>
      </c>
    </row>
    <row r="78" spans="1:10" hidden="1" x14ac:dyDescent="0.25">
      <c r="A78" t="s">
        <v>120</v>
      </c>
      <c r="B78" s="48">
        <v>20</v>
      </c>
      <c r="C78" s="51">
        <f>25280.84*G78</f>
        <v>450757.37719999999</v>
      </c>
      <c r="D78" s="52" t="s">
        <v>263</v>
      </c>
      <c r="E78" s="52" t="s">
        <v>264</v>
      </c>
      <c r="F78" s="52" t="s">
        <v>265</v>
      </c>
      <c r="G78" s="70">
        <v>17.829999999999998</v>
      </c>
      <c r="H78" s="52">
        <v>25.84</v>
      </c>
      <c r="I78" s="53">
        <v>42381</v>
      </c>
      <c r="J78" s="54" t="s">
        <v>124</v>
      </c>
    </row>
    <row r="79" spans="1:10" hidden="1" x14ac:dyDescent="0.25">
      <c r="A79" t="s">
        <v>120</v>
      </c>
      <c r="B79" s="48">
        <v>20</v>
      </c>
      <c r="C79" s="51">
        <f>590082.5-12042.5</f>
        <v>578040</v>
      </c>
      <c r="D79" s="52" t="s">
        <v>266</v>
      </c>
      <c r="E79" s="52" t="s">
        <v>78</v>
      </c>
      <c r="F79" s="52" t="s">
        <v>156</v>
      </c>
      <c r="G79" s="53">
        <v>42394</v>
      </c>
      <c r="H79" s="53" t="s">
        <v>153</v>
      </c>
    </row>
    <row r="80" spans="1:10" hidden="1" x14ac:dyDescent="0.25">
      <c r="A80" t="s">
        <v>120</v>
      </c>
      <c r="B80" s="48">
        <v>20</v>
      </c>
      <c r="C80" s="51">
        <f>348267.5-7107.5-5248.8+7702.5</f>
        <v>343613.7</v>
      </c>
      <c r="D80" s="52" t="s">
        <v>267</v>
      </c>
      <c r="E80" s="52" t="s">
        <v>882</v>
      </c>
      <c r="F80" s="52" t="s">
        <v>156</v>
      </c>
      <c r="G80" s="52" t="s">
        <v>268</v>
      </c>
      <c r="H80" s="53">
        <v>42397</v>
      </c>
      <c r="I80" s="53" t="s">
        <v>153</v>
      </c>
    </row>
    <row r="81" spans="1:11" hidden="1" x14ac:dyDescent="0.25">
      <c r="A81" t="s">
        <v>120</v>
      </c>
      <c r="B81" s="48">
        <v>20</v>
      </c>
      <c r="C81" s="60">
        <f>30000*G81</f>
        <v>546930</v>
      </c>
      <c r="D81" s="61" t="s">
        <v>950</v>
      </c>
      <c r="E81" s="61" t="s">
        <v>1080</v>
      </c>
      <c r="F81" s="61" t="s">
        <v>901</v>
      </c>
      <c r="G81" s="62">
        <v>18.231000000000002</v>
      </c>
      <c r="H81" s="61">
        <v>29.53</v>
      </c>
      <c r="I81" s="63">
        <v>42389</v>
      </c>
      <c r="J81" s="64" t="s">
        <v>124</v>
      </c>
    </row>
    <row r="82" spans="1:11" s="50" customFormat="1" hidden="1" x14ac:dyDescent="0.25">
      <c r="A82" s="50" t="s">
        <v>120</v>
      </c>
      <c r="B82" s="56">
        <v>20</v>
      </c>
      <c r="C82" s="51">
        <f>283050.46+272250.55</f>
        <v>555301.01</v>
      </c>
      <c r="D82" s="52" t="s">
        <v>993</v>
      </c>
      <c r="E82" s="52" t="s">
        <v>992</v>
      </c>
      <c r="F82" s="52" t="s">
        <v>152</v>
      </c>
      <c r="G82" s="53">
        <v>42389</v>
      </c>
      <c r="H82" s="53" t="s">
        <v>153</v>
      </c>
      <c r="I82" s="58"/>
      <c r="J82" s="59"/>
    </row>
    <row r="83" spans="1:11" hidden="1" x14ac:dyDescent="0.25">
      <c r="A83" t="s">
        <v>186</v>
      </c>
      <c r="B83" s="48">
        <v>21</v>
      </c>
      <c r="C83" s="51">
        <f>650352.5-13272.5+14812.44</f>
        <v>651892.43999999994</v>
      </c>
      <c r="D83" s="52" t="s">
        <v>269</v>
      </c>
      <c r="E83" s="52" t="s">
        <v>885</v>
      </c>
      <c r="F83" s="52" t="s">
        <v>156</v>
      </c>
      <c r="G83" s="53">
        <v>42396</v>
      </c>
      <c r="H83" s="53" t="s">
        <v>153</v>
      </c>
    </row>
    <row r="84" spans="1:11" hidden="1" x14ac:dyDescent="0.25">
      <c r="A84" t="s">
        <v>186</v>
      </c>
      <c r="B84" s="48">
        <v>21</v>
      </c>
      <c r="C84" s="51">
        <f>323155-6595</f>
        <v>316560</v>
      </c>
      <c r="D84" s="52" t="s">
        <v>1007</v>
      </c>
      <c r="E84" s="52" t="s">
        <v>89</v>
      </c>
      <c r="F84" s="52" t="s">
        <v>156</v>
      </c>
      <c r="G84" s="53">
        <v>42397</v>
      </c>
      <c r="H84" s="53" t="s">
        <v>153</v>
      </c>
    </row>
    <row r="85" spans="1:11" hidden="1" x14ac:dyDescent="0.25">
      <c r="A85" t="s">
        <v>186</v>
      </c>
      <c r="B85" s="48">
        <v>21</v>
      </c>
      <c r="C85" s="51">
        <v>271479.59999999998</v>
      </c>
      <c r="D85" s="52" t="s">
        <v>1005</v>
      </c>
      <c r="E85" s="52" t="s">
        <v>1004</v>
      </c>
      <c r="F85" s="52" t="s">
        <v>1006</v>
      </c>
      <c r="G85" s="53">
        <v>42390</v>
      </c>
      <c r="H85" s="54" t="s">
        <v>124</v>
      </c>
    </row>
    <row r="86" spans="1:11" ht="15.75" hidden="1" customHeight="1" x14ac:dyDescent="0.25">
      <c r="A86" t="s">
        <v>186</v>
      </c>
      <c r="B86" s="48">
        <v>21</v>
      </c>
      <c r="C86" s="60">
        <f>29000*G86</f>
        <v>534963</v>
      </c>
      <c r="D86" s="61" t="s">
        <v>1055</v>
      </c>
      <c r="E86" s="61" t="s">
        <v>1081</v>
      </c>
      <c r="F86" s="61" t="s">
        <v>902</v>
      </c>
      <c r="G86" s="61">
        <v>18.446999999999999</v>
      </c>
      <c r="H86" s="61">
        <v>29.74</v>
      </c>
      <c r="I86" s="63">
        <v>42390</v>
      </c>
      <c r="J86" s="64" t="s">
        <v>124</v>
      </c>
    </row>
    <row r="87" spans="1:11" ht="15.75" hidden="1" customHeight="1" x14ac:dyDescent="0.25">
      <c r="A87" t="s">
        <v>186</v>
      </c>
      <c r="B87" s="48">
        <v>21</v>
      </c>
      <c r="C87" s="60">
        <f>29000*G87</f>
        <v>534963</v>
      </c>
      <c r="D87" s="61" t="s">
        <v>1056</v>
      </c>
      <c r="E87" s="61" t="s">
        <v>1082</v>
      </c>
      <c r="F87" s="61" t="s">
        <v>902</v>
      </c>
      <c r="G87" s="61">
        <v>18.446999999999999</v>
      </c>
      <c r="H87" s="61">
        <v>29.76</v>
      </c>
      <c r="I87" s="63">
        <v>42390</v>
      </c>
      <c r="J87" s="64" t="s">
        <v>124</v>
      </c>
    </row>
    <row r="88" spans="1:11" ht="15.75" hidden="1" customHeight="1" x14ac:dyDescent="0.25">
      <c r="A88" t="s">
        <v>117</v>
      </c>
      <c r="B88" s="48">
        <v>22</v>
      </c>
      <c r="C88" s="60">
        <f>30000*G88</f>
        <v>556110</v>
      </c>
      <c r="D88" s="61" t="s">
        <v>1057</v>
      </c>
      <c r="E88" s="61" t="s">
        <v>1110</v>
      </c>
      <c r="F88" s="61" t="s">
        <v>901</v>
      </c>
      <c r="G88" s="61">
        <v>18.536999999999999</v>
      </c>
      <c r="H88" s="61">
        <v>30.8</v>
      </c>
      <c r="I88" s="63">
        <v>42391</v>
      </c>
      <c r="J88" s="64" t="s">
        <v>124</v>
      </c>
    </row>
    <row r="89" spans="1:11" ht="15.75" hidden="1" customHeight="1" x14ac:dyDescent="0.25">
      <c r="A89" t="s">
        <v>117</v>
      </c>
      <c r="B89" s="48">
        <v>22</v>
      </c>
      <c r="C89" s="60">
        <f>30000*G89</f>
        <v>556110</v>
      </c>
      <c r="D89" s="61" t="s">
        <v>1058</v>
      </c>
      <c r="E89" s="61" t="s">
        <v>1111</v>
      </c>
      <c r="F89" s="61" t="s">
        <v>901</v>
      </c>
      <c r="G89" s="61">
        <v>18.536999999999999</v>
      </c>
      <c r="H89" s="61">
        <v>30.09</v>
      </c>
      <c r="I89" s="63">
        <v>42391</v>
      </c>
      <c r="J89" s="64" t="s">
        <v>124</v>
      </c>
    </row>
    <row r="90" spans="1:11" ht="15.75" hidden="1" customHeight="1" x14ac:dyDescent="0.25">
      <c r="A90" t="s">
        <v>117</v>
      </c>
      <c r="B90" s="48">
        <v>22</v>
      </c>
      <c r="C90" s="60">
        <f>30000*G90</f>
        <v>556110</v>
      </c>
      <c r="D90" s="61" t="s">
        <v>975</v>
      </c>
      <c r="E90" s="61" t="s">
        <v>1108</v>
      </c>
      <c r="F90" s="61" t="s">
        <v>901</v>
      </c>
      <c r="G90" s="61">
        <v>18.536999999999999</v>
      </c>
      <c r="H90" s="61">
        <v>30.24</v>
      </c>
      <c r="I90" s="63">
        <v>42391</v>
      </c>
      <c r="J90" s="64" t="s">
        <v>124</v>
      </c>
    </row>
    <row r="91" spans="1:11" ht="15.75" hidden="1" customHeight="1" x14ac:dyDescent="0.25">
      <c r="A91" t="s">
        <v>117</v>
      </c>
      <c r="B91" s="48">
        <v>22</v>
      </c>
      <c r="C91" s="51">
        <v>479900.58</v>
      </c>
      <c r="D91" s="52" t="s">
        <v>966</v>
      </c>
      <c r="E91" s="52" t="s">
        <v>965</v>
      </c>
      <c r="F91" s="52" t="s">
        <v>888</v>
      </c>
      <c r="G91" s="52">
        <v>25.9</v>
      </c>
      <c r="H91" s="53">
        <v>42398</v>
      </c>
      <c r="I91" s="54" t="s">
        <v>124</v>
      </c>
    </row>
    <row r="92" spans="1:11" s="50" customFormat="1" hidden="1" x14ac:dyDescent="0.25">
      <c r="A92" t="s">
        <v>117</v>
      </c>
      <c r="B92" s="48">
        <v>22</v>
      </c>
      <c r="C92" s="51">
        <f>19150.95*G92</f>
        <v>350404.93215000001</v>
      </c>
      <c r="D92" s="52" t="s">
        <v>922</v>
      </c>
      <c r="E92" s="52" t="s">
        <v>923</v>
      </c>
      <c r="F92" s="52" t="s">
        <v>924</v>
      </c>
      <c r="G92" s="52">
        <v>18.297000000000001</v>
      </c>
      <c r="H92" s="52">
        <v>20.7</v>
      </c>
      <c r="I92" s="53">
        <v>42387</v>
      </c>
      <c r="J92" s="54" t="s">
        <v>124</v>
      </c>
      <c r="K92" s="69" t="s">
        <v>925</v>
      </c>
    </row>
    <row r="93" spans="1:11" s="50" customFormat="1" hidden="1" x14ac:dyDescent="0.25">
      <c r="A93" t="s">
        <v>117</v>
      </c>
      <c r="B93" s="48">
        <v>22</v>
      </c>
      <c r="C93" s="51">
        <f>47328*G93</f>
        <v>865960.41600000008</v>
      </c>
      <c r="D93" s="52" t="s">
        <v>926</v>
      </c>
      <c r="E93" s="52" t="s">
        <v>927</v>
      </c>
      <c r="F93" s="52" t="s">
        <v>928</v>
      </c>
      <c r="G93" s="52">
        <v>18.297000000000001</v>
      </c>
      <c r="H93" s="52">
        <v>48.62</v>
      </c>
      <c r="I93" s="53">
        <v>42387</v>
      </c>
      <c r="J93" s="54" t="s">
        <v>124</v>
      </c>
    </row>
    <row r="94" spans="1:11" ht="15.75" hidden="1" customHeight="1" x14ac:dyDescent="0.25">
      <c r="A94" t="s">
        <v>117</v>
      </c>
      <c r="B94" s="48">
        <v>22</v>
      </c>
      <c r="C94" s="51">
        <v>26267.5</v>
      </c>
      <c r="D94" s="52" t="s">
        <v>946</v>
      </c>
      <c r="E94" s="52" t="s">
        <v>945</v>
      </c>
      <c r="F94" s="52" t="s">
        <v>947</v>
      </c>
      <c r="G94" s="53">
        <v>42394</v>
      </c>
      <c r="H94" s="52" t="s">
        <v>952</v>
      </c>
    </row>
    <row r="95" spans="1:11" hidden="1" x14ac:dyDescent="0.25">
      <c r="A95" t="s">
        <v>117</v>
      </c>
      <c r="B95" s="48">
        <v>22</v>
      </c>
      <c r="C95" s="2"/>
    </row>
    <row r="96" spans="1:11" hidden="1" x14ac:dyDescent="0.25">
      <c r="A96" s="49" t="s">
        <v>118</v>
      </c>
      <c r="B96" s="48">
        <v>23</v>
      </c>
      <c r="C96" s="2"/>
    </row>
    <row r="97" spans="1:10" x14ac:dyDescent="0.25">
      <c r="A97" s="49" t="s">
        <v>119</v>
      </c>
      <c r="B97" s="48">
        <v>24</v>
      </c>
      <c r="C97" s="2"/>
    </row>
    <row r="98" spans="1:10" s="50" customFormat="1" x14ac:dyDescent="0.25">
      <c r="A98" s="50" t="s">
        <v>125</v>
      </c>
      <c r="B98" s="56">
        <v>25</v>
      </c>
      <c r="C98" s="60">
        <f>32000*G98</f>
        <v>593600</v>
      </c>
      <c r="D98" s="61" t="s">
        <v>1047</v>
      </c>
      <c r="E98" s="61" t="s">
        <v>1112</v>
      </c>
      <c r="F98" s="61" t="s">
        <v>1048</v>
      </c>
      <c r="G98" s="61">
        <v>18.55</v>
      </c>
      <c r="H98" s="61">
        <v>30.51</v>
      </c>
      <c r="I98" s="63">
        <v>42394</v>
      </c>
      <c r="J98" s="64" t="s">
        <v>124</v>
      </c>
    </row>
    <row r="99" spans="1:10" x14ac:dyDescent="0.25">
      <c r="A99" t="s">
        <v>125</v>
      </c>
      <c r="B99" s="48">
        <v>25</v>
      </c>
      <c r="C99" s="37">
        <v>492352.47</v>
      </c>
      <c r="D99" s="50" t="s">
        <v>887</v>
      </c>
      <c r="E99" s="50" t="s">
        <v>911</v>
      </c>
      <c r="F99" t="s">
        <v>888</v>
      </c>
      <c r="G99">
        <v>25.5</v>
      </c>
    </row>
    <row r="100" spans="1:10" x14ac:dyDescent="0.25">
      <c r="A100" t="s">
        <v>125</v>
      </c>
      <c r="B100" s="48">
        <v>25</v>
      </c>
      <c r="C100" s="51">
        <v>507791.35</v>
      </c>
      <c r="D100" s="52" t="s">
        <v>968</v>
      </c>
      <c r="E100" s="52" t="s">
        <v>967</v>
      </c>
      <c r="F100" s="52" t="s">
        <v>127</v>
      </c>
      <c r="G100" s="52">
        <v>27.5</v>
      </c>
      <c r="H100" s="53">
        <v>42394</v>
      </c>
      <c r="I100" s="54" t="s">
        <v>124</v>
      </c>
    </row>
    <row r="101" spans="1:10" s="50" customFormat="1" x14ac:dyDescent="0.25">
      <c r="A101" t="s">
        <v>125</v>
      </c>
      <c r="B101" s="48">
        <v>25</v>
      </c>
      <c r="C101" s="51">
        <v>652830</v>
      </c>
      <c r="D101" s="52" t="s">
        <v>893</v>
      </c>
      <c r="E101" s="52" t="s">
        <v>99</v>
      </c>
      <c r="F101" s="52" t="s">
        <v>156</v>
      </c>
      <c r="G101" s="53">
        <v>42398</v>
      </c>
      <c r="H101" s="53" t="s">
        <v>153</v>
      </c>
    </row>
    <row r="102" spans="1:10" s="50" customFormat="1" x14ac:dyDescent="0.25">
      <c r="A102" t="s">
        <v>125</v>
      </c>
      <c r="B102" s="48">
        <v>25</v>
      </c>
      <c r="C102" s="51">
        <v>585972.5</v>
      </c>
      <c r="D102" s="52" t="s">
        <v>894</v>
      </c>
      <c r="E102" s="52" t="s">
        <v>225</v>
      </c>
      <c r="F102" s="52" t="s">
        <v>156</v>
      </c>
      <c r="G102" s="53">
        <v>42398</v>
      </c>
      <c r="H102" s="53" t="s">
        <v>153</v>
      </c>
    </row>
    <row r="103" spans="1:10" s="50" customFormat="1" x14ac:dyDescent="0.25">
      <c r="A103" t="s">
        <v>125</v>
      </c>
      <c r="B103" s="48">
        <v>25</v>
      </c>
      <c r="C103" s="37">
        <v>519115</v>
      </c>
      <c r="D103" s="50" t="s">
        <v>895</v>
      </c>
      <c r="E103" s="50" t="s">
        <v>833</v>
      </c>
      <c r="F103" s="50" t="s">
        <v>156</v>
      </c>
    </row>
    <row r="104" spans="1:10" s="50" customFormat="1" x14ac:dyDescent="0.25">
      <c r="A104" t="s">
        <v>125</v>
      </c>
      <c r="B104" s="48">
        <v>25</v>
      </c>
      <c r="C104" s="37">
        <v>277770</v>
      </c>
      <c r="D104" s="50" t="s">
        <v>896</v>
      </c>
      <c r="E104" s="50" t="s">
        <v>834</v>
      </c>
      <c r="F104" s="50" t="s">
        <v>156</v>
      </c>
    </row>
    <row r="105" spans="1:10" s="50" customFormat="1" x14ac:dyDescent="0.25">
      <c r="A105" t="s">
        <v>128</v>
      </c>
      <c r="B105" s="48">
        <v>26</v>
      </c>
      <c r="C105" s="60">
        <f>29000*G105</f>
        <v>538820</v>
      </c>
      <c r="D105" s="61" t="s">
        <v>1067</v>
      </c>
      <c r="E105" s="61" t="s">
        <v>1109</v>
      </c>
      <c r="F105" s="61" t="s">
        <v>902</v>
      </c>
      <c r="G105" s="98">
        <v>18.579999999999998</v>
      </c>
      <c r="H105" s="61">
        <v>30.22</v>
      </c>
      <c r="I105" s="63">
        <v>42395</v>
      </c>
      <c r="J105" s="64" t="s">
        <v>124</v>
      </c>
    </row>
    <row r="106" spans="1:10" s="50" customFormat="1" x14ac:dyDescent="0.25">
      <c r="A106" s="50" t="s">
        <v>128</v>
      </c>
      <c r="B106" s="56">
        <v>26</v>
      </c>
      <c r="C106" s="51">
        <f>24794.95*G106</f>
        <v>453673.20015000005</v>
      </c>
      <c r="D106" s="52" t="s">
        <v>917</v>
      </c>
      <c r="E106" s="52" t="s">
        <v>913</v>
      </c>
      <c r="F106" s="52" t="s">
        <v>914</v>
      </c>
      <c r="G106" s="52">
        <v>18.297000000000001</v>
      </c>
      <c r="H106" s="52">
        <v>26.53</v>
      </c>
      <c r="I106" s="53">
        <v>42387</v>
      </c>
      <c r="J106" s="54" t="s">
        <v>124</v>
      </c>
    </row>
    <row r="107" spans="1:10" s="50" customFormat="1" x14ac:dyDescent="0.25">
      <c r="A107" s="50" t="s">
        <v>128</v>
      </c>
      <c r="B107" s="56">
        <v>26</v>
      </c>
      <c r="C107" s="51">
        <f>24129*G107</f>
        <v>441488.31300000002</v>
      </c>
      <c r="D107" s="52" t="s">
        <v>918</v>
      </c>
      <c r="E107" s="52" t="s">
        <v>915</v>
      </c>
      <c r="F107" s="52" t="s">
        <v>916</v>
      </c>
      <c r="G107" s="52">
        <v>18.297000000000001</v>
      </c>
      <c r="H107" s="52">
        <v>26.57</v>
      </c>
      <c r="I107" s="53">
        <v>42387</v>
      </c>
      <c r="J107" s="54" t="s">
        <v>124</v>
      </c>
    </row>
    <row r="108" spans="1:10" x14ac:dyDescent="0.25">
      <c r="A108" s="50" t="s">
        <v>128</v>
      </c>
      <c r="B108" s="48">
        <v>26</v>
      </c>
      <c r="C108" s="51">
        <f>(29268-10.01)*G108</f>
        <v>542355.36063000001</v>
      </c>
      <c r="D108" s="52" t="s">
        <v>984</v>
      </c>
      <c r="E108" s="52" t="s">
        <v>985</v>
      </c>
      <c r="F108" s="52" t="s">
        <v>986</v>
      </c>
      <c r="G108" s="70">
        <v>18.536999999999999</v>
      </c>
      <c r="H108" s="52" t="s">
        <v>987</v>
      </c>
      <c r="I108" s="53">
        <v>42394</v>
      </c>
      <c r="J108" s="54" t="s">
        <v>124</v>
      </c>
    </row>
    <row r="109" spans="1:10" x14ac:dyDescent="0.25">
      <c r="A109" t="s">
        <v>120</v>
      </c>
      <c r="B109" s="48">
        <v>27</v>
      </c>
      <c r="C109" s="2">
        <v>864428.87</v>
      </c>
      <c r="D109" t="s">
        <v>935</v>
      </c>
      <c r="E109" t="s">
        <v>934</v>
      </c>
      <c r="F109" t="s">
        <v>936</v>
      </c>
      <c r="G109">
        <v>46.3</v>
      </c>
      <c r="H109" s="75">
        <v>42402</v>
      </c>
      <c r="I109" s="54" t="s">
        <v>124</v>
      </c>
    </row>
    <row r="110" spans="1:10" x14ac:dyDescent="0.25">
      <c r="A110" t="s">
        <v>120</v>
      </c>
      <c r="B110" s="48">
        <v>27</v>
      </c>
      <c r="C110" s="2">
        <v>508070</v>
      </c>
      <c r="D110" t="s">
        <v>956</v>
      </c>
      <c r="E110" t="s">
        <v>957</v>
      </c>
      <c r="F110" t="s">
        <v>156</v>
      </c>
    </row>
    <row r="111" spans="1:10" x14ac:dyDescent="0.25">
      <c r="A111" t="s">
        <v>120</v>
      </c>
      <c r="B111" s="48">
        <v>27</v>
      </c>
      <c r="C111" s="2">
        <f>308790+19552.5</f>
        <v>328342.5</v>
      </c>
      <c r="D111" t="s">
        <v>959</v>
      </c>
      <c r="E111" t="s">
        <v>958</v>
      </c>
      <c r="F111" t="s">
        <v>156</v>
      </c>
    </row>
    <row r="112" spans="1:10" x14ac:dyDescent="0.25">
      <c r="A112" t="s">
        <v>120</v>
      </c>
      <c r="B112" s="48">
        <v>27</v>
      </c>
      <c r="C112" s="51">
        <f>276540.34+292599.63</f>
        <v>569139.97</v>
      </c>
      <c r="D112" s="52" t="s">
        <v>1072</v>
      </c>
      <c r="E112" s="52" t="s">
        <v>1073</v>
      </c>
      <c r="F112" s="52" t="s">
        <v>152</v>
      </c>
      <c r="G112" s="53">
        <v>42395</v>
      </c>
      <c r="H112" s="53" t="s">
        <v>153</v>
      </c>
    </row>
    <row r="113" spans="1:11" x14ac:dyDescent="0.25">
      <c r="A113" t="s">
        <v>186</v>
      </c>
      <c r="B113" s="48">
        <v>28</v>
      </c>
      <c r="C113" s="60">
        <f>30000*G113</f>
        <v>553800</v>
      </c>
      <c r="D113" s="61" t="s">
        <v>1134</v>
      </c>
      <c r="E113" s="61"/>
      <c r="F113" s="61" t="s">
        <v>901</v>
      </c>
      <c r="G113" s="61">
        <v>18.46</v>
      </c>
      <c r="H113" s="61"/>
      <c r="I113" s="63">
        <v>42397</v>
      </c>
      <c r="J113" s="64" t="s">
        <v>124</v>
      </c>
    </row>
    <row r="114" spans="1:11" x14ac:dyDescent="0.25">
      <c r="A114" t="s">
        <v>186</v>
      </c>
      <c r="B114" s="48">
        <v>28</v>
      </c>
      <c r="C114" s="60">
        <f>30000*G114</f>
        <v>553800</v>
      </c>
      <c r="D114" s="61" t="s">
        <v>1135</v>
      </c>
      <c r="E114" s="61"/>
      <c r="F114" s="61" t="s">
        <v>901</v>
      </c>
      <c r="G114" s="61">
        <v>18.46</v>
      </c>
      <c r="H114" s="61"/>
      <c r="I114" s="63">
        <v>42397</v>
      </c>
      <c r="J114" s="64" t="s">
        <v>124</v>
      </c>
    </row>
    <row r="115" spans="1:11" s="50" customFormat="1" x14ac:dyDescent="0.25">
      <c r="A115" s="50" t="s">
        <v>186</v>
      </c>
      <c r="B115" s="56">
        <v>28</v>
      </c>
      <c r="C115" s="51">
        <f>27036.63*G115</f>
        <v>494689.21911000006</v>
      </c>
      <c r="D115" s="52" t="s">
        <v>919</v>
      </c>
      <c r="E115" s="52" t="s">
        <v>920</v>
      </c>
      <c r="F115" s="52" t="s">
        <v>921</v>
      </c>
      <c r="G115" s="52">
        <v>18.297000000000001</v>
      </c>
      <c r="H115" s="52">
        <v>27.52</v>
      </c>
      <c r="I115" s="53">
        <v>42387</v>
      </c>
      <c r="J115" s="54" t="s">
        <v>124</v>
      </c>
    </row>
    <row r="116" spans="1:11" s="50" customFormat="1" x14ac:dyDescent="0.25">
      <c r="A116" t="s">
        <v>186</v>
      </c>
      <c r="B116" s="56">
        <v>28</v>
      </c>
      <c r="C116" s="37">
        <f>584210+11850-2921.05</f>
        <v>593138.94999999995</v>
      </c>
      <c r="D116" s="50" t="s">
        <v>960</v>
      </c>
      <c r="E116" s="50" t="s">
        <v>961</v>
      </c>
      <c r="F116" s="50" t="s">
        <v>156</v>
      </c>
      <c r="G116" s="50" t="s">
        <v>964</v>
      </c>
      <c r="J116" s="59"/>
    </row>
    <row r="117" spans="1:11" x14ac:dyDescent="0.25">
      <c r="A117" t="s">
        <v>186</v>
      </c>
      <c r="B117" s="56">
        <v>28</v>
      </c>
      <c r="C117" s="37">
        <f>318425+55102.5</f>
        <v>373527.5</v>
      </c>
      <c r="D117" s="50" t="s">
        <v>963</v>
      </c>
      <c r="E117" s="50" t="s">
        <v>962</v>
      </c>
      <c r="F117" s="50" t="s">
        <v>156</v>
      </c>
    </row>
    <row r="118" spans="1:11" x14ac:dyDescent="0.25">
      <c r="A118" t="s">
        <v>117</v>
      </c>
      <c r="B118" s="56">
        <v>29</v>
      </c>
      <c r="C118" s="60">
        <f>30000*G118</f>
        <v>548940</v>
      </c>
      <c r="D118" s="61" t="s">
        <v>1132</v>
      </c>
      <c r="E118" s="61"/>
      <c r="F118" s="61" t="s">
        <v>901</v>
      </c>
      <c r="G118" s="61">
        <v>18.297999999999998</v>
      </c>
      <c r="H118" s="61"/>
      <c r="I118" s="63">
        <v>42398</v>
      </c>
      <c r="J118" s="64" t="s">
        <v>124</v>
      </c>
    </row>
    <row r="119" spans="1:11" x14ac:dyDescent="0.25">
      <c r="A119" t="s">
        <v>117</v>
      </c>
      <c r="B119" s="48">
        <v>29</v>
      </c>
      <c r="C119" s="60">
        <f>30000*G119</f>
        <v>548940</v>
      </c>
      <c r="D119" s="61" t="s">
        <v>1133</v>
      </c>
      <c r="E119" s="61"/>
      <c r="F119" s="61" t="s">
        <v>901</v>
      </c>
      <c r="G119" s="61">
        <v>18.297999999999998</v>
      </c>
      <c r="H119" s="61"/>
      <c r="I119" s="63">
        <v>42398</v>
      </c>
      <c r="J119" s="64" t="s">
        <v>124</v>
      </c>
    </row>
    <row r="120" spans="1:11" x14ac:dyDescent="0.25">
      <c r="A120" t="s">
        <v>117</v>
      </c>
      <c r="B120" s="56">
        <v>29</v>
      </c>
      <c r="C120" s="60">
        <f>28000*G120</f>
        <v>511980</v>
      </c>
      <c r="D120" s="61" t="s">
        <v>1107</v>
      </c>
      <c r="E120" s="61"/>
      <c r="F120" s="61" t="s">
        <v>818</v>
      </c>
      <c r="G120" s="61">
        <v>18.285</v>
      </c>
      <c r="H120" s="61"/>
      <c r="I120" s="63">
        <v>42398</v>
      </c>
      <c r="J120" s="64" t="s">
        <v>124</v>
      </c>
    </row>
    <row r="121" spans="1:11" s="50" customFormat="1" x14ac:dyDescent="0.25">
      <c r="A121" s="50" t="s">
        <v>117</v>
      </c>
      <c r="B121" s="56">
        <v>29</v>
      </c>
      <c r="C121" s="51">
        <v>330000.44</v>
      </c>
      <c r="D121" s="52" t="s">
        <v>1114</v>
      </c>
      <c r="E121" s="52" t="s">
        <v>1101</v>
      </c>
      <c r="F121" s="52" t="s">
        <v>152</v>
      </c>
      <c r="G121" s="53">
        <v>42398</v>
      </c>
      <c r="H121" s="53" t="s">
        <v>153</v>
      </c>
      <c r="I121" s="58"/>
      <c r="J121" s="59"/>
    </row>
    <row r="122" spans="1:11" x14ac:dyDescent="0.25">
      <c r="A122" t="s">
        <v>117</v>
      </c>
      <c r="B122" s="56">
        <v>29</v>
      </c>
      <c r="C122" s="51">
        <f>(25354.53-500)*G122</f>
        <v>460728.42260999995</v>
      </c>
      <c r="D122" s="52" t="s">
        <v>981</v>
      </c>
      <c r="E122" s="52" t="s">
        <v>978</v>
      </c>
      <c r="F122" s="52" t="s">
        <v>979</v>
      </c>
      <c r="G122" s="70">
        <v>18.536999999999999</v>
      </c>
      <c r="H122" s="52">
        <v>28.23</v>
      </c>
      <c r="I122" s="53">
        <v>42390</v>
      </c>
      <c r="J122" s="54" t="s">
        <v>124</v>
      </c>
      <c r="K122" s="69" t="s">
        <v>999</v>
      </c>
    </row>
    <row r="123" spans="1:11" x14ac:dyDescent="0.25">
      <c r="A123" t="s">
        <v>117</v>
      </c>
      <c r="B123" s="48">
        <v>29</v>
      </c>
      <c r="C123" s="51">
        <f>25754.75*G123</f>
        <v>477415.80074999999</v>
      </c>
      <c r="D123" s="52" t="s">
        <v>980</v>
      </c>
      <c r="E123" s="52" t="s">
        <v>982</v>
      </c>
      <c r="F123" s="52" t="s">
        <v>983</v>
      </c>
      <c r="G123" s="70">
        <v>18.536999999999999</v>
      </c>
      <c r="H123" s="52">
        <v>28.06</v>
      </c>
      <c r="I123" s="53">
        <v>42390</v>
      </c>
      <c r="J123" s="54" t="s">
        <v>124</v>
      </c>
    </row>
    <row r="124" spans="1:11" x14ac:dyDescent="0.25">
      <c r="A124" s="49" t="s">
        <v>118</v>
      </c>
      <c r="B124" s="48">
        <v>30</v>
      </c>
      <c r="C124" s="2"/>
    </row>
    <row r="125" spans="1:11" x14ac:dyDescent="0.25">
      <c r="A125" s="49" t="s">
        <v>119</v>
      </c>
      <c r="B125" s="48">
        <v>31</v>
      </c>
      <c r="C125" s="2"/>
    </row>
    <row r="126" spans="1:11" x14ac:dyDescent="0.25">
      <c r="A126" s="47" t="s">
        <v>892</v>
      </c>
      <c r="C126" s="2"/>
    </row>
    <row r="127" spans="1:11" x14ac:dyDescent="0.25">
      <c r="A127" t="s">
        <v>125</v>
      </c>
      <c r="B127" s="48">
        <v>1</v>
      </c>
      <c r="C127" s="2">
        <f>551195+52910.25</f>
        <v>604105.25</v>
      </c>
      <c r="D127" t="s">
        <v>969</v>
      </c>
      <c r="E127" t="s">
        <v>1118</v>
      </c>
      <c r="F127" t="s">
        <v>156</v>
      </c>
    </row>
    <row r="128" spans="1:11" x14ac:dyDescent="0.25">
      <c r="A128" t="s">
        <v>125</v>
      </c>
      <c r="B128" s="48">
        <v>1</v>
      </c>
      <c r="C128" s="2">
        <f>689655-8242.74</f>
        <v>681412.26</v>
      </c>
      <c r="D128" t="s">
        <v>1017</v>
      </c>
      <c r="E128" t="s">
        <v>955</v>
      </c>
      <c r="F128" t="s">
        <v>156</v>
      </c>
    </row>
    <row r="129" spans="1:10" x14ac:dyDescent="0.25">
      <c r="A129" t="s">
        <v>125</v>
      </c>
      <c r="B129" s="48">
        <v>1</v>
      </c>
      <c r="C129" s="2">
        <f>664470-5358.54</f>
        <v>659111.46</v>
      </c>
      <c r="D129" t="s">
        <v>1021</v>
      </c>
      <c r="E129" t="s">
        <v>954</v>
      </c>
      <c r="F129" t="s">
        <v>156</v>
      </c>
    </row>
    <row r="130" spans="1:10" x14ac:dyDescent="0.25">
      <c r="A130" t="s">
        <v>128</v>
      </c>
      <c r="B130" s="48">
        <v>2</v>
      </c>
      <c r="C130" s="2">
        <v>39513.25</v>
      </c>
      <c r="D130" t="s">
        <v>1122</v>
      </c>
      <c r="E130" s="50" t="s">
        <v>1164</v>
      </c>
      <c r="F130" t="s">
        <v>947</v>
      </c>
    </row>
    <row r="131" spans="1:10" x14ac:dyDescent="0.25">
      <c r="A131" t="s">
        <v>120</v>
      </c>
      <c r="B131" s="48">
        <v>3</v>
      </c>
      <c r="C131" s="2">
        <v>555910</v>
      </c>
      <c r="D131" t="s">
        <v>1018</v>
      </c>
      <c r="E131" t="s">
        <v>995</v>
      </c>
      <c r="F131" t="s">
        <v>156</v>
      </c>
    </row>
    <row r="132" spans="1:10" x14ac:dyDescent="0.25">
      <c r="A132" t="s">
        <v>120</v>
      </c>
      <c r="B132" s="48">
        <v>3</v>
      </c>
      <c r="C132" s="2">
        <f>323380+27136.56</f>
        <v>350516.56</v>
      </c>
      <c r="D132" t="s">
        <v>1019</v>
      </c>
      <c r="E132" t="s">
        <v>1119</v>
      </c>
      <c r="F132" t="s">
        <v>156</v>
      </c>
    </row>
    <row r="133" spans="1:10" x14ac:dyDescent="0.25">
      <c r="A133" s="50" t="s">
        <v>186</v>
      </c>
      <c r="B133" s="48">
        <v>4</v>
      </c>
      <c r="C133" s="51">
        <f>28942.85*G133</f>
        <v>534574.43949999998</v>
      </c>
      <c r="D133" s="52" t="s">
        <v>1049</v>
      </c>
      <c r="E133" s="52" t="s">
        <v>1050</v>
      </c>
      <c r="F133" s="52" t="s">
        <v>1051</v>
      </c>
      <c r="G133" s="52">
        <v>18.47</v>
      </c>
      <c r="H133" s="52" t="s">
        <v>1052</v>
      </c>
      <c r="I133" s="53">
        <v>42395</v>
      </c>
      <c r="J133" s="54" t="s">
        <v>124</v>
      </c>
    </row>
    <row r="134" spans="1:10" x14ac:dyDescent="0.25">
      <c r="A134" t="s">
        <v>186</v>
      </c>
      <c r="B134" s="48">
        <v>4</v>
      </c>
      <c r="C134" s="2">
        <f>489555-2447.89</f>
        <v>487107.11</v>
      </c>
      <c r="D134" t="s">
        <v>1020</v>
      </c>
      <c r="E134" t="s">
        <v>1010</v>
      </c>
      <c r="F134" t="s">
        <v>156</v>
      </c>
    </row>
    <row r="135" spans="1:10" x14ac:dyDescent="0.25">
      <c r="A135" t="s">
        <v>186</v>
      </c>
      <c r="B135" s="48">
        <v>4</v>
      </c>
      <c r="C135" s="2">
        <f>315905-2429.95</f>
        <v>313475.05</v>
      </c>
      <c r="D135" t="s">
        <v>1020</v>
      </c>
      <c r="E135" t="s">
        <v>1011</v>
      </c>
      <c r="F135" t="s">
        <v>156</v>
      </c>
    </row>
    <row r="136" spans="1:10" x14ac:dyDescent="0.25">
      <c r="A136" t="s">
        <v>117</v>
      </c>
      <c r="B136" s="48">
        <v>5</v>
      </c>
      <c r="C136" s="2">
        <v>1751495.15</v>
      </c>
      <c r="D136" t="s">
        <v>939</v>
      </c>
      <c r="E136" t="s">
        <v>938</v>
      </c>
      <c r="F136" t="s">
        <v>940</v>
      </c>
      <c r="G136" s="2">
        <v>95</v>
      </c>
    </row>
    <row r="137" spans="1:10" x14ac:dyDescent="0.25">
      <c r="A137" t="s">
        <v>117</v>
      </c>
      <c r="B137" s="48">
        <v>5</v>
      </c>
      <c r="C137" s="51">
        <f>26426.57*G137</f>
        <v>491005.67059999995</v>
      </c>
      <c r="D137" s="52" t="s">
        <v>1074</v>
      </c>
      <c r="E137" s="52" t="s">
        <v>1076</v>
      </c>
      <c r="F137" s="52" t="s">
        <v>1077</v>
      </c>
      <c r="G137" s="51">
        <v>18.579999999999998</v>
      </c>
      <c r="H137" s="52">
        <v>29.81</v>
      </c>
      <c r="I137" s="53">
        <v>42396</v>
      </c>
      <c r="J137" s="54" t="s">
        <v>124</v>
      </c>
    </row>
    <row r="138" spans="1:10" x14ac:dyDescent="0.25">
      <c r="A138" t="s">
        <v>117</v>
      </c>
      <c r="B138" s="48">
        <v>5</v>
      </c>
      <c r="C138" s="2">
        <f>27834.77*G138</f>
        <v>505479.42320000002</v>
      </c>
      <c r="D138" t="s">
        <v>1075</v>
      </c>
      <c r="E138" t="s">
        <v>1078</v>
      </c>
      <c r="F138" t="s">
        <v>1079</v>
      </c>
      <c r="G138" s="35">
        <v>18.16</v>
      </c>
      <c r="H138" s="52">
        <v>29.08</v>
      </c>
      <c r="I138" s="53">
        <v>42402</v>
      </c>
      <c r="J138" s="54" t="s">
        <v>124</v>
      </c>
    </row>
    <row r="139" spans="1:10" x14ac:dyDescent="0.25">
      <c r="A139" s="49" t="s">
        <v>118</v>
      </c>
      <c r="B139" s="48">
        <v>6</v>
      </c>
      <c r="C139" s="2"/>
    </row>
    <row r="140" spans="1:10" x14ac:dyDescent="0.25">
      <c r="A140" s="49" t="s">
        <v>119</v>
      </c>
      <c r="B140" s="48">
        <v>7</v>
      </c>
      <c r="C140" s="2"/>
    </row>
    <row r="141" spans="1:10" x14ac:dyDescent="0.25">
      <c r="A141" t="s">
        <v>125</v>
      </c>
      <c r="B141" s="48">
        <v>8</v>
      </c>
      <c r="C141" s="2">
        <v>561744.43000000005</v>
      </c>
      <c r="D141" t="s">
        <v>1125</v>
      </c>
      <c r="E141" t="s">
        <v>1124</v>
      </c>
      <c r="F141" t="s">
        <v>1126</v>
      </c>
      <c r="G141" s="2">
        <v>30.5</v>
      </c>
    </row>
    <row r="142" spans="1:10" x14ac:dyDescent="0.25">
      <c r="A142" t="s">
        <v>125</v>
      </c>
      <c r="B142" s="48">
        <v>8</v>
      </c>
      <c r="C142" s="37">
        <v>602100</v>
      </c>
      <c r="D142" t="s">
        <v>1054</v>
      </c>
      <c r="E142" t="s">
        <v>1053</v>
      </c>
      <c r="F142" t="s">
        <v>156</v>
      </c>
      <c r="G142" s="50"/>
    </row>
    <row r="143" spans="1:10" x14ac:dyDescent="0.25">
      <c r="A143" t="s">
        <v>125</v>
      </c>
      <c r="B143" s="48">
        <v>8</v>
      </c>
      <c r="C143" s="2">
        <f>563850-6965.33+29269.45</f>
        <v>586154.12</v>
      </c>
      <c r="D143" t="s">
        <v>1154</v>
      </c>
      <c r="E143" t="s">
        <v>1155</v>
      </c>
      <c r="F143" t="s">
        <v>156</v>
      </c>
    </row>
    <row r="144" spans="1:10" x14ac:dyDescent="0.25">
      <c r="A144" t="s">
        <v>128</v>
      </c>
      <c r="B144" s="48">
        <v>9</v>
      </c>
      <c r="C144" s="2">
        <f>656212.5-2635.43+14694</f>
        <v>668271.06999999995</v>
      </c>
      <c r="D144" t="s">
        <v>1156</v>
      </c>
      <c r="E144" t="s">
        <v>1157</v>
      </c>
      <c r="F144" t="s">
        <v>156</v>
      </c>
    </row>
    <row r="145" spans="1:10" x14ac:dyDescent="0.25">
      <c r="A145" t="s">
        <v>120</v>
      </c>
      <c r="B145" s="48">
        <v>10</v>
      </c>
      <c r="C145" s="2">
        <v>463387.5</v>
      </c>
      <c r="D145" t="s">
        <v>1158</v>
      </c>
      <c r="E145" t="s">
        <v>1159</v>
      </c>
      <c r="F145" t="s">
        <v>156</v>
      </c>
    </row>
    <row r="146" spans="1:10" x14ac:dyDescent="0.25">
      <c r="A146" t="s">
        <v>120</v>
      </c>
      <c r="B146" s="48">
        <v>10</v>
      </c>
      <c r="C146" s="2">
        <f>411862.5-2511.45+38986.5</f>
        <v>448337.55</v>
      </c>
      <c r="D146" t="s">
        <v>1158</v>
      </c>
      <c r="E146" t="s">
        <v>1160</v>
      </c>
      <c r="F146" t="s">
        <v>156</v>
      </c>
    </row>
    <row r="147" spans="1:10" x14ac:dyDescent="0.25">
      <c r="A147" t="s">
        <v>186</v>
      </c>
      <c r="B147" s="48">
        <v>11</v>
      </c>
      <c r="C147" s="2">
        <f>28152.69*G147</f>
        <v>511252.8504</v>
      </c>
      <c r="D147" t="s">
        <v>1138</v>
      </c>
      <c r="E147" t="s">
        <v>1139</v>
      </c>
      <c r="F147" t="s">
        <v>1140</v>
      </c>
      <c r="G147">
        <v>18.16</v>
      </c>
      <c r="H147" s="52">
        <v>29.36</v>
      </c>
      <c r="I147" s="53">
        <v>42402</v>
      </c>
      <c r="J147" s="54" t="s">
        <v>124</v>
      </c>
    </row>
    <row r="148" spans="1:10" s="50" customFormat="1" x14ac:dyDescent="0.25">
      <c r="A148" s="50" t="s">
        <v>186</v>
      </c>
      <c r="B148" s="56">
        <v>11</v>
      </c>
      <c r="C148" s="37">
        <f>416587.5</f>
        <v>416587.5</v>
      </c>
      <c r="D148" s="50" t="s">
        <v>1161</v>
      </c>
      <c r="E148" s="50" t="s">
        <v>1162</v>
      </c>
      <c r="F148" s="50" t="s">
        <v>156</v>
      </c>
      <c r="I148" s="58"/>
      <c r="J148" s="59"/>
    </row>
    <row r="149" spans="1:10" s="50" customFormat="1" x14ac:dyDescent="0.25">
      <c r="A149" s="50" t="s">
        <v>186</v>
      </c>
      <c r="B149" s="56">
        <v>11</v>
      </c>
      <c r="C149" s="37">
        <v>400050</v>
      </c>
      <c r="D149" s="50" t="s">
        <v>1161</v>
      </c>
      <c r="E149" s="50" t="s">
        <v>1163</v>
      </c>
      <c r="F149" s="50" t="s">
        <v>156</v>
      </c>
      <c r="I149" s="58"/>
      <c r="J149" s="59"/>
    </row>
    <row r="150" spans="1:10" x14ac:dyDescent="0.25">
      <c r="A150" t="s">
        <v>117</v>
      </c>
      <c r="B150" s="48">
        <v>12</v>
      </c>
      <c r="C150" s="2"/>
    </row>
    <row r="151" spans="1:10" x14ac:dyDescent="0.25">
      <c r="A151" s="49" t="s">
        <v>118</v>
      </c>
      <c r="B151" s="48">
        <v>13</v>
      </c>
      <c r="C151" s="2"/>
    </row>
    <row r="152" spans="1:10" x14ac:dyDescent="0.25">
      <c r="A152" s="49" t="s">
        <v>119</v>
      </c>
      <c r="B152" s="48">
        <v>14</v>
      </c>
      <c r="C152" s="2"/>
    </row>
    <row r="153" spans="1:10" x14ac:dyDescent="0.25">
      <c r="A153" t="s">
        <v>125</v>
      </c>
      <c r="B153" s="48">
        <v>15</v>
      </c>
      <c r="C153" s="2"/>
    </row>
    <row r="154" spans="1:10" x14ac:dyDescent="0.25">
      <c r="A154" t="s">
        <v>128</v>
      </c>
      <c r="B154" s="48">
        <v>16</v>
      </c>
      <c r="C154" s="2"/>
    </row>
    <row r="155" spans="1:10" x14ac:dyDescent="0.25">
      <c r="A155" t="s">
        <v>120</v>
      </c>
      <c r="B155" s="48">
        <v>17</v>
      </c>
      <c r="C155" s="2">
        <v>1737635.12</v>
      </c>
      <c r="D155" t="s">
        <v>1131</v>
      </c>
      <c r="E155" t="s">
        <v>1130</v>
      </c>
      <c r="F155" t="s">
        <v>940</v>
      </c>
    </row>
    <row r="156" spans="1:10" x14ac:dyDescent="0.25">
      <c r="A156" t="s">
        <v>186</v>
      </c>
      <c r="B156" s="48">
        <v>18</v>
      </c>
      <c r="C156" s="2"/>
    </row>
    <row r="160" spans="1:10" x14ac:dyDescent="0.25">
      <c r="A160" t="s">
        <v>1567</v>
      </c>
    </row>
    <row r="161" spans="1:10" x14ac:dyDescent="0.25">
      <c r="A161" s="113" t="s">
        <v>117</v>
      </c>
      <c r="B161" s="48">
        <v>5</v>
      </c>
      <c r="C161" s="2">
        <f>1751495.15-621495.15</f>
        <v>1130000</v>
      </c>
      <c r="D161" t="s">
        <v>939</v>
      </c>
      <c r="E161" t="s">
        <v>938</v>
      </c>
      <c r="F161" t="s">
        <v>940</v>
      </c>
      <c r="G161" s="2">
        <v>95</v>
      </c>
      <c r="H161" s="53">
        <v>42429</v>
      </c>
      <c r="I161" s="52" t="s">
        <v>1525</v>
      </c>
      <c r="J161" s="54" t="s">
        <v>124</v>
      </c>
    </row>
    <row r="162" spans="1:10" x14ac:dyDescent="0.25">
      <c r="A162" t="s">
        <v>117</v>
      </c>
      <c r="B162" s="48">
        <v>5</v>
      </c>
      <c r="C162" s="51">
        <f>26426.57*G162</f>
        <v>491005.67059999995</v>
      </c>
      <c r="D162" s="52" t="s">
        <v>1074</v>
      </c>
      <c r="E162" s="52" t="s">
        <v>1076</v>
      </c>
      <c r="F162" s="52" t="s">
        <v>1077</v>
      </c>
      <c r="G162" s="51">
        <v>18.579999999999998</v>
      </c>
      <c r="H162" s="52">
        <v>29.81</v>
      </c>
      <c r="I162" s="53">
        <v>42396</v>
      </c>
      <c r="J162" s="54" t="s">
        <v>124</v>
      </c>
    </row>
    <row r="163" spans="1:10" x14ac:dyDescent="0.25">
      <c r="A163" t="s">
        <v>117</v>
      </c>
      <c r="B163" s="48">
        <v>5</v>
      </c>
      <c r="C163" s="51">
        <f>27834.77*G163</f>
        <v>505479.42320000002</v>
      </c>
      <c r="D163" s="52" t="s">
        <v>1075</v>
      </c>
      <c r="E163" s="52" t="s">
        <v>1078</v>
      </c>
      <c r="F163" s="52" t="s">
        <v>1079</v>
      </c>
      <c r="G163" s="51">
        <v>18.16</v>
      </c>
      <c r="H163" s="52">
        <v>29.08</v>
      </c>
      <c r="I163" s="53">
        <v>42402</v>
      </c>
      <c r="J163" s="54" t="s">
        <v>124</v>
      </c>
    </row>
    <row r="164" spans="1:10" hidden="1" x14ac:dyDescent="0.25">
      <c r="A164" s="49" t="s">
        <v>118</v>
      </c>
      <c r="B164" s="48">
        <v>6</v>
      </c>
      <c r="C164" s="2"/>
    </row>
    <row r="165" spans="1:10" hidden="1" x14ac:dyDescent="0.25">
      <c r="A165" s="49" t="s">
        <v>119</v>
      </c>
      <c r="B165" s="48">
        <v>7</v>
      </c>
      <c r="C165" s="2"/>
    </row>
    <row r="166" spans="1:10" s="50" customFormat="1" hidden="1" x14ac:dyDescent="0.25">
      <c r="A166" s="50" t="s">
        <v>125</v>
      </c>
      <c r="B166" s="56">
        <v>8</v>
      </c>
      <c r="C166" s="60">
        <f t="shared" ref="C166" si="2">31000*G166</f>
        <v>563580</v>
      </c>
      <c r="D166" s="61" t="s">
        <v>1178</v>
      </c>
      <c r="E166" s="61" t="s">
        <v>1330</v>
      </c>
      <c r="F166" s="61" t="s">
        <v>1170</v>
      </c>
      <c r="G166" s="60">
        <v>18.18</v>
      </c>
      <c r="H166" s="61">
        <v>29.6</v>
      </c>
      <c r="I166" s="63">
        <v>42408</v>
      </c>
      <c r="J166" s="64" t="s">
        <v>124</v>
      </c>
    </row>
    <row r="167" spans="1:10" s="50" customFormat="1" hidden="1" x14ac:dyDescent="0.25">
      <c r="A167" s="50" t="s">
        <v>125</v>
      </c>
      <c r="B167" s="56">
        <v>8</v>
      </c>
      <c r="C167" s="60">
        <f>45000*G167</f>
        <v>847575</v>
      </c>
      <c r="D167" s="61" t="s">
        <v>1180</v>
      </c>
      <c r="E167" s="61" t="s">
        <v>1331</v>
      </c>
      <c r="F167" s="61" t="s">
        <v>1196</v>
      </c>
      <c r="G167" s="62">
        <v>18.835000000000001</v>
      </c>
      <c r="H167" s="112" t="s">
        <v>1325</v>
      </c>
      <c r="I167" s="63">
        <v>42409</v>
      </c>
      <c r="J167" s="64" t="s">
        <v>124</v>
      </c>
    </row>
    <row r="168" spans="1:10" hidden="1" x14ac:dyDescent="0.25">
      <c r="A168" t="s">
        <v>125</v>
      </c>
      <c r="B168" s="48">
        <v>8</v>
      </c>
      <c r="C168" s="51">
        <v>561744.43000000005</v>
      </c>
      <c r="D168" s="52" t="s">
        <v>1125</v>
      </c>
      <c r="E168" s="52" t="s">
        <v>1124</v>
      </c>
      <c r="F168" s="52" t="s">
        <v>1126</v>
      </c>
      <c r="G168" s="51">
        <v>30.5</v>
      </c>
      <c r="H168" s="53">
        <v>42415</v>
      </c>
      <c r="I168" s="54" t="s">
        <v>124</v>
      </c>
    </row>
    <row r="169" spans="1:10" hidden="1" x14ac:dyDescent="0.25">
      <c r="A169" t="s">
        <v>125</v>
      </c>
      <c r="B169" s="48">
        <v>8</v>
      </c>
      <c r="C169" s="51">
        <v>557928</v>
      </c>
      <c r="D169" s="52" t="s">
        <v>1200</v>
      </c>
      <c r="E169" s="52" t="s">
        <v>1199</v>
      </c>
      <c r="F169" s="52" t="s">
        <v>127</v>
      </c>
      <c r="G169" s="51">
        <v>30</v>
      </c>
      <c r="H169" s="53">
        <v>42409</v>
      </c>
      <c r="I169" s="52" t="s">
        <v>1225</v>
      </c>
    </row>
    <row r="170" spans="1:10" hidden="1" x14ac:dyDescent="0.25">
      <c r="A170" t="s">
        <v>125</v>
      </c>
      <c r="B170" s="48">
        <v>8</v>
      </c>
      <c r="C170" s="51">
        <v>602100</v>
      </c>
      <c r="D170" s="52" t="s">
        <v>1054</v>
      </c>
      <c r="E170" s="52" t="s">
        <v>1053</v>
      </c>
      <c r="F170" s="52" t="s">
        <v>156</v>
      </c>
      <c r="G170" s="53">
        <v>42415</v>
      </c>
      <c r="H170" s="53" t="s">
        <v>153</v>
      </c>
    </row>
    <row r="171" spans="1:10" hidden="1" x14ac:dyDescent="0.25">
      <c r="A171" t="s">
        <v>125</v>
      </c>
      <c r="B171" s="48">
        <v>8</v>
      </c>
      <c r="C171" s="51">
        <f>563850-6965.33+29269.45</f>
        <v>586154.12</v>
      </c>
      <c r="D171" s="52" t="s">
        <v>1154</v>
      </c>
      <c r="E171" s="52" t="s">
        <v>1155</v>
      </c>
      <c r="F171" s="52" t="s">
        <v>156</v>
      </c>
      <c r="G171" s="53">
        <v>42416</v>
      </c>
      <c r="H171" s="53" t="s">
        <v>153</v>
      </c>
    </row>
    <row r="172" spans="1:10" hidden="1" x14ac:dyDescent="0.25">
      <c r="A172" t="s">
        <v>128</v>
      </c>
      <c r="B172" s="48">
        <v>9</v>
      </c>
      <c r="C172" s="51">
        <f>656212.5-2635.43+14694</f>
        <v>668271.06999999995</v>
      </c>
      <c r="D172" s="52" t="s">
        <v>1156</v>
      </c>
      <c r="E172" s="52" t="s">
        <v>1157</v>
      </c>
      <c r="F172" s="52" t="s">
        <v>156</v>
      </c>
      <c r="G172" s="53">
        <v>42416</v>
      </c>
      <c r="H172" s="53" t="s">
        <v>153</v>
      </c>
    </row>
    <row r="173" spans="1:10" hidden="1" x14ac:dyDescent="0.25">
      <c r="A173" t="s">
        <v>120</v>
      </c>
      <c r="B173" s="48">
        <v>10</v>
      </c>
      <c r="C173" s="60">
        <f>30000*G173</f>
        <v>565800</v>
      </c>
      <c r="D173" s="61" t="s">
        <v>1271</v>
      </c>
      <c r="E173" s="61" t="s">
        <v>1323</v>
      </c>
      <c r="F173" s="61" t="s">
        <v>901</v>
      </c>
      <c r="G173" s="61">
        <v>18.86</v>
      </c>
      <c r="H173" s="61">
        <v>30.59</v>
      </c>
      <c r="I173" s="63">
        <v>42410</v>
      </c>
      <c r="J173" s="64" t="s">
        <v>124</v>
      </c>
    </row>
    <row r="174" spans="1:10" s="50" customFormat="1" hidden="1" x14ac:dyDescent="0.25">
      <c r="A174" s="50" t="s">
        <v>120</v>
      </c>
      <c r="B174" s="56">
        <v>10</v>
      </c>
      <c r="C174" s="51">
        <f>263970.45+263550.27</f>
        <v>527520.72</v>
      </c>
      <c r="D174" s="52" t="s">
        <v>1280</v>
      </c>
      <c r="E174" s="52" t="s">
        <v>1284</v>
      </c>
      <c r="F174" s="52" t="s">
        <v>152</v>
      </c>
      <c r="G174" s="53">
        <v>42411</v>
      </c>
      <c r="H174" s="53" t="s">
        <v>153</v>
      </c>
      <c r="I174" s="58"/>
      <c r="J174" s="59"/>
    </row>
    <row r="175" spans="1:10" hidden="1" x14ac:dyDescent="0.25">
      <c r="A175" t="s">
        <v>120</v>
      </c>
      <c r="B175" s="48">
        <v>10</v>
      </c>
      <c r="C175" s="51">
        <v>463387.5</v>
      </c>
      <c r="D175" s="52" t="s">
        <v>1158</v>
      </c>
      <c r="E175" s="52" t="s">
        <v>1159</v>
      </c>
      <c r="F175" s="52" t="s">
        <v>156</v>
      </c>
      <c r="G175" s="53">
        <v>42417</v>
      </c>
      <c r="H175" s="53" t="s">
        <v>153</v>
      </c>
    </row>
    <row r="176" spans="1:10" hidden="1" x14ac:dyDescent="0.25">
      <c r="A176" t="s">
        <v>120</v>
      </c>
      <c r="B176" s="48">
        <v>10</v>
      </c>
      <c r="C176" s="51">
        <f>411862.5-2511.45+38986.5</f>
        <v>448337.55</v>
      </c>
      <c r="D176" s="52" t="s">
        <v>1158</v>
      </c>
      <c r="E176" s="52" t="s">
        <v>1160</v>
      </c>
      <c r="F176" s="52" t="s">
        <v>156</v>
      </c>
      <c r="G176" s="53">
        <v>42417</v>
      </c>
      <c r="H176" s="53" t="s">
        <v>153</v>
      </c>
    </row>
    <row r="177" spans="1:10" hidden="1" x14ac:dyDescent="0.25">
      <c r="A177" t="s">
        <v>186</v>
      </c>
      <c r="B177" s="48">
        <v>11</v>
      </c>
      <c r="C177" s="51">
        <f>28152.69*G177</f>
        <v>511252.8504</v>
      </c>
      <c r="D177" s="52" t="s">
        <v>1138</v>
      </c>
      <c r="E177" s="52" t="s">
        <v>1139</v>
      </c>
      <c r="F177" s="52" t="s">
        <v>1140</v>
      </c>
      <c r="G177" s="52">
        <v>18.16</v>
      </c>
      <c r="H177" s="52">
        <v>29.36</v>
      </c>
      <c r="I177" s="53">
        <v>42402</v>
      </c>
      <c r="J177" s="54" t="s">
        <v>124</v>
      </c>
    </row>
    <row r="178" spans="1:10" s="50" customFormat="1" hidden="1" x14ac:dyDescent="0.25">
      <c r="A178" s="50" t="s">
        <v>186</v>
      </c>
      <c r="B178" s="56">
        <v>11</v>
      </c>
      <c r="C178" s="51">
        <f>416587.5</f>
        <v>416587.5</v>
      </c>
      <c r="D178" s="52" t="s">
        <v>1161</v>
      </c>
      <c r="E178" s="52" t="s">
        <v>1162</v>
      </c>
      <c r="F178" s="52" t="s">
        <v>156</v>
      </c>
      <c r="G178" s="53">
        <v>42419</v>
      </c>
      <c r="H178" s="53" t="s">
        <v>153</v>
      </c>
      <c r="I178" s="58"/>
      <c r="J178" s="59"/>
    </row>
    <row r="179" spans="1:10" s="50" customFormat="1" hidden="1" x14ac:dyDescent="0.25">
      <c r="A179" s="50" t="s">
        <v>186</v>
      </c>
      <c r="B179" s="56">
        <v>11</v>
      </c>
      <c r="C179" s="51">
        <v>400050</v>
      </c>
      <c r="D179" s="52" t="s">
        <v>1161</v>
      </c>
      <c r="E179" s="52" t="s">
        <v>1163</v>
      </c>
      <c r="F179" s="52" t="s">
        <v>156</v>
      </c>
      <c r="G179" s="53">
        <v>42418</v>
      </c>
      <c r="H179" s="53" t="s">
        <v>153</v>
      </c>
      <c r="I179" s="58"/>
      <c r="J179" s="59"/>
    </row>
    <row r="180" spans="1:10" s="50" customFormat="1" hidden="1" x14ac:dyDescent="0.25">
      <c r="A180" s="50" t="s">
        <v>186</v>
      </c>
      <c r="B180" s="56">
        <v>11</v>
      </c>
      <c r="C180" s="60">
        <f>35000*G180</f>
        <v>669900</v>
      </c>
      <c r="D180" s="61" t="s">
        <v>1316</v>
      </c>
      <c r="E180" s="61" t="s">
        <v>1391</v>
      </c>
      <c r="F180" s="61" t="s">
        <v>1320</v>
      </c>
      <c r="G180" s="61">
        <v>19.14</v>
      </c>
      <c r="H180" s="61">
        <v>30.77</v>
      </c>
      <c r="I180" s="63">
        <v>42412</v>
      </c>
      <c r="J180" s="64" t="s">
        <v>124</v>
      </c>
    </row>
    <row r="181" spans="1:10" s="50" customFormat="1" hidden="1" x14ac:dyDescent="0.25">
      <c r="A181" s="50" t="s">
        <v>186</v>
      </c>
      <c r="B181" s="56">
        <v>11</v>
      </c>
      <c r="C181" s="60">
        <f t="shared" ref="C181:C183" si="3">35000*G181</f>
        <v>669900</v>
      </c>
      <c r="D181" s="61" t="s">
        <v>1317</v>
      </c>
      <c r="E181" s="61" t="s">
        <v>1392</v>
      </c>
      <c r="F181" s="61" t="s">
        <v>1320</v>
      </c>
      <c r="G181" s="61">
        <v>19.14</v>
      </c>
      <c r="H181" s="61">
        <v>30.91</v>
      </c>
      <c r="I181" s="63">
        <v>42412</v>
      </c>
      <c r="J181" s="64" t="s">
        <v>124</v>
      </c>
    </row>
    <row r="182" spans="1:10" s="50" customFormat="1" hidden="1" x14ac:dyDescent="0.25">
      <c r="A182" t="s">
        <v>117</v>
      </c>
      <c r="B182" s="48">
        <v>12</v>
      </c>
      <c r="C182" s="60">
        <f t="shared" si="3"/>
        <v>669900</v>
      </c>
      <c r="D182" s="61" t="s">
        <v>1318</v>
      </c>
      <c r="E182" s="61" t="s">
        <v>1393</v>
      </c>
      <c r="F182" s="61" t="s">
        <v>1320</v>
      </c>
      <c r="G182" s="61">
        <v>19.14</v>
      </c>
      <c r="H182" s="61">
        <v>30.75</v>
      </c>
      <c r="I182" s="63">
        <v>42412</v>
      </c>
      <c r="J182" s="64" t="s">
        <v>124</v>
      </c>
    </row>
    <row r="183" spans="1:10" s="50" customFormat="1" hidden="1" x14ac:dyDescent="0.25">
      <c r="A183" t="s">
        <v>117</v>
      </c>
      <c r="B183" s="48">
        <v>12</v>
      </c>
      <c r="C183" s="60">
        <f t="shared" si="3"/>
        <v>669900</v>
      </c>
      <c r="D183" s="61" t="s">
        <v>1319</v>
      </c>
      <c r="E183" s="61" t="s">
        <v>1394</v>
      </c>
      <c r="F183" s="61" t="s">
        <v>1320</v>
      </c>
      <c r="G183" s="61">
        <v>19.14</v>
      </c>
      <c r="H183" s="61">
        <v>30.75</v>
      </c>
      <c r="I183" s="63">
        <v>42412</v>
      </c>
      <c r="J183" s="64" t="s">
        <v>124</v>
      </c>
    </row>
    <row r="184" spans="1:10" s="50" customFormat="1" hidden="1" x14ac:dyDescent="0.25">
      <c r="A184" t="s">
        <v>117</v>
      </c>
      <c r="B184" s="48">
        <v>12</v>
      </c>
      <c r="C184" s="60">
        <f>30000*G184</f>
        <v>574200</v>
      </c>
      <c r="D184" s="61" t="s">
        <v>1321</v>
      </c>
      <c r="E184" s="61" t="s">
        <v>1395</v>
      </c>
      <c r="F184" s="61" t="s">
        <v>901</v>
      </c>
      <c r="G184" s="61">
        <v>19.14</v>
      </c>
      <c r="H184" s="61">
        <v>30.71</v>
      </c>
      <c r="I184" s="63">
        <v>42412</v>
      </c>
      <c r="J184" s="64" t="s">
        <v>124</v>
      </c>
    </row>
    <row r="185" spans="1:10" hidden="1" x14ac:dyDescent="0.25">
      <c r="A185" t="s">
        <v>117</v>
      </c>
      <c r="B185" s="48">
        <v>12</v>
      </c>
      <c r="C185" s="51">
        <f>28096.72*G185</f>
        <v>510517.40240000008</v>
      </c>
      <c r="D185" s="52" t="s">
        <v>1219</v>
      </c>
      <c r="E185" s="52" t="s">
        <v>1221</v>
      </c>
      <c r="F185" s="52" t="s">
        <v>1222</v>
      </c>
      <c r="G185" s="52">
        <v>18.170000000000002</v>
      </c>
      <c r="H185" s="52">
        <v>29.44</v>
      </c>
      <c r="I185" s="53">
        <v>42408</v>
      </c>
      <c r="J185" s="54" t="s">
        <v>124</v>
      </c>
    </row>
    <row r="186" spans="1:10" hidden="1" x14ac:dyDescent="0.25">
      <c r="A186" t="s">
        <v>117</v>
      </c>
      <c r="B186" s="48">
        <v>12</v>
      </c>
      <c r="C186" s="51">
        <f>27722.89*G186</f>
        <v>503724.91130000004</v>
      </c>
      <c r="D186" s="52" t="s">
        <v>1220</v>
      </c>
      <c r="E186" s="52" t="s">
        <v>1223</v>
      </c>
      <c r="F186" s="52" t="s">
        <v>1224</v>
      </c>
      <c r="G186" s="52">
        <v>18.170000000000002</v>
      </c>
      <c r="H186" s="52">
        <v>29.46</v>
      </c>
      <c r="I186" s="53">
        <v>42408</v>
      </c>
      <c r="J186" s="54" t="s">
        <v>124</v>
      </c>
    </row>
    <row r="187" spans="1:10" hidden="1" x14ac:dyDescent="0.25">
      <c r="A187" s="49" t="s">
        <v>118</v>
      </c>
      <c r="B187" s="48">
        <v>13</v>
      </c>
      <c r="C187" s="2"/>
    </row>
    <row r="188" spans="1:10" hidden="1" x14ac:dyDescent="0.25">
      <c r="A188" s="49" t="s">
        <v>119</v>
      </c>
      <c r="B188" s="48">
        <v>14</v>
      </c>
      <c r="C188" s="2"/>
    </row>
    <row r="189" spans="1:10" hidden="1" x14ac:dyDescent="0.25">
      <c r="A189" t="s">
        <v>125</v>
      </c>
      <c r="B189" s="48">
        <v>15</v>
      </c>
      <c r="C189" s="51">
        <v>615120</v>
      </c>
      <c r="D189" s="52" t="s">
        <v>1244</v>
      </c>
      <c r="E189" s="52" t="s">
        <v>1137</v>
      </c>
      <c r="F189" s="52" t="s">
        <v>156</v>
      </c>
      <c r="G189" s="53">
        <v>42422</v>
      </c>
      <c r="H189" s="53" t="s">
        <v>153</v>
      </c>
    </row>
    <row r="190" spans="1:10" hidden="1" x14ac:dyDescent="0.25">
      <c r="A190" t="s">
        <v>125</v>
      </c>
      <c r="B190" s="48">
        <v>15</v>
      </c>
      <c r="C190" s="51">
        <f>527010+53680.5</f>
        <v>580690.5</v>
      </c>
      <c r="D190" s="52" t="s">
        <v>1269</v>
      </c>
      <c r="E190" s="52" t="s">
        <v>1279</v>
      </c>
      <c r="F190" s="52" t="s">
        <v>156</v>
      </c>
      <c r="G190" s="53">
        <v>42422</v>
      </c>
      <c r="H190" s="53" t="s">
        <v>153</v>
      </c>
    </row>
    <row r="191" spans="1:10" hidden="1" x14ac:dyDescent="0.25">
      <c r="A191" t="s">
        <v>125</v>
      </c>
      <c r="B191" s="48">
        <v>15</v>
      </c>
      <c r="C191" s="51">
        <f>556270+29625</f>
        <v>585895</v>
      </c>
      <c r="D191" s="52" t="s">
        <v>1270</v>
      </c>
      <c r="E191" s="52" t="s">
        <v>1278</v>
      </c>
      <c r="F191" s="52" t="s">
        <v>156</v>
      </c>
      <c r="G191" s="53">
        <v>42423</v>
      </c>
      <c r="H191" s="53" t="s">
        <v>153</v>
      </c>
    </row>
    <row r="192" spans="1:10" hidden="1" x14ac:dyDescent="0.25">
      <c r="A192" t="s">
        <v>125</v>
      </c>
      <c r="B192" s="48">
        <v>15</v>
      </c>
      <c r="C192" s="60">
        <f>25000*G192</f>
        <v>472750</v>
      </c>
      <c r="D192" s="61" t="s">
        <v>1322</v>
      </c>
      <c r="E192" s="61" t="s">
        <v>1390</v>
      </c>
      <c r="F192" s="61" t="s">
        <v>201</v>
      </c>
      <c r="G192" s="61">
        <v>18.91</v>
      </c>
      <c r="H192" s="61">
        <v>30.29</v>
      </c>
      <c r="I192" s="63">
        <v>42415</v>
      </c>
      <c r="J192" s="111" t="s">
        <v>952</v>
      </c>
    </row>
    <row r="193" spans="1:10" hidden="1" x14ac:dyDescent="0.25">
      <c r="A193" t="s">
        <v>128</v>
      </c>
      <c r="B193" s="48">
        <v>16</v>
      </c>
      <c r="C193" s="2"/>
    </row>
    <row r="194" spans="1:10" hidden="1" x14ac:dyDescent="0.25">
      <c r="A194" t="s">
        <v>120</v>
      </c>
      <c r="B194" s="48">
        <v>17</v>
      </c>
      <c r="C194" s="51">
        <v>1737635.12</v>
      </c>
      <c r="D194" s="52" t="s">
        <v>1131</v>
      </c>
      <c r="E194" s="52" t="s">
        <v>1130</v>
      </c>
      <c r="F194" s="52" t="s">
        <v>940</v>
      </c>
      <c r="G194" s="53">
        <v>42424</v>
      </c>
      <c r="H194" s="54" t="s">
        <v>124</v>
      </c>
    </row>
    <row r="195" spans="1:10" hidden="1" x14ac:dyDescent="0.25">
      <c r="A195" t="s">
        <v>120</v>
      </c>
      <c r="B195" s="48">
        <v>17</v>
      </c>
      <c r="C195" s="51">
        <f>28413.09*G195</f>
        <v>538655.36021999991</v>
      </c>
      <c r="D195" s="52" t="s">
        <v>1230</v>
      </c>
      <c r="E195" s="52" t="s">
        <v>1231</v>
      </c>
      <c r="F195" s="52" t="s">
        <v>1232</v>
      </c>
      <c r="G195" s="70">
        <v>18.957999999999998</v>
      </c>
      <c r="H195" s="52">
        <v>30.82</v>
      </c>
      <c r="I195" s="53">
        <v>42416</v>
      </c>
      <c r="J195" s="54" t="s">
        <v>124</v>
      </c>
    </row>
    <row r="196" spans="1:10" hidden="1" x14ac:dyDescent="0.25">
      <c r="A196" t="s">
        <v>120</v>
      </c>
      <c r="B196" s="48">
        <v>17</v>
      </c>
      <c r="C196" s="51">
        <v>434060</v>
      </c>
      <c r="D196" s="52" t="s">
        <v>1272</v>
      </c>
      <c r="E196" s="52" t="s">
        <v>1273</v>
      </c>
      <c r="F196" s="52" t="s">
        <v>156</v>
      </c>
      <c r="G196" s="57">
        <v>42426</v>
      </c>
      <c r="H196" s="53" t="s">
        <v>153</v>
      </c>
    </row>
    <row r="197" spans="1:10" hidden="1" x14ac:dyDescent="0.25">
      <c r="A197" t="s">
        <v>120</v>
      </c>
      <c r="B197" s="48">
        <v>17</v>
      </c>
      <c r="C197" s="51">
        <v>434170</v>
      </c>
      <c r="D197" s="52" t="s">
        <v>1272</v>
      </c>
      <c r="E197" s="52" t="s">
        <v>1274</v>
      </c>
      <c r="F197" s="52" t="s">
        <v>156</v>
      </c>
      <c r="G197" s="57">
        <v>42425</v>
      </c>
      <c r="H197" s="53" t="s">
        <v>153</v>
      </c>
    </row>
    <row r="198" spans="1:10" hidden="1" x14ac:dyDescent="0.25">
      <c r="A198" t="s">
        <v>120</v>
      </c>
      <c r="B198" s="48">
        <v>17</v>
      </c>
      <c r="C198" s="51">
        <f>248010+271530.23</f>
        <v>519540.23</v>
      </c>
      <c r="D198" s="52" t="s">
        <v>1355</v>
      </c>
      <c r="E198" s="52" t="s">
        <v>1357</v>
      </c>
      <c r="F198" s="52" t="s">
        <v>152</v>
      </c>
      <c r="G198" s="57">
        <v>42417</v>
      </c>
      <c r="H198" s="53" t="s">
        <v>153</v>
      </c>
    </row>
    <row r="199" spans="1:10" hidden="1" x14ac:dyDescent="0.25">
      <c r="A199" t="s">
        <v>120</v>
      </c>
      <c r="B199" s="48">
        <v>17</v>
      </c>
      <c r="C199" s="60">
        <f>29000*G199</f>
        <v>545635</v>
      </c>
      <c r="D199" s="61" t="s">
        <v>1337</v>
      </c>
      <c r="E199" s="61" t="s">
        <v>1509</v>
      </c>
      <c r="F199" s="61" t="s">
        <v>902</v>
      </c>
      <c r="G199" s="62">
        <v>18.815000000000001</v>
      </c>
      <c r="H199" s="61">
        <v>29.19</v>
      </c>
      <c r="I199" s="63">
        <v>42417</v>
      </c>
      <c r="J199" s="64" t="s">
        <v>124</v>
      </c>
    </row>
    <row r="200" spans="1:10" hidden="1" x14ac:dyDescent="0.25">
      <c r="A200" t="s">
        <v>186</v>
      </c>
      <c r="B200" s="48">
        <v>18</v>
      </c>
      <c r="C200" s="51">
        <v>404140</v>
      </c>
      <c r="D200" s="52" t="s">
        <v>1275</v>
      </c>
      <c r="E200" s="52" t="s">
        <v>1276</v>
      </c>
      <c r="F200" s="52" t="s">
        <v>156</v>
      </c>
      <c r="G200" s="57">
        <v>42426</v>
      </c>
      <c r="H200" s="53" t="s">
        <v>153</v>
      </c>
    </row>
    <row r="201" spans="1:10" hidden="1" x14ac:dyDescent="0.25">
      <c r="A201" t="s">
        <v>186</v>
      </c>
      <c r="B201" s="48">
        <v>18</v>
      </c>
      <c r="C201" s="51">
        <f>393580-4829</f>
        <v>388751</v>
      </c>
      <c r="D201" s="52" t="s">
        <v>1275</v>
      </c>
      <c r="E201" s="52" t="s">
        <v>1277</v>
      </c>
      <c r="F201" s="52" t="s">
        <v>156</v>
      </c>
      <c r="G201" s="53">
        <v>42429</v>
      </c>
      <c r="H201" s="53" t="s">
        <v>153</v>
      </c>
    </row>
    <row r="202" spans="1:10" hidden="1" x14ac:dyDescent="0.25">
      <c r="A202" t="s">
        <v>186</v>
      </c>
      <c r="B202" s="48">
        <v>18</v>
      </c>
      <c r="C202" s="60">
        <f t="shared" ref="C202:C205" si="4">29000*G202</f>
        <v>545635</v>
      </c>
      <c r="D202" s="61" t="s">
        <v>1359</v>
      </c>
      <c r="E202" s="61" t="s">
        <v>1502</v>
      </c>
      <c r="F202" s="61" t="s">
        <v>902</v>
      </c>
      <c r="G202" s="62">
        <v>18.815000000000001</v>
      </c>
      <c r="H202" s="61">
        <v>38.950000000000003</v>
      </c>
      <c r="I202" s="63">
        <v>42418</v>
      </c>
      <c r="J202" s="64" t="s">
        <v>124</v>
      </c>
    </row>
    <row r="203" spans="1:10" hidden="1" x14ac:dyDescent="0.25">
      <c r="A203" t="s">
        <v>186</v>
      </c>
      <c r="B203" s="48">
        <v>18</v>
      </c>
      <c r="C203" s="60">
        <f t="shared" si="4"/>
        <v>545635</v>
      </c>
      <c r="D203" s="61" t="s">
        <v>1360</v>
      </c>
      <c r="E203" s="61" t="s">
        <v>1503</v>
      </c>
      <c r="F203" s="61" t="s">
        <v>902</v>
      </c>
      <c r="G203" s="62">
        <v>18.815000000000001</v>
      </c>
      <c r="H203" s="61">
        <v>29.11</v>
      </c>
      <c r="I203" s="63">
        <v>42418</v>
      </c>
      <c r="J203" s="64" t="s">
        <v>124</v>
      </c>
    </row>
    <row r="204" spans="1:10" hidden="1" x14ac:dyDescent="0.25">
      <c r="A204" t="s">
        <v>117</v>
      </c>
      <c r="B204" s="48">
        <v>19</v>
      </c>
      <c r="C204" s="60">
        <f t="shared" si="4"/>
        <v>531570</v>
      </c>
      <c r="D204" s="61" t="s">
        <v>1361</v>
      </c>
      <c r="E204" s="61" t="s">
        <v>1518</v>
      </c>
      <c r="F204" s="61" t="s">
        <v>902</v>
      </c>
      <c r="G204" s="60">
        <v>18.329999999999998</v>
      </c>
      <c r="H204" s="61">
        <v>28.79</v>
      </c>
      <c r="I204" s="63">
        <v>42419</v>
      </c>
      <c r="J204" s="64" t="s">
        <v>124</v>
      </c>
    </row>
    <row r="205" spans="1:10" hidden="1" x14ac:dyDescent="0.25">
      <c r="A205" t="s">
        <v>117</v>
      </c>
      <c r="B205" s="48">
        <v>19</v>
      </c>
      <c r="C205" s="60">
        <f t="shared" si="4"/>
        <v>531570</v>
      </c>
      <c r="D205" s="61" t="s">
        <v>1362</v>
      </c>
      <c r="E205" s="61" t="s">
        <v>1519</v>
      </c>
      <c r="F205" s="61" t="s">
        <v>902</v>
      </c>
      <c r="G205" s="60">
        <v>18.329999999999998</v>
      </c>
      <c r="H205" s="61">
        <v>28.79</v>
      </c>
      <c r="I205" s="63">
        <v>42419</v>
      </c>
      <c r="J205" s="64" t="s">
        <v>124</v>
      </c>
    </row>
    <row r="206" spans="1:10" hidden="1" x14ac:dyDescent="0.25">
      <c r="A206" t="s">
        <v>117</v>
      </c>
      <c r="B206" s="48">
        <v>19</v>
      </c>
      <c r="C206" s="60">
        <f>29000*G206</f>
        <v>526930</v>
      </c>
      <c r="D206" s="61" t="s">
        <v>1338</v>
      </c>
      <c r="E206" s="61" t="s">
        <v>1480</v>
      </c>
      <c r="F206" s="61" t="s">
        <v>902</v>
      </c>
      <c r="G206" s="60">
        <v>18.170000000000002</v>
      </c>
      <c r="H206" s="61">
        <v>28.15</v>
      </c>
      <c r="I206" s="63">
        <v>42419</v>
      </c>
      <c r="J206" s="64" t="s">
        <v>124</v>
      </c>
    </row>
    <row r="207" spans="1:10" hidden="1" x14ac:dyDescent="0.25">
      <c r="A207" t="s">
        <v>117</v>
      </c>
      <c r="B207" s="48">
        <v>19</v>
      </c>
      <c r="C207" s="51">
        <f>28657.82*G207</f>
        <v>539196.88329999999</v>
      </c>
      <c r="D207" s="52" t="s">
        <v>1233</v>
      </c>
      <c r="E207" s="52" t="s">
        <v>1234</v>
      </c>
      <c r="F207" s="52" t="s">
        <v>1235</v>
      </c>
      <c r="G207" s="70">
        <v>18.815000000000001</v>
      </c>
      <c r="H207" s="52">
        <v>31.3</v>
      </c>
      <c r="I207" s="53">
        <v>42417</v>
      </c>
      <c r="J207" s="54" t="s">
        <v>124</v>
      </c>
    </row>
    <row r="208" spans="1:10" hidden="1" x14ac:dyDescent="0.25">
      <c r="A208" t="s">
        <v>117</v>
      </c>
      <c r="B208" s="48">
        <v>19</v>
      </c>
      <c r="C208" s="51">
        <f>28040.37*G208</f>
        <v>518943.12759000005</v>
      </c>
      <c r="D208" s="52" t="s">
        <v>1237</v>
      </c>
      <c r="E208" s="52" t="s">
        <v>1236</v>
      </c>
      <c r="F208" s="52" t="s">
        <v>1238</v>
      </c>
      <c r="G208" s="70">
        <v>18.507000000000001</v>
      </c>
      <c r="H208" s="52">
        <v>30.59</v>
      </c>
      <c r="I208" s="53">
        <v>42419</v>
      </c>
      <c r="J208" s="54" t="s">
        <v>124</v>
      </c>
    </row>
    <row r="209" spans="1:10" x14ac:dyDescent="0.25">
      <c r="A209" s="49" t="s">
        <v>118</v>
      </c>
      <c r="B209" s="48">
        <v>20</v>
      </c>
      <c r="C209" s="2"/>
    </row>
    <row r="210" spans="1:10" x14ac:dyDescent="0.25">
      <c r="A210" s="49" t="s">
        <v>119</v>
      </c>
      <c r="B210" s="48">
        <v>21</v>
      </c>
      <c r="C210" s="2"/>
    </row>
    <row r="211" spans="1:10" s="50" customFormat="1" x14ac:dyDescent="0.25">
      <c r="A211" s="50" t="s">
        <v>125</v>
      </c>
      <c r="B211" s="56">
        <v>22</v>
      </c>
      <c r="C211" s="60">
        <f>25000*G211</f>
        <v>453950.00000000006</v>
      </c>
      <c r="D211" s="61" t="s">
        <v>1427</v>
      </c>
      <c r="E211" s="61" t="s">
        <v>1520</v>
      </c>
      <c r="F211" s="61" t="s">
        <v>201</v>
      </c>
      <c r="G211" s="61">
        <v>18.158000000000001</v>
      </c>
      <c r="H211" s="61">
        <v>28.63</v>
      </c>
      <c r="I211" s="63">
        <v>42422</v>
      </c>
      <c r="J211" s="64" t="s">
        <v>124</v>
      </c>
    </row>
    <row r="212" spans="1:10" x14ac:dyDescent="0.25">
      <c r="A212" t="s">
        <v>125</v>
      </c>
      <c r="B212" s="48">
        <v>22</v>
      </c>
      <c r="C212" s="51">
        <f>577500+14812.53</f>
        <v>592312.53</v>
      </c>
      <c r="D212" s="52" t="s">
        <v>1379</v>
      </c>
      <c r="E212" s="52" t="s">
        <v>1380</v>
      </c>
      <c r="F212" s="52" t="s">
        <v>156</v>
      </c>
      <c r="G212" s="53">
        <v>42429</v>
      </c>
      <c r="H212" s="53" t="s">
        <v>153</v>
      </c>
    </row>
    <row r="213" spans="1:10" x14ac:dyDescent="0.25">
      <c r="A213" t="s">
        <v>125</v>
      </c>
      <c r="B213" s="48">
        <v>22</v>
      </c>
      <c r="C213" s="2">
        <f>603790+14812.53</f>
        <v>618602.53</v>
      </c>
      <c r="D213" t="s">
        <v>1381</v>
      </c>
      <c r="E213" t="s">
        <v>1382</v>
      </c>
      <c r="F213" t="s">
        <v>156</v>
      </c>
    </row>
    <row r="214" spans="1:10" x14ac:dyDescent="0.25">
      <c r="A214" t="s">
        <v>125</v>
      </c>
      <c r="B214" s="48">
        <v>22</v>
      </c>
      <c r="C214" s="2">
        <f>612260+14812.53</f>
        <v>627072.53</v>
      </c>
      <c r="D214" t="s">
        <v>1383</v>
      </c>
      <c r="E214" t="s">
        <v>1384</v>
      </c>
      <c r="F214" t="s">
        <v>156</v>
      </c>
    </row>
    <row r="215" spans="1:10" x14ac:dyDescent="0.25">
      <c r="A215" t="s">
        <v>128</v>
      </c>
      <c r="B215" s="48">
        <v>23</v>
      </c>
      <c r="C215" s="2"/>
    </row>
    <row r="216" spans="1:10" x14ac:dyDescent="0.25">
      <c r="A216" t="s">
        <v>120</v>
      </c>
      <c r="B216" s="48">
        <v>24</v>
      </c>
      <c r="C216" s="51">
        <f>261240.07+262999.77-499.77</f>
        <v>523740.07</v>
      </c>
      <c r="D216" s="52" t="s">
        <v>1491</v>
      </c>
      <c r="E216" s="52" t="s">
        <v>1492</v>
      </c>
      <c r="F216" s="52" t="s">
        <v>152</v>
      </c>
      <c r="G216" s="53">
        <v>42424</v>
      </c>
      <c r="H216" s="53" t="s">
        <v>153</v>
      </c>
    </row>
    <row r="217" spans="1:10" x14ac:dyDescent="0.25">
      <c r="A217" t="s">
        <v>120</v>
      </c>
      <c r="B217" s="48">
        <v>24</v>
      </c>
      <c r="C217" s="60">
        <f>22000*G217</f>
        <v>403480</v>
      </c>
      <c r="D217" s="61" t="s">
        <v>1428</v>
      </c>
      <c r="E217" s="61" t="s">
        <v>1521</v>
      </c>
      <c r="F217" s="61" t="s">
        <v>203</v>
      </c>
      <c r="G217" s="60">
        <v>18.34</v>
      </c>
      <c r="H217" s="61">
        <v>28.68</v>
      </c>
      <c r="I217" s="63">
        <v>42424</v>
      </c>
      <c r="J217" s="64" t="s">
        <v>124</v>
      </c>
    </row>
    <row r="218" spans="1:10" x14ac:dyDescent="0.25">
      <c r="A218" t="s">
        <v>120</v>
      </c>
      <c r="B218" s="48">
        <v>24</v>
      </c>
      <c r="C218" s="2">
        <v>632610</v>
      </c>
      <c r="D218" t="s">
        <v>1385</v>
      </c>
      <c r="E218" t="s">
        <v>1309</v>
      </c>
      <c r="F218" t="s">
        <v>156</v>
      </c>
    </row>
    <row r="219" spans="1:10" x14ac:dyDescent="0.25">
      <c r="A219" t="s">
        <v>120</v>
      </c>
      <c r="B219" s="48">
        <v>24</v>
      </c>
      <c r="C219" s="2">
        <f>318670+22515.08-250000</f>
        <v>91185.080000000016</v>
      </c>
      <c r="D219" t="s">
        <v>1385</v>
      </c>
      <c r="E219" t="s">
        <v>1386</v>
      </c>
      <c r="F219" s="52" t="s">
        <v>156</v>
      </c>
      <c r="G219" s="53">
        <v>42429</v>
      </c>
      <c r="H219" s="53" t="s">
        <v>153</v>
      </c>
      <c r="I219" s="52" t="s">
        <v>1524</v>
      </c>
      <c r="J219" s="52"/>
    </row>
    <row r="220" spans="1:10" x14ac:dyDescent="0.25">
      <c r="A220" t="s">
        <v>120</v>
      </c>
      <c r="B220" s="48">
        <v>24</v>
      </c>
      <c r="C220" s="51">
        <f>27774.33*G220</f>
        <v>514019.52531000006</v>
      </c>
      <c r="D220" s="52" t="s">
        <v>1332</v>
      </c>
      <c r="E220" s="52" t="s">
        <v>1333</v>
      </c>
      <c r="F220" s="52" t="s">
        <v>1334</v>
      </c>
      <c r="G220" s="70">
        <v>18.507000000000001</v>
      </c>
      <c r="H220" s="52">
        <v>30.51</v>
      </c>
      <c r="I220" s="53">
        <v>42419</v>
      </c>
      <c r="J220" s="54" t="s">
        <v>124</v>
      </c>
    </row>
    <row r="221" spans="1:10" x14ac:dyDescent="0.25">
      <c r="A221" t="s">
        <v>186</v>
      </c>
      <c r="B221" s="48">
        <v>25</v>
      </c>
      <c r="C221" s="2">
        <v>521620</v>
      </c>
      <c r="D221" t="s">
        <v>1387</v>
      </c>
      <c r="E221" t="s">
        <v>1388</v>
      </c>
      <c r="F221" t="s">
        <v>156</v>
      </c>
    </row>
    <row r="222" spans="1:10" x14ac:dyDescent="0.25">
      <c r="A222" t="s">
        <v>186</v>
      </c>
      <c r="B222" s="48">
        <v>25</v>
      </c>
      <c r="C222" s="2">
        <f>495770+22396.5</f>
        <v>518166.5</v>
      </c>
      <c r="D222" t="s">
        <v>1387</v>
      </c>
      <c r="E222" t="s">
        <v>1389</v>
      </c>
      <c r="F222" t="s">
        <v>156</v>
      </c>
    </row>
    <row r="223" spans="1:10" x14ac:dyDescent="0.25">
      <c r="A223" t="s">
        <v>186</v>
      </c>
      <c r="B223" s="48">
        <v>25</v>
      </c>
      <c r="C223" s="60">
        <f>27000*G223</f>
        <v>491939.99999999994</v>
      </c>
      <c r="D223" s="61" t="s">
        <v>1429</v>
      </c>
      <c r="E223" s="61"/>
      <c r="F223" s="61" t="s">
        <v>222</v>
      </c>
      <c r="G223" s="60">
        <v>18.22</v>
      </c>
      <c r="H223" s="61"/>
      <c r="I223" s="63">
        <v>42425</v>
      </c>
      <c r="J223" s="64" t="s">
        <v>124</v>
      </c>
    </row>
    <row r="224" spans="1:10" x14ac:dyDescent="0.25">
      <c r="A224" t="s">
        <v>186</v>
      </c>
      <c r="B224" s="48">
        <v>25</v>
      </c>
      <c r="C224" s="60">
        <f>27000*G224</f>
        <v>491939.99999999994</v>
      </c>
      <c r="D224" s="61" t="s">
        <v>1430</v>
      </c>
      <c r="E224" s="61"/>
      <c r="F224" s="61" t="s">
        <v>222</v>
      </c>
      <c r="G224" s="60">
        <v>18.22</v>
      </c>
      <c r="H224" s="61"/>
      <c r="I224" s="63">
        <v>42425</v>
      </c>
      <c r="J224" s="64" t="s">
        <v>124</v>
      </c>
    </row>
    <row r="225" spans="1:10" x14ac:dyDescent="0.25">
      <c r="A225" t="s">
        <v>117</v>
      </c>
      <c r="B225" s="48">
        <v>26</v>
      </c>
      <c r="C225" s="60">
        <f>28000*G225</f>
        <v>508760.00000000006</v>
      </c>
      <c r="D225" s="61" t="s">
        <v>1431</v>
      </c>
      <c r="E225" s="61"/>
      <c r="F225" s="61" t="s">
        <v>818</v>
      </c>
      <c r="G225" s="60">
        <v>18.170000000000002</v>
      </c>
      <c r="H225" s="61"/>
      <c r="I225" s="63">
        <v>42426</v>
      </c>
      <c r="J225" s="64" t="s">
        <v>124</v>
      </c>
    </row>
    <row r="226" spans="1:10" x14ac:dyDescent="0.25">
      <c r="A226" t="s">
        <v>117</v>
      </c>
      <c r="B226" s="48">
        <v>26</v>
      </c>
      <c r="C226" s="60">
        <f>28000*G226</f>
        <v>508760.00000000006</v>
      </c>
      <c r="D226" s="61" t="s">
        <v>1432</v>
      </c>
      <c r="E226" s="61"/>
      <c r="F226" s="61" t="s">
        <v>818</v>
      </c>
      <c r="G226" s="60">
        <v>18.170000000000002</v>
      </c>
      <c r="H226" s="61"/>
      <c r="I226" s="63">
        <v>42426</v>
      </c>
      <c r="J226" s="64" t="s">
        <v>124</v>
      </c>
    </row>
    <row r="227" spans="1:10" x14ac:dyDescent="0.25">
      <c r="A227" t="s">
        <v>117</v>
      </c>
      <c r="B227" s="48">
        <v>26</v>
      </c>
      <c r="C227" s="60">
        <f>27000*G227</f>
        <v>490590.00000000006</v>
      </c>
      <c r="D227" s="61" t="s">
        <v>1433</v>
      </c>
      <c r="E227" s="61"/>
      <c r="F227" s="61" t="s">
        <v>222</v>
      </c>
      <c r="G227" s="60">
        <v>18.170000000000002</v>
      </c>
      <c r="H227" s="61"/>
      <c r="I227" s="63">
        <v>42426</v>
      </c>
      <c r="J227" s="64" t="s">
        <v>124</v>
      </c>
    </row>
    <row r="228" spans="1:10" x14ac:dyDescent="0.25">
      <c r="A228" t="s">
        <v>117</v>
      </c>
      <c r="B228" s="48">
        <v>26</v>
      </c>
      <c r="C228" s="51">
        <f>27071.04*G228</f>
        <v>491339.37599999999</v>
      </c>
      <c r="D228" s="52" t="s">
        <v>1420</v>
      </c>
      <c r="E228" s="52" t="s">
        <v>1421</v>
      </c>
      <c r="F228" s="52" t="s">
        <v>1422</v>
      </c>
      <c r="G228" s="51">
        <v>18.149999999999999</v>
      </c>
      <c r="H228" s="52">
        <v>29.09</v>
      </c>
      <c r="I228" s="53">
        <v>42422</v>
      </c>
      <c r="J228" s="54" t="s">
        <v>124</v>
      </c>
    </row>
    <row r="229" spans="1:10" x14ac:dyDescent="0.25">
      <c r="A229" s="49" t="s">
        <v>118</v>
      </c>
      <c r="B229" s="48">
        <v>27</v>
      </c>
      <c r="C229" s="2"/>
    </row>
    <row r="230" spans="1:10" x14ac:dyDescent="0.25">
      <c r="A230" s="49" t="s">
        <v>119</v>
      </c>
      <c r="B230" s="48">
        <v>28</v>
      </c>
      <c r="C230" s="2"/>
    </row>
    <row r="231" spans="1:10" s="50" customFormat="1" x14ac:dyDescent="0.25">
      <c r="A231" s="50" t="s">
        <v>125</v>
      </c>
      <c r="B231" s="56">
        <v>29</v>
      </c>
      <c r="C231" s="60">
        <f>28000*G231</f>
        <v>509179.99999999994</v>
      </c>
      <c r="D231" s="61" t="s">
        <v>1513</v>
      </c>
      <c r="E231" s="61"/>
      <c r="F231" s="61" t="s">
        <v>818</v>
      </c>
      <c r="G231" s="62">
        <v>18.184999999999999</v>
      </c>
      <c r="H231" s="61"/>
      <c r="I231" s="63">
        <v>42429</v>
      </c>
      <c r="J231" s="64" t="s">
        <v>124</v>
      </c>
    </row>
    <row r="232" spans="1:10" x14ac:dyDescent="0.25">
      <c r="A232" t="s">
        <v>125</v>
      </c>
      <c r="B232" s="48">
        <v>29</v>
      </c>
      <c r="C232" s="2">
        <f>22897.5+15227.24</f>
        <v>38124.74</v>
      </c>
      <c r="D232" t="s">
        <v>1411</v>
      </c>
      <c r="E232" t="s">
        <v>1409</v>
      </c>
      <c r="F232" t="s">
        <v>156</v>
      </c>
    </row>
    <row r="233" spans="1:10" x14ac:dyDescent="0.25">
      <c r="A233" t="s">
        <v>125</v>
      </c>
      <c r="B233" s="48">
        <v>29</v>
      </c>
      <c r="C233" s="2">
        <f>623500+14812.53</f>
        <v>638312.53</v>
      </c>
      <c r="D233" t="s">
        <v>1410</v>
      </c>
      <c r="E233" t="s">
        <v>1412</v>
      </c>
      <c r="F233" t="s">
        <v>156</v>
      </c>
    </row>
    <row r="234" spans="1:10" x14ac:dyDescent="0.25">
      <c r="A234" t="s">
        <v>125</v>
      </c>
      <c r="B234" s="48">
        <v>29</v>
      </c>
      <c r="C234" s="2">
        <v>613180</v>
      </c>
      <c r="D234" t="s">
        <v>1413</v>
      </c>
      <c r="E234" t="s">
        <v>1365</v>
      </c>
      <c r="F234" t="s">
        <v>156</v>
      </c>
    </row>
    <row r="235" spans="1:10" x14ac:dyDescent="0.25">
      <c r="A235" t="s">
        <v>125</v>
      </c>
      <c r="B235" s="48">
        <v>29</v>
      </c>
      <c r="C235" s="51">
        <f>570932.5-4585.09</f>
        <v>566347.41</v>
      </c>
      <c r="D235" s="52" t="s">
        <v>1414</v>
      </c>
      <c r="E235" s="52" t="s">
        <v>1366</v>
      </c>
      <c r="F235" s="52" t="s">
        <v>156</v>
      </c>
      <c r="G235" s="53">
        <v>42429</v>
      </c>
      <c r="H235" s="53" t="s">
        <v>153</v>
      </c>
    </row>
    <row r="236" spans="1:10" x14ac:dyDescent="0.25">
      <c r="A236" s="47" t="s">
        <v>1408</v>
      </c>
      <c r="C236" s="2"/>
    </row>
    <row r="237" spans="1:10" x14ac:dyDescent="0.25">
      <c r="A237" t="s">
        <v>128</v>
      </c>
      <c r="B237" s="48">
        <v>1</v>
      </c>
      <c r="C237" s="2"/>
    </row>
    <row r="238" spans="1:10" x14ac:dyDescent="0.25">
      <c r="A238" t="s">
        <v>120</v>
      </c>
      <c r="B238" s="48">
        <v>2</v>
      </c>
      <c r="C238" s="51">
        <f>26753.96*G238</f>
        <v>485584.37399999995</v>
      </c>
      <c r="D238" s="52" t="s">
        <v>1423</v>
      </c>
      <c r="E238" s="52" t="s">
        <v>1424</v>
      </c>
      <c r="F238" s="52" t="s">
        <v>1425</v>
      </c>
      <c r="G238" s="51">
        <v>18.149999999999999</v>
      </c>
      <c r="H238" s="52" t="s">
        <v>1435</v>
      </c>
      <c r="I238" s="53">
        <v>42424</v>
      </c>
      <c r="J238" s="118" t="s">
        <v>952</v>
      </c>
    </row>
    <row r="239" spans="1:10" x14ac:dyDescent="0.25">
      <c r="A239" t="s">
        <v>120</v>
      </c>
      <c r="B239" s="48">
        <v>2</v>
      </c>
      <c r="C239" s="2">
        <v>611997.5</v>
      </c>
      <c r="D239" t="s">
        <v>1415</v>
      </c>
      <c r="E239" t="s">
        <v>1373</v>
      </c>
      <c r="F239" t="s">
        <v>156</v>
      </c>
    </row>
    <row r="240" spans="1:10" x14ac:dyDescent="0.25">
      <c r="A240" t="s">
        <v>120</v>
      </c>
      <c r="B240" s="48">
        <v>2</v>
      </c>
      <c r="C240" s="2">
        <f>295732.5-4549.83+22337.28</f>
        <v>313519.94999999995</v>
      </c>
      <c r="D240" t="s">
        <v>1416</v>
      </c>
      <c r="E240" t="s">
        <v>1417</v>
      </c>
      <c r="F240" t="s">
        <v>156</v>
      </c>
    </row>
    <row r="241" spans="1:10" x14ac:dyDescent="0.25">
      <c r="A241" t="s">
        <v>186</v>
      </c>
      <c r="B241" s="48">
        <v>3</v>
      </c>
      <c r="C241" s="2">
        <v>623285</v>
      </c>
      <c r="D241" t="s">
        <v>1418</v>
      </c>
      <c r="E241" t="s">
        <v>1374</v>
      </c>
      <c r="F241" t="s">
        <v>156</v>
      </c>
    </row>
    <row r="242" spans="1:10" x14ac:dyDescent="0.25">
      <c r="A242" t="s">
        <v>186</v>
      </c>
      <c r="B242" s="48">
        <v>3</v>
      </c>
      <c r="C242" s="2">
        <f>323790+37327.5</f>
        <v>361117.5</v>
      </c>
      <c r="D242" t="s">
        <v>1418</v>
      </c>
      <c r="E242" t="s">
        <v>1419</v>
      </c>
      <c r="F242" t="s">
        <v>156</v>
      </c>
    </row>
    <row r="243" spans="1:10" x14ac:dyDescent="0.25">
      <c r="A243" t="s">
        <v>186</v>
      </c>
      <c r="B243" s="48">
        <v>3</v>
      </c>
      <c r="C243" s="2"/>
    </row>
    <row r="244" spans="1:10" x14ac:dyDescent="0.25">
      <c r="A244" t="s">
        <v>117</v>
      </c>
      <c r="B244" s="48">
        <v>4</v>
      </c>
      <c r="C244" s="51">
        <f>26507.1*G244</f>
        <v>480706.2585</v>
      </c>
      <c r="D244" s="52" t="s">
        <v>1482</v>
      </c>
      <c r="E244" s="52" t="s">
        <v>1483</v>
      </c>
      <c r="F244" s="52" t="s">
        <v>1484</v>
      </c>
      <c r="G244" s="70">
        <v>18.135000000000002</v>
      </c>
      <c r="H244" s="52">
        <v>27.85</v>
      </c>
      <c r="I244" s="53">
        <v>42429</v>
      </c>
      <c r="J244" s="54" t="s">
        <v>124</v>
      </c>
    </row>
    <row r="245" spans="1:10" x14ac:dyDescent="0.25">
      <c r="A245" t="s">
        <v>117</v>
      </c>
      <c r="B245" s="48">
        <v>4</v>
      </c>
      <c r="C245" s="51">
        <f>25393.92*G245</f>
        <v>460518.73920000001</v>
      </c>
      <c r="D245" s="52" t="s">
        <v>1485</v>
      </c>
      <c r="E245" s="52" t="s">
        <v>1486</v>
      </c>
      <c r="F245" s="52" t="s">
        <v>1487</v>
      </c>
      <c r="G245" s="70">
        <v>18.135000000000002</v>
      </c>
      <c r="H245" s="52">
        <v>27.83</v>
      </c>
      <c r="I245" s="53">
        <v>42429</v>
      </c>
      <c r="J245" s="54" t="s">
        <v>124</v>
      </c>
    </row>
    <row r="246" spans="1:10" x14ac:dyDescent="0.25">
      <c r="A246" s="49" t="s">
        <v>118</v>
      </c>
      <c r="B246" s="48">
        <v>5</v>
      </c>
      <c r="C246" s="2"/>
    </row>
    <row r="247" spans="1:10" x14ac:dyDescent="0.25">
      <c r="A247" s="49" t="s">
        <v>119</v>
      </c>
      <c r="B247" s="48">
        <v>6</v>
      </c>
      <c r="C247" s="2"/>
    </row>
    <row r="248" spans="1:10" x14ac:dyDescent="0.25">
      <c r="A248" t="s">
        <v>125</v>
      </c>
      <c r="B248" s="48">
        <v>7</v>
      </c>
      <c r="C248" s="2">
        <v>602107.5</v>
      </c>
      <c r="D248" t="s">
        <v>1550</v>
      </c>
      <c r="E248" t="s">
        <v>1551</v>
      </c>
      <c r="F248" t="s">
        <v>156</v>
      </c>
    </row>
    <row r="249" spans="1:10" x14ac:dyDescent="0.25">
      <c r="A249" t="s">
        <v>125</v>
      </c>
      <c r="B249" s="48">
        <v>7</v>
      </c>
      <c r="C249" s="2">
        <f>26982.5+37683</f>
        <v>64665.5</v>
      </c>
      <c r="D249" t="s">
        <v>1552</v>
      </c>
      <c r="E249" t="s">
        <v>1553</v>
      </c>
      <c r="F249" t="s">
        <v>156</v>
      </c>
    </row>
    <row r="250" spans="1:10" x14ac:dyDescent="0.25">
      <c r="A250" t="s">
        <v>125</v>
      </c>
      <c r="B250" s="48">
        <v>7</v>
      </c>
      <c r="C250" s="2">
        <f>298527.5+290465</f>
        <v>588992.5</v>
      </c>
      <c r="D250" t="s">
        <v>1555</v>
      </c>
      <c r="E250" t="s">
        <v>1471</v>
      </c>
      <c r="F250" t="s">
        <v>156</v>
      </c>
    </row>
    <row r="251" spans="1:10" x14ac:dyDescent="0.25">
      <c r="A251" t="s">
        <v>128</v>
      </c>
      <c r="B251" s="48">
        <v>8</v>
      </c>
      <c r="C251" s="2">
        <f>572007.5+14753.28</f>
        <v>586760.78</v>
      </c>
      <c r="D251" t="s">
        <v>1554</v>
      </c>
      <c r="E251" t="s">
        <v>1556</v>
      </c>
      <c r="F251" t="s">
        <v>156</v>
      </c>
    </row>
    <row r="252" spans="1:10" x14ac:dyDescent="0.25">
      <c r="A252" t="s">
        <v>128</v>
      </c>
      <c r="B252" s="48">
        <v>8</v>
      </c>
      <c r="C252" s="2">
        <f>26686.62*G252</f>
        <v>484682.39243999997</v>
      </c>
      <c r="D252" t="s">
        <v>1488</v>
      </c>
      <c r="E252" t="s">
        <v>1489</v>
      </c>
      <c r="F252" t="s">
        <v>1490</v>
      </c>
      <c r="G252" s="119">
        <v>18.161999999999999</v>
      </c>
      <c r="H252" t="s">
        <v>1523</v>
      </c>
      <c r="I252" s="75">
        <v>42431</v>
      </c>
    </row>
    <row r="253" spans="1:10" x14ac:dyDescent="0.25">
      <c r="A253" t="s">
        <v>120</v>
      </c>
      <c r="B253" s="48">
        <v>9</v>
      </c>
      <c r="C253" s="2">
        <v>585122.5</v>
      </c>
      <c r="D253" t="s">
        <v>1560</v>
      </c>
      <c r="E253" t="s">
        <v>1506</v>
      </c>
      <c r="F253" t="s">
        <v>156</v>
      </c>
    </row>
    <row r="254" spans="1:10" x14ac:dyDescent="0.25">
      <c r="A254" t="s">
        <v>120</v>
      </c>
      <c r="B254" s="48">
        <v>9</v>
      </c>
      <c r="C254" s="2">
        <f>326155-5056.8</f>
        <v>321098.2</v>
      </c>
      <c r="D254" t="s">
        <v>1561</v>
      </c>
      <c r="E254" t="s">
        <v>1505</v>
      </c>
      <c r="F254" t="s">
        <v>156</v>
      </c>
    </row>
    <row r="255" spans="1:10" x14ac:dyDescent="0.25">
      <c r="A255" t="s">
        <v>186</v>
      </c>
      <c r="B255" s="48">
        <v>10</v>
      </c>
      <c r="C255" s="2">
        <f>459885+151037.5</f>
        <v>610922.5</v>
      </c>
      <c r="D255" t="s">
        <v>1562</v>
      </c>
      <c r="E255" t="s">
        <v>1512</v>
      </c>
      <c r="F255" t="s">
        <v>156</v>
      </c>
    </row>
    <row r="256" spans="1:10" x14ac:dyDescent="0.25">
      <c r="A256" t="s">
        <v>186</v>
      </c>
      <c r="B256" s="48">
        <v>10</v>
      </c>
      <c r="C256" s="2">
        <f>336367.5+37327.5</f>
        <v>373695</v>
      </c>
      <c r="D256" t="s">
        <v>1563</v>
      </c>
      <c r="E256" t="s">
        <v>1564</v>
      </c>
      <c r="F256" t="s">
        <v>156</v>
      </c>
    </row>
    <row r="257" spans="1:10" x14ac:dyDescent="0.25">
      <c r="A257" t="s">
        <v>186</v>
      </c>
      <c r="B257" s="48">
        <v>10</v>
      </c>
      <c r="C257" s="2"/>
    </row>
    <row r="258" spans="1:10" x14ac:dyDescent="0.25">
      <c r="A258" t="s">
        <v>117</v>
      </c>
      <c r="B258" s="48">
        <v>11</v>
      </c>
      <c r="C258" s="2">
        <f>25276.86*G258</f>
        <v>450307.26090000005</v>
      </c>
      <c r="D258" t="s">
        <v>1557</v>
      </c>
      <c r="E258" t="s">
        <v>1558</v>
      </c>
      <c r="F258" t="s">
        <v>1559</v>
      </c>
      <c r="G258" s="121">
        <v>17.815000000000001</v>
      </c>
      <c r="H258">
        <v>27.66</v>
      </c>
      <c r="I258" s="75">
        <v>42433</v>
      </c>
      <c r="J258" s="54" t="s">
        <v>124</v>
      </c>
    </row>
    <row r="259" spans="1:10" x14ac:dyDescent="0.25">
      <c r="A259" s="49" t="s">
        <v>118</v>
      </c>
      <c r="B259" s="48">
        <v>12</v>
      </c>
      <c r="C259" s="2"/>
    </row>
    <row r="260" spans="1:10" x14ac:dyDescent="0.25">
      <c r="A260" s="49" t="s">
        <v>119</v>
      </c>
      <c r="B260" s="48">
        <v>13</v>
      </c>
      <c r="C260" s="2"/>
    </row>
    <row r="261" spans="1:10" x14ac:dyDescent="0.25">
      <c r="A261" t="s">
        <v>125</v>
      </c>
      <c r="B261" s="48">
        <v>14</v>
      </c>
      <c r="C261" s="2">
        <v>623607.5</v>
      </c>
      <c r="D261" t="s">
        <v>1565</v>
      </c>
      <c r="E261" t="s">
        <v>1514</v>
      </c>
      <c r="F261" t="s">
        <v>156</v>
      </c>
    </row>
    <row r="262" spans="1:10" x14ac:dyDescent="0.25">
      <c r="A262" t="s">
        <v>125</v>
      </c>
      <c r="B262" s="48">
        <v>14</v>
      </c>
      <c r="C262" s="2">
        <v>603397.5</v>
      </c>
      <c r="D262" t="s">
        <v>1566</v>
      </c>
      <c r="E262" t="s">
        <v>1526</v>
      </c>
      <c r="F262" t="s">
        <v>156</v>
      </c>
    </row>
    <row r="263" spans="1:10" x14ac:dyDescent="0.25">
      <c r="A263" t="s">
        <v>128</v>
      </c>
      <c r="B263" s="48">
        <v>15</v>
      </c>
      <c r="C263" s="2"/>
    </row>
    <row r="277" spans="1:10" x14ac:dyDescent="0.25">
      <c r="A277" t="s">
        <v>1938</v>
      </c>
    </row>
    <row r="278" spans="1:10" x14ac:dyDescent="0.25">
      <c r="A278" s="113" t="s">
        <v>125</v>
      </c>
      <c r="B278" s="48">
        <v>21</v>
      </c>
      <c r="C278" s="2">
        <f>34662+15227.19</f>
        <v>49889.19</v>
      </c>
      <c r="D278" t="s">
        <v>1740</v>
      </c>
      <c r="E278" t="s">
        <v>1741</v>
      </c>
      <c r="F278" t="s">
        <v>156</v>
      </c>
    </row>
    <row r="279" spans="1:10" x14ac:dyDescent="0.25">
      <c r="A279" t="s">
        <v>125</v>
      </c>
      <c r="B279" s="48">
        <v>21</v>
      </c>
      <c r="C279" s="2">
        <v>625442</v>
      </c>
      <c r="D279" t="s">
        <v>1742</v>
      </c>
      <c r="E279" t="s">
        <v>1613</v>
      </c>
      <c r="F279" t="s">
        <v>156</v>
      </c>
    </row>
    <row r="280" spans="1:10" x14ac:dyDescent="0.25">
      <c r="A280" t="s">
        <v>125</v>
      </c>
      <c r="B280" s="48">
        <v>21</v>
      </c>
      <c r="C280" s="2">
        <v>630565</v>
      </c>
      <c r="D280" t="s">
        <v>1743</v>
      </c>
      <c r="E280" t="s">
        <v>1629</v>
      </c>
      <c r="F280" t="s">
        <v>156</v>
      </c>
      <c r="G280" s="75">
        <v>42461</v>
      </c>
      <c r="H280" s="53" t="s">
        <v>153</v>
      </c>
    </row>
    <row r="281" spans="1:10" x14ac:dyDescent="0.25">
      <c r="A281" t="s">
        <v>128</v>
      </c>
      <c r="B281" s="48">
        <v>22</v>
      </c>
      <c r="C281" s="51">
        <f>16298.68*G281</f>
        <v>285389.88680000004</v>
      </c>
      <c r="D281" s="52" t="s">
        <v>1753</v>
      </c>
      <c r="E281" s="52" t="s">
        <v>1754</v>
      </c>
      <c r="F281" s="52" t="s">
        <v>1755</v>
      </c>
      <c r="G281" s="70">
        <v>17.510000000000002</v>
      </c>
      <c r="H281" s="52">
        <v>17.16</v>
      </c>
      <c r="I281" s="53">
        <v>42457</v>
      </c>
      <c r="J281" s="54" t="s">
        <v>124</v>
      </c>
    </row>
    <row r="282" spans="1:10" x14ac:dyDescent="0.25">
      <c r="A282" t="s">
        <v>120</v>
      </c>
      <c r="B282" s="48">
        <v>23</v>
      </c>
      <c r="C282" s="60">
        <f>24000*G282</f>
        <v>416856</v>
      </c>
      <c r="D282" s="61" t="s">
        <v>1796</v>
      </c>
      <c r="E282" s="61" t="s">
        <v>1874</v>
      </c>
      <c r="F282" s="61" t="s">
        <v>1797</v>
      </c>
      <c r="G282" s="62">
        <v>17.369</v>
      </c>
      <c r="H282" s="61">
        <v>25.07</v>
      </c>
      <c r="I282" s="63">
        <v>42452</v>
      </c>
      <c r="J282" s="64" t="s">
        <v>124</v>
      </c>
    </row>
    <row r="283" spans="1:10" x14ac:dyDescent="0.25">
      <c r="A283" t="s">
        <v>120</v>
      </c>
      <c r="B283" s="48">
        <v>23</v>
      </c>
      <c r="C283" s="2">
        <v>471316</v>
      </c>
      <c r="D283" t="s">
        <v>1744</v>
      </c>
      <c r="E283" t="s">
        <v>1630</v>
      </c>
      <c r="F283" t="s">
        <v>156</v>
      </c>
    </row>
    <row r="284" spans="1:10" x14ac:dyDescent="0.25">
      <c r="A284" t="s">
        <v>120</v>
      </c>
      <c r="B284" s="48">
        <v>23</v>
      </c>
      <c r="C284" s="2">
        <f>320787+19433.96</f>
        <v>340220.96</v>
      </c>
      <c r="D284" t="s">
        <v>1744</v>
      </c>
      <c r="E284" t="s">
        <v>1745</v>
      </c>
      <c r="F284" t="s">
        <v>156</v>
      </c>
    </row>
    <row r="285" spans="1:10" x14ac:dyDescent="0.25">
      <c r="A285" t="s">
        <v>120</v>
      </c>
      <c r="B285" s="48">
        <v>23</v>
      </c>
      <c r="C285" s="51">
        <f>26773.84*G285</f>
        <v>476306.61359999998</v>
      </c>
      <c r="D285" s="52" t="s">
        <v>1655</v>
      </c>
      <c r="E285" s="52" t="s">
        <v>1656</v>
      </c>
      <c r="F285" s="52" t="s">
        <v>1657</v>
      </c>
      <c r="G285" s="51">
        <v>17.79</v>
      </c>
      <c r="H285" s="52">
        <v>27.87</v>
      </c>
      <c r="I285" s="53">
        <v>42445</v>
      </c>
      <c r="J285" s="54" t="s">
        <v>124</v>
      </c>
    </row>
    <row r="286" spans="1:10" x14ac:dyDescent="0.25">
      <c r="A286" t="s">
        <v>120</v>
      </c>
      <c r="B286" s="48">
        <v>23</v>
      </c>
      <c r="C286" s="60">
        <f>26000*G286</f>
        <v>452140</v>
      </c>
      <c r="D286" s="61" t="s">
        <v>1800</v>
      </c>
      <c r="E286" s="61" t="s">
        <v>1872</v>
      </c>
      <c r="F286" s="61" t="s">
        <v>1798</v>
      </c>
      <c r="G286" s="60">
        <v>17.39</v>
      </c>
      <c r="H286" s="61">
        <v>25.77</v>
      </c>
      <c r="I286" s="63">
        <v>42452</v>
      </c>
      <c r="J286" s="64" t="s">
        <v>124</v>
      </c>
    </row>
    <row r="287" spans="1:10" x14ac:dyDescent="0.25">
      <c r="A287" t="s">
        <v>120</v>
      </c>
      <c r="B287" s="48">
        <v>23</v>
      </c>
      <c r="C287" s="60">
        <f t="shared" ref="C287:C289" si="5">26000*G287</f>
        <v>452140</v>
      </c>
      <c r="D287" s="61" t="s">
        <v>1801</v>
      </c>
      <c r="E287" s="61" t="s">
        <v>1873</v>
      </c>
      <c r="F287" s="61" t="s">
        <v>1798</v>
      </c>
      <c r="G287" s="60">
        <v>17.39</v>
      </c>
      <c r="H287" s="61">
        <v>25.77</v>
      </c>
      <c r="I287" s="63">
        <v>42452</v>
      </c>
      <c r="J287" s="64" t="s">
        <v>124</v>
      </c>
    </row>
    <row r="288" spans="1:10" x14ac:dyDescent="0.25">
      <c r="A288" t="s">
        <v>120</v>
      </c>
      <c r="B288" s="48">
        <v>23</v>
      </c>
      <c r="C288" s="60">
        <f t="shared" si="5"/>
        <v>452140</v>
      </c>
      <c r="D288" s="61" t="s">
        <v>1802</v>
      </c>
      <c r="E288" s="61" t="s">
        <v>1910</v>
      </c>
      <c r="F288" s="61" t="s">
        <v>1798</v>
      </c>
      <c r="G288" s="60">
        <v>17.39</v>
      </c>
      <c r="H288" s="61">
        <v>26.83</v>
      </c>
      <c r="I288" s="63">
        <v>42452</v>
      </c>
      <c r="J288" s="64" t="s">
        <v>124</v>
      </c>
    </row>
    <row r="289" spans="1:10" x14ac:dyDescent="0.25">
      <c r="A289" t="s">
        <v>120</v>
      </c>
      <c r="B289" s="48">
        <v>23</v>
      </c>
      <c r="C289" s="60">
        <f t="shared" si="5"/>
        <v>452140</v>
      </c>
      <c r="D289" s="61" t="s">
        <v>1803</v>
      </c>
      <c r="E289" s="61" t="s">
        <v>1909</v>
      </c>
      <c r="F289" s="61" t="s">
        <v>1798</v>
      </c>
      <c r="G289" s="60">
        <v>17.39</v>
      </c>
      <c r="H289" s="61">
        <v>25.86</v>
      </c>
      <c r="I289" s="63">
        <v>42452</v>
      </c>
      <c r="J289" s="64" t="s">
        <v>124</v>
      </c>
    </row>
    <row r="290" spans="1:10" x14ac:dyDescent="0.25">
      <c r="A290" t="s">
        <v>120</v>
      </c>
      <c r="B290" s="48">
        <v>23</v>
      </c>
      <c r="C290" s="60">
        <f>25000*G290</f>
        <v>434750</v>
      </c>
      <c r="D290" s="61" t="s">
        <v>1799</v>
      </c>
      <c r="E290" s="61" t="s">
        <v>1908</v>
      </c>
      <c r="F290" s="61" t="s">
        <v>201</v>
      </c>
      <c r="G290" s="60">
        <v>17.39</v>
      </c>
      <c r="H290" s="61">
        <v>25.95</v>
      </c>
      <c r="I290" s="63">
        <v>42452</v>
      </c>
      <c r="J290" s="111" t="s">
        <v>952</v>
      </c>
    </row>
    <row r="291" spans="1:10" s="50" customFormat="1" x14ac:dyDescent="0.25">
      <c r="A291" s="50" t="s">
        <v>120</v>
      </c>
      <c r="B291" s="56">
        <v>23</v>
      </c>
      <c r="C291" s="51">
        <f>221600.54+221599.52+263339.42</f>
        <v>706539.48</v>
      </c>
      <c r="D291" s="52" t="s">
        <v>1805</v>
      </c>
      <c r="E291" s="96" t="s">
        <v>1842</v>
      </c>
      <c r="F291" s="52" t="s">
        <v>152</v>
      </c>
      <c r="G291" s="57">
        <v>42452</v>
      </c>
      <c r="H291" s="53" t="s">
        <v>153</v>
      </c>
      <c r="I291" s="58"/>
      <c r="J291" s="94"/>
    </row>
    <row r="292" spans="1:10" x14ac:dyDescent="0.25">
      <c r="A292" t="s">
        <v>186</v>
      </c>
      <c r="B292" s="48">
        <v>24</v>
      </c>
      <c r="C292" s="2">
        <f>441668-6078</f>
        <v>435590</v>
      </c>
      <c r="D292" t="s">
        <v>1746</v>
      </c>
      <c r="E292" t="s">
        <v>1636</v>
      </c>
      <c r="F292" t="s">
        <v>156</v>
      </c>
      <c r="J292" s="129"/>
    </row>
    <row r="293" spans="1:10" x14ac:dyDescent="0.25">
      <c r="A293" t="s">
        <v>186</v>
      </c>
      <c r="B293" s="48">
        <v>24</v>
      </c>
      <c r="C293" s="2">
        <f>281329-4395.75-3811.5+19256.25</f>
        <v>292378</v>
      </c>
      <c r="D293" t="s">
        <v>1746</v>
      </c>
      <c r="E293" t="s">
        <v>1747</v>
      </c>
      <c r="F293" t="s">
        <v>156</v>
      </c>
    </row>
    <row r="294" spans="1:10" x14ac:dyDescent="0.25">
      <c r="A294" t="s">
        <v>117</v>
      </c>
      <c r="B294" s="48">
        <v>25</v>
      </c>
      <c r="C294" s="51">
        <f>27471.84*G294</f>
        <v>479246.2488</v>
      </c>
      <c r="D294" s="52" t="s">
        <v>1695</v>
      </c>
      <c r="E294" s="52" t="s">
        <v>1696</v>
      </c>
      <c r="F294" s="52" t="s">
        <v>1697</v>
      </c>
      <c r="G294" s="70">
        <v>17.445</v>
      </c>
      <c r="H294" s="52">
        <v>27.68</v>
      </c>
      <c r="I294" s="53">
        <v>42447</v>
      </c>
      <c r="J294" s="54" t="s">
        <v>124</v>
      </c>
    </row>
    <row r="295" spans="1:10" x14ac:dyDescent="0.25">
      <c r="A295" t="s">
        <v>117</v>
      </c>
      <c r="B295" s="48">
        <v>25</v>
      </c>
      <c r="C295" s="51">
        <f>26074.35*G295</f>
        <v>454867.03574999998</v>
      </c>
      <c r="D295" s="52" t="s">
        <v>1700</v>
      </c>
      <c r="E295" s="52" t="s">
        <v>1698</v>
      </c>
      <c r="F295" s="52" t="s">
        <v>1699</v>
      </c>
      <c r="G295" s="70">
        <v>17.445</v>
      </c>
      <c r="H295" s="52">
        <v>27.76</v>
      </c>
      <c r="I295" s="53">
        <v>38794</v>
      </c>
      <c r="J295" s="54" t="s">
        <v>124</v>
      </c>
    </row>
    <row r="296" spans="1:10" x14ac:dyDescent="0.25">
      <c r="A296" s="49" t="s">
        <v>118</v>
      </c>
      <c r="B296" s="48">
        <v>26</v>
      </c>
      <c r="C296" s="2"/>
    </row>
    <row r="297" spans="1:10" x14ac:dyDescent="0.25">
      <c r="A297" s="49" t="s">
        <v>119</v>
      </c>
      <c r="B297" s="48">
        <v>27</v>
      </c>
      <c r="C297" s="2"/>
    </row>
    <row r="298" spans="1:10" x14ac:dyDescent="0.25">
      <c r="A298" s="50" t="s">
        <v>125</v>
      </c>
      <c r="B298" s="48">
        <v>28</v>
      </c>
      <c r="C298" s="60">
        <f>27000*G298</f>
        <v>472229.99999999994</v>
      </c>
      <c r="D298" s="61" t="s">
        <v>1844</v>
      </c>
      <c r="E298" s="61" t="s">
        <v>1907</v>
      </c>
      <c r="F298" s="61" t="s">
        <v>222</v>
      </c>
      <c r="G298" s="60">
        <v>17.489999999999998</v>
      </c>
      <c r="H298" s="61">
        <v>26.45</v>
      </c>
      <c r="I298" s="63">
        <v>42457</v>
      </c>
      <c r="J298" s="64" t="s">
        <v>124</v>
      </c>
    </row>
    <row r="299" spans="1:10" x14ac:dyDescent="0.25">
      <c r="A299" s="50" t="s">
        <v>125</v>
      </c>
      <c r="B299" s="48">
        <v>28</v>
      </c>
      <c r="C299" s="51">
        <f>256410+255990+242130+247590</f>
        <v>1002120</v>
      </c>
      <c r="D299" s="52" t="s">
        <v>1843</v>
      </c>
      <c r="E299" s="52" t="s">
        <v>1848</v>
      </c>
      <c r="F299" s="52" t="s">
        <v>152</v>
      </c>
      <c r="G299" s="53">
        <v>42457</v>
      </c>
      <c r="H299" s="53" t="s">
        <v>153</v>
      </c>
    </row>
    <row r="300" spans="1:10" x14ac:dyDescent="0.25">
      <c r="A300" t="s">
        <v>125</v>
      </c>
      <c r="B300" s="48">
        <v>28</v>
      </c>
      <c r="C300" s="2">
        <v>582169</v>
      </c>
      <c r="D300" t="s">
        <v>1759</v>
      </c>
      <c r="E300" t="s">
        <v>1669</v>
      </c>
      <c r="F300" t="s">
        <v>156</v>
      </c>
    </row>
    <row r="301" spans="1:10" x14ac:dyDescent="0.25">
      <c r="A301" t="s">
        <v>125</v>
      </c>
      <c r="B301" s="48">
        <v>28</v>
      </c>
      <c r="C301" s="2">
        <f>545981+80115</f>
        <v>626096</v>
      </c>
      <c r="D301" t="s">
        <v>1760</v>
      </c>
      <c r="E301" t="s">
        <v>1761</v>
      </c>
      <c r="F301" t="s">
        <v>156</v>
      </c>
    </row>
    <row r="302" spans="1:10" x14ac:dyDescent="0.25">
      <c r="A302" t="s">
        <v>125</v>
      </c>
      <c r="B302" s="48">
        <v>28</v>
      </c>
      <c r="C302" s="2">
        <f>526797+12798</f>
        <v>539595</v>
      </c>
      <c r="D302" t="s">
        <v>1764</v>
      </c>
      <c r="E302" t="s">
        <v>1763</v>
      </c>
      <c r="F302" t="s">
        <v>156</v>
      </c>
    </row>
    <row r="303" spans="1:10" x14ac:dyDescent="0.25">
      <c r="A303" t="s">
        <v>125</v>
      </c>
      <c r="B303" s="48">
        <v>28</v>
      </c>
      <c r="C303" s="2">
        <f>81750+71277.8</f>
        <v>153027.79999999999</v>
      </c>
      <c r="D303" t="s">
        <v>1762</v>
      </c>
      <c r="E303" t="s">
        <v>1765</v>
      </c>
      <c r="F303" t="s">
        <v>156</v>
      </c>
    </row>
    <row r="304" spans="1:10" x14ac:dyDescent="0.25">
      <c r="A304" t="s">
        <v>125</v>
      </c>
      <c r="B304" s="48">
        <v>28</v>
      </c>
      <c r="C304" s="51">
        <v>623702.55000000005</v>
      </c>
      <c r="D304" s="52" t="s">
        <v>1838</v>
      </c>
      <c r="E304" s="52" t="s">
        <v>1758</v>
      </c>
      <c r="F304" s="52" t="s">
        <v>1839</v>
      </c>
      <c r="G304" s="53">
        <v>42459</v>
      </c>
      <c r="H304" s="53" t="s">
        <v>153</v>
      </c>
    </row>
    <row r="305" spans="1:10" x14ac:dyDescent="0.25">
      <c r="A305" t="s">
        <v>125</v>
      </c>
      <c r="B305" s="48">
        <v>28</v>
      </c>
      <c r="C305" s="2">
        <f>646508.25-500000</f>
        <v>146508.25</v>
      </c>
      <c r="D305" t="s">
        <v>1840</v>
      </c>
      <c r="E305" t="s">
        <v>1795</v>
      </c>
      <c r="F305" t="s">
        <v>1839</v>
      </c>
      <c r="G305" s="53">
        <v>42460</v>
      </c>
      <c r="H305" s="52" t="s">
        <v>1886</v>
      </c>
      <c r="I305" s="52"/>
      <c r="J305" s="53" t="s">
        <v>153</v>
      </c>
    </row>
    <row r="306" spans="1:10" x14ac:dyDescent="0.25">
      <c r="A306" t="s">
        <v>128</v>
      </c>
      <c r="B306" s="48">
        <v>29</v>
      </c>
      <c r="C306" s="2">
        <v>620228.4</v>
      </c>
      <c r="D306" t="s">
        <v>1841</v>
      </c>
      <c r="E306" t="s">
        <v>1806</v>
      </c>
      <c r="F306" t="s">
        <v>1839</v>
      </c>
    </row>
    <row r="307" spans="1:10" x14ac:dyDescent="0.25">
      <c r="A307" t="s">
        <v>120</v>
      </c>
      <c r="B307" s="48">
        <v>30</v>
      </c>
      <c r="C307" s="60">
        <f>26000*G307</f>
        <v>452399.99999999994</v>
      </c>
      <c r="D307" s="61" t="s">
        <v>1856</v>
      </c>
      <c r="E307" s="61"/>
      <c r="F307" s="61" t="s">
        <v>1798</v>
      </c>
      <c r="G307" s="60">
        <v>17.399999999999999</v>
      </c>
      <c r="H307" s="61"/>
      <c r="I307" s="63">
        <v>42459</v>
      </c>
      <c r="J307" s="64" t="s">
        <v>124</v>
      </c>
    </row>
    <row r="308" spans="1:10" x14ac:dyDescent="0.25">
      <c r="A308" t="s">
        <v>120</v>
      </c>
      <c r="B308" s="48">
        <v>30</v>
      </c>
      <c r="C308" s="60">
        <f>27000*G308</f>
        <v>469799.99999999994</v>
      </c>
      <c r="D308" s="61" t="s">
        <v>1857</v>
      </c>
      <c r="E308" s="61"/>
      <c r="F308" s="61" t="s">
        <v>222</v>
      </c>
      <c r="G308" s="60">
        <v>17.399999999999999</v>
      </c>
      <c r="H308" s="61"/>
      <c r="I308" s="63">
        <v>42459</v>
      </c>
      <c r="J308" s="61" t="s">
        <v>1225</v>
      </c>
    </row>
    <row r="309" spans="1:10" x14ac:dyDescent="0.25">
      <c r="A309" t="s">
        <v>120</v>
      </c>
      <c r="B309" s="48">
        <v>30</v>
      </c>
      <c r="C309" s="2">
        <v>546417</v>
      </c>
      <c r="D309" t="s">
        <v>1766</v>
      </c>
      <c r="E309" t="s">
        <v>1767</v>
      </c>
      <c r="F309" t="s">
        <v>156</v>
      </c>
    </row>
    <row r="310" spans="1:10" x14ac:dyDescent="0.25">
      <c r="A310" t="s">
        <v>120</v>
      </c>
      <c r="B310" s="48">
        <v>30</v>
      </c>
      <c r="C310" s="2">
        <v>290267</v>
      </c>
      <c r="D310" t="s">
        <v>1766</v>
      </c>
      <c r="E310" t="s">
        <v>1768</v>
      </c>
      <c r="F310" t="s">
        <v>156</v>
      </c>
    </row>
    <row r="311" spans="1:10" x14ac:dyDescent="0.25">
      <c r="A311" s="69" t="s">
        <v>120</v>
      </c>
      <c r="B311" s="48">
        <v>30</v>
      </c>
      <c r="C311" s="2">
        <v>718789.11</v>
      </c>
      <c r="D311" t="s">
        <v>1750</v>
      </c>
      <c r="E311" t="s">
        <v>1748</v>
      </c>
      <c r="F311" t="s">
        <v>936</v>
      </c>
      <c r="G311" s="2"/>
    </row>
    <row r="312" spans="1:10" x14ac:dyDescent="0.25">
      <c r="A312" t="s">
        <v>186</v>
      </c>
      <c r="B312" s="48">
        <v>31</v>
      </c>
      <c r="C312" s="51">
        <f>261030.33+253259.72</f>
        <v>514290.05</v>
      </c>
      <c r="D312" s="52" t="s">
        <v>1868</v>
      </c>
      <c r="E312" s="52" t="s">
        <v>1870</v>
      </c>
      <c r="F312" s="52" t="s">
        <v>152</v>
      </c>
      <c r="G312" s="57">
        <v>42460</v>
      </c>
      <c r="H312" s="53" t="s">
        <v>153</v>
      </c>
    </row>
    <row r="313" spans="1:10" x14ac:dyDescent="0.25">
      <c r="A313" t="s">
        <v>186</v>
      </c>
      <c r="B313" s="48">
        <v>31</v>
      </c>
      <c r="C313" s="51">
        <f>27431.44*G313</f>
        <v>476484.1128</v>
      </c>
      <c r="D313" s="52" t="s">
        <v>1702</v>
      </c>
      <c r="E313" s="52" t="s">
        <v>1704</v>
      </c>
      <c r="F313" s="52" t="s">
        <v>1706</v>
      </c>
      <c r="G313" s="51">
        <v>17.37</v>
      </c>
      <c r="H313" s="52">
        <v>27.49</v>
      </c>
      <c r="I313" s="53">
        <v>42451</v>
      </c>
      <c r="J313" s="54" t="s">
        <v>124</v>
      </c>
    </row>
    <row r="314" spans="1:10" x14ac:dyDescent="0.25">
      <c r="A314" t="s">
        <v>186</v>
      </c>
      <c r="B314" s="48">
        <v>31</v>
      </c>
      <c r="C314" s="51">
        <f>25741.07*G314</f>
        <v>447122.38589999999</v>
      </c>
      <c r="D314" s="52" t="s">
        <v>1703</v>
      </c>
      <c r="E314" s="52" t="s">
        <v>1705</v>
      </c>
      <c r="F314" s="52" t="s">
        <v>1707</v>
      </c>
      <c r="G314" s="51">
        <v>17.37</v>
      </c>
      <c r="H314" s="52">
        <v>27.52</v>
      </c>
      <c r="I314" s="53">
        <v>42451</v>
      </c>
      <c r="J314" s="54" t="s">
        <v>124</v>
      </c>
    </row>
    <row r="315" spans="1:10" x14ac:dyDescent="0.25">
      <c r="A315" t="s">
        <v>186</v>
      </c>
      <c r="B315" s="48">
        <v>31</v>
      </c>
      <c r="C315" s="2">
        <v>532683</v>
      </c>
      <c r="D315" t="s">
        <v>1769</v>
      </c>
      <c r="E315" t="s">
        <v>1770</v>
      </c>
      <c r="F315" t="s">
        <v>156</v>
      </c>
      <c r="G315" s="2"/>
    </row>
    <row r="316" spans="1:10" x14ac:dyDescent="0.25">
      <c r="A316" t="s">
        <v>186</v>
      </c>
      <c r="B316" s="48">
        <v>31</v>
      </c>
      <c r="C316" s="2">
        <f>252989+28340</f>
        <v>281329</v>
      </c>
      <c r="D316" t="s">
        <v>1769</v>
      </c>
      <c r="E316" t="s">
        <v>1771</v>
      </c>
      <c r="F316" t="s">
        <v>156</v>
      </c>
      <c r="G316" s="2"/>
    </row>
    <row r="317" spans="1:10" x14ac:dyDescent="0.25">
      <c r="A317" t="s">
        <v>186</v>
      </c>
      <c r="B317" s="48">
        <v>31</v>
      </c>
      <c r="C317" s="60">
        <f>27500*G317</f>
        <v>475750</v>
      </c>
      <c r="D317" s="61" t="s">
        <v>1858</v>
      </c>
      <c r="E317" s="61"/>
      <c r="F317" s="61" t="s">
        <v>1596</v>
      </c>
      <c r="G317" s="60">
        <v>17.3</v>
      </c>
      <c r="H317" s="61"/>
      <c r="I317" s="63">
        <v>42460</v>
      </c>
      <c r="J317" s="64" t="s">
        <v>124</v>
      </c>
    </row>
    <row r="318" spans="1:10" x14ac:dyDescent="0.25">
      <c r="A318" t="s">
        <v>186</v>
      </c>
      <c r="B318" s="48">
        <v>31</v>
      </c>
      <c r="C318" s="60">
        <f>27500*G318</f>
        <v>475750</v>
      </c>
      <c r="D318" s="61" t="s">
        <v>1859</v>
      </c>
      <c r="E318" s="61"/>
      <c r="F318" s="61" t="s">
        <v>1596</v>
      </c>
      <c r="G318" s="60">
        <v>17.3</v>
      </c>
      <c r="H318" s="61"/>
      <c r="I318" s="63">
        <v>42460</v>
      </c>
      <c r="J318" s="64" t="s">
        <v>124</v>
      </c>
    </row>
    <row r="319" spans="1:10" x14ac:dyDescent="0.25">
      <c r="A319" s="1" t="s">
        <v>1832</v>
      </c>
      <c r="C319" s="2"/>
      <c r="G319" s="2"/>
    </row>
    <row r="320" spans="1:10" x14ac:dyDescent="0.25">
      <c r="A320" t="s">
        <v>117</v>
      </c>
      <c r="B320" s="48">
        <v>1</v>
      </c>
      <c r="C320" s="60">
        <f>27500*G320</f>
        <v>473275</v>
      </c>
      <c r="D320" s="61" t="s">
        <v>1860</v>
      </c>
      <c r="E320" s="61"/>
      <c r="F320" s="61" t="s">
        <v>1596</v>
      </c>
      <c r="G320" s="60">
        <v>17.21</v>
      </c>
      <c r="H320" s="61"/>
      <c r="I320" s="63">
        <v>42461</v>
      </c>
      <c r="J320" s="61" t="s">
        <v>1225</v>
      </c>
    </row>
    <row r="321" spans="1:10" x14ac:dyDescent="0.25">
      <c r="A321" t="s">
        <v>117</v>
      </c>
      <c r="B321" s="48">
        <v>1</v>
      </c>
      <c r="C321" s="60">
        <f>27000*G321</f>
        <v>464670</v>
      </c>
      <c r="D321" s="61" t="s">
        <v>1861</v>
      </c>
      <c r="E321" s="61"/>
      <c r="F321" s="61" t="s">
        <v>222</v>
      </c>
      <c r="G321" s="60">
        <v>17.21</v>
      </c>
      <c r="H321" s="61"/>
      <c r="I321" s="63">
        <v>42461</v>
      </c>
      <c r="J321" s="61" t="s">
        <v>1225</v>
      </c>
    </row>
    <row r="322" spans="1:10" x14ac:dyDescent="0.25">
      <c r="A322" t="s">
        <v>117</v>
      </c>
      <c r="B322" s="48">
        <v>1</v>
      </c>
      <c r="C322" s="2"/>
      <c r="G322" s="2"/>
    </row>
    <row r="323" spans="1:10" x14ac:dyDescent="0.25">
      <c r="A323" t="s">
        <v>117</v>
      </c>
      <c r="B323" s="48">
        <v>1</v>
      </c>
      <c r="C323" s="51">
        <f>25987.15*G323</f>
        <v>454515.25349999999</v>
      </c>
      <c r="D323" s="52" t="s">
        <v>1835</v>
      </c>
      <c r="E323" s="52">
        <v>95281322</v>
      </c>
      <c r="F323" s="52" t="s">
        <v>1836</v>
      </c>
      <c r="G323" s="51">
        <v>17.489999999999998</v>
      </c>
      <c r="H323" s="52">
        <v>26.52</v>
      </c>
      <c r="I323" s="53">
        <v>42457</v>
      </c>
      <c r="J323" s="52" t="s">
        <v>1846</v>
      </c>
    </row>
    <row r="324" spans="1:10" x14ac:dyDescent="0.25">
      <c r="A324" t="s">
        <v>117</v>
      </c>
      <c r="B324" s="48">
        <v>1</v>
      </c>
      <c r="C324" s="51">
        <f>25688.36*G324</f>
        <v>449289.41639999999</v>
      </c>
      <c r="D324" s="52" t="s">
        <v>1834</v>
      </c>
      <c r="E324" s="52">
        <v>95281323</v>
      </c>
      <c r="F324" s="52" t="s">
        <v>1837</v>
      </c>
      <c r="G324" s="51">
        <v>17.489999999999998</v>
      </c>
      <c r="H324" s="52">
        <v>26.59</v>
      </c>
      <c r="I324" s="53">
        <v>42457</v>
      </c>
      <c r="J324" s="52" t="s">
        <v>1846</v>
      </c>
    </row>
    <row r="325" spans="1:10" x14ac:dyDescent="0.25">
      <c r="A325" s="49" t="s">
        <v>118</v>
      </c>
      <c r="B325" s="48">
        <v>2</v>
      </c>
      <c r="C325" s="2"/>
      <c r="G325" s="2"/>
    </row>
    <row r="326" spans="1:10" x14ac:dyDescent="0.25">
      <c r="A326" s="49" t="s">
        <v>119</v>
      </c>
      <c r="B326" s="48">
        <v>3</v>
      </c>
      <c r="C326" s="2"/>
      <c r="G326" s="2"/>
    </row>
    <row r="327" spans="1:10" x14ac:dyDescent="0.25">
      <c r="A327" t="s">
        <v>125</v>
      </c>
      <c r="B327" s="48">
        <v>4</v>
      </c>
      <c r="C327" s="130">
        <f>27500*G327</f>
        <v>495000</v>
      </c>
      <c r="D327" s="131" t="s">
        <v>1862</v>
      </c>
      <c r="E327" s="131"/>
      <c r="F327" s="131" t="s">
        <v>1933</v>
      </c>
      <c r="G327" s="130">
        <v>18</v>
      </c>
      <c r="H327" s="131"/>
      <c r="I327" s="132">
        <v>42464</v>
      </c>
      <c r="J327" s="131"/>
    </row>
    <row r="328" spans="1:10" x14ac:dyDescent="0.25">
      <c r="A328" t="s">
        <v>128</v>
      </c>
      <c r="B328" s="48">
        <v>5</v>
      </c>
      <c r="C328" s="2"/>
      <c r="G328" s="2"/>
    </row>
    <row r="329" spans="1:10" x14ac:dyDescent="0.25">
      <c r="A329" t="s">
        <v>120</v>
      </c>
      <c r="B329" s="48">
        <v>6</v>
      </c>
      <c r="C329" s="2"/>
      <c r="G329" s="2"/>
    </row>
    <row r="330" spans="1:10" x14ac:dyDescent="0.25">
      <c r="A330" t="s">
        <v>1833</v>
      </c>
      <c r="B330" s="48">
        <v>7</v>
      </c>
      <c r="C330" s="2"/>
      <c r="G330" s="2"/>
    </row>
    <row r="331" spans="1:10" x14ac:dyDescent="0.25">
      <c r="A331" t="s">
        <v>117</v>
      </c>
      <c r="B331" s="48">
        <v>8</v>
      </c>
      <c r="C331" s="2">
        <v>379082.28</v>
      </c>
      <c r="D331" t="s">
        <v>1883</v>
      </c>
      <c r="E331" t="s">
        <v>1882</v>
      </c>
      <c r="F331" t="s">
        <v>1884</v>
      </c>
      <c r="G331" s="2"/>
    </row>
    <row r="332" spans="1:10" x14ac:dyDescent="0.25">
      <c r="A332" t="s">
        <v>117</v>
      </c>
      <c r="B332" s="48">
        <v>8</v>
      </c>
      <c r="C332" s="2">
        <f>24759.07*G332</f>
        <v>445663.26</v>
      </c>
      <c r="D332" t="s">
        <v>1911</v>
      </c>
      <c r="E332" t="s">
        <v>1914</v>
      </c>
      <c r="F332" t="s">
        <v>1915</v>
      </c>
      <c r="G332" s="35">
        <v>18</v>
      </c>
    </row>
    <row r="333" spans="1:10" x14ac:dyDescent="0.25">
      <c r="A333" t="s">
        <v>117</v>
      </c>
      <c r="B333" s="48">
        <v>8</v>
      </c>
      <c r="C333" s="2">
        <f>26079.12*G333</f>
        <v>469424.16</v>
      </c>
      <c r="D333" t="s">
        <v>1912</v>
      </c>
      <c r="E333" t="s">
        <v>1913</v>
      </c>
      <c r="F333" t="s">
        <v>1916</v>
      </c>
      <c r="G333" s="35">
        <v>18</v>
      </c>
    </row>
    <row r="334" spans="1:10" x14ac:dyDescent="0.25">
      <c r="A334" s="49" t="s">
        <v>118</v>
      </c>
      <c r="B334" s="48">
        <v>9</v>
      </c>
      <c r="C334" s="2"/>
    </row>
    <row r="335" spans="1:10" x14ac:dyDescent="0.25">
      <c r="A335" s="49" t="s">
        <v>119</v>
      </c>
      <c r="B335" s="48">
        <v>10</v>
      </c>
      <c r="C335" s="2"/>
    </row>
    <row r="336" spans="1:10" x14ac:dyDescent="0.25">
      <c r="A336" t="s">
        <v>125</v>
      </c>
      <c r="B336" s="48">
        <v>11</v>
      </c>
      <c r="C336" s="2"/>
    </row>
    <row r="337" spans="1:7" x14ac:dyDescent="0.25">
      <c r="A337" t="s">
        <v>125</v>
      </c>
      <c r="B337" s="48">
        <v>11</v>
      </c>
      <c r="C337" s="37">
        <f>525707+40764</f>
        <v>566471</v>
      </c>
      <c r="D337" s="50" t="s">
        <v>1922</v>
      </c>
      <c r="E337" s="50" t="s">
        <v>1934</v>
      </c>
      <c r="F337" s="50" t="s">
        <v>156</v>
      </c>
    </row>
    <row r="338" spans="1:7" x14ac:dyDescent="0.25">
      <c r="A338" t="s">
        <v>125</v>
      </c>
      <c r="B338" s="48">
        <v>11</v>
      </c>
      <c r="C338" s="37">
        <v>134070</v>
      </c>
      <c r="D338" s="50" t="s">
        <v>1923</v>
      </c>
      <c r="E338" s="50" t="s">
        <v>1924</v>
      </c>
      <c r="F338" s="50" t="s">
        <v>156</v>
      </c>
    </row>
    <row r="339" spans="1:7" x14ac:dyDescent="0.25">
      <c r="A339" t="s">
        <v>125</v>
      </c>
      <c r="B339" s="48">
        <v>11</v>
      </c>
      <c r="C339" s="37">
        <f>578245+99517</f>
        <v>677762</v>
      </c>
      <c r="D339" s="50" t="s">
        <v>1925</v>
      </c>
      <c r="E339" s="50" t="s">
        <v>1926</v>
      </c>
      <c r="F339" s="50" t="s">
        <v>156</v>
      </c>
    </row>
    <row r="340" spans="1:7" x14ac:dyDescent="0.25">
      <c r="A340" t="s">
        <v>128</v>
      </c>
      <c r="B340" s="48">
        <v>12</v>
      </c>
      <c r="C340" s="2">
        <f>64746+4799.2</f>
        <v>69545.2</v>
      </c>
      <c r="D340" s="50" t="s">
        <v>1927</v>
      </c>
      <c r="E340" s="50" t="s">
        <v>1935</v>
      </c>
      <c r="F340" s="50" t="s">
        <v>156</v>
      </c>
    </row>
    <row r="341" spans="1:7" x14ac:dyDescent="0.25">
      <c r="A341" t="s">
        <v>128</v>
      </c>
      <c r="B341" s="48">
        <v>12</v>
      </c>
      <c r="C341" s="2">
        <v>562658</v>
      </c>
      <c r="D341" s="50" t="s">
        <v>1929</v>
      </c>
      <c r="E341" s="50" t="s">
        <v>1928</v>
      </c>
      <c r="F341" s="50" t="s">
        <v>156</v>
      </c>
    </row>
    <row r="342" spans="1:7" x14ac:dyDescent="0.25">
      <c r="A342" t="s">
        <v>120</v>
      </c>
      <c r="B342" s="48">
        <v>13</v>
      </c>
      <c r="C342" s="2">
        <f>25468.14*G342</f>
        <v>458426.52</v>
      </c>
      <c r="D342" t="s">
        <v>1917</v>
      </c>
      <c r="E342" t="s">
        <v>1918</v>
      </c>
      <c r="F342" t="s">
        <v>1919</v>
      </c>
      <c r="G342" s="35">
        <v>18</v>
      </c>
    </row>
    <row r="343" spans="1:7" s="50" customFormat="1" x14ac:dyDescent="0.25">
      <c r="A343" t="s">
        <v>120</v>
      </c>
      <c r="B343" s="56">
        <v>13</v>
      </c>
      <c r="C343" s="37">
        <f>646043+29388</f>
        <v>675431</v>
      </c>
      <c r="D343" s="50" t="s">
        <v>1930</v>
      </c>
      <c r="E343" s="50" t="s">
        <v>1936</v>
      </c>
      <c r="F343" s="50" t="s">
        <v>156</v>
      </c>
      <c r="G343" s="37"/>
    </row>
    <row r="344" spans="1:7" s="50" customFormat="1" x14ac:dyDescent="0.25">
      <c r="A344" t="s">
        <v>120</v>
      </c>
      <c r="B344" s="56">
        <v>13</v>
      </c>
      <c r="C344" s="37">
        <f>660431+14753.2</f>
        <v>675184.2</v>
      </c>
      <c r="D344" s="50" t="s">
        <v>1931</v>
      </c>
      <c r="E344" s="50" t="s">
        <v>1937</v>
      </c>
      <c r="F344" s="50" t="s">
        <v>156</v>
      </c>
      <c r="G344" s="37"/>
    </row>
    <row r="345" spans="1:7" x14ac:dyDescent="0.25">
      <c r="A345" t="s">
        <v>1833</v>
      </c>
      <c r="B345" s="48">
        <v>14</v>
      </c>
      <c r="C345" s="2">
        <v>647896</v>
      </c>
      <c r="D345" s="50" t="s">
        <v>1932</v>
      </c>
      <c r="E345" s="50" t="s">
        <v>1888</v>
      </c>
      <c r="F345" s="50" t="s">
        <v>156</v>
      </c>
    </row>
    <row r="346" spans="1:7" x14ac:dyDescent="0.25">
      <c r="A346" t="s">
        <v>117</v>
      </c>
      <c r="B346" s="48">
        <v>15</v>
      </c>
      <c r="C346" s="2"/>
    </row>
    <row r="347" spans="1:7" x14ac:dyDescent="0.25">
      <c r="A347" s="49" t="s">
        <v>118</v>
      </c>
      <c r="B347" s="48">
        <v>16</v>
      </c>
      <c r="C347" s="2"/>
    </row>
    <row r="348" spans="1:7" x14ac:dyDescent="0.25">
      <c r="A348" s="49" t="s">
        <v>119</v>
      </c>
      <c r="B348" s="48">
        <v>17</v>
      </c>
      <c r="C348" s="2"/>
    </row>
    <row r="349" spans="1:7" x14ac:dyDescent="0.25">
      <c r="A349" t="s">
        <v>125</v>
      </c>
      <c r="B349" s="48">
        <v>18</v>
      </c>
      <c r="C349" s="2"/>
    </row>
    <row r="350" spans="1:7" x14ac:dyDescent="0.25">
      <c r="A350" t="s">
        <v>128</v>
      </c>
      <c r="B350" s="48">
        <v>19</v>
      </c>
      <c r="C350" s="2"/>
    </row>
    <row r="351" spans="1:7" x14ac:dyDescent="0.25">
      <c r="A351" t="s">
        <v>120</v>
      </c>
      <c r="B351" s="48">
        <v>20</v>
      </c>
      <c r="C351" s="2">
        <v>718789.11</v>
      </c>
      <c r="D351" t="s">
        <v>1905</v>
      </c>
      <c r="E351" t="s">
        <v>1904</v>
      </c>
      <c r="F351" t="s">
        <v>936</v>
      </c>
    </row>
    <row r="362" spans="1:10" x14ac:dyDescent="0.25">
      <c r="A362" t="s">
        <v>2307</v>
      </c>
    </row>
    <row r="363" spans="1:10" x14ac:dyDescent="0.25">
      <c r="A363" s="113" t="s">
        <v>120</v>
      </c>
      <c r="B363" s="48">
        <v>20</v>
      </c>
      <c r="C363" s="37">
        <f>546832.65-166832.65</f>
        <v>380000</v>
      </c>
      <c r="D363" s="50" t="s">
        <v>2022</v>
      </c>
      <c r="E363" s="50" t="s">
        <v>2023</v>
      </c>
      <c r="F363" s="50" t="s">
        <v>1884</v>
      </c>
      <c r="G363">
        <v>29.5</v>
      </c>
      <c r="H363" s="52" t="s">
        <v>2248</v>
      </c>
      <c r="I363" s="52"/>
      <c r="J363" s="118" t="s">
        <v>124</v>
      </c>
    </row>
    <row r="364" spans="1:10" x14ac:dyDescent="0.25">
      <c r="A364" t="s">
        <v>120</v>
      </c>
      <c r="B364" s="48">
        <v>20</v>
      </c>
      <c r="C364" s="51">
        <v>644600</v>
      </c>
      <c r="D364" s="52" t="s">
        <v>2034</v>
      </c>
      <c r="E364" s="52" t="s">
        <v>1960</v>
      </c>
      <c r="F364" s="52" t="s">
        <v>156</v>
      </c>
      <c r="G364" s="53">
        <v>42481</v>
      </c>
      <c r="H364" s="53" t="s">
        <v>153</v>
      </c>
    </row>
    <row r="365" spans="1:10" x14ac:dyDescent="0.25">
      <c r="A365" t="s">
        <v>120</v>
      </c>
      <c r="B365" s="48">
        <v>20</v>
      </c>
      <c r="C365" s="51">
        <v>681340</v>
      </c>
      <c r="D365" s="52" t="s">
        <v>2035</v>
      </c>
      <c r="E365" s="52" t="s">
        <v>1961</v>
      </c>
      <c r="F365" s="52" t="s">
        <v>156</v>
      </c>
      <c r="G365" s="53">
        <v>42481</v>
      </c>
      <c r="H365" s="53" t="s">
        <v>153</v>
      </c>
    </row>
    <row r="366" spans="1:10" x14ac:dyDescent="0.25">
      <c r="A366" t="s">
        <v>120</v>
      </c>
      <c r="B366" s="48">
        <v>20</v>
      </c>
      <c r="C366" s="37">
        <v>1452131.45</v>
      </c>
      <c r="D366" s="50" t="s">
        <v>2076</v>
      </c>
      <c r="E366" s="50" t="s">
        <v>2072</v>
      </c>
      <c r="F366" s="50" t="s">
        <v>940</v>
      </c>
    </row>
    <row r="367" spans="1:10" hidden="1" x14ac:dyDescent="0.25">
      <c r="A367" t="s">
        <v>120</v>
      </c>
      <c r="B367" s="48">
        <v>20</v>
      </c>
      <c r="C367" s="51">
        <v>344592.75</v>
      </c>
      <c r="D367" s="52" t="s">
        <v>2156</v>
      </c>
      <c r="E367" s="52" t="s">
        <v>2155</v>
      </c>
      <c r="F367" s="52" t="s">
        <v>940</v>
      </c>
      <c r="G367" s="53">
        <v>42485</v>
      </c>
      <c r="H367" s="52" t="s">
        <v>952</v>
      </c>
    </row>
    <row r="368" spans="1:10" hidden="1" x14ac:dyDescent="0.25">
      <c r="A368" t="s">
        <v>186</v>
      </c>
      <c r="B368" s="48">
        <v>21</v>
      </c>
      <c r="C368" s="51">
        <f>646470+29625</f>
        <v>676095</v>
      </c>
      <c r="D368" s="52" t="s">
        <v>2039</v>
      </c>
      <c r="E368" s="52" t="s">
        <v>2036</v>
      </c>
      <c r="F368" s="52" t="s">
        <v>156</v>
      </c>
      <c r="G368" s="53">
        <v>42482</v>
      </c>
      <c r="H368" s="53" t="s">
        <v>153</v>
      </c>
    </row>
    <row r="369" spans="1:10" hidden="1" x14ac:dyDescent="0.25">
      <c r="A369" t="s">
        <v>1833</v>
      </c>
      <c r="B369" s="48">
        <v>21</v>
      </c>
      <c r="C369" s="51">
        <f>375210+23107.5</f>
        <v>398317.5</v>
      </c>
      <c r="D369" s="52" t="s">
        <v>2037</v>
      </c>
      <c r="E369" s="52" t="s">
        <v>2038</v>
      </c>
      <c r="F369" s="52" t="s">
        <v>156</v>
      </c>
      <c r="G369" s="53">
        <v>42482</v>
      </c>
      <c r="H369" s="53" t="s">
        <v>153</v>
      </c>
    </row>
    <row r="370" spans="1:10" hidden="1" x14ac:dyDescent="0.25">
      <c r="A370" t="s">
        <v>186</v>
      </c>
      <c r="B370" s="48">
        <v>21</v>
      </c>
      <c r="C370" s="60">
        <f t="shared" ref="C370:C372" si="6">33000*G370</f>
        <v>570570</v>
      </c>
      <c r="D370" s="61" t="s">
        <v>2127</v>
      </c>
      <c r="E370" s="61" t="s">
        <v>2253</v>
      </c>
      <c r="F370" s="61" t="s">
        <v>2053</v>
      </c>
      <c r="G370" s="60">
        <v>17.29</v>
      </c>
      <c r="H370" s="61">
        <v>32.299999999999997</v>
      </c>
      <c r="I370" s="63">
        <v>42481</v>
      </c>
      <c r="J370" s="111" t="s">
        <v>124</v>
      </c>
    </row>
    <row r="371" spans="1:10" hidden="1" x14ac:dyDescent="0.25">
      <c r="A371" t="s">
        <v>186</v>
      </c>
      <c r="B371" s="48">
        <v>21</v>
      </c>
      <c r="C371" s="60">
        <f t="shared" si="6"/>
        <v>570570</v>
      </c>
      <c r="D371" s="61" t="s">
        <v>2128</v>
      </c>
      <c r="E371" s="61" t="s">
        <v>2254</v>
      </c>
      <c r="F371" s="61" t="s">
        <v>2053</v>
      </c>
      <c r="G371" s="60">
        <v>17.29</v>
      </c>
      <c r="H371" s="61">
        <v>32.299999999999997</v>
      </c>
      <c r="I371" s="63">
        <v>42481</v>
      </c>
      <c r="J371" s="111" t="s">
        <v>124</v>
      </c>
    </row>
    <row r="372" spans="1:10" hidden="1" x14ac:dyDescent="0.25">
      <c r="A372" t="s">
        <v>117</v>
      </c>
      <c r="B372" s="48">
        <v>22</v>
      </c>
      <c r="C372" s="60">
        <f t="shared" si="6"/>
        <v>577005</v>
      </c>
      <c r="D372" s="61" t="s">
        <v>2129</v>
      </c>
      <c r="E372" s="61" t="s">
        <v>2255</v>
      </c>
      <c r="F372" s="61" t="s">
        <v>2053</v>
      </c>
      <c r="G372" s="62">
        <v>17.484999999999999</v>
      </c>
      <c r="H372" s="61">
        <v>33.19</v>
      </c>
      <c r="I372" s="63">
        <v>42482</v>
      </c>
      <c r="J372" s="111" t="s">
        <v>124</v>
      </c>
    </row>
    <row r="373" spans="1:10" hidden="1" x14ac:dyDescent="0.25">
      <c r="A373" t="s">
        <v>117</v>
      </c>
      <c r="B373" s="48">
        <v>22</v>
      </c>
      <c r="C373" s="60">
        <f>32000*G373</f>
        <v>559520</v>
      </c>
      <c r="D373" s="61" t="s">
        <v>2133</v>
      </c>
      <c r="E373" s="61" t="s">
        <v>2256</v>
      </c>
      <c r="F373" s="61" t="s">
        <v>1048</v>
      </c>
      <c r="G373" s="62">
        <v>17.484999999999999</v>
      </c>
      <c r="H373" s="61">
        <v>33.35</v>
      </c>
      <c r="I373" s="63">
        <v>42482</v>
      </c>
      <c r="J373" s="111" t="s">
        <v>124</v>
      </c>
    </row>
    <row r="374" spans="1:10" hidden="1" x14ac:dyDescent="0.25">
      <c r="A374" t="s">
        <v>117</v>
      </c>
      <c r="B374" s="48">
        <v>22</v>
      </c>
      <c r="C374" s="51">
        <v>14497.15</v>
      </c>
      <c r="D374" s="52" t="s">
        <v>2088</v>
      </c>
      <c r="E374" s="52" t="s">
        <v>2126</v>
      </c>
      <c r="F374" s="52" t="s">
        <v>2089</v>
      </c>
      <c r="G374" s="53">
        <v>42482</v>
      </c>
      <c r="H374" s="52" t="s">
        <v>952</v>
      </c>
    </row>
    <row r="375" spans="1:10" hidden="1" x14ac:dyDescent="0.25">
      <c r="A375" t="s">
        <v>117</v>
      </c>
      <c r="B375" s="48">
        <v>22</v>
      </c>
      <c r="C375" s="51">
        <v>122487.78</v>
      </c>
      <c r="D375" s="52" t="s">
        <v>2086</v>
      </c>
      <c r="E375" s="52" t="s">
        <v>2085</v>
      </c>
      <c r="F375" s="52" t="s">
        <v>2087</v>
      </c>
      <c r="G375" s="53">
        <v>42482</v>
      </c>
      <c r="H375" s="52" t="s">
        <v>952</v>
      </c>
    </row>
    <row r="376" spans="1:10" hidden="1" x14ac:dyDescent="0.25">
      <c r="A376" t="s">
        <v>117</v>
      </c>
      <c r="B376" s="48">
        <v>22</v>
      </c>
      <c r="C376" s="51">
        <f>27604.1*G376</f>
        <v>482657.68849999993</v>
      </c>
      <c r="D376" s="52" t="s">
        <v>2050</v>
      </c>
      <c r="E376" s="52" t="s">
        <v>2049</v>
      </c>
      <c r="F376" s="52" t="s">
        <v>2047</v>
      </c>
      <c r="G376" s="70">
        <v>17.484999999999999</v>
      </c>
      <c r="H376" s="52">
        <v>27.13</v>
      </c>
      <c r="I376" s="53">
        <v>42485</v>
      </c>
      <c r="J376" s="118" t="s">
        <v>124</v>
      </c>
    </row>
    <row r="377" spans="1:10" hidden="1" x14ac:dyDescent="0.25">
      <c r="A377" t="s">
        <v>117</v>
      </c>
      <c r="B377" s="48">
        <v>22</v>
      </c>
      <c r="C377" s="51">
        <f>29137.91*G377</f>
        <v>509476.35634999996</v>
      </c>
      <c r="D377" s="52" t="s">
        <v>2090</v>
      </c>
      <c r="E377" s="52" t="s">
        <v>2143</v>
      </c>
      <c r="F377" s="52" t="s">
        <v>2144</v>
      </c>
      <c r="G377" s="70">
        <v>17.484999999999999</v>
      </c>
      <c r="H377" s="52">
        <v>27.5</v>
      </c>
      <c r="I377" s="53">
        <v>42485</v>
      </c>
      <c r="J377" s="52" t="s">
        <v>952</v>
      </c>
    </row>
    <row r="378" spans="1:10" hidden="1" x14ac:dyDescent="0.25">
      <c r="A378" s="49" t="s">
        <v>118</v>
      </c>
      <c r="B378" s="48">
        <v>23</v>
      </c>
      <c r="C378" s="2"/>
    </row>
    <row r="379" spans="1:10" hidden="1" x14ac:dyDescent="0.25">
      <c r="A379" s="49" t="s">
        <v>119</v>
      </c>
      <c r="B379" s="48">
        <v>24</v>
      </c>
      <c r="C379" s="2"/>
    </row>
    <row r="380" spans="1:10" s="50" customFormat="1" hidden="1" x14ac:dyDescent="0.25">
      <c r="A380" s="50" t="s">
        <v>125</v>
      </c>
      <c r="B380" s="56">
        <v>25</v>
      </c>
      <c r="C380" s="60">
        <f>35000*G380</f>
        <v>616000</v>
      </c>
      <c r="D380" s="61" t="s">
        <v>2157</v>
      </c>
      <c r="E380" s="61" t="s">
        <v>2257</v>
      </c>
      <c r="F380" s="61" t="s">
        <v>1320</v>
      </c>
      <c r="G380" s="60">
        <v>17.600000000000001</v>
      </c>
      <c r="H380" s="61">
        <v>33.81</v>
      </c>
      <c r="I380" s="63">
        <v>42485</v>
      </c>
      <c r="J380" s="111" t="s">
        <v>124</v>
      </c>
    </row>
    <row r="381" spans="1:10" hidden="1" x14ac:dyDescent="0.25">
      <c r="A381" t="s">
        <v>125</v>
      </c>
      <c r="B381" s="48">
        <v>25</v>
      </c>
      <c r="C381" s="51">
        <f>641025+29506.56</f>
        <v>670531.56000000006</v>
      </c>
      <c r="D381" s="52" t="s">
        <v>2091</v>
      </c>
      <c r="E381" s="52" t="s">
        <v>2092</v>
      </c>
      <c r="F381" s="52" t="s">
        <v>156</v>
      </c>
      <c r="G381" s="53">
        <v>42485</v>
      </c>
      <c r="H381" s="53" t="s">
        <v>153</v>
      </c>
    </row>
    <row r="382" spans="1:10" hidden="1" x14ac:dyDescent="0.25">
      <c r="A382" t="s">
        <v>125</v>
      </c>
      <c r="B382" s="48">
        <v>25</v>
      </c>
      <c r="C382" s="51">
        <f>345600+66774.75</f>
        <v>412374.75</v>
      </c>
      <c r="D382" s="52" t="s">
        <v>2093</v>
      </c>
      <c r="E382" s="52" t="s">
        <v>2094</v>
      </c>
      <c r="F382" s="52" t="s">
        <v>156</v>
      </c>
      <c r="G382" s="53">
        <v>42485</v>
      </c>
      <c r="H382" s="53" t="s">
        <v>153</v>
      </c>
    </row>
    <row r="383" spans="1:10" hidden="1" x14ac:dyDescent="0.25">
      <c r="A383" t="s">
        <v>125</v>
      </c>
      <c r="B383" s="48">
        <v>25</v>
      </c>
      <c r="C383" s="51">
        <v>609187.5</v>
      </c>
      <c r="D383" s="52" t="s">
        <v>2095</v>
      </c>
      <c r="E383" s="52" t="s">
        <v>2006</v>
      </c>
      <c r="F383" s="52" t="s">
        <v>156</v>
      </c>
      <c r="G383" s="53">
        <v>42486</v>
      </c>
      <c r="H383" s="53" t="s">
        <v>153</v>
      </c>
    </row>
    <row r="384" spans="1:10" hidden="1" x14ac:dyDescent="0.25">
      <c r="A384" t="s">
        <v>125</v>
      </c>
      <c r="B384" s="48">
        <v>25</v>
      </c>
      <c r="C384" s="51">
        <v>625950</v>
      </c>
      <c r="D384" s="52" t="s">
        <v>2096</v>
      </c>
      <c r="E384" s="52" t="s">
        <v>2021</v>
      </c>
      <c r="F384" s="52" t="s">
        <v>156</v>
      </c>
      <c r="G384" s="53">
        <v>42487</v>
      </c>
      <c r="H384" s="53" t="s">
        <v>153</v>
      </c>
    </row>
    <row r="385" spans="1:10" hidden="1" x14ac:dyDescent="0.25">
      <c r="A385" t="s">
        <v>128</v>
      </c>
      <c r="B385" s="48">
        <v>26</v>
      </c>
      <c r="C385" s="2"/>
    </row>
    <row r="386" spans="1:10" hidden="1" x14ac:dyDescent="0.25">
      <c r="A386" t="s">
        <v>120</v>
      </c>
      <c r="B386" s="48">
        <v>27</v>
      </c>
      <c r="C386" s="60">
        <f>38000*G386</f>
        <v>664164.00000000012</v>
      </c>
      <c r="D386" s="61" t="s">
        <v>2173</v>
      </c>
      <c r="E386" s="61" t="s">
        <v>2258</v>
      </c>
      <c r="F386" s="61" t="s">
        <v>2162</v>
      </c>
      <c r="G386" s="62">
        <v>17.478000000000002</v>
      </c>
      <c r="H386" s="61">
        <v>33.630000000000003</v>
      </c>
      <c r="I386" s="63">
        <v>42487</v>
      </c>
      <c r="J386" s="111" t="s">
        <v>124</v>
      </c>
    </row>
    <row r="387" spans="1:10" hidden="1" x14ac:dyDescent="0.25">
      <c r="A387" t="s">
        <v>120</v>
      </c>
      <c r="B387" s="48">
        <v>27</v>
      </c>
      <c r="C387" s="60">
        <f>38000*G387</f>
        <v>664164.00000000012</v>
      </c>
      <c r="D387" s="61" t="s">
        <v>2172</v>
      </c>
      <c r="E387" s="61"/>
      <c r="F387" s="61" t="s">
        <v>2162</v>
      </c>
      <c r="G387" s="62">
        <v>17.478000000000002</v>
      </c>
      <c r="H387" s="61"/>
      <c r="I387" s="63">
        <v>42487</v>
      </c>
      <c r="J387" s="111" t="s">
        <v>124</v>
      </c>
    </row>
    <row r="388" spans="1:10" hidden="1" x14ac:dyDescent="0.25">
      <c r="A388" t="s">
        <v>120</v>
      </c>
      <c r="B388" s="48">
        <v>27</v>
      </c>
      <c r="C388" s="51">
        <v>681412.5</v>
      </c>
      <c r="D388" s="52" t="s">
        <v>2097</v>
      </c>
      <c r="E388" s="52" t="s">
        <v>2024</v>
      </c>
      <c r="F388" s="52" t="s">
        <v>156</v>
      </c>
      <c r="G388" s="53">
        <v>42488</v>
      </c>
      <c r="H388" s="53" t="s">
        <v>153</v>
      </c>
    </row>
    <row r="389" spans="1:10" x14ac:dyDescent="0.25">
      <c r="A389" t="s">
        <v>120</v>
      </c>
      <c r="B389" s="48">
        <v>27</v>
      </c>
      <c r="C389" s="51">
        <v>731925</v>
      </c>
      <c r="D389" s="52" t="s">
        <v>2026</v>
      </c>
      <c r="E389" s="52" t="s">
        <v>2025</v>
      </c>
      <c r="F389" s="52" t="s">
        <v>156</v>
      </c>
      <c r="G389" s="53">
        <v>42489</v>
      </c>
      <c r="H389" s="53" t="s">
        <v>153</v>
      </c>
    </row>
    <row r="390" spans="1:10" x14ac:dyDescent="0.25">
      <c r="A390" t="s">
        <v>120</v>
      </c>
      <c r="B390" s="48">
        <v>27</v>
      </c>
      <c r="C390" s="37">
        <f>30033.54*G390</f>
        <v>540603.72</v>
      </c>
      <c r="D390" s="50" t="s">
        <v>2191</v>
      </c>
      <c r="E390" s="50" t="s">
        <v>2192</v>
      </c>
      <c r="F390" s="50" t="s">
        <v>2193</v>
      </c>
      <c r="G390" s="35">
        <v>18</v>
      </c>
    </row>
    <row r="391" spans="1:10" x14ac:dyDescent="0.25">
      <c r="A391" t="s">
        <v>1833</v>
      </c>
      <c r="B391" s="48">
        <v>28</v>
      </c>
      <c r="C391" s="37">
        <f>288900+393412.5-545000</f>
        <v>137312.5</v>
      </c>
      <c r="D391" s="50" t="s">
        <v>2098</v>
      </c>
      <c r="E391" s="50" t="s">
        <v>2099</v>
      </c>
      <c r="F391" s="50" t="s">
        <v>156</v>
      </c>
      <c r="G391" s="52" t="s">
        <v>2249</v>
      </c>
      <c r="H391" s="52"/>
      <c r="I391" s="53" t="s">
        <v>153</v>
      </c>
    </row>
    <row r="392" spans="1:10" x14ac:dyDescent="0.25">
      <c r="A392" t="s">
        <v>186</v>
      </c>
      <c r="B392" s="48">
        <v>28</v>
      </c>
      <c r="C392" s="60">
        <f t="shared" ref="C392:C396" si="7">38000*G392</f>
        <v>661200</v>
      </c>
      <c r="D392" s="61" t="s">
        <v>2203</v>
      </c>
      <c r="E392" s="61"/>
      <c r="F392" s="61" t="s">
        <v>2162</v>
      </c>
      <c r="G392" s="60">
        <v>17.399999999999999</v>
      </c>
      <c r="H392" s="61"/>
      <c r="I392" s="63">
        <v>42488</v>
      </c>
      <c r="J392" s="111" t="s">
        <v>124</v>
      </c>
    </row>
    <row r="393" spans="1:10" x14ac:dyDescent="0.25">
      <c r="A393" t="s">
        <v>186</v>
      </c>
      <c r="B393" s="48">
        <v>28</v>
      </c>
      <c r="C393" s="60">
        <f t="shared" si="7"/>
        <v>661200</v>
      </c>
      <c r="D393" s="61" t="s">
        <v>2204</v>
      </c>
      <c r="E393" s="61"/>
      <c r="F393" s="61" t="s">
        <v>2162</v>
      </c>
      <c r="G393" s="60">
        <v>17.399999999999999</v>
      </c>
      <c r="H393" s="61"/>
      <c r="I393" s="63">
        <v>42488</v>
      </c>
      <c r="J393" s="111" t="s">
        <v>124</v>
      </c>
    </row>
    <row r="394" spans="1:10" x14ac:dyDescent="0.25">
      <c r="A394" t="s">
        <v>117</v>
      </c>
      <c r="B394" s="48">
        <v>29</v>
      </c>
      <c r="C394" s="60">
        <f t="shared" si="7"/>
        <v>655880.00000000012</v>
      </c>
      <c r="D394" s="61" t="s">
        <v>2202</v>
      </c>
      <c r="E394" s="61"/>
      <c r="F394" s="61" t="s">
        <v>2162</v>
      </c>
      <c r="G394" s="60">
        <v>17.260000000000002</v>
      </c>
      <c r="H394" s="61"/>
      <c r="I394" s="63">
        <v>42489</v>
      </c>
      <c r="J394" s="61" t="s">
        <v>952</v>
      </c>
    </row>
    <row r="395" spans="1:10" x14ac:dyDescent="0.25">
      <c r="A395" t="s">
        <v>117</v>
      </c>
      <c r="B395" s="48">
        <v>29</v>
      </c>
      <c r="C395" s="60">
        <f t="shared" si="7"/>
        <v>651320</v>
      </c>
      <c r="D395" s="61" t="s">
        <v>2229</v>
      </c>
      <c r="E395" s="61"/>
      <c r="F395" s="61" t="s">
        <v>2162</v>
      </c>
      <c r="G395" s="60">
        <v>17.14</v>
      </c>
      <c r="H395" s="61"/>
      <c r="I395" s="63">
        <v>42489</v>
      </c>
      <c r="J395" s="61" t="s">
        <v>952</v>
      </c>
    </row>
    <row r="396" spans="1:10" x14ac:dyDescent="0.25">
      <c r="A396" t="s">
        <v>117</v>
      </c>
      <c r="B396" s="48">
        <v>29</v>
      </c>
      <c r="C396" s="60">
        <f t="shared" si="7"/>
        <v>655880.00000000012</v>
      </c>
      <c r="D396" s="61" t="s">
        <v>2205</v>
      </c>
      <c r="E396" s="61"/>
      <c r="F396" s="61" t="s">
        <v>2162</v>
      </c>
      <c r="G396" s="60">
        <v>17.260000000000002</v>
      </c>
      <c r="H396" s="61"/>
      <c r="I396" s="63">
        <v>42489</v>
      </c>
      <c r="J396" s="111" t="s">
        <v>124</v>
      </c>
    </row>
    <row r="397" spans="1:10" x14ac:dyDescent="0.25">
      <c r="A397" t="s">
        <v>117</v>
      </c>
      <c r="B397" s="48">
        <v>29</v>
      </c>
      <c r="C397" s="37">
        <v>593605.54</v>
      </c>
      <c r="D397" s="50" t="s">
        <v>2182</v>
      </c>
      <c r="E397" s="50" t="s">
        <v>2180</v>
      </c>
      <c r="F397" s="50" t="s">
        <v>2183</v>
      </c>
    </row>
    <row r="398" spans="1:10" x14ac:dyDescent="0.25">
      <c r="A398" t="s">
        <v>117</v>
      </c>
      <c r="B398" s="48">
        <v>29</v>
      </c>
      <c r="C398" s="37">
        <f>31165.9*G398</f>
        <v>560986.20000000007</v>
      </c>
      <c r="D398" s="50" t="s">
        <v>2194</v>
      </c>
      <c r="E398" s="50" t="s">
        <v>2196</v>
      </c>
      <c r="F398" s="50" t="s">
        <v>2195</v>
      </c>
      <c r="G398" s="35">
        <v>18</v>
      </c>
    </row>
    <row r="399" spans="1:10" x14ac:dyDescent="0.25">
      <c r="A399" t="s">
        <v>117</v>
      </c>
      <c r="B399" s="48">
        <v>29</v>
      </c>
      <c r="C399" s="37">
        <f>34514.27*G399</f>
        <v>621256.86</v>
      </c>
      <c r="D399" s="50" t="s">
        <v>2184</v>
      </c>
      <c r="E399" s="50" t="s">
        <v>2185</v>
      </c>
      <c r="F399" s="50" t="s">
        <v>2186</v>
      </c>
      <c r="G399" s="35">
        <v>18</v>
      </c>
    </row>
    <row r="400" spans="1:10" s="50" customFormat="1" x14ac:dyDescent="0.25">
      <c r="A400" s="50" t="s">
        <v>117</v>
      </c>
      <c r="B400" s="56">
        <v>29</v>
      </c>
      <c r="C400" s="51">
        <v>28608.35</v>
      </c>
      <c r="D400" s="52" t="s">
        <v>2189</v>
      </c>
      <c r="E400" s="52" t="s">
        <v>2188</v>
      </c>
      <c r="F400" s="52" t="s">
        <v>2190</v>
      </c>
      <c r="G400" s="57">
        <v>42489</v>
      </c>
      <c r="H400" s="52" t="s">
        <v>952</v>
      </c>
    </row>
    <row r="401" spans="1:7" x14ac:dyDescent="0.25">
      <c r="A401" s="49" t="s">
        <v>118</v>
      </c>
      <c r="B401" s="48">
        <v>30</v>
      </c>
      <c r="C401" s="37"/>
      <c r="D401" s="50"/>
      <c r="E401" s="50"/>
      <c r="F401" s="50"/>
    </row>
    <row r="402" spans="1:7" x14ac:dyDescent="0.25">
      <c r="A402" s="47" t="s">
        <v>2100</v>
      </c>
      <c r="C402" s="2"/>
    </row>
    <row r="403" spans="1:7" x14ac:dyDescent="0.25">
      <c r="A403" s="49" t="s">
        <v>119</v>
      </c>
      <c r="B403" s="48">
        <v>1</v>
      </c>
      <c r="C403" s="2"/>
    </row>
    <row r="404" spans="1:7" x14ac:dyDescent="0.25">
      <c r="A404" t="s">
        <v>125</v>
      </c>
      <c r="B404" s="48">
        <v>2</v>
      </c>
      <c r="C404" s="2">
        <f>650210+30336-2520.11</f>
        <v>678025.89</v>
      </c>
      <c r="D404" t="s">
        <v>2213</v>
      </c>
      <c r="E404" t="s">
        <v>2214</v>
      </c>
      <c r="F404" t="s">
        <v>156</v>
      </c>
    </row>
    <row r="405" spans="1:7" x14ac:dyDescent="0.25">
      <c r="A405" t="s">
        <v>125</v>
      </c>
      <c r="B405" s="48">
        <v>2</v>
      </c>
      <c r="C405" s="2">
        <f>687355-2706.18</f>
        <v>684648.82</v>
      </c>
      <c r="D405" t="s">
        <v>2215</v>
      </c>
      <c r="E405" t="s">
        <v>2130</v>
      </c>
      <c r="F405" t="s">
        <v>156</v>
      </c>
    </row>
    <row r="406" spans="1:7" x14ac:dyDescent="0.25">
      <c r="A406" t="s">
        <v>125</v>
      </c>
      <c r="B406" s="48">
        <v>2</v>
      </c>
      <c r="C406" s="2">
        <f>655155+14812.53</f>
        <v>669967.53</v>
      </c>
      <c r="D406" t="s">
        <v>2217</v>
      </c>
      <c r="E406" t="s">
        <v>2218</v>
      </c>
      <c r="F406" t="s">
        <v>156</v>
      </c>
    </row>
    <row r="407" spans="1:7" x14ac:dyDescent="0.25">
      <c r="A407" t="s">
        <v>128</v>
      </c>
      <c r="B407" s="48">
        <v>3</v>
      </c>
      <c r="C407" s="2"/>
    </row>
    <row r="408" spans="1:7" x14ac:dyDescent="0.25">
      <c r="A408" t="s">
        <v>120</v>
      </c>
      <c r="B408" s="48">
        <v>4</v>
      </c>
      <c r="C408" s="2">
        <f>32862.07*G408</f>
        <v>591517.26</v>
      </c>
      <c r="D408" t="s">
        <v>2206</v>
      </c>
      <c r="E408" t="s">
        <v>2207</v>
      </c>
      <c r="F408" t="s">
        <v>2208</v>
      </c>
      <c r="G408" s="35">
        <v>18</v>
      </c>
    </row>
    <row r="409" spans="1:7" s="50" customFormat="1" x14ac:dyDescent="0.25">
      <c r="A409" t="s">
        <v>120</v>
      </c>
      <c r="B409" s="48">
        <v>4</v>
      </c>
      <c r="C409" s="37">
        <f>631925+14812.53</f>
        <v>646737.53</v>
      </c>
      <c r="D409" s="50" t="s">
        <v>2237</v>
      </c>
      <c r="E409" s="50" t="s">
        <v>2238</v>
      </c>
      <c r="F409" s="50" t="s">
        <v>156</v>
      </c>
      <c r="G409" s="37"/>
    </row>
    <row r="410" spans="1:7" s="50" customFormat="1" x14ac:dyDescent="0.25">
      <c r="A410" t="s">
        <v>120</v>
      </c>
      <c r="B410" s="48">
        <v>4</v>
      </c>
      <c r="C410" s="37">
        <f>216775+4740</f>
        <v>221515</v>
      </c>
      <c r="D410" s="50" t="s">
        <v>2240</v>
      </c>
      <c r="E410" s="50" t="s">
        <v>2239</v>
      </c>
      <c r="F410" s="50" t="s">
        <v>156</v>
      </c>
      <c r="G410" s="37"/>
    </row>
    <row r="411" spans="1:7" s="50" customFormat="1" x14ac:dyDescent="0.25">
      <c r="A411" t="s">
        <v>1833</v>
      </c>
      <c r="B411" s="48">
        <v>5</v>
      </c>
      <c r="C411" s="37">
        <v>657225</v>
      </c>
      <c r="D411" s="50" t="s">
        <v>2241</v>
      </c>
      <c r="E411" s="50" t="s">
        <v>78</v>
      </c>
      <c r="F411" s="50" t="s">
        <v>156</v>
      </c>
      <c r="G411" s="37"/>
    </row>
    <row r="412" spans="1:7" s="50" customFormat="1" x14ac:dyDescent="0.25">
      <c r="A412" t="s">
        <v>1833</v>
      </c>
      <c r="B412" s="48">
        <v>5</v>
      </c>
      <c r="C412" s="37">
        <f>338675+22515.08</f>
        <v>361190.08</v>
      </c>
      <c r="D412" s="50" t="s">
        <v>2241</v>
      </c>
      <c r="E412" s="50" t="s">
        <v>2242</v>
      </c>
      <c r="F412" s="50" t="s">
        <v>156</v>
      </c>
      <c r="G412" s="37"/>
    </row>
    <row r="413" spans="1:7" x14ac:dyDescent="0.25">
      <c r="A413" t="s">
        <v>1833</v>
      </c>
      <c r="B413" s="48">
        <v>5</v>
      </c>
      <c r="C413" s="2"/>
    </row>
    <row r="414" spans="1:7" x14ac:dyDescent="0.25">
      <c r="A414" t="s">
        <v>117</v>
      </c>
      <c r="B414" s="48">
        <v>6</v>
      </c>
      <c r="C414" s="2">
        <v>28958.65</v>
      </c>
      <c r="D414" t="s">
        <v>2312</v>
      </c>
      <c r="E414" t="s">
        <v>2311</v>
      </c>
      <c r="F414" t="s">
        <v>2313</v>
      </c>
    </row>
    <row r="415" spans="1:7" x14ac:dyDescent="0.25">
      <c r="A415" t="s">
        <v>117</v>
      </c>
      <c r="B415" s="48">
        <v>6</v>
      </c>
      <c r="C415" s="2">
        <f>33176.87*G415</f>
        <v>597183.66</v>
      </c>
      <c r="D415" t="s">
        <v>2250</v>
      </c>
      <c r="E415" t="s">
        <v>2251</v>
      </c>
      <c r="F415" t="s">
        <v>2252</v>
      </c>
      <c r="G415" s="35">
        <v>18</v>
      </c>
    </row>
    <row r="416" spans="1:7" x14ac:dyDescent="0.25">
      <c r="A416" t="s">
        <v>117</v>
      </c>
      <c r="B416" s="48">
        <v>6</v>
      </c>
      <c r="C416" s="2">
        <f>36958.07*G416</f>
        <v>665245.26</v>
      </c>
      <c r="D416" t="s">
        <v>2244</v>
      </c>
      <c r="E416" t="s">
        <v>2243</v>
      </c>
      <c r="F416" t="s">
        <v>2245</v>
      </c>
      <c r="G416" s="35">
        <v>18</v>
      </c>
    </row>
    <row r="417" spans="1:6" x14ac:dyDescent="0.25">
      <c r="A417" s="49" t="s">
        <v>118</v>
      </c>
      <c r="B417" s="48">
        <v>7</v>
      </c>
      <c r="C417" s="2"/>
    </row>
    <row r="418" spans="1:6" x14ac:dyDescent="0.25">
      <c r="A418" s="49" t="s">
        <v>119</v>
      </c>
      <c r="B418" s="48">
        <v>8</v>
      </c>
      <c r="C418" s="2"/>
    </row>
    <row r="419" spans="1:6" x14ac:dyDescent="0.25">
      <c r="A419" t="s">
        <v>125</v>
      </c>
      <c r="B419" s="48">
        <v>9</v>
      </c>
      <c r="C419" s="2">
        <f>697480+14990.3</f>
        <v>712470.3</v>
      </c>
      <c r="D419" t="s">
        <v>2263</v>
      </c>
      <c r="E419" t="s">
        <v>2264</v>
      </c>
      <c r="F419" t="s">
        <v>156</v>
      </c>
    </row>
    <row r="420" spans="1:6" x14ac:dyDescent="0.25">
      <c r="A420" t="s">
        <v>125</v>
      </c>
      <c r="B420" s="48">
        <v>9</v>
      </c>
      <c r="C420" s="2">
        <f>19152.5+44674.42</f>
        <v>63826.92</v>
      </c>
      <c r="D420" t="s">
        <v>2267</v>
      </c>
      <c r="E420" t="s">
        <v>2265</v>
      </c>
      <c r="F420" t="s">
        <v>156</v>
      </c>
    </row>
    <row r="421" spans="1:6" x14ac:dyDescent="0.25">
      <c r="A421" t="s">
        <v>125</v>
      </c>
      <c r="B421" s="48">
        <v>9</v>
      </c>
      <c r="C421" s="2">
        <v>662465</v>
      </c>
      <c r="D421" t="s">
        <v>2268</v>
      </c>
      <c r="E421" t="s">
        <v>2199</v>
      </c>
      <c r="F421" t="s">
        <v>156</v>
      </c>
    </row>
    <row r="422" spans="1:6" x14ac:dyDescent="0.25">
      <c r="A422" t="s">
        <v>125</v>
      </c>
      <c r="B422" s="48">
        <v>9</v>
      </c>
      <c r="C422" s="2">
        <v>707350</v>
      </c>
      <c r="D422" t="s">
        <v>2266</v>
      </c>
      <c r="E422" t="s">
        <v>2210</v>
      </c>
      <c r="F422" t="s">
        <v>156</v>
      </c>
    </row>
    <row r="423" spans="1:6" x14ac:dyDescent="0.25">
      <c r="A423" t="s">
        <v>128</v>
      </c>
      <c r="B423" s="48">
        <v>10</v>
      </c>
      <c r="C423" s="2">
        <v>677740</v>
      </c>
      <c r="D423" t="s">
        <v>2269</v>
      </c>
      <c r="E423" t="s">
        <v>2209</v>
      </c>
      <c r="F423" t="s">
        <v>156</v>
      </c>
    </row>
    <row r="424" spans="1:6" x14ac:dyDescent="0.25">
      <c r="A424" t="s">
        <v>120</v>
      </c>
      <c r="B424" s="48">
        <v>11</v>
      </c>
      <c r="C424" s="2">
        <v>643665</v>
      </c>
      <c r="D424" t="s">
        <v>2270</v>
      </c>
      <c r="E424" t="s">
        <v>2246</v>
      </c>
      <c r="F424" t="s">
        <v>156</v>
      </c>
    </row>
    <row r="425" spans="1:6" x14ac:dyDescent="0.25">
      <c r="A425" t="s">
        <v>120</v>
      </c>
      <c r="B425" s="48">
        <v>11</v>
      </c>
      <c r="C425" s="2">
        <f>355790+37149.72</f>
        <v>392939.72</v>
      </c>
      <c r="D425" t="s">
        <v>2271</v>
      </c>
      <c r="E425" t="s">
        <v>2247</v>
      </c>
      <c r="F425" t="s">
        <v>156</v>
      </c>
    </row>
    <row r="426" spans="1:6" x14ac:dyDescent="0.25">
      <c r="A426" t="s">
        <v>186</v>
      </c>
      <c r="B426" s="48">
        <v>12</v>
      </c>
      <c r="C426" s="2">
        <f>775735+14456.97</f>
        <v>790191.97</v>
      </c>
      <c r="D426" t="s">
        <v>2272</v>
      </c>
      <c r="E426" t="s">
        <v>2259</v>
      </c>
      <c r="F426" t="s">
        <v>156</v>
      </c>
    </row>
    <row r="427" spans="1:6" x14ac:dyDescent="0.25">
      <c r="A427" t="s">
        <v>1833</v>
      </c>
      <c r="B427" s="48">
        <v>12</v>
      </c>
      <c r="C427" s="2">
        <v>701122.5</v>
      </c>
      <c r="D427" t="s">
        <v>2273</v>
      </c>
      <c r="E427" t="s">
        <v>2260</v>
      </c>
      <c r="F427" t="s">
        <v>156</v>
      </c>
    </row>
    <row r="428" spans="1:6" x14ac:dyDescent="0.25">
      <c r="A428" t="s">
        <v>117</v>
      </c>
      <c r="B428" s="48">
        <v>13</v>
      </c>
      <c r="C428" s="2"/>
    </row>
    <row r="444" spans="1:10" x14ac:dyDescent="0.25">
      <c r="A444" t="s">
        <v>3240</v>
      </c>
    </row>
    <row r="445" spans="1:10" x14ac:dyDescent="0.25">
      <c r="A445" s="55" t="s">
        <v>120</v>
      </c>
      <c r="B445" s="48">
        <v>22</v>
      </c>
      <c r="C445" s="2">
        <f>387430+9311.9</f>
        <v>396741.9</v>
      </c>
      <c r="D445" t="s">
        <v>2955</v>
      </c>
      <c r="E445" t="s">
        <v>2912</v>
      </c>
      <c r="F445" t="s">
        <v>156</v>
      </c>
      <c r="G445" s="53">
        <v>42555</v>
      </c>
      <c r="H445" s="53" t="s">
        <v>153</v>
      </c>
    </row>
    <row r="446" spans="1:10" x14ac:dyDescent="0.25">
      <c r="A446" t="s">
        <v>186</v>
      </c>
      <c r="B446" s="48">
        <v>23</v>
      </c>
      <c r="C446" s="51">
        <f>888030+16761.42</f>
        <v>904791.42</v>
      </c>
      <c r="D446" s="52" t="s">
        <v>2956</v>
      </c>
      <c r="E446" s="52" t="s">
        <v>2917</v>
      </c>
      <c r="F446" s="52" t="s">
        <v>156</v>
      </c>
      <c r="G446" s="53">
        <v>42550</v>
      </c>
      <c r="H446" s="53" t="s">
        <v>153</v>
      </c>
    </row>
    <row r="447" spans="1:10" x14ac:dyDescent="0.25">
      <c r="A447" t="s">
        <v>1833</v>
      </c>
      <c r="B447" s="48">
        <v>23</v>
      </c>
      <c r="C447" s="37">
        <f>473985+10457.98</f>
        <v>484442.98</v>
      </c>
      <c r="D447" s="50" t="s">
        <v>2957</v>
      </c>
      <c r="E447" s="50" t="s">
        <v>2918</v>
      </c>
      <c r="F447" s="50" t="s">
        <v>156</v>
      </c>
      <c r="G447" s="53">
        <v>42552</v>
      </c>
      <c r="H447" s="53" t="s">
        <v>153</v>
      </c>
    </row>
    <row r="448" spans="1:10" x14ac:dyDescent="0.25">
      <c r="A448" t="s">
        <v>186</v>
      </c>
      <c r="B448" s="48">
        <v>23</v>
      </c>
      <c r="C448" s="60">
        <f t="shared" ref="C448:C449" si="8">40000*G448</f>
        <v>743600</v>
      </c>
      <c r="D448" s="61" t="s">
        <v>3036</v>
      </c>
      <c r="E448" s="61" t="s">
        <v>3130</v>
      </c>
      <c r="F448" s="61" t="s">
        <v>3012</v>
      </c>
      <c r="G448" s="61">
        <v>18.59</v>
      </c>
      <c r="H448" s="61">
        <v>38.26</v>
      </c>
      <c r="I448" s="63">
        <v>42544</v>
      </c>
      <c r="J448" s="111" t="s">
        <v>124</v>
      </c>
    </row>
    <row r="449" spans="1:10" x14ac:dyDescent="0.25">
      <c r="A449" t="s">
        <v>1833</v>
      </c>
      <c r="B449" s="48">
        <v>23</v>
      </c>
      <c r="C449" s="60">
        <f t="shared" si="8"/>
        <v>743600</v>
      </c>
      <c r="D449" s="61" t="s">
        <v>3037</v>
      </c>
      <c r="E449" s="61" t="s">
        <v>3131</v>
      </c>
      <c r="F449" s="61" t="s">
        <v>3012</v>
      </c>
      <c r="G449" s="61">
        <v>18.59</v>
      </c>
      <c r="H449" s="61">
        <v>38.26</v>
      </c>
      <c r="I449" s="63">
        <v>42544</v>
      </c>
      <c r="J449" s="111" t="s">
        <v>124</v>
      </c>
    </row>
    <row r="450" spans="1:10" x14ac:dyDescent="0.25">
      <c r="A450" t="s">
        <v>117</v>
      </c>
      <c r="B450" s="48">
        <v>24</v>
      </c>
      <c r="C450" s="60">
        <f>37000*G450</f>
        <v>686350</v>
      </c>
      <c r="D450" s="61" t="s">
        <v>3038</v>
      </c>
      <c r="E450" s="61" t="s">
        <v>3133</v>
      </c>
      <c r="F450" s="61" t="s">
        <v>2275</v>
      </c>
      <c r="G450" s="61">
        <v>18.55</v>
      </c>
      <c r="H450" s="61">
        <v>38.32</v>
      </c>
      <c r="I450" s="63">
        <v>42545</v>
      </c>
      <c r="J450" s="111" t="s">
        <v>124</v>
      </c>
    </row>
    <row r="451" spans="1:10" x14ac:dyDescent="0.25">
      <c r="A451" t="s">
        <v>117</v>
      </c>
      <c r="B451" s="48">
        <v>24</v>
      </c>
      <c r="C451" s="60">
        <f>37000*G451</f>
        <v>681540.00000000012</v>
      </c>
      <c r="D451" s="61" t="s">
        <v>3039</v>
      </c>
      <c r="E451" s="61" t="s">
        <v>3134</v>
      </c>
      <c r="F451" s="61" t="s">
        <v>2275</v>
      </c>
      <c r="G451" s="61">
        <v>18.420000000000002</v>
      </c>
      <c r="H451" s="61">
        <v>38.07</v>
      </c>
      <c r="I451" s="63">
        <v>42545</v>
      </c>
      <c r="J451" s="111" t="s">
        <v>124</v>
      </c>
    </row>
    <row r="452" spans="1:10" x14ac:dyDescent="0.25">
      <c r="A452" t="s">
        <v>117</v>
      </c>
      <c r="B452" s="48">
        <v>24</v>
      </c>
      <c r="C452" s="51">
        <v>63484.800000000003</v>
      </c>
      <c r="D452" s="52" t="s">
        <v>3027</v>
      </c>
      <c r="E452" s="52" t="s">
        <v>3026</v>
      </c>
      <c r="F452" s="52" t="s">
        <v>2313</v>
      </c>
      <c r="G452" s="53">
        <v>42545</v>
      </c>
      <c r="H452" s="52" t="s">
        <v>1225</v>
      </c>
    </row>
    <row r="453" spans="1:10" x14ac:dyDescent="0.25">
      <c r="A453" t="s">
        <v>117</v>
      </c>
      <c r="B453" s="48">
        <v>24</v>
      </c>
      <c r="C453" s="51">
        <v>87120</v>
      </c>
      <c r="D453" s="52" t="s">
        <v>3030</v>
      </c>
      <c r="E453" s="52" t="s">
        <v>3029</v>
      </c>
      <c r="F453" s="52" t="s">
        <v>2929</v>
      </c>
      <c r="G453" s="53">
        <v>42545</v>
      </c>
      <c r="H453" s="53" t="s">
        <v>153</v>
      </c>
    </row>
    <row r="454" spans="1:10" x14ac:dyDescent="0.25">
      <c r="A454" s="49" t="s">
        <v>118</v>
      </c>
      <c r="B454" s="48">
        <v>25</v>
      </c>
      <c r="C454" s="2"/>
    </row>
    <row r="455" spans="1:10" x14ac:dyDescent="0.25">
      <c r="A455" s="49" t="s">
        <v>119</v>
      </c>
      <c r="B455" s="48">
        <v>26</v>
      </c>
      <c r="C455" s="2"/>
    </row>
    <row r="456" spans="1:10" s="50" customFormat="1" x14ac:dyDescent="0.25">
      <c r="A456" t="s">
        <v>125</v>
      </c>
      <c r="B456" s="48">
        <v>27</v>
      </c>
      <c r="C456" s="60">
        <f>36000*G456</f>
        <v>685440</v>
      </c>
      <c r="D456" s="61" t="s">
        <v>3040</v>
      </c>
      <c r="E456" s="61"/>
      <c r="F456" s="61" t="s">
        <v>2964</v>
      </c>
      <c r="G456" s="61">
        <v>19.04</v>
      </c>
      <c r="H456" s="61"/>
      <c r="I456" s="63">
        <v>42548</v>
      </c>
      <c r="J456" s="111" t="s">
        <v>124</v>
      </c>
    </row>
    <row r="457" spans="1:10" s="50" customFormat="1" x14ac:dyDescent="0.25">
      <c r="A457" t="s">
        <v>125</v>
      </c>
      <c r="B457" s="48">
        <v>27</v>
      </c>
      <c r="C457" s="60">
        <f>36000*G457</f>
        <v>683208</v>
      </c>
      <c r="D457" s="61" t="s">
        <v>3041</v>
      </c>
      <c r="E457" s="61" t="s">
        <v>3175</v>
      </c>
      <c r="F457" s="61" t="s">
        <v>2964</v>
      </c>
      <c r="G457" s="61">
        <v>18.978000000000002</v>
      </c>
      <c r="H457" s="61">
        <v>41.01</v>
      </c>
      <c r="I457" s="63">
        <v>42549</v>
      </c>
      <c r="J457" s="111" t="s">
        <v>124</v>
      </c>
    </row>
    <row r="458" spans="1:10" x14ac:dyDescent="0.25">
      <c r="A458" t="s">
        <v>125</v>
      </c>
      <c r="B458" s="48">
        <v>27</v>
      </c>
      <c r="C458" s="51">
        <f>33141.91*G458</f>
        <v>626050.6799000001</v>
      </c>
      <c r="D458" s="52" t="s">
        <v>2996</v>
      </c>
      <c r="E458" s="52" t="s">
        <v>2997</v>
      </c>
      <c r="F458" s="52" t="s">
        <v>2998</v>
      </c>
      <c r="G458" s="52">
        <v>18.89</v>
      </c>
      <c r="H458" s="52">
        <v>35.33</v>
      </c>
      <c r="I458" s="53">
        <v>42541</v>
      </c>
      <c r="J458" s="118" t="s">
        <v>124</v>
      </c>
    </row>
    <row r="459" spans="1:10" s="50" customFormat="1" x14ac:dyDescent="0.25">
      <c r="A459" s="50" t="s">
        <v>125</v>
      </c>
      <c r="B459" s="56">
        <v>27</v>
      </c>
      <c r="C459" s="51">
        <f>102445.2+7395</f>
        <v>109840.2</v>
      </c>
      <c r="D459" s="52" t="s">
        <v>3159</v>
      </c>
      <c r="E459" s="52" t="s">
        <v>3160</v>
      </c>
      <c r="F459" s="52" t="s">
        <v>3161</v>
      </c>
      <c r="G459" s="53">
        <v>42551</v>
      </c>
      <c r="H459" s="53" t="s">
        <v>153</v>
      </c>
      <c r="I459" s="58"/>
      <c r="J459" s="94"/>
    </row>
    <row r="460" spans="1:10" x14ac:dyDescent="0.25">
      <c r="A460" t="s">
        <v>125</v>
      </c>
      <c r="B460" s="48">
        <v>27</v>
      </c>
      <c r="C460" s="2">
        <f>790580+17907.5</f>
        <v>808487.5</v>
      </c>
      <c r="D460" t="s">
        <v>3135</v>
      </c>
      <c r="E460" t="s">
        <v>2947</v>
      </c>
      <c r="F460" t="s">
        <v>156</v>
      </c>
      <c r="G460" s="53">
        <v>42555</v>
      </c>
      <c r="H460" s="53" t="s">
        <v>153</v>
      </c>
    </row>
    <row r="461" spans="1:10" x14ac:dyDescent="0.25">
      <c r="A461" t="s">
        <v>125</v>
      </c>
      <c r="B461" s="48">
        <v>27</v>
      </c>
      <c r="C461" s="2">
        <f>410900+9311.9-3160.64</f>
        <v>417051.26</v>
      </c>
      <c r="D461" t="s">
        <v>3136</v>
      </c>
      <c r="E461" t="s">
        <v>2948</v>
      </c>
      <c r="F461" t="s">
        <v>156</v>
      </c>
      <c r="G461" s="53">
        <v>42555</v>
      </c>
      <c r="H461" s="53" t="s">
        <v>153</v>
      </c>
    </row>
    <row r="462" spans="1:10" x14ac:dyDescent="0.25">
      <c r="A462" t="s">
        <v>125</v>
      </c>
      <c r="B462" s="48">
        <v>27</v>
      </c>
      <c r="C462" s="2">
        <f>644280+14326</f>
        <v>658606</v>
      </c>
      <c r="D462" t="s">
        <v>3137</v>
      </c>
      <c r="E462" t="s">
        <v>2963</v>
      </c>
      <c r="F462" t="s">
        <v>156</v>
      </c>
      <c r="G462" s="53">
        <v>42555</v>
      </c>
      <c r="H462" s="53" t="s">
        <v>153</v>
      </c>
    </row>
    <row r="463" spans="1:10" x14ac:dyDescent="0.25">
      <c r="A463" t="s">
        <v>125</v>
      </c>
      <c r="B463" s="48">
        <v>27</v>
      </c>
      <c r="C463" s="2">
        <f>663040+14326</f>
        <v>677366</v>
      </c>
      <c r="D463" t="s">
        <v>3138</v>
      </c>
      <c r="E463" t="s">
        <v>2968</v>
      </c>
      <c r="F463" t="s">
        <v>156</v>
      </c>
    </row>
    <row r="464" spans="1:10" x14ac:dyDescent="0.25">
      <c r="A464" t="s">
        <v>128</v>
      </c>
      <c r="B464" s="48">
        <v>28</v>
      </c>
      <c r="C464" s="2">
        <f>644840+14326+193200+4297.8-9100</f>
        <v>847563.8</v>
      </c>
      <c r="D464" t="s">
        <v>3139</v>
      </c>
      <c r="E464" s="181" t="s">
        <v>2972</v>
      </c>
      <c r="F464" t="s">
        <v>156</v>
      </c>
    </row>
    <row r="465" spans="1:10" x14ac:dyDescent="0.25">
      <c r="A465" t="s">
        <v>128</v>
      </c>
      <c r="B465" s="48">
        <v>28</v>
      </c>
      <c r="C465" s="51">
        <f>33644.72*G465</f>
        <v>629088.97456</v>
      </c>
      <c r="D465" s="52" t="s">
        <v>3014</v>
      </c>
      <c r="E465" s="52" t="s">
        <v>3016</v>
      </c>
      <c r="F465" s="52" t="s">
        <v>3017</v>
      </c>
      <c r="G465" s="52">
        <v>18.698</v>
      </c>
      <c r="H465" s="52">
        <v>35.340000000000003</v>
      </c>
      <c r="I465" s="53">
        <v>42542</v>
      </c>
      <c r="J465" s="118" t="s">
        <v>124</v>
      </c>
    </row>
    <row r="466" spans="1:10" x14ac:dyDescent="0.25">
      <c r="A466" t="s">
        <v>128</v>
      </c>
      <c r="B466" s="48">
        <v>28</v>
      </c>
      <c r="C466" s="51">
        <f>34123.82*G466</f>
        <v>638047.18636000005</v>
      </c>
      <c r="D466" s="52" t="s">
        <v>3015</v>
      </c>
      <c r="E466" s="52" t="s">
        <v>3018</v>
      </c>
      <c r="F466" s="52" t="s">
        <v>3019</v>
      </c>
      <c r="G466" s="52">
        <v>18.698</v>
      </c>
      <c r="H466" s="52">
        <v>35.340000000000003</v>
      </c>
      <c r="I466" s="53">
        <v>42542</v>
      </c>
      <c r="J466" s="118" t="s">
        <v>124</v>
      </c>
    </row>
    <row r="467" spans="1:10" x14ac:dyDescent="0.25">
      <c r="A467" t="s">
        <v>120</v>
      </c>
      <c r="B467" s="48">
        <v>29</v>
      </c>
      <c r="C467" s="60">
        <f>37500*G467</f>
        <v>706875</v>
      </c>
      <c r="D467" s="61" t="s">
        <v>3086</v>
      </c>
      <c r="E467" s="61"/>
      <c r="F467" s="61" t="s">
        <v>3117</v>
      </c>
      <c r="G467" s="61">
        <v>18.850000000000001</v>
      </c>
      <c r="H467" s="61"/>
      <c r="I467" s="63">
        <v>42550</v>
      </c>
      <c r="J467" s="61" t="s">
        <v>952</v>
      </c>
    </row>
    <row r="468" spans="1:10" s="50" customFormat="1" x14ac:dyDescent="0.25">
      <c r="A468" s="50" t="s">
        <v>120</v>
      </c>
      <c r="B468" s="56">
        <v>29</v>
      </c>
      <c r="C468" s="37">
        <f>804160+17835.87</f>
        <v>821995.87</v>
      </c>
      <c r="D468" s="50" t="s">
        <v>3140</v>
      </c>
      <c r="E468" s="50" t="s">
        <v>3141</v>
      </c>
      <c r="F468" s="50" t="s">
        <v>156</v>
      </c>
      <c r="I468" s="58"/>
    </row>
    <row r="469" spans="1:10" s="50" customFormat="1" x14ac:dyDescent="0.25">
      <c r="A469" s="50" t="s">
        <v>120</v>
      </c>
      <c r="B469" s="56">
        <v>29</v>
      </c>
      <c r="C469" s="37">
        <f>413700+9240.27</f>
        <v>422940.27</v>
      </c>
      <c r="D469" s="50" t="s">
        <v>3140</v>
      </c>
      <c r="E469" s="50" t="s">
        <v>3142</v>
      </c>
      <c r="F469" s="50" t="s">
        <v>156</v>
      </c>
      <c r="I469" s="58"/>
    </row>
    <row r="470" spans="1:10" s="50" customFormat="1" x14ac:dyDescent="0.25">
      <c r="A470" s="50" t="s">
        <v>120</v>
      </c>
      <c r="B470" s="56">
        <v>29</v>
      </c>
      <c r="C470" s="51">
        <f>214354+70875+174368.8</f>
        <v>459597.8</v>
      </c>
      <c r="D470" s="52" t="s">
        <v>3201</v>
      </c>
      <c r="E470" s="52" t="s">
        <v>3198</v>
      </c>
      <c r="F470" s="52" t="s">
        <v>3202</v>
      </c>
      <c r="G470" s="52" t="s">
        <v>3203</v>
      </c>
      <c r="H470" s="52" t="s">
        <v>3204</v>
      </c>
      <c r="I470" s="53"/>
    </row>
    <row r="471" spans="1:10" s="50" customFormat="1" x14ac:dyDescent="0.25">
      <c r="A471" s="50" t="s">
        <v>186</v>
      </c>
      <c r="B471" s="56">
        <v>30</v>
      </c>
      <c r="C471" s="37">
        <f>823200+17907.5</f>
        <v>841107.5</v>
      </c>
      <c r="D471" s="50" t="s">
        <v>3143</v>
      </c>
      <c r="E471" s="50" t="s">
        <v>3144</v>
      </c>
      <c r="F471" s="50" t="s">
        <v>156</v>
      </c>
      <c r="I471" s="58"/>
    </row>
    <row r="472" spans="1:10" s="50" customFormat="1" x14ac:dyDescent="0.25">
      <c r="A472" s="50" t="s">
        <v>186</v>
      </c>
      <c r="B472" s="56">
        <v>30</v>
      </c>
      <c r="C472" s="37">
        <f>375900+9311.9</f>
        <v>385211.9</v>
      </c>
      <c r="D472" s="50" t="s">
        <v>3146</v>
      </c>
      <c r="E472" s="50" t="s">
        <v>3145</v>
      </c>
      <c r="F472" s="50" t="s">
        <v>156</v>
      </c>
      <c r="I472" s="58"/>
    </row>
    <row r="473" spans="1:10" x14ac:dyDescent="0.25">
      <c r="A473" t="s">
        <v>1833</v>
      </c>
      <c r="B473" s="48">
        <v>30</v>
      </c>
      <c r="C473" s="60">
        <f t="shared" ref="C473:C474" si="9">37500*G473</f>
        <v>697875</v>
      </c>
      <c r="D473" s="61" t="s">
        <v>3087</v>
      </c>
      <c r="E473" s="61"/>
      <c r="F473" s="61" t="s">
        <v>3117</v>
      </c>
      <c r="G473" s="61">
        <v>18.61</v>
      </c>
      <c r="H473" s="61"/>
      <c r="I473" s="63">
        <v>42551</v>
      </c>
      <c r="J473" s="111" t="s">
        <v>124</v>
      </c>
    </row>
    <row r="474" spans="1:10" x14ac:dyDescent="0.25">
      <c r="A474" t="s">
        <v>186</v>
      </c>
      <c r="B474" s="48">
        <v>30</v>
      </c>
      <c r="C474" s="60">
        <f t="shared" si="9"/>
        <v>697875</v>
      </c>
      <c r="D474" s="61" t="s">
        <v>3088</v>
      </c>
      <c r="E474" s="61"/>
      <c r="F474" s="61" t="s">
        <v>3117</v>
      </c>
      <c r="G474" s="61">
        <v>18.61</v>
      </c>
      <c r="H474" s="61"/>
      <c r="I474" s="63">
        <v>42551</v>
      </c>
      <c r="J474" s="111" t="s">
        <v>124</v>
      </c>
    </row>
    <row r="475" spans="1:10" x14ac:dyDescent="0.25">
      <c r="A475" s="47" t="s">
        <v>3076</v>
      </c>
      <c r="C475" s="2"/>
    </row>
    <row r="476" spans="1:10" x14ac:dyDescent="0.25">
      <c r="A476" t="s">
        <v>117</v>
      </c>
      <c r="B476" s="48">
        <v>1</v>
      </c>
      <c r="C476" s="130">
        <f>39000*G476</f>
        <v>723840</v>
      </c>
      <c r="D476" s="131" t="s">
        <v>3089</v>
      </c>
      <c r="E476" s="131"/>
      <c r="F476" s="131" t="s">
        <v>3128</v>
      </c>
      <c r="G476" s="131">
        <v>18.559999999999999</v>
      </c>
      <c r="H476" s="131"/>
      <c r="I476" s="63">
        <v>42552</v>
      </c>
      <c r="J476" s="61" t="s">
        <v>2561</v>
      </c>
    </row>
    <row r="477" spans="1:10" x14ac:dyDescent="0.25">
      <c r="A477" t="s">
        <v>117</v>
      </c>
      <c r="B477" s="48">
        <v>1</v>
      </c>
      <c r="C477" s="130">
        <f>39000*G477</f>
        <v>723840</v>
      </c>
      <c r="D477" s="131" t="s">
        <v>3090</v>
      </c>
      <c r="E477" s="131"/>
      <c r="F477" s="131" t="s">
        <v>3128</v>
      </c>
      <c r="G477" s="131">
        <v>18.559999999999999</v>
      </c>
      <c r="H477" s="131"/>
      <c r="I477" s="63">
        <v>42552</v>
      </c>
      <c r="J477" s="111" t="s">
        <v>124</v>
      </c>
    </row>
    <row r="478" spans="1:10" x14ac:dyDescent="0.25">
      <c r="A478" t="s">
        <v>117</v>
      </c>
      <c r="B478" s="48">
        <v>1</v>
      </c>
      <c r="C478" s="60">
        <f>40000*G478</f>
        <v>742400</v>
      </c>
      <c r="D478" s="61" t="s">
        <v>3091</v>
      </c>
      <c r="E478" s="61"/>
      <c r="F478" s="61" t="s">
        <v>3012</v>
      </c>
      <c r="G478" s="61">
        <v>18.559999999999999</v>
      </c>
      <c r="H478" s="61"/>
      <c r="I478" s="63">
        <v>42551</v>
      </c>
      <c r="J478" s="111" t="s">
        <v>124</v>
      </c>
    </row>
    <row r="479" spans="1:10" x14ac:dyDescent="0.25">
      <c r="A479" t="s">
        <v>117</v>
      </c>
      <c r="B479" s="48">
        <v>1</v>
      </c>
      <c r="C479" s="51">
        <f>34332.97*G479</f>
        <v>626920.03220000013</v>
      </c>
      <c r="D479" s="52" t="s">
        <v>3077</v>
      </c>
      <c r="E479" s="52" t="s">
        <v>3078</v>
      </c>
      <c r="F479" s="52" t="s">
        <v>3079</v>
      </c>
      <c r="G479" s="52">
        <v>18.260000000000002</v>
      </c>
      <c r="H479" s="52">
        <v>35.200000000000003</v>
      </c>
      <c r="I479" s="53">
        <v>42517</v>
      </c>
      <c r="J479" s="52" t="s">
        <v>952</v>
      </c>
    </row>
    <row r="480" spans="1:10" x14ac:dyDescent="0.25">
      <c r="A480" s="49" t="s">
        <v>118</v>
      </c>
      <c r="B480" s="48">
        <v>2</v>
      </c>
      <c r="C480" s="2"/>
    </row>
    <row r="481" spans="1:10" x14ac:dyDescent="0.25">
      <c r="A481" s="49" t="s">
        <v>119</v>
      </c>
      <c r="B481" s="48">
        <v>3</v>
      </c>
      <c r="C481" s="2"/>
    </row>
    <row r="482" spans="1:10" x14ac:dyDescent="0.25">
      <c r="A482" t="s">
        <v>125</v>
      </c>
      <c r="B482" s="48">
        <v>4</v>
      </c>
      <c r="C482" s="51">
        <v>66736.800000000003</v>
      </c>
      <c r="D482" s="52" t="s">
        <v>3155</v>
      </c>
      <c r="E482" s="52" t="s">
        <v>3154</v>
      </c>
      <c r="F482" s="52" t="s">
        <v>2520</v>
      </c>
      <c r="G482" s="53">
        <v>42551</v>
      </c>
      <c r="H482" s="52" t="s">
        <v>1225</v>
      </c>
    </row>
    <row r="483" spans="1:10" x14ac:dyDescent="0.25">
      <c r="A483" t="s">
        <v>125</v>
      </c>
      <c r="B483" s="48">
        <v>4</v>
      </c>
      <c r="C483" s="2">
        <f>771540+17907.5</f>
        <v>789447.5</v>
      </c>
      <c r="D483" t="s">
        <v>3209</v>
      </c>
      <c r="E483" t="s">
        <v>3210</v>
      </c>
      <c r="F483" t="s">
        <v>156</v>
      </c>
    </row>
    <row r="484" spans="1:10" x14ac:dyDescent="0.25">
      <c r="A484" t="s">
        <v>125</v>
      </c>
      <c r="B484" s="48">
        <v>4</v>
      </c>
      <c r="C484" s="2">
        <f>411460+9311.9</f>
        <v>420771.9</v>
      </c>
      <c r="D484" t="s">
        <v>3211</v>
      </c>
      <c r="E484" t="s">
        <v>3006</v>
      </c>
      <c r="F484" t="s">
        <v>156</v>
      </c>
    </row>
    <row r="485" spans="1:10" x14ac:dyDescent="0.25">
      <c r="A485" t="s">
        <v>125</v>
      </c>
      <c r="B485" s="48">
        <v>4</v>
      </c>
      <c r="C485" s="2">
        <f>649040+14254.37</f>
        <v>663294.37</v>
      </c>
      <c r="D485" t="s">
        <v>3212</v>
      </c>
      <c r="E485" t="s">
        <v>3213</v>
      </c>
      <c r="F485" t="s">
        <v>156</v>
      </c>
    </row>
    <row r="486" spans="1:10" x14ac:dyDescent="0.25">
      <c r="A486" t="s">
        <v>125</v>
      </c>
      <c r="B486" s="48">
        <v>4</v>
      </c>
      <c r="C486" s="2">
        <f>593880+14326</f>
        <v>608206</v>
      </c>
      <c r="D486" t="s">
        <v>3214</v>
      </c>
      <c r="E486" t="s">
        <v>3215</v>
      </c>
      <c r="F486" t="s">
        <v>156</v>
      </c>
    </row>
    <row r="487" spans="1:10" x14ac:dyDescent="0.25">
      <c r="A487" t="s">
        <v>128</v>
      </c>
      <c r="B487" s="48">
        <v>5</v>
      </c>
      <c r="C487" s="51">
        <f>35591*G487</f>
        <v>671958.08</v>
      </c>
      <c r="D487" s="52" t="s">
        <v>3080</v>
      </c>
      <c r="E487" s="52" t="s">
        <v>3081</v>
      </c>
      <c r="F487" s="52" t="s">
        <v>3084</v>
      </c>
      <c r="G487" s="52">
        <v>18.88</v>
      </c>
      <c r="H487" s="52">
        <v>37.4</v>
      </c>
      <c r="I487" s="53">
        <v>42549</v>
      </c>
      <c r="J487" s="118" t="s">
        <v>124</v>
      </c>
    </row>
    <row r="488" spans="1:10" x14ac:dyDescent="0.25">
      <c r="A488" t="s">
        <v>128</v>
      </c>
      <c r="B488" s="48">
        <v>5</v>
      </c>
      <c r="C488" s="51">
        <f>35718.62*G488</f>
        <v>674367.54560000007</v>
      </c>
      <c r="D488" s="52" t="s">
        <v>3083</v>
      </c>
      <c r="E488" s="52" t="s">
        <v>3082</v>
      </c>
      <c r="F488" s="52" t="s">
        <v>3085</v>
      </c>
      <c r="G488" s="52">
        <v>18.88</v>
      </c>
      <c r="H488" s="52">
        <v>37.56</v>
      </c>
      <c r="I488" s="53">
        <v>42549</v>
      </c>
      <c r="J488" s="118" t="s">
        <v>124</v>
      </c>
    </row>
    <row r="489" spans="1:10" s="50" customFormat="1" x14ac:dyDescent="0.25">
      <c r="A489" t="s">
        <v>128</v>
      </c>
      <c r="B489" s="48">
        <v>5</v>
      </c>
      <c r="C489" s="37">
        <f>582540+14326</f>
        <v>596866</v>
      </c>
      <c r="D489" s="50" t="s">
        <v>3216</v>
      </c>
      <c r="E489" s="50" t="s">
        <v>3217</v>
      </c>
      <c r="F489" s="50" t="s">
        <v>156</v>
      </c>
      <c r="I489" s="58"/>
      <c r="J489" s="94"/>
    </row>
    <row r="490" spans="1:10" s="50" customFormat="1" x14ac:dyDescent="0.25">
      <c r="A490" t="s">
        <v>128</v>
      </c>
      <c r="B490" s="48">
        <v>5</v>
      </c>
      <c r="C490" s="37">
        <f>182560+4297.8</f>
        <v>186857.8</v>
      </c>
      <c r="D490" s="50" t="s">
        <v>3219</v>
      </c>
      <c r="E490" s="50" t="s">
        <v>3218</v>
      </c>
      <c r="F490" s="50" t="s">
        <v>156</v>
      </c>
      <c r="I490" s="58"/>
      <c r="J490" s="94"/>
    </row>
    <row r="491" spans="1:10" x14ac:dyDescent="0.25">
      <c r="A491" t="s">
        <v>120</v>
      </c>
      <c r="B491" s="48">
        <v>6</v>
      </c>
      <c r="C491" s="130"/>
      <c r="D491" s="131" t="s">
        <v>3092</v>
      </c>
      <c r="E491" s="131"/>
      <c r="F491" s="131"/>
      <c r="G491" s="131"/>
      <c r="H491" s="131"/>
      <c r="I491" s="132">
        <v>42557</v>
      </c>
      <c r="J491" s="131"/>
    </row>
    <row r="492" spans="1:10" x14ac:dyDescent="0.25">
      <c r="A492" t="s">
        <v>120</v>
      </c>
      <c r="B492" s="48">
        <v>6</v>
      </c>
      <c r="C492" s="130"/>
      <c r="D492" s="131" t="s">
        <v>3097</v>
      </c>
      <c r="E492" s="131"/>
      <c r="F492" s="131"/>
      <c r="G492" s="131"/>
      <c r="H492" s="131"/>
      <c r="I492" s="132">
        <v>42557</v>
      </c>
      <c r="J492" s="131"/>
    </row>
    <row r="493" spans="1:10" s="50" customFormat="1" x14ac:dyDescent="0.25">
      <c r="A493" t="s">
        <v>120</v>
      </c>
      <c r="B493" s="48">
        <v>6</v>
      </c>
      <c r="C493" s="37">
        <f>850920+17835.87</f>
        <v>868755.87</v>
      </c>
      <c r="D493" s="50" t="s">
        <v>3223</v>
      </c>
      <c r="E493" s="50" t="s">
        <v>3220</v>
      </c>
      <c r="F493" s="50" t="s">
        <v>156</v>
      </c>
      <c r="I493" s="58"/>
    </row>
    <row r="494" spans="1:10" s="50" customFormat="1" x14ac:dyDescent="0.25">
      <c r="A494" t="s">
        <v>120</v>
      </c>
      <c r="B494" s="48">
        <v>6</v>
      </c>
      <c r="C494" s="37">
        <f>413840+9311.9-3183.32</f>
        <v>419968.58</v>
      </c>
      <c r="D494" s="50" t="s">
        <v>3222</v>
      </c>
      <c r="E494" s="50" t="s">
        <v>3050</v>
      </c>
      <c r="F494" s="50" t="s">
        <v>156</v>
      </c>
      <c r="I494" s="58"/>
    </row>
    <row r="495" spans="1:10" x14ac:dyDescent="0.25">
      <c r="A495" t="s">
        <v>1833</v>
      </c>
      <c r="B495" s="48">
        <v>7</v>
      </c>
      <c r="C495" s="130"/>
      <c r="D495" s="131" t="s">
        <v>3093</v>
      </c>
      <c r="E495" s="131"/>
      <c r="F495" s="131"/>
      <c r="G495" s="131"/>
      <c r="H495" s="131"/>
      <c r="I495" s="132">
        <v>42558</v>
      </c>
      <c r="J495" s="131"/>
    </row>
    <row r="496" spans="1:10" x14ac:dyDescent="0.25">
      <c r="A496" t="s">
        <v>186</v>
      </c>
      <c r="B496" s="48">
        <v>7</v>
      </c>
      <c r="C496" s="130"/>
      <c r="D496" s="131" t="s">
        <v>3096</v>
      </c>
      <c r="E496" s="131"/>
      <c r="F496" s="131"/>
      <c r="G496" s="131"/>
      <c r="H496" s="131"/>
      <c r="I496" s="132">
        <v>42558</v>
      </c>
      <c r="J496" s="131"/>
    </row>
    <row r="497" spans="1:10" x14ac:dyDescent="0.25">
      <c r="A497" t="s">
        <v>186</v>
      </c>
      <c r="B497" s="48">
        <v>7</v>
      </c>
      <c r="C497" s="2">
        <f>727020+15758.6+96320+2148.9</f>
        <v>841247.5</v>
      </c>
      <c r="D497" s="50" t="s">
        <v>3221</v>
      </c>
      <c r="E497" s="200" t="s">
        <v>3224</v>
      </c>
      <c r="F497" t="s">
        <v>156</v>
      </c>
    </row>
    <row r="498" spans="1:10" x14ac:dyDescent="0.25">
      <c r="A498" t="s">
        <v>186</v>
      </c>
      <c r="B498" s="48">
        <v>7</v>
      </c>
      <c r="C498" s="2">
        <f>391580+9311.9</f>
        <v>400891.9</v>
      </c>
      <c r="D498" s="50" t="s">
        <v>3226</v>
      </c>
      <c r="E498" t="s">
        <v>3225</v>
      </c>
      <c r="F498" t="s">
        <v>156</v>
      </c>
    </row>
    <row r="499" spans="1:10" x14ac:dyDescent="0.25">
      <c r="A499" t="s">
        <v>117</v>
      </c>
      <c r="B499" s="48">
        <v>8</v>
      </c>
      <c r="C499" s="130"/>
      <c r="D499" s="131" t="s">
        <v>3094</v>
      </c>
      <c r="E499" s="131"/>
      <c r="F499" s="131"/>
      <c r="G499" s="131"/>
      <c r="H499" s="131"/>
      <c r="I499" s="132">
        <v>42559</v>
      </c>
      <c r="J499" s="131"/>
    </row>
    <row r="500" spans="1:10" x14ac:dyDescent="0.25">
      <c r="A500" t="s">
        <v>117</v>
      </c>
      <c r="B500" s="48">
        <v>8</v>
      </c>
      <c r="C500" s="2">
        <f>(37665.73-800)*G500</f>
        <v>683859.29150000005</v>
      </c>
      <c r="D500" s="50" t="s">
        <v>3098</v>
      </c>
      <c r="E500" t="s">
        <v>3099</v>
      </c>
      <c r="F500" t="s">
        <v>3100</v>
      </c>
      <c r="G500" s="49">
        <v>18.55</v>
      </c>
      <c r="H500" t="s">
        <v>3148</v>
      </c>
      <c r="I500" s="75">
        <v>42555</v>
      </c>
      <c r="J500" s="118" t="s">
        <v>124</v>
      </c>
    </row>
    <row r="501" spans="1:10" x14ac:dyDescent="0.25">
      <c r="A501" s="49" t="s">
        <v>118</v>
      </c>
      <c r="B501" s="48">
        <v>9</v>
      </c>
      <c r="C501" s="2"/>
    </row>
    <row r="502" spans="1:10" x14ac:dyDescent="0.25">
      <c r="A502" s="49" t="s">
        <v>119</v>
      </c>
      <c r="B502" s="48">
        <v>10</v>
      </c>
      <c r="C502" s="2"/>
    </row>
    <row r="503" spans="1:10" x14ac:dyDescent="0.25">
      <c r="A503" t="s">
        <v>125</v>
      </c>
      <c r="B503" s="48">
        <v>11</v>
      </c>
      <c r="C503" s="130"/>
      <c r="D503" s="131" t="s">
        <v>3095</v>
      </c>
      <c r="E503" s="131"/>
      <c r="F503" s="131"/>
      <c r="G503" s="131"/>
      <c r="H503" s="131"/>
      <c r="I503" s="132">
        <v>42562</v>
      </c>
      <c r="J503" s="131"/>
    </row>
    <row r="504" spans="1:10" s="50" customFormat="1" x14ac:dyDescent="0.25">
      <c r="A504" t="s">
        <v>125</v>
      </c>
      <c r="B504" s="48">
        <v>11</v>
      </c>
      <c r="C504" s="37">
        <v>674684.64</v>
      </c>
      <c r="D504" s="50" t="s">
        <v>3207</v>
      </c>
      <c r="E504" s="50" t="s">
        <v>3208</v>
      </c>
      <c r="F504" s="50" t="s">
        <v>936</v>
      </c>
      <c r="I504" s="58"/>
    </row>
    <row r="505" spans="1:10" s="50" customFormat="1" x14ac:dyDescent="0.25">
      <c r="A505" t="s">
        <v>125</v>
      </c>
      <c r="B505" s="48">
        <v>11</v>
      </c>
      <c r="C505" s="37">
        <f>781897.5+17907.5</f>
        <v>799805</v>
      </c>
      <c r="D505" s="50" t="s">
        <v>3230</v>
      </c>
      <c r="E505" s="50" t="s">
        <v>3231</v>
      </c>
      <c r="F505" s="50" t="s">
        <v>156</v>
      </c>
      <c r="I505" s="58"/>
    </row>
    <row r="506" spans="1:10" s="50" customFormat="1" x14ac:dyDescent="0.25">
      <c r="A506" t="s">
        <v>125</v>
      </c>
      <c r="B506" s="48">
        <v>11</v>
      </c>
      <c r="C506" s="37">
        <f>440325+9311.9</f>
        <v>449636.9</v>
      </c>
      <c r="D506" s="50" t="s">
        <v>3233</v>
      </c>
      <c r="E506" s="50" t="s">
        <v>3232</v>
      </c>
      <c r="F506" s="50" t="s">
        <v>156</v>
      </c>
      <c r="I506" s="58"/>
    </row>
    <row r="507" spans="1:10" s="50" customFormat="1" x14ac:dyDescent="0.25">
      <c r="A507" t="s">
        <v>125</v>
      </c>
      <c r="B507" s="48">
        <v>11</v>
      </c>
      <c r="C507" s="35">
        <f>667327.5+15758.6</f>
        <v>683086.1</v>
      </c>
      <c r="D507" s="50" t="s">
        <v>3234</v>
      </c>
      <c r="E507" s="50" t="s">
        <v>3105</v>
      </c>
      <c r="F507" s="50" t="s">
        <v>156</v>
      </c>
      <c r="G507" s="50" t="s">
        <v>3239</v>
      </c>
      <c r="I507" s="58"/>
    </row>
    <row r="508" spans="1:10" s="50" customFormat="1" x14ac:dyDescent="0.25">
      <c r="A508" t="s">
        <v>125</v>
      </c>
      <c r="B508" s="48">
        <v>11</v>
      </c>
      <c r="C508" s="37">
        <f>677730+15758.6</f>
        <v>693488.6</v>
      </c>
      <c r="D508" s="50" t="s">
        <v>3235</v>
      </c>
      <c r="E508" s="50" t="s">
        <v>3118</v>
      </c>
      <c r="F508" s="50" t="s">
        <v>156</v>
      </c>
      <c r="I508" s="58"/>
    </row>
    <row r="509" spans="1:10" x14ac:dyDescent="0.25">
      <c r="A509" t="s">
        <v>128</v>
      </c>
      <c r="B509" s="48">
        <v>12</v>
      </c>
      <c r="C509" s="2">
        <f>642390+14326</f>
        <v>656716</v>
      </c>
      <c r="D509" s="50" t="s">
        <v>3236</v>
      </c>
      <c r="E509" s="50" t="s">
        <v>3153</v>
      </c>
      <c r="F509" s="50" t="s">
        <v>156</v>
      </c>
    </row>
    <row r="510" spans="1:10" x14ac:dyDescent="0.25">
      <c r="A510" t="s">
        <v>120</v>
      </c>
      <c r="B510" s="48">
        <v>13</v>
      </c>
      <c r="C510" s="2">
        <f>418950+9311.9</f>
        <v>428261.9</v>
      </c>
      <c r="D510" s="50" t="s">
        <v>3237</v>
      </c>
      <c r="E510" s="50" t="s">
        <v>3168</v>
      </c>
      <c r="F510" s="50" t="s">
        <v>156</v>
      </c>
    </row>
    <row r="511" spans="1:10" x14ac:dyDescent="0.25">
      <c r="A511" t="s">
        <v>120</v>
      </c>
      <c r="B511" s="48">
        <v>13</v>
      </c>
      <c r="C511" s="2">
        <f>761805+17835.87</f>
        <v>779640.87</v>
      </c>
      <c r="D511" s="50" t="s">
        <v>3238</v>
      </c>
      <c r="E511" s="50" t="s">
        <v>3167</v>
      </c>
      <c r="F511" s="50" t="s">
        <v>156</v>
      </c>
    </row>
    <row r="512" spans="1:10" x14ac:dyDescent="0.25">
      <c r="A512" t="s">
        <v>186</v>
      </c>
      <c r="B512" s="48">
        <v>14</v>
      </c>
      <c r="C51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9" workbookViewId="0">
      <selection activeCell="D40" sqref="D40"/>
    </sheetView>
  </sheetViews>
  <sheetFormatPr baseColWidth="10" defaultRowHeight="15" x14ac:dyDescent="0.25"/>
  <cols>
    <col min="3" max="3" width="12.5703125" style="2" bestFit="1" customWidth="1"/>
  </cols>
  <sheetData>
    <row r="1" spans="1:4" x14ac:dyDescent="0.25">
      <c r="A1" s="71" t="s">
        <v>270</v>
      </c>
    </row>
    <row r="3" spans="1:4" x14ac:dyDescent="0.25">
      <c r="A3" t="s">
        <v>271</v>
      </c>
      <c r="C3" s="2">
        <v>240000</v>
      </c>
      <c r="D3" t="s">
        <v>272</v>
      </c>
    </row>
    <row r="4" spans="1:4" x14ac:dyDescent="0.25">
      <c r="A4" s="72">
        <v>41334</v>
      </c>
      <c r="C4" s="2">
        <v>40000</v>
      </c>
      <c r="D4" t="s">
        <v>273</v>
      </c>
    </row>
    <row r="5" spans="1:4" x14ac:dyDescent="0.25">
      <c r="A5" s="72">
        <v>41365</v>
      </c>
      <c r="C5" s="2">
        <v>40000</v>
      </c>
      <c r="D5" t="s">
        <v>274</v>
      </c>
    </row>
    <row r="6" spans="1:4" x14ac:dyDescent="0.25">
      <c r="A6" s="72">
        <v>41395</v>
      </c>
      <c r="C6" s="2">
        <v>40000</v>
      </c>
      <c r="D6" t="s">
        <v>275</v>
      </c>
    </row>
    <row r="7" spans="1:4" x14ac:dyDescent="0.25">
      <c r="A7" s="72">
        <v>41426</v>
      </c>
      <c r="C7" s="2">
        <v>40000</v>
      </c>
      <c r="D7" t="s">
        <v>276</v>
      </c>
    </row>
    <row r="8" spans="1:4" x14ac:dyDescent="0.25">
      <c r="A8" s="72">
        <v>41456</v>
      </c>
      <c r="C8" s="2">
        <v>40000</v>
      </c>
      <c r="D8" t="s">
        <v>277</v>
      </c>
    </row>
    <row r="9" spans="1:4" x14ac:dyDescent="0.25">
      <c r="A9" s="72">
        <v>41487</v>
      </c>
      <c r="C9" s="2">
        <v>40000</v>
      </c>
      <c r="D9" t="s">
        <v>278</v>
      </c>
    </row>
    <row r="10" spans="1:4" x14ac:dyDescent="0.25">
      <c r="A10" s="72">
        <v>41518</v>
      </c>
      <c r="C10" s="2">
        <v>40000</v>
      </c>
      <c r="D10" t="s">
        <v>279</v>
      </c>
    </row>
    <row r="11" spans="1:4" x14ac:dyDescent="0.25">
      <c r="A11" s="72">
        <v>41548</v>
      </c>
      <c r="C11" s="2">
        <v>40000</v>
      </c>
      <c r="D11" t="s">
        <v>280</v>
      </c>
    </row>
    <row r="12" spans="1:4" x14ac:dyDescent="0.25">
      <c r="A12" s="72">
        <v>41579</v>
      </c>
      <c r="C12" s="2">
        <v>40000</v>
      </c>
      <c r="D12" t="s">
        <v>281</v>
      </c>
    </row>
    <row r="13" spans="1:4" x14ac:dyDescent="0.25">
      <c r="A13" s="72">
        <v>41609</v>
      </c>
      <c r="C13" s="2">
        <v>40000</v>
      </c>
      <c r="D13" t="s">
        <v>282</v>
      </c>
    </row>
    <row r="14" spans="1:4" x14ac:dyDescent="0.25">
      <c r="A14" s="72">
        <v>41640</v>
      </c>
      <c r="C14" s="2">
        <v>40000</v>
      </c>
      <c r="D14" t="s">
        <v>283</v>
      </c>
    </row>
    <row r="15" spans="1:4" x14ac:dyDescent="0.25">
      <c r="A15" s="72">
        <v>41671</v>
      </c>
      <c r="C15" s="2">
        <v>40000</v>
      </c>
      <c r="D15" t="s">
        <v>284</v>
      </c>
    </row>
    <row r="16" spans="1:4" x14ac:dyDescent="0.25">
      <c r="A16" s="72">
        <v>41699</v>
      </c>
      <c r="C16" s="2">
        <v>40000</v>
      </c>
      <c r="D16" t="s">
        <v>285</v>
      </c>
    </row>
    <row r="17" spans="1:9" x14ac:dyDescent="0.25">
      <c r="A17" s="72">
        <v>41730</v>
      </c>
      <c r="C17" s="2">
        <v>40000</v>
      </c>
      <c r="D17" t="s">
        <v>286</v>
      </c>
    </row>
    <row r="18" spans="1:9" x14ac:dyDescent="0.25">
      <c r="A18" s="72">
        <v>41760</v>
      </c>
      <c r="C18" s="2">
        <v>40000</v>
      </c>
      <c r="D18" t="s">
        <v>287</v>
      </c>
    </row>
    <row r="19" spans="1:9" x14ac:dyDescent="0.25">
      <c r="A19" s="72">
        <v>41791</v>
      </c>
      <c r="C19" s="2">
        <v>40000</v>
      </c>
      <c r="D19" t="s">
        <v>288</v>
      </c>
    </row>
    <row r="20" spans="1:9" x14ac:dyDescent="0.25">
      <c r="A20" s="72">
        <v>41821</v>
      </c>
      <c r="C20" s="2">
        <v>40000</v>
      </c>
      <c r="D20" t="s">
        <v>289</v>
      </c>
    </row>
    <row r="21" spans="1:9" x14ac:dyDescent="0.25">
      <c r="A21" s="72">
        <v>41852</v>
      </c>
      <c r="C21" s="2">
        <v>40000</v>
      </c>
      <c r="D21" t="s">
        <v>290</v>
      </c>
    </row>
    <row r="22" spans="1:9" x14ac:dyDescent="0.25">
      <c r="A22" s="72">
        <v>41883</v>
      </c>
      <c r="C22" s="2">
        <v>40000</v>
      </c>
      <c r="D22" t="s">
        <v>291</v>
      </c>
    </row>
    <row r="23" spans="1:9" x14ac:dyDescent="0.25">
      <c r="A23" s="72">
        <v>41913</v>
      </c>
      <c r="C23" s="2">
        <v>40000</v>
      </c>
      <c r="D23" t="s">
        <v>292</v>
      </c>
    </row>
    <row r="24" spans="1:9" x14ac:dyDescent="0.25">
      <c r="A24" s="72">
        <v>41944</v>
      </c>
      <c r="C24" s="2">
        <v>40000</v>
      </c>
      <c r="D24" t="s">
        <v>293</v>
      </c>
    </row>
    <row r="25" spans="1:9" x14ac:dyDescent="0.25">
      <c r="A25" s="72">
        <v>41974</v>
      </c>
      <c r="C25" s="37">
        <v>40000</v>
      </c>
      <c r="D25" t="s">
        <v>294</v>
      </c>
      <c r="I25" s="69" t="s">
        <v>295</v>
      </c>
    </row>
    <row r="26" spans="1:9" x14ac:dyDescent="0.25">
      <c r="A26" s="72">
        <v>42005</v>
      </c>
      <c r="C26" s="2">
        <v>40000</v>
      </c>
      <c r="D26" t="s">
        <v>296</v>
      </c>
    </row>
    <row r="27" spans="1:9" x14ac:dyDescent="0.25">
      <c r="A27" s="72">
        <v>42036</v>
      </c>
      <c r="C27" s="2">
        <v>40000</v>
      </c>
      <c r="D27" t="s">
        <v>297</v>
      </c>
    </row>
    <row r="28" spans="1:9" x14ac:dyDescent="0.25">
      <c r="A28" s="72">
        <v>42064</v>
      </c>
      <c r="C28" s="2">
        <v>40000</v>
      </c>
      <c r="D28" t="s">
        <v>298</v>
      </c>
    </row>
    <row r="29" spans="1:9" x14ac:dyDescent="0.25">
      <c r="A29" s="72">
        <v>42095</v>
      </c>
      <c r="C29" s="2">
        <v>40000</v>
      </c>
      <c r="D29" t="s">
        <v>299</v>
      </c>
    </row>
    <row r="30" spans="1:9" x14ac:dyDescent="0.25">
      <c r="A30" s="72">
        <v>42125</v>
      </c>
      <c r="C30" s="2">
        <v>40000</v>
      </c>
      <c r="D30" t="s">
        <v>300</v>
      </c>
    </row>
    <row r="31" spans="1:9" x14ac:dyDescent="0.25">
      <c r="A31" s="72">
        <v>42156</v>
      </c>
      <c r="C31" s="2">
        <v>40000</v>
      </c>
      <c r="D31" t="s">
        <v>301</v>
      </c>
    </row>
    <row r="32" spans="1:9" x14ac:dyDescent="0.25">
      <c r="A32" s="72">
        <v>42186</v>
      </c>
      <c r="C32" s="2">
        <v>40000</v>
      </c>
      <c r="D32" t="s">
        <v>302</v>
      </c>
    </row>
    <row r="33" spans="1:4" x14ac:dyDescent="0.25">
      <c r="A33" s="72">
        <v>42217</v>
      </c>
      <c r="C33" s="2">
        <v>40000</v>
      </c>
      <c r="D33" t="s">
        <v>303</v>
      </c>
    </row>
    <row r="34" spans="1:4" x14ac:dyDescent="0.25">
      <c r="A34" s="72">
        <v>42248</v>
      </c>
      <c r="C34" s="2">
        <v>40000</v>
      </c>
      <c r="D34" t="s">
        <v>304</v>
      </c>
    </row>
    <row r="35" spans="1:4" x14ac:dyDescent="0.25">
      <c r="A35" s="72">
        <v>42278</v>
      </c>
      <c r="C35" s="2">
        <v>40000</v>
      </c>
      <c r="D35" t="s">
        <v>305</v>
      </c>
    </row>
    <row r="36" spans="1:4" x14ac:dyDescent="0.25">
      <c r="A36" s="72">
        <v>42309</v>
      </c>
      <c r="C36" s="2">
        <v>40000</v>
      </c>
      <c r="D36" t="s">
        <v>306</v>
      </c>
    </row>
    <row r="37" spans="1:4" x14ac:dyDescent="0.25">
      <c r="A37" s="72">
        <v>42339</v>
      </c>
      <c r="C37" s="2">
        <v>40000</v>
      </c>
      <c r="D37" t="s">
        <v>307</v>
      </c>
    </row>
    <row r="38" spans="1:4" x14ac:dyDescent="0.25">
      <c r="A38" s="72">
        <v>42370</v>
      </c>
      <c r="C38" s="2">
        <v>40000</v>
      </c>
      <c r="D38" t="s">
        <v>816</v>
      </c>
    </row>
    <row r="39" spans="1:4" x14ac:dyDescent="0.25">
      <c r="A39" s="72">
        <v>42401</v>
      </c>
      <c r="C39" s="2">
        <v>40000</v>
      </c>
      <c r="D39" t="s">
        <v>1241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8"/>
  <sheetViews>
    <sheetView workbookViewId="0">
      <pane ySplit="4" topLeftCell="A530" activePane="bottomLeft" state="frozen"/>
      <selection pane="bottomLeft" activeCell="F536" sqref="F536:F537"/>
    </sheetView>
  </sheetViews>
  <sheetFormatPr baseColWidth="10" defaultRowHeight="15" x14ac:dyDescent="0.25"/>
  <cols>
    <col min="1" max="1" width="12.7109375" customWidth="1"/>
    <col min="2" max="2" width="12.5703125" style="2" bestFit="1" customWidth="1"/>
    <col min="3" max="3" width="4.42578125" style="2" customWidth="1"/>
    <col min="6" max="6" width="14.140625" style="2" bestFit="1" customWidth="1"/>
    <col min="7" max="7" width="12.140625" style="2" customWidth="1"/>
    <col min="8" max="9" width="12.5703125" style="73" customWidth="1"/>
    <col min="10" max="10" width="11.42578125" customWidth="1"/>
  </cols>
  <sheetData>
    <row r="2" spans="1:10" x14ac:dyDescent="0.25">
      <c r="A2" t="s">
        <v>308</v>
      </c>
      <c r="F2" s="2" t="s">
        <v>309</v>
      </c>
    </row>
    <row r="3" spans="1:10" x14ac:dyDescent="0.25">
      <c r="G3" s="74" t="s">
        <v>310</v>
      </c>
    </row>
    <row r="4" spans="1:10" x14ac:dyDescent="0.25">
      <c r="A4" t="s">
        <v>311</v>
      </c>
      <c r="B4" s="2" t="s">
        <v>312</v>
      </c>
      <c r="C4" s="2" t="s">
        <v>12</v>
      </c>
      <c r="D4" t="s">
        <v>313</v>
      </c>
      <c r="E4" t="s">
        <v>314</v>
      </c>
      <c r="F4" s="2" t="s">
        <v>315</v>
      </c>
      <c r="G4" s="74" t="s">
        <v>316</v>
      </c>
      <c r="H4" s="73" t="s">
        <v>317</v>
      </c>
      <c r="I4" s="73" t="s">
        <v>318</v>
      </c>
      <c r="J4" s="2"/>
    </row>
    <row r="5" spans="1:10" x14ac:dyDescent="0.25">
      <c r="A5" t="s">
        <v>319</v>
      </c>
      <c r="B5" s="2">
        <v>38500</v>
      </c>
      <c r="C5" s="2" t="s">
        <v>84</v>
      </c>
      <c r="D5" s="75">
        <v>41306</v>
      </c>
      <c r="E5">
        <v>907260</v>
      </c>
      <c r="F5" s="2">
        <v>37164.9</v>
      </c>
      <c r="G5" s="76">
        <v>41314</v>
      </c>
      <c r="H5" s="73">
        <f>B5-F5</f>
        <v>1335.0999999999985</v>
      </c>
      <c r="I5" s="73">
        <f>H5</f>
        <v>1335.0999999999985</v>
      </c>
    </row>
    <row r="6" spans="1:10" x14ac:dyDescent="0.25">
      <c r="A6" t="s">
        <v>320</v>
      </c>
      <c r="B6" s="2">
        <v>37500</v>
      </c>
      <c r="C6" s="2" t="s">
        <v>39</v>
      </c>
      <c r="D6" s="75">
        <v>41316</v>
      </c>
      <c r="E6">
        <v>909279</v>
      </c>
      <c r="F6" s="2">
        <v>36991.18</v>
      </c>
      <c r="G6" s="76">
        <v>41324</v>
      </c>
      <c r="H6" s="73">
        <f t="shared" ref="H6:H69" si="0">B6-F6</f>
        <v>508.81999999999971</v>
      </c>
      <c r="I6" s="73">
        <f>I5+H6</f>
        <v>1843.9199999999983</v>
      </c>
    </row>
    <row r="7" spans="1:10" x14ac:dyDescent="0.25">
      <c r="A7" t="s">
        <v>321</v>
      </c>
      <c r="B7" s="2">
        <v>37500</v>
      </c>
      <c r="C7" s="2" t="s">
        <v>39</v>
      </c>
      <c r="D7" s="75">
        <v>41323</v>
      </c>
      <c r="E7">
        <v>911729</v>
      </c>
      <c r="F7" s="2">
        <v>37347.22</v>
      </c>
      <c r="G7" s="76">
        <v>41328</v>
      </c>
      <c r="H7" s="73">
        <f t="shared" si="0"/>
        <v>152.77999999999884</v>
      </c>
      <c r="I7" s="73">
        <f t="shared" ref="I7:I70" si="1">I6+H7</f>
        <v>1996.6999999999971</v>
      </c>
    </row>
    <row r="8" spans="1:10" x14ac:dyDescent="0.25">
      <c r="A8" t="s">
        <v>322</v>
      </c>
      <c r="B8" s="2">
        <v>37000</v>
      </c>
      <c r="C8" s="2" t="s">
        <v>39</v>
      </c>
      <c r="D8" s="75">
        <v>41330</v>
      </c>
      <c r="E8">
        <v>913354</v>
      </c>
      <c r="F8" s="2">
        <v>33922.6</v>
      </c>
      <c r="G8" s="76">
        <v>41335</v>
      </c>
      <c r="H8" s="73">
        <f t="shared" si="0"/>
        <v>3077.4000000000015</v>
      </c>
      <c r="I8" s="73">
        <f t="shared" si="1"/>
        <v>5074.0999999999985</v>
      </c>
    </row>
    <row r="9" spans="1:10" x14ac:dyDescent="0.25">
      <c r="A9" t="s">
        <v>323</v>
      </c>
      <c r="B9" s="2">
        <v>33000</v>
      </c>
      <c r="C9" s="2" t="s">
        <v>39</v>
      </c>
      <c r="D9" s="75">
        <v>41337</v>
      </c>
      <c r="E9">
        <v>915344</v>
      </c>
      <c r="F9" s="2">
        <v>32883.620000000003</v>
      </c>
      <c r="G9" s="76">
        <v>41342</v>
      </c>
      <c r="H9" s="73">
        <f t="shared" si="0"/>
        <v>116.37999999999738</v>
      </c>
      <c r="I9" s="73">
        <f t="shared" si="1"/>
        <v>5190.4799999999959</v>
      </c>
    </row>
    <row r="10" spans="1:10" x14ac:dyDescent="0.25">
      <c r="A10" t="s">
        <v>324</v>
      </c>
      <c r="B10" s="2">
        <v>38500</v>
      </c>
      <c r="C10" s="2" t="s">
        <v>84</v>
      </c>
      <c r="D10" s="75">
        <v>41341</v>
      </c>
      <c r="E10">
        <v>917146</v>
      </c>
      <c r="F10" s="2">
        <v>42763.19</v>
      </c>
      <c r="G10" s="76">
        <v>41347</v>
      </c>
      <c r="H10" s="73">
        <f t="shared" si="0"/>
        <v>-4263.1900000000023</v>
      </c>
      <c r="I10" s="73">
        <f t="shared" si="1"/>
        <v>927.2899999999936</v>
      </c>
    </row>
    <row r="11" spans="1:10" x14ac:dyDescent="0.25">
      <c r="A11" t="s">
        <v>325</v>
      </c>
      <c r="B11" s="2">
        <v>33000</v>
      </c>
      <c r="C11" s="2" t="s">
        <v>39</v>
      </c>
      <c r="D11" s="75">
        <v>41344</v>
      </c>
      <c r="E11">
        <v>917766</v>
      </c>
      <c r="F11" s="2">
        <v>31652.07</v>
      </c>
      <c r="G11" s="76">
        <v>41349</v>
      </c>
      <c r="H11" s="73">
        <f t="shared" si="0"/>
        <v>1347.9300000000003</v>
      </c>
      <c r="I11" s="73">
        <f t="shared" si="1"/>
        <v>2275.2199999999939</v>
      </c>
    </row>
    <row r="12" spans="1:10" x14ac:dyDescent="0.25">
      <c r="A12" t="s">
        <v>326</v>
      </c>
      <c r="B12" s="2">
        <v>32500</v>
      </c>
      <c r="C12" s="2" t="s">
        <v>84</v>
      </c>
      <c r="D12" s="75">
        <v>41348</v>
      </c>
      <c r="E12">
        <v>919482</v>
      </c>
      <c r="F12" s="2">
        <v>29118.2</v>
      </c>
      <c r="G12" s="76">
        <v>41355</v>
      </c>
      <c r="H12" s="73">
        <f t="shared" si="0"/>
        <v>3381.7999999999993</v>
      </c>
      <c r="I12" s="73">
        <f t="shared" si="1"/>
        <v>5657.0199999999932</v>
      </c>
    </row>
    <row r="13" spans="1:10" x14ac:dyDescent="0.25">
      <c r="A13" t="s">
        <v>327</v>
      </c>
      <c r="B13" s="2">
        <v>25000</v>
      </c>
      <c r="C13" s="2" t="s">
        <v>50</v>
      </c>
      <c r="D13" s="75">
        <v>41360</v>
      </c>
      <c r="E13">
        <v>923131</v>
      </c>
      <c r="F13" s="2">
        <v>29193.759999999998</v>
      </c>
      <c r="G13" s="76">
        <v>41368</v>
      </c>
      <c r="H13" s="73">
        <f t="shared" si="0"/>
        <v>-4193.7599999999984</v>
      </c>
      <c r="I13" s="73">
        <f t="shared" si="1"/>
        <v>1463.2599999999948</v>
      </c>
    </row>
    <row r="14" spans="1:10" x14ac:dyDescent="0.25">
      <c r="A14" t="s">
        <v>328</v>
      </c>
      <c r="B14" s="2">
        <v>30000</v>
      </c>
      <c r="C14" s="2" t="s">
        <v>39</v>
      </c>
      <c r="D14" s="75">
        <v>41365</v>
      </c>
      <c r="E14">
        <v>923662</v>
      </c>
      <c r="F14" s="2">
        <v>29098.560000000001</v>
      </c>
      <c r="G14" s="76">
        <v>41370</v>
      </c>
      <c r="H14" s="73">
        <f t="shared" si="0"/>
        <v>901.43999999999869</v>
      </c>
      <c r="I14" s="73">
        <f t="shared" si="1"/>
        <v>2364.6999999999935</v>
      </c>
    </row>
    <row r="15" spans="1:10" x14ac:dyDescent="0.25">
      <c r="A15" t="s">
        <v>329</v>
      </c>
      <c r="B15" s="2">
        <v>30000</v>
      </c>
      <c r="C15" s="2" t="s">
        <v>65</v>
      </c>
      <c r="D15" s="75">
        <v>41368</v>
      </c>
      <c r="E15">
        <v>925082</v>
      </c>
      <c r="F15" s="2">
        <v>30995.87</v>
      </c>
      <c r="G15" s="76">
        <v>41375</v>
      </c>
      <c r="H15" s="73">
        <f t="shared" si="0"/>
        <v>-995.86999999999898</v>
      </c>
      <c r="I15" s="73">
        <f t="shared" si="1"/>
        <v>1368.8299999999945</v>
      </c>
    </row>
    <row r="16" spans="1:10" x14ac:dyDescent="0.25">
      <c r="A16" t="s">
        <v>330</v>
      </c>
      <c r="B16" s="2">
        <v>30000</v>
      </c>
      <c r="C16" s="2" t="s">
        <v>39</v>
      </c>
      <c r="D16" s="75">
        <v>41372</v>
      </c>
      <c r="E16">
        <v>925649</v>
      </c>
      <c r="F16" s="2">
        <v>31353.01</v>
      </c>
      <c r="G16" s="76">
        <v>41377</v>
      </c>
      <c r="H16" s="73">
        <f t="shared" si="0"/>
        <v>-1353.0099999999984</v>
      </c>
      <c r="I16" s="73">
        <f t="shared" si="1"/>
        <v>15.819999999996071</v>
      </c>
    </row>
    <row r="17" spans="1:9" x14ac:dyDescent="0.25">
      <c r="A17" t="s">
        <v>331</v>
      </c>
      <c r="B17" s="2">
        <v>32000</v>
      </c>
      <c r="C17" s="2" t="s">
        <v>65</v>
      </c>
      <c r="D17" s="75">
        <v>41375</v>
      </c>
      <c r="E17">
        <v>927398</v>
      </c>
      <c r="F17" s="2">
        <v>32398.58</v>
      </c>
      <c r="G17" s="76">
        <v>41382</v>
      </c>
      <c r="H17" s="73">
        <f t="shared" si="0"/>
        <v>-398.58000000000175</v>
      </c>
      <c r="I17" s="73">
        <f t="shared" si="1"/>
        <v>-382.76000000000568</v>
      </c>
    </row>
    <row r="18" spans="1:9" x14ac:dyDescent="0.25">
      <c r="A18" t="s">
        <v>332</v>
      </c>
      <c r="B18" s="2">
        <v>33000</v>
      </c>
      <c r="C18" s="2" t="s">
        <v>39</v>
      </c>
      <c r="D18" s="75">
        <v>41379</v>
      </c>
      <c r="E18">
        <v>927643</v>
      </c>
      <c r="F18" s="2">
        <v>33326.379999999997</v>
      </c>
      <c r="G18" s="76">
        <v>41383</v>
      </c>
      <c r="H18" s="73">
        <f t="shared" si="0"/>
        <v>-326.37999999999738</v>
      </c>
      <c r="I18" s="73">
        <f t="shared" si="1"/>
        <v>-709.14000000000306</v>
      </c>
    </row>
    <row r="19" spans="1:9" x14ac:dyDescent="0.25">
      <c r="A19" t="s">
        <v>333</v>
      </c>
      <c r="B19" s="2">
        <v>35000</v>
      </c>
      <c r="C19" s="2" t="s">
        <v>65</v>
      </c>
      <c r="D19" s="75">
        <v>41382</v>
      </c>
      <c r="E19">
        <v>929106</v>
      </c>
      <c r="F19" s="2">
        <v>34822.92</v>
      </c>
      <c r="G19" s="76">
        <v>41389</v>
      </c>
      <c r="H19" s="73">
        <f t="shared" si="0"/>
        <v>177.08000000000175</v>
      </c>
      <c r="I19" s="73">
        <f t="shared" si="1"/>
        <v>-532.06000000000131</v>
      </c>
    </row>
    <row r="20" spans="1:9" x14ac:dyDescent="0.25">
      <c r="A20" t="s">
        <v>334</v>
      </c>
      <c r="B20" s="2">
        <v>37000</v>
      </c>
      <c r="C20" s="2" t="s">
        <v>39</v>
      </c>
      <c r="D20" s="75">
        <v>41386</v>
      </c>
      <c r="E20">
        <v>929692</v>
      </c>
      <c r="F20" s="2">
        <v>35460.04</v>
      </c>
      <c r="G20" s="76">
        <v>41390</v>
      </c>
      <c r="H20" s="73">
        <f t="shared" si="0"/>
        <v>1539.9599999999991</v>
      </c>
      <c r="I20" s="73">
        <f t="shared" si="1"/>
        <v>1007.8999999999978</v>
      </c>
    </row>
    <row r="21" spans="1:9" x14ac:dyDescent="0.25">
      <c r="A21" t="s">
        <v>335</v>
      </c>
      <c r="B21" s="2">
        <v>37000</v>
      </c>
      <c r="C21" s="2" t="s">
        <v>65</v>
      </c>
      <c r="D21" s="75">
        <v>41389</v>
      </c>
      <c r="E21">
        <v>931521</v>
      </c>
      <c r="F21" s="2">
        <v>37601.629999999997</v>
      </c>
      <c r="G21" s="76">
        <v>41396</v>
      </c>
      <c r="H21" s="73">
        <f t="shared" si="0"/>
        <v>-601.62999999999738</v>
      </c>
      <c r="I21" s="73">
        <f t="shared" si="1"/>
        <v>406.27000000000044</v>
      </c>
    </row>
    <row r="22" spans="1:9" x14ac:dyDescent="0.25">
      <c r="A22" t="s">
        <v>336</v>
      </c>
      <c r="B22" s="2">
        <v>37000</v>
      </c>
      <c r="C22" s="2" t="s">
        <v>39</v>
      </c>
      <c r="D22" s="75">
        <v>41393</v>
      </c>
      <c r="E22">
        <v>931670</v>
      </c>
      <c r="F22" s="2">
        <v>37750.839999999997</v>
      </c>
      <c r="G22" s="76">
        <v>41397</v>
      </c>
      <c r="H22" s="73">
        <f t="shared" si="0"/>
        <v>-750.83999999999651</v>
      </c>
      <c r="I22" s="73">
        <f t="shared" si="1"/>
        <v>-344.56999999999607</v>
      </c>
    </row>
    <row r="23" spans="1:9" x14ac:dyDescent="0.25">
      <c r="A23" t="s">
        <v>337</v>
      </c>
      <c r="B23" s="2">
        <v>38000</v>
      </c>
      <c r="C23" s="2" t="s">
        <v>65</v>
      </c>
      <c r="D23" s="75">
        <v>41396</v>
      </c>
      <c r="E23">
        <v>933128</v>
      </c>
      <c r="F23" s="2">
        <v>35291.230000000003</v>
      </c>
      <c r="G23" s="76">
        <v>41402</v>
      </c>
      <c r="H23" s="73">
        <f t="shared" si="0"/>
        <v>2708.7699999999968</v>
      </c>
      <c r="I23" s="73">
        <f t="shared" si="1"/>
        <v>2364.2000000000007</v>
      </c>
    </row>
    <row r="24" spans="1:9" x14ac:dyDescent="0.25">
      <c r="A24" t="s">
        <v>338</v>
      </c>
      <c r="B24" s="2">
        <v>38000</v>
      </c>
      <c r="C24" s="2" t="s">
        <v>39</v>
      </c>
      <c r="D24" s="75">
        <v>41400</v>
      </c>
      <c r="E24">
        <v>933640</v>
      </c>
      <c r="F24" s="2">
        <v>36805.4</v>
      </c>
      <c r="G24" s="76">
        <v>41404</v>
      </c>
      <c r="H24" s="73">
        <f t="shared" si="0"/>
        <v>1194.5999999999985</v>
      </c>
      <c r="I24" s="73">
        <f t="shared" si="1"/>
        <v>3558.7999999999993</v>
      </c>
    </row>
    <row r="25" spans="1:9" x14ac:dyDescent="0.25">
      <c r="A25" t="s">
        <v>339</v>
      </c>
      <c r="B25" s="2">
        <v>37000</v>
      </c>
      <c r="C25" s="2" t="s">
        <v>65</v>
      </c>
      <c r="D25" s="75">
        <v>41403</v>
      </c>
      <c r="E25">
        <v>935131</v>
      </c>
      <c r="F25" s="2">
        <v>34218.639999999999</v>
      </c>
      <c r="G25" s="76">
        <v>41409</v>
      </c>
      <c r="H25" s="73">
        <f t="shared" si="0"/>
        <v>2781.3600000000006</v>
      </c>
      <c r="I25" s="73">
        <f t="shared" si="1"/>
        <v>6340.16</v>
      </c>
    </row>
    <row r="26" spans="1:9" x14ac:dyDescent="0.25">
      <c r="A26" t="s">
        <v>340</v>
      </c>
      <c r="B26" s="2">
        <v>37000</v>
      </c>
      <c r="C26" s="2" t="s">
        <v>39</v>
      </c>
      <c r="D26" s="75">
        <v>41407</v>
      </c>
      <c r="E26">
        <v>935758</v>
      </c>
      <c r="F26" s="2">
        <v>34182.9</v>
      </c>
      <c r="G26" s="76">
        <v>41411</v>
      </c>
      <c r="H26" s="73">
        <f t="shared" si="0"/>
        <v>2817.0999999999985</v>
      </c>
      <c r="I26" s="73">
        <f t="shared" si="1"/>
        <v>9157.2599999999984</v>
      </c>
    </row>
    <row r="27" spans="1:9" x14ac:dyDescent="0.25">
      <c r="A27" t="s">
        <v>341</v>
      </c>
      <c r="B27" s="2">
        <v>34000</v>
      </c>
      <c r="C27" s="2" t="s">
        <v>65</v>
      </c>
      <c r="D27" s="75">
        <v>41410</v>
      </c>
      <c r="E27">
        <v>937024</v>
      </c>
      <c r="F27" s="2">
        <v>34274.339999999997</v>
      </c>
      <c r="G27" s="76">
        <v>41416</v>
      </c>
      <c r="H27" s="73">
        <f t="shared" si="0"/>
        <v>-274.33999999999651</v>
      </c>
      <c r="I27" s="73">
        <f t="shared" si="1"/>
        <v>8882.9200000000019</v>
      </c>
    </row>
    <row r="28" spans="1:9" x14ac:dyDescent="0.25">
      <c r="A28" t="s">
        <v>342</v>
      </c>
      <c r="B28" s="2">
        <v>30000</v>
      </c>
      <c r="C28" s="2" t="s">
        <v>39</v>
      </c>
      <c r="D28" s="75">
        <v>41414</v>
      </c>
      <c r="E28">
        <v>937774</v>
      </c>
      <c r="F28" s="2">
        <v>33129.31</v>
      </c>
      <c r="G28" s="76">
        <v>41418</v>
      </c>
      <c r="H28" s="73">
        <f t="shared" si="0"/>
        <v>-3129.3099999999977</v>
      </c>
      <c r="I28" s="73">
        <f t="shared" si="1"/>
        <v>5753.6100000000042</v>
      </c>
    </row>
    <row r="29" spans="1:9" x14ac:dyDescent="0.25">
      <c r="A29" t="s">
        <v>343</v>
      </c>
      <c r="B29" s="2">
        <v>30000</v>
      </c>
      <c r="C29" s="2" t="s">
        <v>65</v>
      </c>
      <c r="D29" s="75">
        <v>41417</v>
      </c>
      <c r="E29">
        <v>939185</v>
      </c>
      <c r="F29" s="2">
        <v>32937.14</v>
      </c>
      <c r="G29" s="76">
        <v>41424</v>
      </c>
      <c r="H29" s="73">
        <f t="shared" si="0"/>
        <v>-2937.1399999999994</v>
      </c>
      <c r="I29" s="73">
        <f t="shared" si="1"/>
        <v>2816.4700000000048</v>
      </c>
    </row>
    <row r="30" spans="1:9" x14ac:dyDescent="0.25">
      <c r="A30" t="s">
        <v>344</v>
      </c>
      <c r="B30" s="2">
        <v>32000</v>
      </c>
      <c r="C30" s="2" t="s">
        <v>39</v>
      </c>
      <c r="D30" s="75">
        <v>41421</v>
      </c>
      <c r="E30">
        <v>939474</v>
      </c>
      <c r="F30" s="2">
        <v>32528.81</v>
      </c>
      <c r="G30" s="76">
        <v>41425</v>
      </c>
      <c r="H30" s="73">
        <f t="shared" si="0"/>
        <v>-528.81000000000131</v>
      </c>
      <c r="I30" s="73">
        <f t="shared" si="1"/>
        <v>2287.6600000000035</v>
      </c>
    </row>
    <row r="31" spans="1:9" x14ac:dyDescent="0.25">
      <c r="A31" t="s">
        <v>345</v>
      </c>
      <c r="B31" s="2">
        <v>31000</v>
      </c>
      <c r="C31" s="2" t="s">
        <v>65</v>
      </c>
      <c r="D31" s="75">
        <v>41424</v>
      </c>
      <c r="E31">
        <v>941043</v>
      </c>
      <c r="F31" s="2">
        <v>32447.85</v>
      </c>
      <c r="G31" s="76">
        <v>41430</v>
      </c>
      <c r="H31" s="73">
        <f t="shared" si="0"/>
        <v>-1447.8499999999985</v>
      </c>
      <c r="I31" s="73">
        <f t="shared" si="1"/>
        <v>839.81000000000495</v>
      </c>
    </row>
    <row r="32" spans="1:9" x14ac:dyDescent="0.25">
      <c r="A32" t="s">
        <v>346</v>
      </c>
      <c r="B32" s="2">
        <v>31000</v>
      </c>
      <c r="C32" s="2" t="s">
        <v>39</v>
      </c>
      <c r="D32" s="75">
        <v>41428</v>
      </c>
      <c r="E32">
        <v>941627</v>
      </c>
      <c r="F32" s="2">
        <v>32129.13</v>
      </c>
      <c r="G32" s="76">
        <v>41435</v>
      </c>
      <c r="H32" s="73">
        <f t="shared" si="0"/>
        <v>-1129.130000000001</v>
      </c>
      <c r="I32" s="73">
        <f t="shared" si="1"/>
        <v>-289.31999999999607</v>
      </c>
    </row>
    <row r="33" spans="1:9" x14ac:dyDescent="0.25">
      <c r="A33" t="s">
        <v>347</v>
      </c>
      <c r="B33" s="2">
        <v>33000</v>
      </c>
      <c r="C33" s="2" t="s">
        <v>65</v>
      </c>
      <c r="D33" s="75">
        <v>41431</v>
      </c>
      <c r="E33">
        <v>942526</v>
      </c>
      <c r="F33" s="2">
        <v>33608.19</v>
      </c>
      <c r="G33" s="76">
        <v>41437</v>
      </c>
      <c r="H33" s="73">
        <f t="shared" si="0"/>
        <v>-608.19000000000233</v>
      </c>
      <c r="I33" s="73">
        <f t="shared" si="1"/>
        <v>-897.5099999999984</v>
      </c>
    </row>
    <row r="34" spans="1:9" x14ac:dyDescent="0.25">
      <c r="A34" t="s">
        <v>348</v>
      </c>
      <c r="B34" s="77" t="s">
        <v>349</v>
      </c>
      <c r="C34" s="2" t="s">
        <v>65</v>
      </c>
      <c r="D34" s="75">
        <v>41438</v>
      </c>
      <c r="I34" s="73">
        <f t="shared" si="1"/>
        <v>-897.5099999999984</v>
      </c>
    </row>
    <row r="35" spans="1:9" x14ac:dyDescent="0.25">
      <c r="A35" t="s">
        <v>350</v>
      </c>
      <c r="B35" s="2">
        <v>38000</v>
      </c>
      <c r="C35" s="2" t="s">
        <v>39</v>
      </c>
      <c r="D35" s="75">
        <v>41442</v>
      </c>
      <c r="E35">
        <v>945449</v>
      </c>
      <c r="F35" s="2">
        <v>36748.46</v>
      </c>
      <c r="G35" s="76">
        <v>41446</v>
      </c>
      <c r="H35" s="73">
        <f t="shared" si="0"/>
        <v>1251.5400000000009</v>
      </c>
      <c r="I35" s="73">
        <f>I33+H35</f>
        <v>354.03000000000247</v>
      </c>
    </row>
    <row r="36" spans="1:9" x14ac:dyDescent="0.25">
      <c r="A36" t="s">
        <v>351</v>
      </c>
      <c r="B36" s="2">
        <v>38000</v>
      </c>
      <c r="C36" s="2" t="s">
        <v>39</v>
      </c>
      <c r="D36" s="75">
        <v>41442</v>
      </c>
      <c r="E36">
        <v>645450</v>
      </c>
      <c r="F36" s="2">
        <v>36923.97</v>
      </c>
      <c r="G36" s="76">
        <v>41446</v>
      </c>
      <c r="H36" s="73">
        <f t="shared" si="0"/>
        <v>1076.0299999999988</v>
      </c>
      <c r="I36" s="73">
        <f t="shared" si="1"/>
        <v>1430.0600000000013</v>
      </c>
    </row>
    <row r="37" spans="1:9" x14ac:dyDescent="0.25">
      <c r="A37" t="s">
        <v>352</v>
      </c>
      <c r="B37" s="2">
        <v>40000</v>
      </c>
      <c r="C37" s="2" t="s">
        <v>65</v>
      </c>
      <c r="D37" s="75">
        <v>41445</v>
      </c>
      <c r="E37">
        <v>946610</v>
      </c>
      <c r="F37" s="2">
        <v>38906.9</v>
      </c>
      <c r="G37" s="76">
        <v>41451</v>
      </c>
      <c r="H37" s="73">
        <f t="shared" si="0"/>
        <v>1093.0999999999985</v>
      </c>
      <c r="I37" s="73">
        <f t="shared" si="1"/>
        <v>2523.16</v>
      </c>
    </row>
    <row r="38" spans="1:9" x14ac:dyDescent="0.25">
      <c r="A38" t="s">
        <v>353</v>
      </c>
      <c r="B38" s="2">
        <v>41000</v>
      </c>
      <c r="C38" s="2" t="s">
        <v>39</v>
      </c>
      <c r="D38" s="75">
        <v>41449</v>
      </c>
      <c r="E38">
        <v>947388</v>
      </c>
      <c r="F38" s="2">
        <v>38722.550000000003</v>
      </c>
      <c r="G38" s="76">
        <v>41456</v>
      </c>
      <c r="H38" s="73">
        <f t="shared" si="0"/>
        <v>2277.4499999999971</v>
      </c>
      <c r="I38" s="73">
        <f t="shared" si="1"/>
        <v>4800.6099999999969</v>
      </c>
    </row>
    <row r="39" spans="1:9" x14ac:dyDescent="0.25">
      <c r="A39" t="s">
        <v>354</v>
      </c>
      <c r="B39" s="2">
        <v>40000</v>
      </c>
      <c r="C39" s="2" t="s">
        <v>65</v>
      </c>
      <c r="D39" s="75">
        <v>41452</v>
      </c>
      <c r="E39">
        <v>948487</v>
      </c>
      <c r="F39" s="2">
        <v>42212.91</v>
      </c>
      <c r="G39" s="76">
        <v>41458</v>
      </c>
      <c r="H39" s="73">
        <f t="shared" si="0"/>
        <v>-2212.9100000000035</v>
      </c>
      <c r="I39" s="73">
        <f t="shared" si="1"/>
        <v>2587.6999999999935</v>
      </c>
    </row>
    <row r="40" spans="1:9" x14ac:dyDescent="0.25">
      <c r="A40" t="s">
        <v>355</v>
      </c>
      <c r="B40" s="2">
        <v>42000</v>
      </c>
      <c r="C40" s="2" t="s">
        <v>65</v>
      </c>
      <c r="D40" s="75">
        <v>41459</v>
      </c>
      <c r="E40">
        <v>950077</v>
      </c>
      <c r="F40" s="2">
        <v>44798.47</v>
      </c>
      <c r="G40" s="76">
        <v>41465</v>
      </c>
      <c r="H40" s="73">
        <f t="shared" si="0"/>
        <v>-2798.4700000000012</v>
      </c>
      <c r="I40" s="73">
        <f t="shared" si="1"/>
        <v>-210.77000000000771</v>
      </c>
    </row>
    <row r="41" spans="1:9" x14ac:dyDescent="0.25">
      <c r="A41" t="s">
        <v>356</v>
      </c>
      <c r="B41" s="2">
        <v>47000</v>
      </c>
      <c r="C41" s="2" t="s">
        <v>65</v>
      </c>
      <c r="D41" s="75">
        <v>41466</v>
      </c>
      <c r="E41">
        <v>951716</v>
      </c>
      <c r="F41" s="2">
        <v>45004.12</v>
      </c>
      <c r="G41" s="76">
        <v>41471</v>
      </c>
      <c r="H41" s="73">
        <f t="shared" si="0"/>
        <v>1995.8799999999974</v>
      </c>
      <c r="I41" s="73">
        <f t="shared" si="1"/>
        <v>1785.1099999999897</v>
      </c>
    </row>
    <row r="42" spans="1:9" x14ac:dyDescent="0.25">
      <c r="A42" t="s">
        <v>357</v>
      </c>
      <c r="B42" s="2">
        <v>45000</v>
      </c>
      <c r="C42" s="2" t="s">
        <v>65</v>
      </c>
      <c r="D42" s="75">
        <v>41473</v>
      </c>
      <c r="E42">
        <v>953949</v>
      </c>
      <c r="F42" s="2">
        <v>42044.81</v>
      </c>
      <c r="G42" s="76">
        <v>41479</v>
      </c>
      <c r="H42" s="73">
        <f t="shared" si="0"/>
        <v>2955.1900000000023</v>
      </c>
      <c r="I42" s="73">
        <f t="shared" si="1"/>
        <v>4740.299999999992</v>
      </c>
    </row>
    <row r="43" spans="1:9" x14ac:dyDescent="0.25">
      <c r="A43" t="s">
        <v>358</v>
      </c>
      <c r="B43" s="2">
        <v>42000</v>
      </c>
      <c r="C43" s="2" t="s">
        <v>50</v>
      </c>
      <c r="D43" s="75">
        <v>41479</v>
      </c>
      <c r="E43">
        <v>955794</v>
      </c>
      <c r="F43" s="37">
        <v>40304.32</v>
      </c>
      <c r="G43" s="76">
        <v>41486</v>
      </c>
      <c r="H43" s="73">
        <f t="shared" si="0"/>
        <v>1695.6800000000003</v>
      </c>
      <c r="I43" s="73">
        <f t="shared" si="1"/>
        <v>6435.9799999999923</v>
      </c>
    </row>
    <row r="44" spans="1:9" x14ac:dyDescent="0.25">
      <c r="A44" t="s">
        <v>359</v>
      </c>
      <c r="B44" s="2">
        <v>40000</v>
      </c>
      <c r="C44" s="2" t="s">
        <v>65</v>
      </c>
      <c r="D44" s="75">
        <v>41486</v>
      </c>
      <c r="E44">
        <v>957583</v>
      </c>
      <c r="F44" s="2">
        <v>39790.94</v>
      </c>
      <c r="G44" s="76">
        <v>41493</v>
      </c>
      <c r="H44" s="73">
        <f t="shared" si="0"/>
        <v>209.05999999999767</v>
      </c>
      <c r="I44" s="73">
        <f t="shared" si="1"/>
        <v>6645.03999999999</v>
      </c>
    </row>
    <row r="45" spans="1:9" x14ac:dyDescent="0.25">
      <c r="A45" t="s">
        <v>360</v>
      </c>
      <c r="B45" s="2">
        <v>38000</v>
      </c>
      <c r="C45" s="2" t="s">
        <v>361</v>
      </c>
      <c r="D45" s="75">
        <v>41491</v>
      </c>
      <c r="E45">
        <v>957974</v>
      </c>
      <c r="F45" s="2">
        <v>40564.519999999997</v>
      </c>
      <c r="G45" s="76">
        <v>41495</v>
      </c>
      <c r="H45" s="73">
        <f t="shared" si="0"/>
        <v>-2564.5199999999968</v>
      </c>
      <c r="I45" s="73">
        <f t="shared" si="1"/>
        <v>4080.5199999999932</v>
      </c>
    </row>
    <row r="46" spans="1:9" x14ac:dyDescent="0.25">
      <c r="A46" t="s">
        <v>362</v>
      </c>
      <c r="B46" s="2">
        <v>39000</v>
      </c>
      <c r="C46" s="2" t="s">
        <v>65</v>
      </c>
      <c r="D46" s="75">
        <v>41494</v>
      </c>
      <c r="E46">
        <v>959267</v>
      </c>
      <c r="F46" s="2">
        <v>41882.879999999997</v>
      </c>
      <c r="G46" s="76">
        <v>41500</v>
      </c>
      <c r="H46" s="73">
        <f t="shared" si="0"/>
        <v>-2882.8799999999974</v>
      </c>
      <c r="I46" s="73">
        <f t="shared" si="1"/>
        <v>1197.6399999999958</v>
      </c>
    </row>
    <row r="47" spans="1:9" x14ac:dyDescent="0.25">
      <c r="A47" t="s">
        <v>363</v>
      </c>
      <c r="B47" s="2">
        <v>40000</v>
      </c>
      <c r="C47" s="2" t="s">
        <v>39</v>
      </c>
      <c r="D47" s="75">
        <v>41498</v>
      </c>
      <c r="E47">
        <v>959778</v>
      </c>
      <c r="F47" s="2">
        <v>42348.34</v>
      </c>
      <c r="G47" s="76">
        <v>41502</v>
      </c>
      <c r="H47" s="73">
        <f t="shared" si="0"/>
        <v>-2348.3399999999965</v>
      </c>
      <c r="I47" s="73">
        <f t="shared" si="1"/>
        <v>-1150.7000000000007</v>
      </c>
    </row>
    <row r="48" spans="1:9" x14ac:dyDescent="0.25">
      <c r="A48" t="s">
        <v>364</v>
      </c>
      <c r="B48" s="2">
        <v>43000</v>
      </c>
      <c r="C48" s="2" t="s">
        <v>65</v>
      </c>
      <c r="D48" s="75">
        <v>41501</v>
      </c>
      <c r="E48">
        <v>961208</v>
      </c>
      <c r="F48" s="2">
        <v>41652.339999999997</v>
      </c>
      <c r="G48" s="76">
        <v>41507</v>
      </c>
      <c r="H48" s="73">
        <f t="shared" si="0"/>
        <v>1347.6600000000035</v>
      </c>
      <c r="I48" s="73">
        <f t="shared" si="1"/>
        <v>196.96000000000276</v>
      </c>
    </row>
    <row r="49" spans="1:10" x14ac:dyDescent="0.25">
      <c r="A49" t="s">
        <v>365</v>
      </c>
      <c r="B49" s="2">
        <v>45000</v>
      </c>
      <c r="C49" s="2" t="s">
        <v>39</v>
      </c>
      <c r="D49" s="75">
        <v>41505</v>
      </c>
      <c r="E49">
        <v>961832</v>
      </c>
      <c r="F49" s="2">
        <v>41571.33</v>
      </c>
      <c r="G49" s="76">
        <v>41509</v>
      </c>
      <c r="H49" s="73">
        <f t="shared" si="0"/>
        <v>3428.6699999999983</v>
      </c>
      <c r="I49" s="73">
        <f t="shared" si="1"/>
        <v>3625.630000000001</v>
      </c>
    </row>
    <row r="50" spans="1:10" x14ac:dyDescent="0.25">
      <c r="A50" t="s">
        <v>366</v>
      </c>
      <c r="B50" s="2">
        <v>44000</v>
      </c>
      <c r="C50" s="2" t="s">
        <v>65</v>
      </c>
      <c r="D50" s="75">
        <v>41508</v>
      </c>
      <c r="E50">
        <v>963251</v>
      </c>
      <c r="F50" s="2">
        <v>44056.61</v>
      </c>
      <c r="G50" s="76">
        <v>41514</v>
      </c>
      <c r="H50" s="73">
        <f t="shared" si="0"/>
        <v>-56.610000000000582</v>
      </c>
      <c r="I50" s="73">
        <f t="shared" si="1"/>
        <v>3569.0200000000004</v>
      </c>
    </row>
    <row r="51" spans="1:10" x14ac:dyDescent="0.25">
      <c r="A51" t="s">
        <v>367</v>
      </c>
      <c r="B51" s="2">
        <v>43000</v>
      </c>
      <c r="C51" s="2" t="s">
        <v>39</v>
      </c>
      <c r="D51" s="75">
        <v>41512</v>
      </c>
      <c r="E51">
        <v>964179</v>
      </c>
      <c r="F51" s="2">
        <v>44179.040000000001</v>
      </c>
      <c r="G51" s="76">
        <v>41454</v>
      </c>
      <c r="H51" s="73">
        <f t="shared" si="0"/>
        <v>-1179.0400000000009</v>
      </c>
      <c r="I51" s="73">
        <f t="shared" si="1"/>
        <v>2389.9799999999996</v>
      </c>
    </row>
    <row r="52" spans="1:10" x14ac:dyDescent="0.25">
      <c r="A52" t="s">
        <v>368</v>
      </c>
      <c r="B52" s="2">
        <v>45000</v>
      </c>
      <c r="C52" s="2" t="s">
        <v>65</v>
      </c>
      <c r="D52" s="75">
        <v>41515</v>
      </c>
      <c r="E52">
        <v>965689</v>
      </c>
      <c r="F52" s="2">
        <v>41355.129999999997</v>
      </c>
      <c r="G52" s="76">
        <v>41523</v>
      </c>
      <c r="H52" s="73">
        <f t="shared" si="0"/>
        <v>3644.8700000000026</v>
      </c>
      <c r="I52" s="73">
        <f t="shared" si="1"/>
        <v>6034.8500000000022</v>
      </c>
    </row>
    <row r="53" spans="1:10" x14ac:dyDescent="0.25">
      <c r="A53" t="s">
        <v>369</v>
      </c>
      <c r="B53" s="2">
        <v>45000</v>
      </c>
      <c r="C53" s="2" t="s">
        <v>361</v>
      </c>
      <c r="D53" s="75">
        <v>41519</v>
      </c>
      <c r="E53">
        <v>965688</v>
      </c>
      <c r="F53" s="2">
        <v>42454.73</v>
      </c>
      <c r="G53" s="76">
        <v>41524</v>
      </c>
      <c r="H53" s="73">
        <f t="shared" si="0"/>
        <v>2545.2699999999968</v>
      </c>
      <c r="I53" s="73">
        <f t="shared" si="1"/>
        <v>8580.119999999999</v>
      </c>
    </row>
    <row r="54" spans="1:10" x14ac:dyDescent="0.25">
      <c r="A54" t="s">
        <v>370</v>
      </c>
      <c r="B54" s="2">
        <v>43000</v>
      </c>
      <c r="C54" s="2" t="s">
        <v>65</v>
      </c>
      <c r="D54" s="75">
        <v>41522</v>
      </c>
      <c r="E54">
        <v>967319</v>
      </c>
      <c r="F54" s="2">
        <v>41846.870000000003</v>
      </c>
      <c r="G54" s="76">
        <v>41528</v>
      </c>
      <c r="H54" s="73">
        <f t="shared" si="0"/>
        <v>1153.1299999999974</v>
      </c>
      <c r="I54" s="73">
        <f t="shared" si="1"/>
        <v>9733.2499999999964</v>
      </c>
    </row>
    <row r="55" spans="1:10" x14ac:dyDescent="0.25">
      <c r="A55" t="s">
        <v>371</v>
      </c>
      <c r="B55" s="2">
        <v>38000</v>
      </c>
      <c r="C55" s="2" t="s">
        <v>39</v>
      </c>
      <c r="D55" s="75">
        <v>41617</v>
      </c>
      <c r="E55">
        <v>967601</v>
      </c>
      <c r="F55" s="2">
        <v>41981.87</v>
      </c>
      <c r="G55" s="76">
        <v>41530</v>
      </c>
      <c r="H55" s="73">
        <f t="shared" si="0"/>
        <v>-3981.8700000000026</v>
      </c>
      <c r="I55" s="73">
        <f t="shared" si="1"/>
        <v>5751.3799999999937</v>
      </c>
    </row>
    <row r="56" spans="1:10" x14ac:dyDescent="0.25">
      <c r="A56" t="s">
        <v>372</v>
      </c>
      <c r="B56" s="2">
        <v>39000</v>
      </c>
      <c r="C56" s="2" t="s">
        <v>65</v>
      </c>
      <c r="D56" s="75">
        <v>41529</v>
      </c>
      <c r="E56">
        <v>969091</v>
      </c>
      <c r="F56" s="2">
        <v>40694.519999999997</v>
      </c>
      <c r="G56" s="76">
        <v>41535</v>
      </c>
      <c r="H56" s="73">
        <f t="shared" si="0"/>
        <v>-1694.5199999999968</v>
      </c>
      <c r="I56" s="73">
        <f t="shared" si="1"/>
        <v>4056.8599999999969</v>
      </c>
    </row>
    <row r="57" spans="1:10" x14ac:dyDescent="0.25">
      <c r="A57" t="s">
        <v>373</v>
      </c>
      <c r="B57" s="2">
        <v>39000</v>
      </c>
      <c r="C57" s="2" t="s">
        <v>84</v>
      </c>
      <c r="D57" s="75">
        <v>41530</v>
      </c>
      <c r="E57">
        <v>969751</v>
      </c>
      <c r="F57" s="2">
        <v>40584</v>
      </c>
      <c r="G57" s="76">
        <v>41537</v>
      </c>
      <c r="H57" s="73">
        <f t="shared" si="0"/>
        <v>-1584</v>
      </c>
      <c r="I57" s="73">
        <f t="shared" si="1"/>
        <v>2472.8599999999969</v>
      </c>
    </row>
    <row r="58" spans="1:10" x14ac:dyDescent="0.25">
      <c r="A58" t="s">
        <v>374</v>
      </c>
      <c r="B58" s="37">
        <v>42000</v>
      </c>
      <c r="C58" s="2" t="s">
        <v>375</v>
      </c>
      <c r="D58" s="75">
        <v>41536</v>
      </c>
      <c r="E58">
        <v>971195</v>
      </c>
      <c r="F58" s="2">
        <v>41523.29</v>
      </c>
      <c r="G58" s="76">
        <v>41542</v>
      </c>
      <c r="H58" s="73">
        <f t="shared" si="0"/>
        <v>476.70999999999913</v>
      </c>
      <c r="I58" s="73">
        <f t="shared" si="1"/>
        <v>2949.5699999999961</v>
      </c>
    </row>
    <row r="59" spans="1:10" x14ac:dyDescent="0.25">
      <c r="A59" t="s">
        <v>376</v>
      </c>
      <c r="B59" s="2">
        <v>40000</v>
      </c>
      <c r="C59" s="2" t="s">
        <v>84</v>
      </c>
      <c r="D59" s="75">
        <v>41530</v>
      </c>
      <c r="E59">
        <v>972584</v>
      </c>
      <c r="F59" s="2">
        <v>41899.449999999997</v>
      </c>
      <c r="G59" s="76">
        <v>41547</v>
      </c>
      <c r="H59" s="73">
        <f t="shared" si="0"/>
        <v>-1899.4499999999971</v>
      </c>
      <c r="I59" s="73">
        <f t="shared" si="1"/>
        <v>1050.119999999999</v>
      </c>
      <c r="J59" t="s">
        <v>377</v>
      </c>
    </row>
    <row r="60" spans="1:10" x14ac:dyDescent="0.25">
      <c r="A60" t="s">
        <v>378</v>
      </c>
      <c r="B60" s="2">
        <v>42000</v>
      </c>
      <c r="C60" s="2" t="s">
        <v>39</v>
      </c>
      <c r="D60" s="75">
        <v>41540</v>
      </c>
      <c r="E60">
        <v>971568</v>
      </c>
      <c r="F60" s="2">
        <v>42307.040000000001</v>
      </c>
      <c r="G60" s="76">
        <v>41544</v>
      </c>
      <c r="H60" s="73">
        <f t="shared" si="0"/>
        <v>-307.04000000000087</v>
      </c>
      <c r="I60" s="73">
        <f t="shared" si="1"/>
        <v>743.07999999999811</v>
      </c>
    </row>
    <row r="61" spans="1:10" x14ac:dyDescent="0.25">
      <c r="A61" t="s">
        <v>379</v>
      </c>
      <c r="B61" s="2">
        <v>42000</v>
      </c>
      <c r="C61" s="2" t="s">
        <v>65</v>
      </c>
      <c r="D61" s="75">
        <v>41543</v>
      </c>
      <c r="E61">
        <v>972904</v>
      </c>
      <c r="F61" s="2">
        <v>42221.35</v>
      </c>
      <c r="G61" s="76">
        <v>41549</v>
      </c>
      <c r="H61" s="73">
        <f t="shared" si="0"/>
        <v>-221.34999999999854</v>
      </c>
      <c r="I61" s="73">
        <f t="shared" si="1"/>
        <v>521.72999999999956</v>
      </c>
    </row>
    <row r="62" spans="1:10" x14ac:dyDescent="0.25">
      <c r="A62" t="s">
        <v>380</v>
      </c>
      <c r="B62" s="2">
        <v>43000</v>
      </c>
      <c r="C62" s="2" t="s">
        <v>39</v>
      </c>
      <c r="D62" s="75">
        <v>41547</v>
      </c>
      <c r="E62">
        <v>973418</v>
      </c>
      <c r="F62" s="2">
        <v>41496.080000000002</v>
      </c>
      <c r="G62" s="76">
        <v>41551</v>
      </c>
      <c r="H62" s="73">
        <f t="shared" si="0"/>
        <v>1503.9199999999983</v>
      </c>
      <c r="I62" s="73">
        <f t="shared" si="1"/>
        <v>2025.6499999999978</v>
      </c>
    </row>
    <row r="63" spans="1:10" x14ac:dyDescent="0.25">
      <c r="A63" t="s">
        <v>381</v>
      </c>
      <c r="B63" s="2">
        <v>43000</v>
      </c>
      <c r="C63" s="2" t="s">
        <v>65</v>
      </c>
      <c r="D63" s="75">
        <v>41550</v>
      </c>
      <c r="E63">
        <v>975257</v>
      </c>
      <c r="F63" s="2">
        <v>40662.720000000001</v>
      </c>
      <c r="G63" s="76">
        <v>41549</v>
      </c>
      <c r="H63" s="73">
        <f t="shared" si="0"/>
        <v>2337.2799999999988</v>
      </c>
      <c r="I63" s="73">
        <f t="shared" si="1"/>
        <v>4362.9299999999967</v>
      </c>
    </row>
    <row r="64" spans="1:10" x14ac:dyDescent="0.25">
      <c r="A64" t="s">
        <v>382</v>
      </c>
      <c r="B64" s="2">
        <v>42000</v>
      </c>
      <c r="C64" s="2" t="s">
        <v>39</v>
      </c>
      <c r="D64" s="75">
        <v>41554</v>
      </c>
      <c r="E64">
        <v>975638</v>
      </c>
      <c r="F64" s="2">
        <v>41228.160000000003</v>
      </c>
      <c r="G64" s="76">
        <v>41558</v>
      </c>
      <c r="H64" s="73">
        <f t="shared" si="0"/>
        <v>771.83999999999651</v>
      </c>
      <c r="I64" s="73">
        <f t="shared" si="1"/>
        <v>5134.7699999999932</v>
      </c>
    </row>
    <row r="65" spans="1:9" x14ac:dyDescent="0.25">
      <c r="A65" t="s">
        <v>383</v>
      </c>
      <c r="B65" s="2">
        <v>41000</v>
      </c>
      <c r="C65" s="2" t="s">
        <v>65</v>
      </c>
      <c r="D65" s="75">
        <v>41557</v>
      </c>
      <c r="E65">
        <v>977099</v>
      </c>
      <c r="F65" s="2">
        <v>40583.56</v>
      </c>
      <c r="G65" s="76">
        <v>41563</v>
      </c>
      <c r="H65" s="73">
        <f t="shared" si="0"/>
        <v>416.44000000000233</v>
      </c>
      <c r="I65" s="73">
        <f t="shared" si="1"/>
        <v>5551.2099999999955</v>
      </c>
    </row>
    <row r="66" spans="1:9" x14ac:dyDescent="0.25">
      <c r="A66" t="s">
        <v>384</v>
      </c>
      <c r="B66" s="2">
        <v>40000</v>
      </c>
      <c r="C66" s="2" t="s">
        <v>39</v>
      </c>
      <c r="D66" s="75">
        <v>41561</v>
      </c>
      <c r="E66">
        <v>978113</v>
      </c>
      <c r="F66" s="2">
        <v>40480.160000000003</v>
      </c>
      <c r="G66" s="76">
        <v>41566</v>
      </c>
      <c r="H66" s="73">
        <f t="shared" si="0"/>
        <v>-480.16000000000349</v>
      </c>
      <c r="I66" s="73">
        <f t="shared" si="1"/>
        <v>5071.049999999992</v>
      </c>
    </row>
    <row r="67" spans="1:9" x14ac:dyDescent="0.25">
      <c r="A67" t="s">
        <v>385</v>
      </c>
      <c r="B67" s="2">
        <v>38000</v>
      </c>
      <c r="C67" s="2" t="s">
        <v>65</v>
      </c>
      <c r="D67" s="75">
        <v>41564</v>
      </c>
      <c r="E67">
        <v>979319</v>
      </c>
      <c r="F67" s="2">
        <v>40954.71</v>
      </c>
      <c r="G67" s="76">
        <v>41570</v>
      </c>
      <c r="H67" s="73">
        <f t="shared" si="0"/>
        <v>-2954.7099999999991</v>
      </c>
      <c r="I67" s="73">
        <f t="shared" si="1"/>
        <v>2116.3399999999929</v>
      </c>
    </row>
    <row r="68" spans="1:9" x14ac:dyDescent="0.25">
      <c r="A68" t="s">
        <v>386</v>
      </c>
      <c r="B68" s="2">
        <v>38000</v>
      </c>
      <c r="C68" s="2" t="s">
        <v>39</v>
      </c>
      <c r="D68" s="75">
        <v>41568</v>
      </c>
      <c r="E68">
        <v>979988</v>
      </c>
      <c r="F68" s="2">
        <v>43147.11</v>
      </c>
      <c r="G68" s="76">
        <v>41572</v>
      </c>
      <c r="H68" s="73">
        <f t="shared" si="0"/>
        <v>-5147.1100000000006</v>
      </c>
      <c r="I68" s="73">
        <f t="shared" si="1"/>
        <v>-3030.7700000000077</v>
      </c>
    </row>
    <row r="69" spans="1:9" x14ac:dyDescent="0.25">
      <c r="A69" t="s">
        <v>387</v>
      </c>
      <c r="B69" s="2">
        <v>42000</v>
      </c>
      <c r="C69" s="2" t="s">
        <v>65</v>
      </c>
      <c r="D69" s="75">
        <v>41570</v>
      </c>
      <c r="E69">
        <v>981564</v>
      </c>
      <c r="F69" s="2">
        <v>43151.54</v>
      </c>
      <c r="G69" s="76">
        <v>41577</v>
      </c>
      <c r="H69" s="73">
        <f t="shared" si="0"/>
        <v>-1151.5400000000009</v>
      </c>
      <c r="I69" s="73">
        <f>I68+H69</f>
        <v>-4182.3100000000086</v>
      </c>
    </row>
    <row r="70" spans="1:9" x14ac:dyDescent="0.25">
      <c r="A70" t="s">
        <v>388</v>
      </c>
      <c r="B70" s="2">
        <v>48000</v>
      </c>
      <c r="C70" s="2" t="s">
        <v>65</v>
      </c>
      <c r="D70" s="75">
        <v>41578</v>
      </c>
      <c r="E70">
        <v>983481</v>
      </c>
      <c r="F70" s="2">
        <v>44930.32</v>
      </c>
      <c r="G70" s="76">
        <v>41584</v>
      </c>
      <c r="H70" s="78">
        <f>B70-F70</f>
        <v>3069.6800000000003</v>
      </c>
      <c r="I70" s="73">
        <f t="shared" si="1"/>
        <v>-1112.6300000000083</v>
      </c>
    </row>
    <row r="71" spans="1:9" x14ac:dyDescent="0.25">
      <c r="A71" t="s">
        <v>389</v>
      </c>
      <c r="B71" s="2">
        <v>47000</v>
      </c>
      <c r="C71" s="2" t="s">
        <v>65</v>
      </c>
      <c r="D71" s="75">
        <v>41585</v>
      </c>
      <c r="E71">
        <v>985313</v>
      </c>
      <c r="F71" s="2">
        <v>44465.13</v>
      </c>
      <c r="G71" s="76">
        <v>41591</v>
      </c>
      <c r="H71" s="73">
        <f t="shared" ref="H71:H134" si="2">B71-F71</f>
        <v>2534.8700000000026</v>
      </c>
      <c r="I71" s="73">
        <f>I70+H71</f>
        <v>1422.2399999999943</v>
      </c>
    </row>
    <row r="72" spans="1:9" x14ac:dyDescent="0.25">
      <c r="A72" t="s">
        <v>390</v>
      </c>
      <c r="B72" s="2">
        <v>45000</v>
      </c>
      <c r="C72" s="2" t="s">
        <v>65</v>
      </c>
      <c r="D72" s="75">
        <v>41592</v>
      </c>
      <c r="E72">
        <v>987336</v>
      </c>
      <c r="F72" s="2">
        <v>41182.81</v>
      </c>
      <c r="G72" s="76">
        <v>41598</v>
      </c>
      <c r="H72" s="73">
        <f t="shared" si="2"/>
        <v>3817.1900000000023</v>
      </c>
      <c r="I72" s="73">
        <f t="shared" ref="I72:I135" si="3">I71+H72</f>
        <v>5239.4299999999967</v>
      </c>
    </row>
    <row r="73" spans="1:9" x14ac:dyDescent="0.25">
      <c r="A73" t="s">
        <v>391</v>
      </c>
      <c r="B73" s="2">
        <v>40000</v>
      </c>
      <c r="C73" s="2" t="s">
        <v>65</v>
      </c>
      <c r="D73" s="75">
        <v>41598</v>
      </c>
      <c r="E73">
        <v>989449</v>
      </c>
      <c r="F73" s="2">
        <v>40465.949999999997</v>
      </c>
      <c r="G73" s="76">
        <v>41605</v>
      </c>
      <c r="H73" s="73">
        <f t="shared" si="2"/>
        <v>-465.94999999999709</v>
      </c>
      <c r="I73" s="73">
        <f t="shared" si="3"/>
        <v>4773.4799999999996</v>
      </c>
    </row>
    <row r="74" spans="1:9" x14ac:dyDescent="0.25">
      <c r="A74" t="s">
        <v>392</v>
      </c>
      <c r="B74" s="2">
        <v>38000</v>
      </c>
      <c r="C74" s="2" t="s">
        <v>65</v>
      </c>
      <c r="D74" s="75">
        <v>41606</v>
      </c>
      <c r="E74">
        <v>991193</v>
      </c>
      <c r="F74" s="2">
        <v>40421.81</v>
      </c>
      <c r="G74" s="76">
        <v>41612</v>
      </c>
      <c r="H74" s="73">
        <f t="shared" si="2"/>
        <v>-2421.8099999999977</v>
      </c>
      <c r="I74" s="73">
        <f t="shared" si="3"/>
        <v>2351.6700000000019</v>
      </c>
    </row>
    <row r="75" spans="1:9" x14ac:dyDescent="0.25">
      <c r="A75" t="s">
        <v>393</v>
      </c>
      <c r="B75" s="2">
        <v>41000</v>
      </c>
      <c r="C75" s="2" t="s">
        <v>65</v>
      </c>
      <c r="D75" s="75">
        <v>41613</v>
      </c>
      <c r="E75">
        <v>993477</v>
      </c>
      <c r="F75" s="2">
        <v>42080.31</v>
      </c>
      <c r="G75" s="76">
        <v>41619</v>
      </c>
      <c r="H75" s="73">
        <f t="shared" si="2"/>
        <v>-1080.3099999999977</v>
      </c>
      <c r="I75" s="73">
        <f t="shared" si="3"/>
        <v>1271.3600000000042</v>
      </c>
    </row>
    <row r="76" spans="1:9" x14ac:dyDescent="0.25">
      <c r="A76" t="s">
        <v>394</v>
      </c>
      <c r="B76" s="2">
        <v>44000</v>
      </c>
      <c r="C76" s="2" t="s">
        <v>50</v>
      </c>
      <c r="D76" s="75">
        <v>41619</v>
      </c>
      <c r="E76">
        <v>995287</v>
      </c>
      <c r="F76" s="2">
        <v>43643.99</v>
      </c>
      <c r="G76" s="76">
        <v>41626</v>
      </c>
      <c r="H76" s="73">
        <f t="shared" si="2"/>
        <v>356.01000000000204</v>
      </c>
      <c r="I76" s="73">
        <f t="shared" si="3"/>
        <v>1627.3700000000063</v>
      </c>
    </row>
    <row r="77" spans="1:9" x14ac:dyDescent="0.25">
      <c r="A77" t="s">
        <v>395</v>
      </c>
      <c r="B77" s="2">
        <v>44000</v>
      </c>
      <c r="C77" s="2" t="s">
        <v>375</v>
      </c>
      <c r="D77" s="75">
        <v>41627</v>
      </c>
      <c r="E77">
        <v>996629</v>
      </c>
      <c r="F77" s="2">
        <v>38832.61</v>
      </c>
      <c r="G77" s="76">
        <v>41631</v>
      </c>
      <c r="H77" s="73">
        <f t="shared" si="2"/>
        <v>5167.3899999999994</v>
      </c>
      <c r="I77" s="73">
        <f t="shared" si="3"/>
        <v>6794.7600000000057</v>
      </c>
    </row>
    <row r="78" spans="1:9" x14ac:dyDescent="0.25">
      <c r="A78" t="s">
        <v>396</v>
      </c>
      <c r="B78" s="2">
        <v>40000</v>
      </c>
      <c r="C78" s="2" t="s">
        <v>45</v>
      </c>
      <c r="D78" s="75">
        <v>41632</v>
      </c>
      <c r="E78">
        <v>998115</v>
      </c>
      <c r="F78" s="2">
        <v>37447.199999999997</v>
      </c>
      <c r="G78" s="76">
        <v>41635</v>
      </c>
      <c r="H78" s="73">
        <f t="shared" si="2"/>
        <v>2552.8000000000029</v>
      </c>
      <c r="I78" s="73">
        <f t="shared" si="3"/>
        <v>9347.5600000000086</v>
      </c>
    </row>
    <row r="79" spans="1:9" x14ac:dyDescent="0.25">
      <c r="A79" t="s">
        <v>397</v>
      </c>
      <c r="B79" s="2">
        <v>30000</v>
      </c>
      <c r="C79" s="2" t="s">
        <v>65</v>
      </c>
      <c r="D79" s="75">
        <v>41641</v>
      </c>
      <c r="E79">
        <v>1000929</v>
      </c>
      <c r="F79" s="2">
        <v>34532.300000000003</v>
      </c>
      <c r="G79" s="76">
        <v>41647</v>
      </c>
      <c r="H79" s="73">
        <f t="shared" si="2"/>
        <v>-4532.3000000000029</v>
      </c>
      <c r="I79" s="73">
        <f t="shared" si="3"/>
        <v>4815.2600000000057</v>
      </c>
    </row>
    <row r="80" spans="1:9" x14ac:dyDescent="0.25">
      <c r="A80" t="s">
        <v>398</v>
      </c>
      <c r="B80" s="2">
        <v>34000</v>
      </c>
      <c r="C80" s="2" t="s">
        <v>39</v>
      </c>
      <c r="D80" s="75">
        <v>41645</v>
      </c>
      <c r="E80">
        <v>1001231</v>
      </c>
      <c r="F80" s="2">
        <v>35338.61</v>
      </c>
      <c r="G80" s="76">
        <v>41649</v>
      </c>
      <c r="H80" s="73">
        <f t="shared" si="2"/>
        <v>-1338.6100000000006</v>
      </c>
      <c r="I80" s="73">
        <f t="shared" si="3"/>
        <v>3476.6500000000051</v>
      </c>
    </row>
    <row r="81" spans="1:9" x14ac:dyDescent="0.25">
      <c r="A81" t="s">
        <v>399</v>
      </c>
      <c r="B81" s="2">
        <v>38000</v>
      </c>
      <c r="C81" s="2" t="s">
        <v>65</v>
      </c>
      <c r="D81" s="75">
        <v>41648</v>
      </c>
      <c r="E81">
        <v>1002662</v>
      </c>
      <c r="F81" s="2">
        <v>35276.42</v>
      </c>
      <c r="G81" s="76">
        <v>41654</v>
      </c>
      <c r="H81" s="73">
        <f t="shared" si="2"/>
        <v>2723.5800000000017</v>
      </c>
      <c r="I81" s="73">
        <f t="shared" si="3"/>
        <v>6200.2300000000068</v>
      </c>
    </row>
    <row r="82" spans="1:9" x14ac:dyDescent="0.25">
      <c r="A82" t="s">
        <v>400</v>
      </c>
      <c r="B82" s="2">
        <v>35000</v>
      </c>
      <c r="C82" s="2" t="s">
        <v>39</v>
      </c>
      <c r="D82" s="75">
        <v>41652</v>
      </c>
      <c r="E82">
        <v>1003171</v>
      </c>
      <c r="F82" s="2">
        <v>35111.03</v>
      </c>
      <c r="G82" s="76">
        <v>41656</v>
      </c>
      <c r="H82" s="73">
        <f t="shared" si="2"/>
        <v>-111.02999999999884</v>
      </c>
      <c r="I82" s="73">
        <f t="shared" si="3"/>
        <v>6089.200000000008</v>
      </c>
    </row>
    <row r="83" spans="1:9" x14ac:dyDescent="0.25">
      <c r="A83" t="s">
        <v>401</v>
      </c>
      <c r="B83" s="2">
        <v>33000</v>
      </c>
      <c r="C83" s="2" t="s">
        <v>65</v>
      </c>
      <c r="D83" s="75">
        <v>41655</v>
      </c>
      <c r="E83">
        <v>1004818</v>
      </c>
      <c r="F83" s="2">
        <v>37874.01</v>
      </c>
      <c r="G83" s="76">
        <v>41662</v>
      </c>
      <c r="H83" s="73">
        <f t="shared" si="2"/>
        <v>-4874.010000000002</v>
      </c>
      <c r="I83" s="73">
        <f t="shared" si="3"/>
        <v>1215.190000000006</v>
      </c>
    </row>
    <row r="84" spans="1:9" x14ac:dyDescent="0.25">
      <c r="A84" t="s">
        <v>402</v>
      </c>
      <c r="B84" s="2">
        <v>35000</v>
      </c>
      <c r="C84" s="2" t="s">
        <v>39</v>
      </c>
      <c r="D84" s="75">
        <v>41659</v>
      </c>
      <c r="E84">
        <v>1005389</v>
      </c>
      <c r="F84" s="2">
        <v>36731.879999999997</v>
      </c>
      <c r="G84" s="76">
        <v>41666</v>
      </c>
      <c r="H84" s="73">
        <f t="shared" si="2"/>
        <v>-1731.8799999999974</v>
      </c>
      <c r="I84" s="73">
        <f t="shared" si="3"/>
        <v>-516.68999999999141</v>
      </c>
    </row>
    <row r="85" spans="1:9" x14ac:dyDescent="0.25">
      <c r="A85" t="s">
        <v>403</v>
      </c>
      <c r="B85" s="2">
        <v>37000</v>
      </c>
      <c r="C85" s="2" t="s">
        <v>65</v>
      </c>
      <c r="D85" s="75">
        <v>41662</v>
      </c>
      <c r="E85">
        <v>1006607</v>
      </c>
      <c r="F85" s="2">
        <v>37928.35</v>
      </c>
      <c r="G85" s="76">
        <v>41668</v>
      </c>
      <c r="H85" s="73">
        <f t="shared" si="2"/>
        <v>-928.34999999999854</v>
      </c>
      <c r="I85" s="73">
        <f t="shared" si="3"/>
        <v>-1445.03999999999</v>
      </c>
    </row>
    <row r="86" spans="1:9" x14ac:dyDescent="0.25">
      <c r="A86" t="s">
        <v>404</v>
      </c>
      <c r="B86" s="2">
        <v>38000</v>
      </c>
      <c r="C86" s="2" t="s">
        <v>39</v>
      </c>
      <c r="D86" s="75">
        <v>41666</v>
      </c>
      <c r="E86">
        <v>1007059</v>
      </c>
      <c r="F86" s="2">
        <v>37689.33</v>
      </c>
      <c r="G86" s="76">
        <v>41670</v>
      </c>
      <c r="H86" s="73">
        <f t="shared" si="2"/>
        <v>310.66999999999825</v>
      </c>
      <c r="I86" s="73">
        <f t="shared" si="3"/>
        <v>-1134.3699999999917</v>
      </c>
    </row>
    <row r="87" spans="1:9" x14ac:dyDescent="0.25">
      <c r="A87" t="s">
        <v>405</v>
      </c>
      <c r="B87" s="2">
        <v>42000</v>
      </c>
      <c r="C87" s="2" t="s">
        <v>65</v>
      </c>
      <c r="D87" s="75">
        <v>41669</v>
      </c>
      <c r="E87">
        <v>1008890</v>
      </c>
      <c r="F87" s="2">
        <v>39214.49</v>
      </c>
      <c r="G87" s="76">
        <v>41675</v>
      </c>
      <c r="H87" s="73">
        <f t="shared" si="2"/>
        <v>2785.510000000002</v>
      </c>
      <c r="I87" s="73">
        <f t="shared" si="3"/>
        <v>1651.1400000000103</v>
      </c>
    </row>
    <row r="88" spans="1:9" x14ac:dyDescent="0.25">
      <c r="A88" t="s">
        <v>406</v>
      </c>
      <c r="B88" s="2">
        <v>42000</v>
      </c>
      <c r="C88" s="2" t="s">
        <v>45</v>
      </c>
      <c r="D88" s="75">
        <v>41674</v>
      </c>
      <c r="E88">
        <v>1009213</v>
      </c>
      <c r="F88" s="2">
        <v>39360.370000000003</v>
      </c>
      <c r="G88" s="76">
        <v>41680</v>
      </c>
      <c r="H88" s="73">
        <f t="shared" si="2"/>
        <v>2639.6299999999974</v>
      </c>
      <c r="I88" s="73">
        <f t="shared" si="3"/>
        <v>4290.7700000000077</v>
      </c>
    </row>
    <row r="89" spans="1:9" x14ac:dyDescent="0.25">
      <c r="A89" t="s">
        <v>407</v>
      </c>
      <c r="B89" s="2">
        <v>40000</v>
      </c>
      <c r="C89" s="2" t="s">
        <v>84</v>
      </c>
      <c r="D89" s="75">
        <v>41677</v>
      </c>
      <c r="E89">
        <v>1010605</v>
      </c>
      <c r="F89" s="2">
        <v>39907.129999999997</v>
      </c>
      <c r="G89" s="76">
        <v>41682</v>
      </c>
      <c r="H89" s="73">
        <f t="shared" si="2"/>
        <v>92.870000000002619</v>
      </c>
      <c r="I89" s="73">
        <f t="shared" si="3"/>
        <v>4383.6400000000103</v>
      </c>
    </row>
    <row r="90" spans="1:9" x14ac:dyDescent="0.25">
      <c r="A90" t="s">
        <v>408</v>
      </c>
      <c r="B90" s="2">
        <v>40000</v>
      </c>
      <c r="C90" s="2" t="s">
        <v>39</v>
      </c>
      <c r="D90" s="75">
        <v>41680</v>
      </c>
      <c r="E90">
        <v>1011179</v>
      </c>
      <c r="F90" s="2">
        <v>39303.93</v>
      </c>
      <c r="G90" s="76">
        <v>41684</v>
      </c>
      <c r="H90" s="73">
        <f t="shared" si="2"/>
        <v>696.06999999999971</v>
      </c>
      <c r="I90" s="73">
        <f t="shared" si="3"/>
        <v>5079.71000000001</v>
      </c>
    </row>
    <row r="91" spans="1:9" x14ac:dyDescent="0.25">
      <c r="A91" t="s">
        <v>409</v>
      </c>
      <c r="B91" s="2">
        <v>40000</v>
      </c>
      <c r="C91" s="2" t="s">
        <v>65</v>
      </c>
      <c r="D91" s="75">
        <v>41683</v>
      </c>
      <c r="E91">
        <v>1012660</v>
      </c>
      <c r="F91" s="2">
        <v>40479.14</v>
      </c>
      <c r="G91" s="76">
        <v>41689</v>
      </c>
      <c r="H91" s="73">
        <f t="shared" si="2"/>
        <v>-479.13999999999942</v>
      </c>
      <c r="I91" s="73">
        <f t="shared" si="3"/>
        <v>4600.5700000000106</v>
      </c>
    </row>
    <row r="92" spans="1:9" x14ac:dyDescent="0.25">
      <c r="A92" t="s">
        <v>410</v>
      </c>
      <c r="B92" s="2">
        <v>38000</v>
      </c>
      <c r="C92" s="2" t="s">
        <v>39</v>
      </c>
      <c r="D92" s="75">
        <v>41687</v>
      </c>
      <c r="E92">
        <v>1013404</v>
      </c>
      <c r="F92" s="2">
        <v>39877.1</v>
      </c>
      <c r="G92" s="76">
        <v>41694</v>
      </c>
      <c r="H92" s="73">
        <f t="shared" si="2"/>
        <v>-1877.0999999999985</v>
      </c>
      <c r="I92" s="73">
        <f t="shared" si="3"/>
        <v>2723.4700000000121</v>
      </c>
    </row>
    <row r="93" spans="1:9" x14ac:dyDescent="0.25">
      <c r="A93" t="s">
        <v>411</v>
      </c>
      <c r="B93" s="2">
        <v>40000</v>
      </c>
      <c r="C93" s="2" t="s">
        <v>65</v>
      </c>
      <c r="D93" s="75">
        <v>41690</v>
      </c>
      <c r="E93">
        <v>1015046</v>
      </c>
      <c r="F93" s="2">
        <v>40867.19</v>
      </c>
      <c r="G93" s="76">
        <v>41696</v>
      </c>
      <c r="H93" s="73">
        <f t="shared" si="2"/>
        <v>-867.19000000000233</v>
      </c>
      <c r="I93" s="73">
        <f t="shared" si="3"/>
        <v>1856.2800000000097</v>
      </c>
    </row>
    <row r="94" spans="1:9" x14ac:dyDescent="0.25">
      <c r="A94" t="s">
        <v>412</v>
      </c>
      <c r="B94" s="2">
        <v>40000</v>
      </c>
      <c r="C94" s="2" t="s">
        <v>39</v>
      </c>
      <c r="D94" s="75">
        <v>41694</v>
      </c>
      <c r="E94">
        <v>1015292</v>
      </c>
      <c r="F94" s="2">
        <v>40411.93</v>
      </c>
      <c r="G94" s="76">
        <v>41698</v>
      </c>
      <c r="H94" s="73">
        <f t="shared" si="2"/>
        <v>-411.93000000000029</v>
      </c>
      <c r="I94" s="73">
        <f t="shared" si="3"/>
        <v>1444.3500000000095</v>
      </c>
    </row>
    <row r="95" spans="1:9" x14ac:dyDescent="0.25">
      <c r="A95" t="s">
        <v>413</v>
      </c>
      <c r="B95" s="2">
        <v>40000</v>
      </c>
      <c r="C95" s="2" t="s">
        <v>65</v>
      </c>
      <c r="D95" s="75">
        <v>41697</v>
      </c>
      <c r="E95">
        <v>1017084</v>
      </c>
      <c r="F95" s="2">
        <v>41910.019999999997</v>
      </c>
      <c r="G95" s="76">
        <v>41703</v>
      </c>
      <c r="H95" s="73">
        <f t="shared" si="2"/>
        <v>-1910.0199999999968</v>
      </c>
      <c r="I95" s="73">
        <f t="shared" si="3"/>
        <v>-465.66999999998734</v>
      </c>
    </row>
    <row r="96" spans="1:9" x14ac:dyDescent="0.25">
      <c r="A96" t="s">
        <v>414</v>
      </c>
      <c r="B96" s="2">
        <v>40000</v>
      </c>
      <c r="C96" s="2" t="s">
        <v>39</v>
      </c>
      <c r="D96" s="75">
        <v>41701</v>
      </c>
      <c r="E96">
        <v>1017273</v>
      </c>
      <c r="F96" s="2">
        <v>40847.199999999997</v>
      </c>
      <c r="G96" s="76">
        <v>41705</v>
      </c>
      <c r="H96" s="73">
        <f t="shared" si="2"/>
        <v>-847.19999999999709</v>
      </c>
      <c r="I96" s="73">
        <f t="shared" si="3"/>
        <v>-1312.8699999999844</v>
      </c>
    </row>
    <row r="97" spans="1:10" x14ac:dyDescent="0.25">
      <c r="A97" t="s">
        <v>415</v>
      </c>
      <c r="B97" s="2">
        <v>43000</v>
      </c>
      <c r="C97" s="2" t="s">
        <v>65</v>
      </c>
      <c r="D97" s="75">
        <v>41704</v>
      </c>
      <c r="E97">
        <v>1019008</v>
      </c>
      <c r="F97" s="2">
        <v>44047.5</v>
      </c>
      <c r="G97" s="75">
        <v>41710</v>
      </c>
      <c r="H97" s="73">
        <f t="shared" si="2"/>
        <v>-1047.5</v>
      </c>
      <c r="I97" s="73">
        <f t="shared" si="3"/>
        <v>-2360.3699999999844</v>
      </c>
    </row>
    <row r="98" spans="1:10" x14ac:dyDescent="0.25">
      <c r="A98" t="s">
        <v>416</v>
      </c>
      <c r="B98" s="2">
        <v>45000</v>
      </c>
      <c r="C98" s="2" t="s">
        <v>45</v>
      </c>
      <c r="D98" s="75">
        <v>41709</v>
      </c>
      <c r="E98">
        <v>1019616</v>
      </c>
      <c r="F98" s="2">
        <v>43484.46</v>
      </c>
      <c r="G98" s="75">
        <v>41712</v>
      </c>
      <c r="H98" s="73">
        <f t="shared" si="2"/>
        <v>1515.5400000000009</v>
      </c>
      <c r="I98" s="73">
        <f t="shared" si="3"/>
        <v>-844.82999999998356</v>
      </c>
    </row>
    <row r="99" spans="1:10" x14ac:dyDescent="0.25">
      <c r="A99" t="s">
        <v>417</v>
      </c>
      <c r="D99" s="75"/>
      <c r="G99" s="75"/>
      <c r="H99" s="73">
        <f t="shared" si="2"/>
        <v>0</v>
      </c>
      <c r="I99" s="73">
        <f t="shared" si="3"/>
        <v>-844.82999999998356</v>
      </c>
      <c r="J99" t="s">
        <v>418</v>
      </c>
    </row>
    <row r="100" spans="1:10" x14ac:dyDescent="0.25">
      <c r="A100" t="s">
        <v>419</v>
      </c>
      <c r="B100" s="2">
        <v>45000</v>
      </c>
      <c r="C100" s="2" t="s">
        <v>45</v>
      </c>
      <c r="D100" s="75">
        <v>41711</v>
      </c>
      <c r="E100">
        <v>1021601</v>
      </c>
      <c r="F100" s="2">
        <v>49321.86</v>
      </c>
      <c r="G100" s="76">
        <v>41719</v>
      </c>
      <c r="H100" s="73">
        <f t="shared" si="2"/>
        <v>-4321.8600000000006</v>
      </c>
      <c r="I100" s="73">
        <f t="shared" si="3"/>
        <v>-5166.6899999999841</v>
      </c>
    </row>
    <row r="101" spans="1:10" x14ac:dyDescent="0.25">
      <c r="A101" t="s">
        <v>420</v>
      </c>
      <c r="B101" s="2">
        <v>45000</v>
      </c>
      <c r="C101" s="2" t="s">
        <v>84</v>
      </c>
      <c r="D101" s="75">
        <v>41716</v>
      </c>
      <c r="E101">
        <v>1023096</v>
      </c>
      <c r="F101" s="2">
        <v>50594.04</v>
      </c>
      <c r="G101" s="76">
        <v>41724</v>
      </c>
      <c r="H101" s="73">
        <f t="shared" si="2"/>
        <v>-5594.0400000000009</v>
      </c>
      <c r="I101" s="73">
        <f t="shared" si="3"/>
        <v>-10760.729999999985</v>
      </c>
    </row>
    <row r="102" spans="1:10" x14ac:dyDescent="0.25">
      <c r="A102" t="s">
        <v>421</v>
      </c>
      <c r="B102" s="2">
        <v>55000</v>
      </c>
      <c r="C102" s="2" t="s">
        <v>39</v>
      </c>
      <c r="D102" s="75">
        <v>41722</v>
      </c>
      <c r="E102">
        <v>1023298</v>
      </c>
      <c r="F102" s="2">
        <v>52349.04</v>
      </c>
      <c r="G102" s="76">
        <v>41726</v>
      </c>
      <c r="H102" s="73">
        <f t="shared" si="2"/>
        <v>2650.9599999999991</v>
      </c>
      <c r="I102" s="73">
        <f t="shared" si="3"/>
        <v>-8109.7699999999859</v>
      </c>
    </row>
    <row r="103" spans="1:10" x14ac:dyDescent="0.25">
      <c r="A103" t="s">
        <v>422</v>
      </c>
      <c r="B103" s="2">
        <v>55000</v>
      </c>
      <c r="C103" s="2" t="s">
        <v>375</v>
      </c>
      <c r="D103" s="75">
        <v>41725</v>
      </c>
      <c r="E103">
        <v>1024861</v>
      </c>
      <c r="F103" s="2">
        <v>52619.91</v>
      </c>
      <c r="G103" s="76">
        <v>41731</v>
      </c>
      <c r="H103" s="73">
        <f t="shared" si="2"/>
        <v>2380.0899999999965</v>
      </c>
      <c r="I103" s="73">
        <f t="shared" si="3"/>
        <v>-5729.6799999999894</v>
      </c>
    </row>
    <row r="104" spans="1:10" x14ac:dyDescent="0.25">
      <c r="A104" t="s">
        <v>423</v>
      </c>
      <c r="B104" s="2">
        <v>55000</v>
      </c>
      <c r="C104" s="2" t="s">
        <v>361</v>
      </c>
      <c r="D104" s="75">
        <v>41729</v>
      </c>
      <c r="E104">
        <v>1025799</v>
      </c>
      <c r="F104" s="2">
        <v>52362.67</v>
      </c>
      <c r="G104" s="76">
        <v>41736</v>
      </c>
      <c r="H104" s="73">
        <f t="shared" si="2"/>
        <v>2637.3300000000017</v>
      </c>
      <c r="I104" s="73">
        <f t="shared" si="3"/>
        <v>-3092.3499999999876</v>
      </c>
    </row>
    <row r="105" spans="1:10" x14ac:dyDescent="0.25">
      <c r="A105" t="s">
        <v>424</v>
      </c>
      <c r="B105" s="2">
        <v>56000</v>
      </c>
      <c r="C105" s="2" t="s">
        <v>65</v>
      </c>
      <c r="D105" s="75">
        <v>41732</v>
      </c>
      <c r="E105">
        <v>1027245</v>
      </c>
      <c r="F105" s="2">
        <v>55081.53</v>
      </c>
      <c r="G105" s="76">
        <v>41738</v>
      </c>
      <c r="H105" s="73">
        <f t="shared" si="2"/>
        <v>918.47000000000116</v>
      </c>
      <c r="I105" s="73">
        <f t="shared" si="3"/>
        <v>-2173.8799999999865</v>
      </c>
    </row>
    <row r="106" spans="1:10" x14ac:dyDescent="0.25">
      <c r="A106" t="s">
        <v>425</v>
      </c>
      <c r="B106" s="2">
        <v>55000</v>
      </c>
      <c r="C106" s="2" t="s">
        <v>39</v>
      </c>
      <c r="D106" s="75">
        <v>41736</v>
      </c>
      <c r="E106">
        <v>1027498</v>
      </c>
      <c r="F106" s="2">
        <v>53003.18</v>
      </c>
      <c r="G106" s="76">
        <v>41740</v>
      </c>
      <c r="H106" s="73">
        <f t="shared" si="2"/>
        <v>1996.8199999999997</v>
      </c>
      <c r="I106" s="73">
        <f t="shared" si="3"/>
        <v>-177.05999999998676</v>
      </c>
    </row>
    <row r="107" spans="1:10" x14ac:dyDescent="0.25">
      <c r="A107" t="s">
        <v>426</v>
      </c>
      <c r="B107" s="2">
        <v>54000</v>
      </c>
      <c r="C107" s="2" t="s">
        <v>65</v>
      </c>
      <c r="D107" s="75">
        <v>41739</v>
      </c>
      <c r="E107">
        <v>1028509</v>
      </c>
      <c r="F107" s="2">
        <v>45940.97</v>
      </c>
      <c r="G107" s="76">
        <v>41743</v>
      </c>
      <c r="H107" s="73">
        <f t="shared" si="2"/>
        <v>8059.0299999999988</v>
      </c>
      <c r="I107" s="73">
        <f t="shared" si="3"/>
        <v>7881.9700000000121</v>
      </c>
    </row>
    <row r="108" spans="1:10" x14ac:dyDescent="0.25">
      <c r="A108" t="s">
        <v>427</v>
      </c>
      <c r="B108" s="2">
        <v>53000</v>
      </c>
      <c r="C108" s="2" t="s">
        <v>65</v>
      </c>
      <c r="D108" s="75">
        <v>41739</v>
      </c>
      <c r="E108">
        <v>1029222</v>
      </c>
      <c r="F108" s="2">
        <v>46430.79</v>
      </c>
      <c r="G108" s="76">
        <v>41745</v>
      </c>
      <c r="H108" s="73">
        <f t="shared" si="2"/>
        <v>6569.2099999999991</v>
      </c>
      <c r="I108" s="73">
        <f t="shared" si="3"/>
        <v>14451.180000000011</v>
      </c>
    </row>
    <row r="109" spans="1:10" x14ac:dyDescent="0.25">
      <c r="A109" t="s">
        <v>428</v>
      </c>
      <c r="B109" s="2">
        <v>35000</v>
      </c>
      <c r="C109" s="2" t="s">
        <v>50</v>
      </c>
      <c r="D109" s="75">
        <v>41745</v>
      </c>
      <c r="E109">
        <v>1031274</v>
      </c>
      <c r="F109" s="2">
        <v>46546.73</v>
      </c>
      <c r="G109" s="76">
        <v>41753</v>
      </c>
      <c r="H109" s="73">
        <f t="shared" si="2"/>
        <v>-11546.730000000003</v>
      </c>
      <c r="I109" s="73">
        <f t="shared" si="3"/>
        <v>2904.450000000008</v>
      </c>
    </row>
    <row r="110" spans="1:10" x14ac:dyDescent="0.25">
      <c r="A110" t="s">
        <v>429</v>
      </c>
      <c r="B110" s="2">
        <v>45000</v>
      </c>
      <c r="C110" s="2" t="s">
        <v>39</v>
      </c>
      <c r="D110" s="75">
        <v>41750</v>
      </c>
      <c r="E110">
        <v>1031778</v>
      </c>
      <c r="F110" s="2">
        <v>46225.67</v>
      </c>
      <c r="G110" s="76">
        <v>41754</v>
      </c>
      <c r="H110" s="73">
        <f t="shared" si="2"/>
        <v>-1225.6699999999983</v>
      </c>
      <c r="I110" s="73">
        <f t="shared" si="3"/>
        <v>1678.7800000000097</v>
      </c>
    </row>
    <row r="111" spans="1:10" x14ac:dyDescent="0.25">
      <c r="A111" t="s">
        <v>430</v>
      </c>
      <c r="B111" s="2">
        <v>47000</v>
      </c>
      <c r="C111" s="2" t="s">
        <v>65</v>
      </c>
      <c r="D111" s="75">
        <v>41753</v>
      </c>
      <c r="E111">
        <v>1033433</v>
      </c>
      <c r="F111" s="2">
        <v>47205.18</v>
      </c>
      <c r="G111" s="76">
        <v>41759</v>
      </c>
      <c r="H111" s="73">
        <f t="shared" si="2"/>
        <v>-205.18000000000029</v>
      </c>
      <c r="I111" s="73">
        <f t="shared" si="3"/>
        <v>1473.6000000000095</v>
      </c>
    </row>
    <row r="112" spans="1:10" x14ac:dyDescent="0.25">
      <c r="A112" t="s">
        <v>431</v>
      </c>
      <c r="B112" s="2">
        <v>45000</v>
      </c>
      <c r="C112" s="2" t="s">
        <v>39</v>
      </c>
      <c r="D112" s="75">
        <v>41757</v>
      </c>
      <c r="E112">
        <v>1033763</v>
      </c>
      <c r="F112" s="2">
        <v>47650.71</v>
      </c>
      <c r="G112" s="76">
        <v>41761</v>
      </c>
      <c r="H112" s="73">
        <f t="shared" si="2"/>
        <v>-2650.7099999999991</v>
      </c>
      <c r="I112" s="73">
        <f t="shared" si="3"/>
        <v>-1177.1099999999897</v>
      </c>
    </row>
    <row r="113" spans="1:9" x14ac:dyDescent="0.25">
      <c r="A113" t="s">
        <v>432</v>
      </c>
      <c r="B113" s="2">
        <v>48000</v>
      </c>
      <c r="C113" s="2" t="s">
        <v>84</v>
      </c>
      <c r="D113" s="75">
        <v>41761</v>
      </c>
      <c r="E113">
        <v>1035522</v>
      </c>
      <c r="F113" s="2">
        <v>48369.64</v>
      </c>
      <c r="G113" s="75">
        <v>41766</v>
      </c>
      <c r="H113" s="73">
        <f t="shared" si="2"/>
        <v>-369.63999999999942</v>
      </c>
      <c r="I113" s="73">
        <f t="shared" si="3"/>
        <v>-1546.7499999999891</v>
      </c>
    </row>
    <row r="114" spans="1:9" x14ac:dyDescent="0.25">
      <c r="A114" t="s">
        <v>433</v>
      </c>
      <c r="B114" s="2">
        <v>48000</v>
      </c>
      <c r="C114" s="2" t="s">
        <v>361</v>
      </c>
      <c r="D114" s="75">
        <v>41764</v>
      </c>
      <c r="E114">
        <v>1036087</v>
      </c>
      <c r="F114" s="2">
        <v>47560.01</v>
      </c>
      <c r="G114" s="75">
        <v>41768</v>
      </c>
      <c r="H114" s="73">
        <f t="shared" si="2"/>
        <v>439.98999999999796</v>
      </c>
      <c r="I114" s="73">
        <f t="shared" si="3"/>
        <v>-1106.7599999999911</v>
      </c>
    </row>
    <row r="115" spans="1:9" x14ac:dyDescent="0.25">
      <c r="A115" t="s">
        <v>434</v>
      </c>
      <c r="B115" s="2">
        <v>50000</v>
      </c>
      <c r="C115" s="2" t="s">
        <v>65</v>
      </c>
      <c r="D115" s="75">
        <v>41767</v>
      </c>
      <c r="E115">
        <v>1037628</v>
      </c>
      <c r="F115" s="2">
        <v>48279.19</v>
      </c>
      <c r="G115" s="75">
        <v>41774</v>
      </c>
      <c r="H115" s="73">
        <f t="shared" si="2"/>
        <v>1720.8099999999977</v>
      </c>
      <c r="I115" s="73">
        <f t="shared" si="3"/>
        <v>614.05000000000655</v>
      </c>
    </row>
    <row r="116" spans="1:9" x14ac:dyDescent="0.25">
      <c r="A116" t="s">
        <v>435</v>
      </c>
      <c r="B116" s="2">
        <v>50000</v>
      </c>
      <c r="C116" s="2" t="s">
        <v>39</v>
      </c>
      <c r="D116" s="75">
        <v>41771</v>
      </c>
      <c r="E116">
        <v>1038238</v>
      </c>
      <c r="F116" s="2">
        <v>49750.86</v>
      </c>
      <c r="G116" s="76">
        <v>41775</v>
      </c>
      <c r="H116" s="73">
        <f t="shared" si="2"/>
        <v>249.13999999999942</v>
      </c>
      <c r="I116" s="73">
        <f t="shared" si="3"/>
        <v>863.19000000000597</v>
      </c>
    </row>
    <row r="117" spans="1:9" x14ac:dyDescent="0.25">
      <c r="A117" t="s">
        <v>436</v>
      </c>
      <c r="B117" s="2">
        <v>50000</v>
      </c>
      <c r="C117" s="2" t="s">
        <v>84</v>
      </c>
      <c r="D117" s="75">
        <v>41775</v>
      </c>
      <c r="E117">
        <v>1039921</v>
      </c>
      <c r="F117" s="2">
        <v>50643.61</v>
      </c>
      <c r="G117" s="76">
        <v>41781</v>
      </c>
      <c r="H117" s="73">
        <f t="shared" si="2"/>
        <v>-643.61000000000058</v>
      </c>
      <c r="I117" s="73">
        <f t="shared" si="3"/>
        <v>219.58000000000538</v>
      </c>
    </row>
    <row r="118" spans="1:9" x14ac:dyDescent="0.25">
      <c r="A118" t="s">
        <v>437</v>
      </c>
      <c r="B118" s="2">
        <v>50000</v>
      </c>
      <c r="C118" s="2" t="s">
        <v>39</v>
      </c>
      <c r="D118" s="75">
        <v>41778</v>
      </c>
      <c r="E118">
        <v>1040403</v>
      </c>
      <c r="F118" s="2">
        <v>50002.84</v>
      </c>
      <c r="G118" s="76">
        <v>41782</v>
      </c>
      <c r="H118" s="73">
        <f t="shared" si="2"/>
        <v>-2.8399999999965075</v>
      </c>
      <c r="I118" s="73">
        <f t="shared" si="3"/>
        <v>216.74000000000888</v>
      </c>
    </row>
    <row r="119" spans="1:9" x14ac:dyDescent="0.25">
      <c r="A119" t="s">
        <v>438</v>
      </c>
      <c r="B119" s="2">
        <v>0</v>
      </c>
      <c r="D119" t="s">
        <v>349</v>
      </c>
      <c r="H119" s="73">
        <f t="shared" si="2"/>
        <v>0</v>
      </c>
      <c r="I119" s="73">
        <f t="shared" si="3"/>
        <v>216.74000000000888</v>
      </c>
    </row>
    <row r="120" spans="1:9" x14ac:dyDescent="0.25">
      <c r="A120" t="s">
        <v>439</v>
      </c>
      <c r="B120" s="2">
        <v>50000</v>
      </c>
      <c r="C120" s="2" t="s">
        <v>84</v>
      </c>
      <c r="D120" s="75">
        <v>41782</v>
      </c>
      <c r="E120">
        <v>1042595</v>
      </c>
      <c r="F120" s="2">
        <v>50529.34</v>
      </c>
      <c r="G120" s="76">
        <v>41792</v>
      </c>
      <c r="H120" s="73">
        <f t="shared" si="2"/>
        <v>-529.33999999999651</v>
      </c>
      <c r="I120" s="73">
        <f t="shared" si="3"/>
        <v>-312.59999999998763</v>
      </c>
    </row>
    <row r="121" spans="1:9" x14ac:dyDescent="0.25">
      <c r="A121" t="s">
        <v>440</v>
      </c>
      <c r="B121" s="2">
        <v>50000</v>
      </c>
      <c r="C121" s="2" t="s">
        <v>65</v>
      </c>
      <c r="D121" s="75">
        <v>41819</v>
      </c>
      <c r="E121">
        <v>1043756</v>
      </c>
      <c r="F121" s="2">
        <v>52282.48</v>
      </c>
      <c r="G121" s="76">
        <v>41795</v>
      </c>
      <c r="H121" s="73">
        <f t="shared" si="2"/>
        <v>-2282.4800000000032</v>
      </c>
      <c r="I121" s="73">
        <f t="shared" si="3"/>
        <v>-2595.0799999999908</v>
      </c>
    </row>
    <row r="122" spans="1:9" x14ac:dyDescent="0.25">
      <c r="A122" t="s">
        <v>441</v>
      </c>
      <c r="B122" s="2">
        <v>52000</v>
      </c>
      <c r="C122" s="2" t="s">
        <v>39</v>
      </c>
      <c r="D122" s="75">
        <v>41792</v>
      </c>
      <c r="E122">
        <v>1043837</v>
      </c>
      <c r="F122" s="2">
        <v>53489.97</v>
      </c>
      <c r="G122" s="76">
        <v>41796</v>
      </c>
      <c r="H122" s="73">
        <f t="shared" si="2"/>
        <v>-1489.9700000000012</v>
      </c>
      <c r="I122" s="73">
        <f t="shared" si="3"/>
        <v>-4085.049999999992</v>
      </c>
    </row>
    <row r="123" spans="1:9" x14ac:dyDescent="0.25">
      <c r="A123" t="s">
        <v>442</v>
      </c>
      <c r="B123" s="2">
        <v>56000</v>
      </c>
      <c r="C123" s="2" t="s">
        <v>84</v>
      </c>
      <c r="D123" s="75">
        <v>41796</v>
      </c>
      <c r="E123">
        <v>1045699</v>
      </c>
      <c r="F123" s="2">
        <v>51207.6</v>
      </c>
      <c r="G123" s="76">
        <v>41803</v>
      </c>
      <c r="H123" s="73">
        <f t="shared" si="2"/>
        <v>4792.4000000000015</v>
      </c>
      <c r="I123" s="73">
        <f t="shared" si="3"/>
        <v>707.35000000000946</v>
      </c>
    </row>
    <row r="124" spans="1:9" x14ac:dyDescent="0.25">
      <c r="A124" t="s">
        <v>443</v>
      </c>
      <c r="B124" s="2">
        <v>58000</v>
      </c>
      <c r="C124" s="2" t="s">
        <v>39</v>
      </c>
      <c r="D124" s="75">
        <v>41799</v>
      </c>
      <c r="E124">
        <v>1045700</v>
      </c>
      <c r="F124" s="2">
        <v>56127.79</v>
      </c>
      <c r="G124" s="76">
        <v>41803</v>
      </c>
      <c r="H124" s="73">
        <f t="shared" si="2"/>
        <v>1872.2099999999991</v>
      </c>
      <c r="I124" s="73">
        <f t="shared" si="3"/>
        <v>2579.5600000000086</v>
      </c>
    </row>
    <row r="125" spans="1:9" x14ac:dyDescent="0.25">
      <c r="A125" t="s">
        <v>444</v>
      </c>
      <c r="B125" s="2">
        <v>58000</v>
      </c>
      <c r="C125" s="2" t="s">
        <v>84</v>
      </c>
      <c r="D125" s="75">
        <v>41803</v>
      </c>
      <c r="E125">
        <v>1047607</v>
      </c>
      <c r="F125" s="2">
        <v>57219.32</v>
      </c>
      <c r="G125" s="76">
        <v>41809</v>
      </c>
      <c r="H125" s="73">
        <f t="shared" si="2"/>
        <v>780.68000000000029</v>
      </c>
      <c r="I125" s="73">
        <f t="shared" si="3"/>
        <v>3360.2400000000089</v>
      </c>
    </row>
    <row r="126" spans="1:9" x14ac:dyDescent="0.25">
      <c r="A126" t="s">
        <v>445</v>
      </c>
      <c r="B126" s="2">
        <v>58000</v>
      </c>
      <c r="C126" s="2" t="s">
        <v>39</v>
      </c>
      <c r="D126" s="75">
        <v>41806</v>
      </c>
      <c r="E126">
        <v>1047688</v>
      </c>
      <c r="F126" s="2">
        <v>58108.82</v>
      </c>
      <c r="G126" s="76">
        <v>41810</v>
      </c>
      <c r="H126" s="73">
        <f t="shared" si="2"/>
        <v>-108.81999999999971</v>
      </c>
      <c r="I126" s="73">
        <f t="shared" si="3"/>
        <v>3251.4200000000092</v>
      </c>
    </row>
    <row r="127" spans="1:9" x14ac:dyDescent="0.25">
      <c r="A127" t="s">
        <v>446</v>
      </c>
      <c r="B127" s="2">
        <v>58000</v>
      </c>
      <c r="C127" s="2" t="s">
        <v>84</v>
      </c>
      <c r="D127" s="75">
        <v>41810</v>
      </c>
      <c r="E127">
        <v>1049557</v>
      </c>
      <c r="F127" s="2">
        <v>60699.5</v>
      </c>
      <c r="G127" s="76">
        <v>41816</v>
      </c>
      <c r="H127" s="73">
        <f t="shared" si="2"/>
        <v>-2699.5</v>
      </c>
      <c r="I127" s="73">
        <f t="shared" si="3"/>
        <v>551.92000000000917</v>
      </c>
    </row>
    <row r="128" spans="1:9" x14ac:dyDescent="0.25">
      <c r="A128" t="s">
        <v>447</v>
      </c>
      <c r="B128" s="2">
        <v>58000</v>
      </c>
      <c r="C128" s="2" t="s">
        <v>39</v>
      </c>
      <c r="D128" s="75">
        <v>41813</v>
      </c>
      <c r="E128">
        <v>1049686</v>
      </c>
      <c r="F128" s="2">
        <v>61589.79</v>
      </c>
      <c r="G128" s="76">
        <v>41817</v>
      </c>
      <c r="H128" s="73">
        <f t="shared" si="2"/>
        <v>-3589.7900000000009</v>
      </c>
      <c r="I128" s="73">
        <f t="shared" si="3"/>
        <v>-3037.8699999999917</v>
      </c>
    </row>
    <row r="129" spans="1:10" x14ac:dyDescent="0.25">
      <c r="A129" t="s">
        <v>448</v>
      </c>
      <c r="B129" s="2">
        <v>60000</v>
      </c>
      <c r="C129" s="2" t="s">
        <v>84</v>
      </c>
      <c r="D129" s="75">
        <v>41817</v>
      </c>
      <c r="E129">
        <v>1051140</v>
      </c>
      <c r="F129" s="2">
        <v>63945.45</v>
      </c>
      <c r="G129" s="76">
        <v>41822</v>
      </c>
      <c r="H129" s="73">
        <f t="shared" si="2"/>
        <v>-3945.4499999999971</v>
      </c>
      <c r="I129" s="73">
        <f t="shared" si="3"/>
        <v>-6983.3199999999888</v>
      </c>
    </row>
    <row r="130" spans="1:10" x14ac:dyDescent="0.25">
      <c r="A130" t="s">
        <v>449</v>
      </c>
      <c r="B130" s="2">
        <v>63000</v>
      </c>
      <c r="C130" s="2" t="s">
        <v>39</v>
      </c>
      <c r="D130" s="75">
        <v>41820</v>
      </c>
      <c r="E130">
        <v>1051308</v>
      </c>
      <c r="F130" s="2">
        <v>63495.27</v>
      </c>
      <c r="G130" s="76">
        <v>41823</v>
      </c>
      <c r="H130" s="73">
        <f t="shared" si="2"/>
        <v>-495.2699999999968</v>
      </c>
      <c r="I130" s="73">
        <f t="shared" si="3"/>
        <v>-7478.5899999999856</v>
      </c>
    </row>
    <row r="131" spans="1:10" x14ac:dyDescent="0.25">
      <c r="A131" t="s">
        <v>450</v>
      </c>
      <c r="B131" s="2">
        <v>65000</v>
      </c>
      <c r="C131" s="2" t="s">
        <v>65</v>
      </c>
      <c r="D131" s="75">
        <v>41823</v>
      </c>
      <c r="E131">
        <v>1053041</v>
      </c>
      <c r="F131" s="2">
        <v>63403.09</v>
      </c>
      <c r="G131" s="76">
        <v>41829</v>
      </c>
      <c r="H131" s="73">
        <f t="shared" si="2"/>
        <v>1596.9100000000035</v>
      </c>
      <c r="I131" s="73">
        <f t="shared" si="3"/>
        <v>-5881.6799999999821</v>
      </c>
    </row>
    <row r="132" spans="1:10" x14ac:dyDescent="0.25">
      <c r="A132" t="s">
        <v>451</v>
      </c>
      <c r="B132" s="2">
        <v>65000</v>
      </c>
      <c r="C132" s="2" t="s">
        <v>361</v>
      </c>
      <c r="D132" s="75">
        <v>41827</v>
      </c>
      <c r="E132">
        <v>1053442</v>
      </c>
      <c r="F132" s="2">
        <v>62840.75</v>
      </c>
      <c r="G132" s="76">
        <v>41831</v>
      </c>
      <c r="H132" s="73">
        <f t="shared" si="2"/>
        <v>2159.25</v>
      </c>
      <c r="I132" s="73">
        <f t="shared" si="3"/>
        <v>-3722.4299999999821</v>
      </c>
    </row>
    <row r="133" spans="1:10" x14ac:dyDescent="0.25">
      <c r="A133" t="s">
        <v>452</v>
      </c>
      <c r="B133" s="2">
        <v>65000</v>
      </c>
      <c r="C133" s="2" t="s">
        <v>84</v>
      </c>
      <c r="D133" s="75">
        <v>41831</v>
      </c>
      <c r="E133">
        <v>1054720</v>
      </c>
      <c r="F133" s="2">
        <v>64156.63</v>
      </c>
      <c r="G133" s="76">
        <v>41836</v>
      </c>
      <c r="H133" s="73">
        <f t="shared" si="2"/>
        <v>843.37000000000262</v>
      </c>
      <c r="I133" s="73">
        <f t="shared" si="3"/>
        <v>-2879.0599999999795</v>
      </c>
    </row>
    <row r="134" spans="1:10" x14ac:dyDescent="0.25">
      <c r="A134" t="s">
        <v>453</v>
      </c>
      <c r="B134" s="2">
        <v>65000</v>
      </c>
      <c r="C134" s="2" t="s">
        <v>39</v>
      </c>
      <c r="D134" s="75">
        <v>41834</v>
      </c>
      <c r="E134">
        <v>1055385</v>
      </c>
      <c r="F134" s="2">
        <v>65121.15</v>
      </c>
      <c r="G134" s="76">
        <v>41841</v>
      </c>
      <c r="H134" s="73">
        <f t="shared" si="2"/>
        <v>-121.15000000000146</v>
      </c>
      <c r="I134" s="73">
        <f t="shared" si="3"/>
        <v>-3000.2099999999809</v>
      </c>
    </row>
    <row r="135" spans="1:10" x14ac:dyDescent="0.25">
      <c r="A135" t="s">
        <v>454</v>
      </c>
      <c r="B135" s="2">
        <v>68000</v>
      </c>
      <c r="C135" s="2" t="s">
        <v>84</v>
      </c>
      <c r="D135" s="75">
        <v>41838</v>
      </c>
      <c r="E135">
        <v>1056831</v>
      </c>
      <c r="F135" s="2">
        <v>65001.64</v>
      </c>
      <c r="G135" s="76">
        <v>41844</v>
      </c>
      <c r="H135" s="73">
        <f t="shared" ref="H135:H198" si="4">B135-F135</f>
        <v>2998.3600000000006</v>
      </c>
      <c r="I135" s="73">
        <f t="shared" si="3"/>
        <v>-1.8499999999803549</v>
      </c>
    </row>
    <row r="136" spans="1:10" x14ac:dyDescent="0.25">
      <c r="A136" t="s">
        <v>455</v>
      </c>
      <c r="B136" s="2">
        <v>65000</v>
      </c>
      <c r="C136" s="2" t="s">
        <v>39</v>
      </c>
      <c r="D136" s="75">
        <v>41841</v>
      </c>
      <c r="E136">
        <v>1057064</v>
      </c>
      <c r="F136" s="2">
        <v>65321.65</v>
      </c>
      <c r="G136" s="76">
        <v>41845</v>
      </c>
      <c r="H136" s="73">
        <f t="shared" si="4"/>
        <v>-321.65000000000146</v>
      </c>
      <c r="I136" s="73">
        <f t="shared" ref="I136:I199" si="5">I135+H136</f>
        <v>-323.49999999998181</v>
      </c>
    </row>
    <row r="137" spans="1:10" x14ac:dyDescent="0.25">
      <c r="A137" t="s">
        <v>456</v>
      </c>
      <c r="B137" s="37">
        <v>45000</v>
      </c>
      <c r="C137" s="2" t="s">
        <v>457</v>
      </c>
      <c r="D137" s="75">
        <v>41843</v>
      </c>
      <c r="E137">
        <v>1059258</v>
      </c>
      <c r="F137" s="2">
        <v>44328</v>
      </c>
      <c r="G137" s="76">
        <v>41852</v>
      </c>
      <c r="H137" s="73">
        <f t="shared" si="4"/>
        <v>672</v>
      </c>
      <c r="I137" s="73">
        <f t="shared" si="5"/>
        <v>348.50000000001819</v>
      </c>
      <c r="J137" t="s">
        <v>458</v>
      </c>
    </row>
    <row r="138" spans="1:10" x14ac:dyDescent="0.25">
      <c r="A138" t="s">
        <v>459</v>
      </c>
      <c r="B138" s="2">
        <v>66000</v>
      </c>
      <c r="C138" s="2" t="s">
        <v>84</v>
      </c>
      <c r="D138" s="75">
        <v>41845</v>
      </c>
      <c r="E138">
        <v>1058494</v>
      </c>
      <c r="F138" s="2">
        <v>65740.17</v>
      </c>
      <c r="G138" s="76">
        <v>41850</v>
      </c>
      <c r="H138" s="73">
        <f t="shared" si="4"/>
        <v>259.83000000000175</v>
      </c>
      <c r="I138" s="73">
        <f t="shared" si="5"/>
        <v>608.33000000001994</v>
      </c>
    </row>
    <row r="139" spans="1:10" x14ac:dyDescent="0.25">
      <c r="A139" t="s">
        <v>460</v>
      </c>
      <c r="B139" s="2">
        <v>67000</v>
      </c>
      <c r="C139" s="2" t="s">
        <v>361</v>
      </c>
      <c r="D139" s="75">
        <v>41848</v>
      </c>
      <c r="E139">
        <v>1059194</v>
      </c>
      <c r="F139" s="2">
        <v>66261.47</v>
      </c>
      <c r="G139" s="76">
        <v>41852</v>
      </c>
      <c r="H139" s="73">
        <f t="shared" si="4"/>
        <v>738.52999999999884</v>
      </c>
      <c r="I139" s="73">
        <f t="shared" si="5"/>
        <v>1346.8600000000188</v>
      </c>
    </row>
    <row r="140" spans="1:10" x14ac:dyDescent="0.25">
      <c r="A140" t="s">
        <v>461</v>
      </c>
      <c r="B140" s="2">
        <v>65000</v>
      </c>
      <c r="C140" s="2" t="s">
        <v>84</v>
      </c>
      <c r="D140" s="75">
        <v>41852</v>
      </c>
      <c r="E140">
        <v>1060574</v>
      </c>
      <c r="F140" s="2">
        <v>66268.45</v>
      </c>
      <c r="G140" s="76">
        <v>41857</v>
      </c>
      <c r="H140" s="73">
        <f t="shared" si="4"/>
        <v>-1268.4499999999971</v>
      </c>
      <c r="I140" s="73">
        <f t="shared" si="5"/>
        <v>78.410000000021682</v>
      </c>
    </row>
    <row r="141" spans="1:10" x14ac:dyDescent="0.25">
      <c r="A141" t="s">
        <v>462</v>
      </c>
      <c r="B141" s="2">
        <v>65000</v>
      </c>
      <c r="C141" s="2" t="s">
        <v>39</v>
      </c>
      <c r="D141" s="75">
        <v>41855</v>
      </c>
      <c r="E141">
        <v>1061066</v>
      </c>
      <c r="F141" s="2">
        <v>65506.04</v>
      </c>
      <c r="G141" s="76">
        <v>41859</v>
      </c>
      <c r="H141" s="73">
        <f t="shared" si="4"/>
        <v>-506.04000000000087</v>
      </c>
      <c r="I141" s="73">
        <f t="shared" si="5"/>
        <v>-427.62999999997919</v>
      </c>
    </row>
    <row r="142" spans="1:10" x14ac:dyDescent="0.25">
      <c r="A142" t="s">
        <v>463</v>
      </c>
      <c r="B142" s="2">
        <v>65000</v>
      </c>
      <c r="C142" s="2" t="s">
        <v>84</v>
      </c>
      <c r="D142" s="75">
        <v>41859</v>
      </c>
      <c r="E142">
        <v>1062656</v>
      </c>
      <c r="F142" s="2">
        <v>62361.48</v>
      </c>
      <c r="G142" s="76">
        <v>41864</v>
      </c>
      <c r="H142" s="73">
        <f t="shared" si="4"/>
        <v>2638.5199999999968</v>
      </c>
      <c r="I142" s="73">
        <f t="shared" si="5"/>
        <v>2210.8900000000176</v>
      </c>
    </row>
    <row r="143" spans="1:10" x14ac:dyDescent="0.25">
      <c r="A143" t="s">
        <v>464</v>
      </c>
      <c r="B143" s="2">
        <v>67000</v>
      </c>
      <c r="C143" s="2" t="s">
        <v>39</v>
      </c>
      <c r="D143" s="75">
        <v>41862</v>
      </c>
      <c r="E143">
        <v>1062938</v>
      </c>
      <c r="F143" s="2">
        <v>53721.63</v>
      </c>
      <c r="G143" s="76">
        <v>41866</v>
      </c>
      <c r="H143" s="73">
        <f t="shared" si="4"/>
        <v>13278.370000000003</v>
      </c>
      <c r="I143" s="73">
        <f t="shared" si="5"/>
        <v>15489.26000000002</v>
      </c>
    </row>
    <row r="144" spans="1:10" x14ac:dyDescent="0.25">
      <c r="A144" t="s">
        <v>465</v>
      </c>
      <c r="B144" s="2">
        <v>60000</v>
      </c>
      <c r="C144" s="2" t="s">
        <v>84</v>
      </c>
      <c r="D144" s="75">
        <v>41866</v>
      </c>
      <c r="E144">
        <v>1064706</v>
      </c>
      <c r="F144" s="2">
        <v>48875.86</v>
      </c>
      <c r="G144" s="76">
        <v>41871</v>
      </c>
      <c r="H144" s="73">
        <f t="shared" si="4"/>
        <v>11124.14</v>
      </c>
      <c r="I144" s="73">
        <f t="shared" si="5"/>
        <v>26613.40000000002</v>
      </c>
    </row>
    <row r="145" spans="1:10" x14ac:dyDescent="0.25">
      <c r="A145" t="s">
        <v>466</v>
      </c>
      <c r="B145" s="2">
        <v>30000</v>
      </c>
      <c r="C145" s="2" t="s">
        <v>39</v>
      </c>
      <c r="D145" s="75">
        <v>41869</v>
      </c>
      <c r="E145">
        <v>1064884</v>
      </c>
      <c r="F145" s="2">
        <v>47058.47</v>
      </c>
      <c r="G145" s="76">
        <v>41873</v>
      </c>
      <c r="H145" s="73">
        <f t="shared" si="4"/>
        <v>-17058.47</v>
      </c>
      <c r="I145" s="73">
        <f t="shared" si="5"/>
        <v>9554.9300000000185</v>
      </c>
    </row>
    <row r="146" spans="1:10" x14ac:dyDescent="0.25">
      <c r="A146" t="s">
        <v>467</v>
      </c>
      <c r="B146" s="2">
        <v>40000</v>
      </c>
      <c r="C146" s="2" t="s">
        <v>84</v>
      </c>
      <c r="D146" s="75">
        <v>41873</v>
      </c>
      <c r="E146">
        <v>1066388</v>
      </c>
      <c r="F146" s="2">
        <v>45979.91</v>
      </c>
      <c r="G146" s="76">
        <v>41878</v>
      </c>
      <c r="H146" s="73">
        <f t="shared" si="4"/>
        <v>-5979.9100000000035</v>
      </c>
      <c r="I146" s="73">
        <f t="shared" si="5"/>
        <v>3575.020000000015</v>
      </c>
    </row>
    <row r="147" spans="1:10" x14ac:dyDescent="0.25">
      <c r="A147" t="s">
        <v>468</v>
      </c>
      <c r="B147" s="2">
        <v>40000</v>
      </c>
      <c r="C147" s="2" t="s">
        <v>39</v>
      </c>
      <c r="D147" s="75">
        <v>41876</v>
      </c>
      <c r="E147">
        <v>1066954</v>
      </c>
      <c r="F147" s="2">
        <v>45422.23</v>
      </c>
      <c r="G147" s="76">
        <v>41880</v>
      </c>
      <c r="H147" s="73">
        <f t="shared" si="4"/>
        <v>-5422.2300000000032</v>
      </c>
      <c r="I147" s="73">
        <f t="shared" si="5"/>
        <v>-1847.2099999999882</v>
      </c>
    </row>
    <row r="148" spans="1:10" x14ac:dyDescent="0.25">
      <c r="A148" t="s">
        <v>469</v>
      </c>
      <c r="B148" s="2">
        <v>45000</v>
      </c>
      <c r="C148" s="2" t="s">
        <v>84</v>
      </c>
      <c r="D148" s="75">
        <v>41880</v>
      </c>
      <c r="E148">
        <v>1068801</v>
      </c>
      <c r="F148" s="2">
        <v>46761.15</v>
      </c>
      <c r="G148" s="76">
        <v>41886</v>
      </c>
      <c r="H148" s="73">
        <f t="shared" si="4"/>
        <v>-1761.1500000000015</v>
      </c>
      <c r="I148" s="73">
        <f t="shared" si="5"/>
        <v>-3608.3599999999897</v>
      </c>
    </row>
    <row r="149" spans="1:10" x14ac:dyDescent="0.25">
      <c r="A149" t="s">
        <v>470</v>
      </c>
      <c r="B149" s="2">
        <v>45000</v>
      </c>
      <c r="C149" s="2" t="s">
        <v>39</v>
      </c>
      <c r="D149" s="75">
        <v>41883</v>
      </c>
      <c r="E149">
        <v>1068802</v>
      </c>
      <c r="F149" s="2">
        <v>46835.94</v>
      </c>
      <c r="G149" s="76">
        <v>41887</v>
      </c>
      <c r="H149" s="73">
        <f t="shared" si="4"/>
        <v>-1835.9400000000023</v>
      </c>
      <c r="I149" s="73">
        <f t="shared" si="5"/>
        <v>-5444.299999999992</v>
      </c>
    </row>
    <row r="150" spans="1:10" x14ac:dyDescent="0.25">
      <c r="A150" t="s">
        <v>471</v>
      </c>
      <c r="B150" s="2">
        <v>50000</v>
      </c>
      <c r="C150" s="2" t="s">
        <v>84</v>
      </c>
      <c r="D150" s="75">
        <v>41887</v>
      </c>
      <c r="E150">
        <v>1070581</v>
      </c>
      <c r="F150" s="2">
        <v>45910.41</v>
      </c>
      <c r="G150" s="76">
        <v>41892</v>
      </c>
      <c r="H150" s="73">
        <f t="shared" si="4"/>
        <v>4089.5899999999965</v>
      </c>
      <c r="I150" s="73">
        <f t="shared" si="5"/>
        <v>-1354.7099999999955</v>
      </c>
    </row>
    <row r="151" spans="1:10" x14ac:dyDescent="0.25">
      <c r="A151" t="s">
        <v>472</v>
      </c>
      <c r="B151" s="2">
        <v>48000</v>
      </c>
      <c r="C151" s="2" t="s">
        <v>361</v>
      </c>
      <c r="D151" s="75">
        <v>41890</v>
      </c>
      <c r="E151">
        <v>1070986</v>
      </c>
      <c r="F151" s="2">
        <v>50116.07</v>
      </c>
      <c r="G151" s="76">
        <v>41894</v>
      </c>
      <c r="H151" s="73">
        <f t="shared" si="4"/>
        <v>-2116.0699999999997</v>
      </c>
      <c r="I151" s="73">
        <f t="shared" si="5"/>
        <v>-3470.7799999999952</v>
      </c>
    </row>
    <row r="152" spans="1:10" x14ac:dyDescent="0.25">
      <c r="A152" t="s">
        <v>473</v>
      </c>
      <c r="B152" s="37">
        <v>50000</v>
      </c>
      <c r="C152" s="2" t="s">
        <v>84</v>
      </c>
      <c r="D152" s="75">
        <v>41894</v>
      </c>
      <c r="E152">
        <v>1072858</v>
      </c>
      <c r="F152" s="2">
        <v>52432.12</v>
      </c>
      <c r="G152" s="76">
        <v>41899</v>
      </c>
      <c r="H152" s="73">
        <f t="shared" si="4"/>
        <v>-2432.1200000000026</v>
      </c>
      <c r="I152" s="73">
        <f t="shared" si="5"/>
        <v>-5902.8999999999978</v>
      </c>
    </row>
    <row r="153" spans="1:10" x14ac:dyDescent="0.25">
      <c r="A153" t="s">
        <v>474</v>
      </c>
      <c r="B153" s="2">
        <v>52000</v>
      </c>
      <c r="C153" s="2" t="s">
        <v>39</v>
      </c>
      <c r="D153" s="75">
        <v>41897</v>
      </c>
      <c r="E153">
        <v>1073566</v>
      </c>
      <c r="F153" s="2">
        <v>52140.11</v>
      </c>
      <c r="G153" s="76">
        <v>41901</v>
      </c>
      <c r="H153" s="73">
        <f t="shared" si="4"/>
        <v>-140.11000000000058</v>
      </c>
      <c r="I153" s="73">
        <f t="shared" si="5"/>
        <v>-6043.0099999999984</v>
      </c>
    </row>
    <row r="154" spans="1:10" x14ac:dyDescent="0.25">
      <c r="A154" t="s">
        <v>475</v>
      </c>
      <c r="B154" s="2">
        <v>55000</v>
      </c>
      <c r="C154" s="2" t="s">
        <v>84</v>
      </c>
      <c r="D154" s="75">
        <v>41901</v>
      </c>
      <c r="E154">
        <v>1074644</v>
      </c>
      <c r="F154" s="2">
        <v>56584.17</v>
      </c>
      <c r="G154" s="76">
        <v>41906</v>
      </c>
      <c r="H154" s="73">
        <f t="shared" si="4"/>
        <v>-1584.1699999999983</v>
      </c>
      <c r="I154" s="73">
        <f t="shared" si="5"/>
        <v>-7627.1799999999967</v>
      </c>
    </row>
    <row r="155" spans="1:10" x14ac:dyDescent="0.25">
      <c r="A155" t="s">
        <v>476</v>
      </c>
      <c r="B155" s="2">
        <v>55000</v>
      </c>
      <c r="C155" s="2" t="s">
        <v>39</v>
      </c>
      <c r="D155" s="75">
        <v>41904</v>
      </c>
      <c r="E155">
        <v>1075276</v>
      </c>
      <c r="F155" s="2">
        <v>59406.14</v>
      </c>
      <c r="G155" s="76">
        <v>41908</v>
      </c>
      <c r="H155" s="73">
        <f t="shared" si="4"/>
        <v>-4406.1399999999994</v>
      </c>
      <c r="I155" s="73">
        <f t="shared" si="5"/>
        <v>-12033.319999999996</v>
      </c>
      <c r="J155" t="s">
        <v>477</v>
      </c>
    </row>
    <row r="156" spans="1:10" x14ac:dyDescent="0.25">
      <c r="A156" t="s">
        <v>478</v>
      </c>
      <c r="B156" s="2">
        <v>62000</v>
      </c>
      <c r="C156" s="2" t="s">
        <v>84</v>
      </c>
      <c r="D156" s="75">
        <v>41908</v>
      </c>
      <c r="E156">
        <v>1076818</v>
      </c>
      <c r="F156" s="2">
        <v>59294.16</v>
      </c>
      <c r="G156" s="76">
        <v>41913</v>
      </c>
      <c r="H156" s="73">
        <f t="shared" si="4"/>
        <v>2705.8399999999965</v>
      </c>
      <c r="I156" s="73">
        <f t="shared" si="5"/>
        <v>-9327.48</v>
      </c>
    </row>
    <row r="157" spans="1:10" x14ac:dyDescent="0.25">
      <c r="A157" t="s">
        <v>479</v>
      </c>
      <c r="B157" s="2">
        <v>60000</v>
      </c>
      <c r="C157" s="2" t="s">
        <v>39</v>
      </c>
      <c r="D157" s="75">
        <v>41912</v>
      </c>
      <c r="E157">
        <v>1077737</v>
      </c>
      <c r="F157" s="2">
        <v>49579.199999999997</v>
      </c>
      <c r="G157" s="76">
        <v>41915</v>
      </c>
      <c r="H157" s="73">
        <f t="shared" si="4"/>
        <v>10420.800000000003</v>
      </c>
      <c r="I157" s="73">
        <f t="shared" si="5"/>
        <v>1093.3200000000033</v>
      </c>
      <c r="J157" t="s">
        <v>458</v>
      </c>
    </row>
    <row r="158" spans="1:10" x14ac:dyDescent="0.25">
      <c r="A158" t="s">
        <v>480</v>
      </c>
      <c r="B158" s="2">
        <v>67000</v>
      </c>
      <c r="C158" s="2" t="s">
        <v>39</v>
      </c>
      <c r="D158" s="75">
        <v>41911</v>
      </c>
      <c r="E158">
        <v>1077489</v>
      </c>
      <c r="F158" s="2">
        <v>60755.44</v>
      </c>
      <c r="G158" s="76">
        <v>41915</v>
      </c>
      <c r="H158" s="73">
        <f t="shared" si="4"/>
        <v>6244.5599999999977</v>
      </c>
      <c r="I158" s="73">
        <f t="shared" si="5"/>
        <v>7337.880000000001</v>
      </c>
    </row>
    <row r="159" spans="1:10" x14ac:dyDescent="0.25">
      <c r="A159" t="s">
        <v>481</v>
      </c>
      <c r="B159" s="2">
        <v>67000</v>
      </c>
      <c r="C159" s="2" t="s">
        <v>39</v>
      </c>
      <c r="D159" s="75">
        <v>41911</v>
      </c>
      <c r="E159">
        <v>1077490</v>
      </c>
      <c r="F159" s="2">
        <v>60786.87</v>
      </c>
      <c r="G159" s="76">
        <v>41915</v>
      </c>
      <c r="H159" s="73">
        <f t="shared" si="4"/>
        <v>6213.1299999999974</v>
      </c>
      <c r="I159" s="73">
        <f t="shared" si="5"/>
        <v>13551.009999999998</v>
      </c>
    </row>
    <row r="160" spans="1:10" x14ac:dyDescent="0.25">
      <c r="A160" t="s">
        <v>482</v>
      </c>
      <c r="B160" s="2">
        <v>50000</v>
      </c>
      <c r="C160" s="2" t="s">
        <v>84</v>
      </c>
      <c r="D160" s="79">
        <v>41918</v>
      </c>
      <c r="E160">
        <v>1079277</v>
      </c>
      <c r="F160" s="2">
        <v>63545.47</v>
      </c>
      <c r="G160" s="76">
        <v>41920</v>
      </c>
      <c r="H160" s="73">
        <f t="shared" si="4"/>
        <v>-13545.470000000001</v>
      </c>
      <c r="I160" s="73">
        <f t="shared" si="5"/>
        <v>5.5399999999972351</v>
      </c>
    </row>
    <row r="161" spans="1:10" x14ac:dyDescent="0.25">
      <c r="A161" t="s">
        <v>483</v>
      </c>
      <c r="B161" s="2">
        <v>62000</v>
      </c>
      <c r="C161" s="2" t="s">
        <v>39</v>
      </c>
      <c r="D161" s="75">
        <v>41918</v>
      </c>
      <c r="E161">
        <v>1079751</v>
      </c>
      <c r="F161" s="2">
        <v>63719.05</v>
      </c>
      <c r="G161" s="76">
        <v>41922</v>
      </c>
      <c r="H161" s="73">
        <f t="shared" si="4"/>
        <v>-1719.0500000000029</v>
      </c>
      <c r="I161" s="73">
        <f t="shared" si="5"/>
        <v>-1713.5100000000057</v>
      </c>
    </row>
    <row r="162" spans="1:10" x14ac:dyDescent="0.25">
      <c r="A162" t="s">
        <v>484</v>
      </c>
      <c r="B162" s="2">
        <v>64000</v>
      </c>
      <c r="C162" s="2" t="s">
        <v>485</v>
      </c>
      <c r="D162" s="75">
        <v>41922</v>
      </c>
      <c r="E162">
        <v>1081330</v>
      </c>
      <c r="F162" s="2">
        <v>65160.959999999999</v>
      </c>
      <c r="G162" s="76">
        <v>41927</v>
      </c>
      <c r="H162" s="73">
        <f t="shared" si="4"/>
        <v>-1160.9599999999991</v>
      </c>
      <c r="I162" s="73">
        <f t="shared" si="5"/>
        <v>-2874.4700000000048</v>
      </c>
    </row>
    <row r="163" spans="1:10" x14ac:dyDescent="0.25">
      <c r="A163" t="s">
        <v>486</v>
      </c>
      <c r="B163" s="80"/>
      <c r="C163" s="80" t="s">
        <v>39</v>
      </c>
      <c r="D163" s="81"/>
      <c r="E163" s="82" t="s">
        <v>487</v>
      </c>
      <c r="F163" s="80"/>
      <c r="G163" s="76">
        <v>41929</v>
      </c>
      <c r="H163" s="73">
        <f t="shared" si="4"/>
        <v>0</v>
      </c>
      <c r="I163" s="73">
        <f t="shared" si="5"/>
        <v>-2874.4700000000048</v>
      </c>
      <c r="J163" t="s">
        <v>488</v>
      </c>
    </row>
    <row r="164" spans="1:10" x14ac:dyDescent="0.25">
      <c r="A164" t="s">
        <v>489</v>
      </c>
      <c r="B164" s="2">
        <v>65000</v>
      </c>
      <c r="C164" s="2" t="s">
        <v>39</v>
      </c>
      <c r="D164" s="75">
        <v>41925</v>
      </c>
      <c r="E164">
        <v>1083479</v>
      </c>
      <c r="F164" s="2">
        <v>53597.26</v>
      </c>
      <c r="G164" s="76">
        <v>41934</v>
      </c>
      <c r="H164" s="73">
        <f t="shared" si="4"/>
        <v>11402.739999999998</v>
      </c>
      <c r="I164" s="73">
        <f t="shared" si="5"/>
        <v>8528.2699999999932</v>
      </c>
    </row>
    <row r="165" spans="1:10" x14ac:dyDescent="0.25">
      <c r="A165" t="s">
        <v>490</v>
      </c>
      <c r="B165" s="80"/>
      <c r="C165" s="80" t="s">
        <v>50</v>
      </c>
      <c r="D165" s="81">
        <v>41934</v>
      </c>
      <c r="E165" s="82" t="s">
        <v>487</v>
      </c>
      <c r="F165" s="80"/>
      <c r="G165" s="76">
        <v>41936</v>
      </c>
      <c r="H165" s="73">
        <f t="shared" si="4"/>
        <v>0</v>
      </c>
      <c r="I165" s="73">
        <f t="shared" si="5"/>
        <v>8528.2699999999932</v>
      </c>
    </row>
    <row r="166" spans="1:10" x14ac:dyDescent="0.25">
      <c r="A166" t="s">
        <v>491</v>
      </c>
      <c r="B166" s="2">
        <v>45000</v>
      </c>
      <c r="C166" s="2" t="s">
        <v>84</v>
      </c>
      <c r="D166" s="75">
        <v>41936</v>
      </c>
      <c r="E166">
        <v>1085413</v>
      </c>
      <c r="F166" s="2">
        <v>41746.99</v>
      </c>
      <c r="G166" s="76">
        <v>41941</v>
      </c>
      <c r="H166" s="73">
        <f t="shared" si="4"/>
        <v>3253.010000000002</v>
      </c>
      <c r="I166" s="73">
        <f t="shared" si="5"/>
        <v>11781.279999999995</v>
      </c>
    </row>
    <row r="167" spans="1:10" x14ac:dyDescent="0.25">
      <c r="A167" t="s">
        <v>492</v>
      </c>
      <c r="B167" s="2">
        <v>30000</v>
      </c>
      <c r="C167" s="2" t="s">
        <v>50</v>
      </c>
      <c r="D167" s="79">
        <v>41941</v>
      </c>
      <c r="E167" s="50">
        <v>1085887</v>
      </c>
      <c r="F167" s="2">
        <v>42060.31</v>
      </c>
      <c r="G167" s="76">
        <v>41943</v>
      </c>
      <c r="H167" s="73">
        <f t="shared" si="4"/>
        <v>-12060.309999999998</v>
      </c>
      <c r="I167" s="73">
        <f t="shared" si="5"/>
        <v>-279.03000000000247</v>
      </c>
    </row>
    <row r="168" spans="1:10" x14ac:dyDescent="0.25">
      <c r="B168" s="2">
        <v>279.02999999999997</v>
      </c>
      <c r="C168" s="2" t="s">
        <v>65</v>
      </c>
      <c r="D168" s="75">
        <v>41942</v>
      </c>
      <c r="E168" t="s">
        <v>493</v>
      </c>
      <c r="G168" s="76"/>
      <c r="H168" s="73">
        <f t="shared" si="4"/>
        <v>279.02999999999997</v>
      </c>
      <c r="I168" s="73">
        <f t="shared" si="5"/>
        <v>-2.5011104298755527E-12</v>
      </c>
    </row>
    <row r="169" spans="1:10" x14ac:dyDescent="0.25">
      <c r="A169" t="s">
        <v>481</v>
      </c>
      <c r="B169" s="2">
        <v>48000</v>
      </c>
      <c r="C169" s="2" t="s">
        <v>84</v>
      </c>
      <c r="D169" s="75">
        <v>41957</v>
      </c>
      <c r="E169">
        <v>1091680</v>
      </c>
      <c r="F169" s="2">
        <v>47222.37</v>
      </c>
      <c r="G169" s="76">
        <v>41962</v>
      </c>
      <c r="H169" s="73">
        <f t="shared" si="4"/>
        <v>777.62999999999738</v>
      </c>
      <c r="I169" s="73">
        <f t="shared" si="5"/>
        <v>777.62999999999488</v>
      </c>
    </row>
    <row r="170" spans="1:10" x14ac:dyDescent="0.25">
      <c r="A170" t="s">
        <v>494</v>
      </c>
      <c r="B170" s="2">
        <v>45000</v>
      </c>
      <c r="C170" s="2" t="s">
        <v>50</v>
      </c>
      <c r="D170" s="75">
        <v>41962</v>
      </c>
      <c r="E170">
        <v>1092382</v>
      </c>
      <c r="F170" s="2">
        <v>44084.85</v>
      </c>
      <c r="G170" s="76">
        <v>41964</v>
      </c>
      <c r="H170" s="73">
        <f t="shared" si="4"/>
        <v>915.15000000000146</v>
      </c>
      <c r="I170" s="73">
        <f t="shared" si="5"/>
        <v>1692.7799999999963</v>
      </c>
    </row>
    <row r="171" spans="1:10" x14ac:dyDescent="0.25">
      <c r="A171" t="s">
        <v>495</v>
      </c>
      <c r="B171" s="2">
        <v>46000</v>
      </c>
      <c r="C171" s="2" t="s">
        <v>65</v>
      </c>
      <c r="D171" s="75">
        <v>41963</v>
      </c>
      <c r="E171">
        <v>1094181</v>
      </c>
      <c r="F171" s="2">
        <v>45381.65</v>
      </c>
      <c r="G171" s="76">
        <v>41969</v>
      </c>
      <c r="H171" s="73">
        <f t="shared" si="4"/>
        <v>618.34999999999854</v>
      </c>
      <c r="I171" s="73">
        <f t="shared" si="5"/>
        <v>2311.1299999999947</v>
      </c>
    </row>
    <row r="172" spans="1:10" x14ac:dyDescent="0.25">
      <c r="A172" t="s">
        <v>496</v>
      </c>
      <c r="B172" s="2">
        <v>45000</v>
      </c>
      <c r="C172" s="2" t="s">
        <v>50</v>
      </c>
      <c r="D172" s="75">
        <v>41969</v>
      </c>
      <c r="E172">
        <v>1095649</v>
      </c>
      <c r="F172" s="2">
        <v>41913</v>
      </c>
      <c r="G172" s="76">
        <v>41976</v>
      </c>
      <c r="H172" s="73">
        <f t="shared" si="4"/>
        <v>3087</v>
      </c>
      <c r="I172" s="73">
        <f t="shared" si="5"/>
        <v>5398.1299999999947</v>
      </c>
    </row>
    <row r="173" spans="1:10" x14ac:dyDescent="0.25">
      <c r="A173" t="s">
        <v>497</v>
      </c>
      <c r="B173" s="2">
        <v>37000</v>
      </c>
      <c r="C173" s="2" t="s">
        <v>39</v>
      </c>
      <c r="D173" s="75">
        <v>41640</v>
      </c>
      <c r="E173">
        <v>1096597</v>
      </c>
      <c r="F173" s="2">
        <v>42776.6</v>
      </c>
      <c r="G173" s="76">
        <v>41978</v>
      </c>
      <c r="H173" s="73">
        <f t="shared" si="4"/>
        <v>-5776.5999999999985</v>
      </c>
      <c r="I173" s="73">
        <f t="shared" si="5"/>
        <v>-378.47000000000389</v>
      </c>
    </row>
    <row r="174" spans="1:10" x14ac:dyDescent="0.25">
      <c r="A174" t="s">
        <v>498</v>
      </c>
      <c r="B174" s="2">
        <v>43000</v>
      </c>
      <c r="C174" s="2" t="s">
        <v>39</v>
      </c>
      <c r="D174" s="75">
        <v>41981</v>
      </c>
      <c r="E174">
        <v>1099513</v>
      </c>
      <c r="F174" s="2">
        <v>39284.400000000001</v>
      </c>
      <c r="G174" s="76">
        <v>41988</v>
      </c>
      <c r="H174" s="73">
        <f t="shared" si="4"/>
        <v>3715.5999999999985</v>
      </c>
      <c r="I174" s="73">
        <f t="shared" si="5"/>
        <v>3337.1299999999947</v>
      </c>
    </row>
    <row r="175" spans="1:10" x14ac:dyDescent="0.25">
      <c r="A175" t="s">
        <v>499</v>
      </c>
      <c r="B175" s="37">
        <v>43000</v>
      </c>
      <c r="C175" s="2" t="s">
        <v>65</v>
      </c>
      <c r="D175" s="75">
        <v>41984</v>
      </c>
      <c r="E175">
        <v>1098503</v>
      </c>
      <c r="F175" s="2">
        <v>42371.1</v>
      </c>
      <c r="G175" s="76">
        <v>41985</v>
      </c>
      <c r="H175" s="73">
        <f t="shared" si="4"/>
        <v>628.90000000000146</v>
      </c>
      <c r="I175" s="73">
        <f t="shared" si="5"/>
        <v>3966.0299999999961</v>
      </c>
    </row>
    <row r="176" spans="1:10" x14ac:dyDescent="0.25">
      <c r="A176" t="s">
        <v>500</v>
      </c>
      <c r="B176" s="37">
        <v>43000</v>
      </c>
      <c r="C176" s="2" t="s">
        <v>65</v>
      </c>
      <c r="D176" s="75">
        <v>41984</v>
      </c>
      <c r="E176">
        <v>1100255</v>
      </c>
      <c r="F176" s="2">
        <v>39008.89</v>
      </c>
      <c r="G176" s="76">
        <v>41990</v>
      </c>
      <c r="H176" s="73">
        <f t="shared" si="4"/>
        <v>3991.1100000000006</v>
      </c>
      <c r="I176" s="73">
        <f t="shared" si="5"/>
        <v>7957.1399999999967</v>
      </c>
    </row>
    <row r="177" spans="1:9" x14ac:dyDescent="0.25">
      <c r="A177" t="s">
        <v>501</v>
      </c>
      <c r="B177" s="2">
        <v>43000</v>
      </c>
      <c r="C177" s="2" t="s">
        <v>39</v>
      </c>
      <c r="D177" s="75">
        <v>41988</v>
      </c>
      <c r="E177">
        <v>1100140</v>
      </c>
      <c r="F177" s="2">
        <v>38441.870000000003</v>
      </c>
      <c r="G177" s="76">
        <v>41990</v>
      </c>
      <c r="H177" s="73">
        <f t="shared" si="4"/>
        <v>4558.1299999999974</v>
      </c>
      <c r="I177" s="73">
        <f t="shared" si="5"/>
        <v>12515.269999999993</v>
      </c>
    </row>
    <row r="178" spans="1:9" x14ac:dyDescent="0.25">
      <c r="A178" t="s">
        <v>502</v>
      </c>
      <c r="B178" s="2">
        <v>35000</v>
      </c>
      <c r="C178" s="2" t="s">
        <v>50</v>
      </c>
      <c r="D178" s="75">
        <v>41990</v>
      </c>
      <c r="E178">
        <v>1101027</v>
      </c>
      <c r="F178" s="2">
        <v>38132.089999999997</v>
      </c>
      <c r="G178" s="76">
        <v>41992</v>
      </c>
      <c r="H178" s="73">
        <f t="shared" si="4"/>
        <v>-3132.0899999999965</v>
      </c>
      <c r="I178" s="73">
        <f t="shared" si="5"/>
        <v>9383.1799999999967</v>
      </c>
    </row>
    <row r="179" spans="1:9" x14ac:dyDescent="0.25">
      <c r="A179" t="s">
        <v>503</v>
      </c>
      <c r="B179" s="2">
        <v>35000</v>
      </c>
      <c r="C179" s="2" t="s">
        <v>50</v>
      </c>
      <c r="D179" s="75">
        <v>41990</v>
      </c>
      <c r="E179">
        <v>1101028</v>
      </c>
      <c r="F179" s="2">
        <v>38306.35</v>
      </c>
      <c r="G179" s="76">
        <v>41992</v>
      </c>
      <c r="H179" s="73">
        <f t="shared" si="4"/>
        <v>-3306.3499999999985</v>
      </c>
      <c r="I179" s="73">
        <f t="shared" si="5"/>
        <v>6076.8299999999981</v>
      </c>
    </row>
    <row r="180" spans="1:9" x14ac:dyDescent="0.25">
      <c r="A180" t="s">
        <v>504</v>
      </c>
      <c r="B180" s="2">
        <v>30000</v>
      </c>
      <c r="C180" s="2" t="s">
        <v>65</v>
      </c>
      <c r="D180" s="75">
        <v>41991</v>
      </c>
      <c r="E180">
        <v>1101265</v>
      </c>
      <c r="F180" s="2">
        <v>35179.589999999997</v>
      </c>
      <c r="G180" s="76">
        <v>41996</v>
      </c>
      <c r="H180" s="73">
        <f t="shared" si="4"/>
        <v>-5179.5899999999965</v>
      </c>
      <c r="I180" s="73">
        <f t="shared" si="5"/>
        <v>897.2400000000016</v>
      </c>
    </row>
    <row r="181" spans="1:9" x14ac:dyDescent="0.25">
      <c r="A181" t="s">
        <v>505</v>
      </c>
      <c r="B181" s="2">
        <v>35000</v>
      </c>
      <c r="C181" s="2" t="s">
        <v>45</v>
      </c>
      <c r="D181" s="75">
        <v>41996</v>
      </c>
      <c r="E181">
        <v>1102687</v>
      </c>
      <c r="F181" s="2">
        <v>33693.89</v>
      </c>
      <c r="G181" s="76">
        <v>41999</v>
      </c>
      <c r="H181" s="73">
        <f t="shared" si="4"/>
        <v>1306.1100000000006</v>
      </c>
      <c r="I181" s="73">
        <f t="shared" si="5"/>
        <v>2203.3500000000022</v>
      </c>
    </row>
    <row r="182" spans="1:9" x14ac:dyDescent="0.25">
      <c r="A182" t="s">
        <v>506</v>
      </c>
      <c r="B182" s="2">
        <v>33000</v>
      </c>
      <c r="C182" s="2" t="s">
        <v>84</v>
      </c>
      <c r="D182" s="75">
        <v>41999</v>
      </c>
      <c r="E182">
        <v>1104146</v>
      </c>
      <c r="F182" s="2">
        <v>33934.769999999997</v>
      </c>
      <c r="G182" s="76">
        <v>42003</v>
      </c>
      <c r="H182" s="73">
        <f t="shared" si="4"/>
        <v>-934.7699999999968</v>
      </c>
      <c r="I182" s="73">
        <f t="shared" si="5"/>
        <v>1268.5800000000054</v>
      </c>
    </row>
    <row r="183" spans="1:9" x14ac:dyDescent="0.25">
      <c r="A183" t="s">
        <v>507</v>
      </c>
      <c r="B183" s="2">
        <v>68000</v>
      </c>
      <c r="C183" s="2" t="s">
        <v>485</v>
      </c>
      <c r="D183" s="75">
        <v>41999</v>
      </c>
      <c r="E183">
        <v>1103502</v>
      </c>
      <c r="F183" s="2">
        <v>63552</v>
      </c>
      <c r="G183" s="76">
        <v>42002</v>
      </c>
      <c r="H183" s="73">
        <f t="shared" si="4"/>
        <v>4448</v>
      </c>
      <c r="I183" s="73">
        <f t="shared" si="5"/>
        <v>5716.5800000000054</v>
      </c>
    </row>
    <row r="184" spans="1:9" x14ac:dyDescent="0.25">
      <c r="A184" t="s">
        <v>508</v>
      </c>
      <c r="B184" s="2">
        <v>30000</v>
      </c>
      <c r="C184" s="2" t="s">
        <v>84</v>
      </c>
      <c r="D184" s="75">
        <v>42006</v>
      </c>
      <c r="E184">
        <v>1106118</v>
      </c>
      <c r="F184" s="2">
        <v>30983.68</v>
      </c>
      <c r="G184" s="76">
        <v>42011</v>
      </c>
      <c r="H184" s="73">
        <f t="shared" si="4"/>
        <v>-983.68000000000029</v>
      </c>
      <c r="I184" s="73">
        <f t="shared" si="5"/>
        <v>4732.9000000000051</v>
      </c>
    </row>
    <row r="185" spans="1:9" x14ac:dyDescent="0.25">
      <c r="A185" t="s">
        <v>509</v>
      </c>
      <c r="B185" s="2">
        <v>30000</v>
      </c>
      <c r="C185" s="2" t="s">
        <v>39</v>
      </c>
      <c r="D185" s="75">
        <v>42009</v>
      </c>
      <c r="E185">
        <v>1106545</v>
      </c>
      <c r="F185" s="2">
        <v>31430.54</v>
      </c>
      <c r="G185" s="76">
        <v>42013</v>
      </c>
      <c r="H185" s="73">
        <f t="shared" si="4"/>
        <v>-1430.5400000000009</v>
      </c>
      <c r="I185" s="73">
        <f t="shared" si="5"/>
        <v>3302.3600000000042</v>
      </c>
    </row>
    <row r="186" spans="1:9" x14ac:dyDescent="0.25">
      <c r="A186" t="s">
        <v>510</v>
      </c>
      <c r="B186" s="2">
        <v>30000</v>
      </c>
      <c r="C186" s="2" t="s">
        <v>65</v>
      </c>
      <c r="D186" s="75">
        <v>42012</v>
      </c>
      <c r="E186">
        <v>1108916</v>
      </c>
      <c r="F186" s="2">
        <v>35457.56</v>
      </c>
      <c r="G186" s="76">
        <v>42023</v>
      </c>
      <c r="H186" s="73">
        <f t="shared" si="4"/>
        <v>-5457.5599999999977</v>
      </c>
      <c r="I186" s="73">
        <f t="shared" si="5"/>
        <v>-2155.1999999999935</v>
      </c>
    </row>
    <row r="187" spans="1:9" x14ac:dyDescent="0.25">
      <c r="A187" t="s">
        <v>511</v>
      </c>
      <c r="B187" s="2">
        <v>30000</v>
      </c>
      <c r="C187" s="2" t="s">
        <v>39</v>
      </c>
      <c r="D187" s="75">
        <v>42016</v>
      </c>
      <c r="E187">
        <v>1108513</v>
      </c>
      <c r="F187" s="2">
        <v>35161.08</v>
      </c>
      <c r="G187" s="76">
        <v>42020</v>
      </c>
      <c r="H187" s="73">
        <f t="shared" si="4"/>
        <v>-5161.0800000000017</v>
      </c>
      <c r="I187" s="73">
        <f t="shared" si="5"/>
        <v>-7316.2799999999952</v>
      </c>
    </row>
    <row r="188" spans="1:9" x14ac:dyDescent="0.25">
      <c r="A188" t="s">
        <v>512</v>
      </c>
      <c r="B188" s="2">
        <v>30000</v>
      </c>
      <c r="C188" s="2" t="s">
        <v>84</v>
      </c>
      <c r="D188" s="75">
        <v>41655</v>
      </c>
      <c r="E188">
        <v>1109799</v>
      </c>
      <c r="F188" s="2">
        <v>35787.99</v>
      </c>
      <c r="G188" s="76">
        <v>42025</v>
      </c>
      <c r="H188" s="73">
        <f t="shared" si="4"/>
        <v>-5787.989999999998</v>
      </c>
      <c r="I188" s="73">
        <f t="shared" si="5"/>
        <v>-13104.269999999993</v>
      </c>
    </row>
    <row r="189" spans="1:9" x14ac:dyDescent="0.25">
      <c r="A189" t="s">
        <v>513</v>
      </c>
      <c r="B189" s="2">
        <v>40000</v>
      </c>
      <c r="C189" s="2" t="s">
        <v>39</v>
      </c>
      <c r="D189" s="75">
        <v>42023</v>
      </c>
      <c r="E189">
        <v>1110387</v>
      </c>
      <c r="F189" s="2">
        <v>36861.730000000003</v>
      </c>
      <c r="G189" s="76">
        <v>42027</v>
      </c>
      <c r="H189" s="73">
        <f t="shared" si="4"/>
        <v>3138.2699999999968</v>
      </c>
      <c r="I189" s="73">
        <f t="shared" si="5"/>
        <v>-9965.9999999999964</v>
      </c>
    </row>
    <row r="190" spans="1:9" x14ac:dyDescent="0.25">
      <c r="A190" t="s">
        <v>514</v>
      </c>
      <c r="B190" s="2">
        <v>45000</v>
      </c>
      <c r="C190" s="2" t="s">
        <v>84</v>
      </c>
      <c r="D190" s="75">
        <v>42027</v>
      </c>
      <c r="E190">
        <v>1111954</v>
      </c>
      <c r="F190" s="2">
        <v>37008.06</v>
      </c>
      <c r="G190" s="76">
        <v>42032</v>
      </c>
      <c r="H190" s="73">
        <f t="shared" si="4"/>
        <v>7991.9400000000023</v>
      </c>
      <c r="I190" s="73">
        <f t="shared" si="5"/>
        <v>-1974.059999999994</v>
      </c>
    </row>
    <row r="191" spans="1:9" x14ac:dyDescent="0.25">
      <c r="A191" t="s">
        <v>515</v>
      </c>
      <c r="B191" s="2">
        <v>38000</v>
      </c>
      <c r="C191" s="2" t="s">
        <v>39</v>
      </c>
      <c r="D191" s="75">
        <v>42030</v>
      </c>
      <c r="E191">
        <v>1112638</v>
      </c>
      <c r="F191" s="2">
        <v>35450.14</v>
      </c>
      <c r="G191" s="76">
        <v>42034</v>
      </c>
      <c r="H191" s="73">
        <f t="shared" si="4"/>
        <v>2549.8600000000006</v>
      </c>
      <c r="I191" s="73">
        <f t="shared" si="5"/>
        <v>575.80000000000655</v>
      </c>
    </row>
    <row r="192" spans="1:9" x14ac:dyDescent="0.25">
      <c r="A192" t="s">
        <v>516</v>
      </c>
      <c r="B192" s="2">
        <v>38000</v>
      </c>
      <c r="C192" s="2" t="s">
        <v>39</v>
      </c>
      <c r="D192" s="75">
        <v>42030</v>
      </c>
      <c r="E192">
        <v>1112191</v>
      </c>
      <c r="F192" s="2">
        <v>34863.33</v>
      </c>
      <c r="G192" s="76">
        <v>42034</v>
      </c>
      <c r="H192" s="73">
        <f t="shared" si="4"/>
        <v>3136.6699999999983</v>
      </c>
      <c r="I192" s="73">
        <f t="shared" si="5"/>
        <v>3712.4700000000048</v>
      </c>
    </row>
    <row r="193" spans="1:9" x14ac:dyDescent="0.25">
      <c r="A193" t="s">
        <v>517</v>
      </c>
      <c r="B193" s="2">
        <v>31000</v>
      </c>
      <c r="C193" s="2" t="s">
        <v>84</v>
      </c>
      <c r="D193" s="75">
        <v>42034</v>
      </c>
      <c r="E193">
        <v>1114433</v>
      </c>
      <c r="F193" s="2">
        <v>31345.39</v>
      </c>
      <c r="G193" s="75">
        <v>42039</v>
      </c>
      <c r="H193" s="73">
        <f t="shared" si="4"/>
        <v>-345.38999999999942</v>
      </c>
      <c r="I193" s="73">
        <f t="shared" si="5"/>
        <v>3367.0800000000054</v>
      </c>
    </row>
    <row r="194" spans="1:9" x14ac:dyDescent="0.25">
      <c r="A194" t="s">
        <v>518</v>
      </c>
      <c r="B194" s="2">
        <v>35000</v>
      </c>
      <c r="C194" s="2" t="s">
        <v>45</v>
      </c>
      <c r="D194" s="75">
        <v>42038</v>
      </c>
      <c r="E194">
        <v>1114745</v>
      </c>
      <c r="F194" s="2">
        <v>30005.34</v>
      </c>
      <c r="G194" s="75">
        <v>42041</v>
      </c>
      <c r="H194" s="73">
        <f t="shared" si="4"/>
        <v>4994.66</v>
      </c>
      <c r="I194" s="73">
        <f t="shared" si="5"/>
        <v>8361.7400000000052</v>
      </c>
    </row>
    <row r="195" spans="1:9" x14ac:dyDescent="0.25">
      <c r="A195" t="s">
        <v>519</v>
      </c>
      <c r="B195" s="2">
        <v>35000</v>
      </c>
      <c r="C195" s="2" t="s">
        <v>45</v>
      </c>
      <c r="D195" s="75">
        <v>42038</v>
      </c>
      <c r="E195">
        <v>1114746</v>
      </c>
      <c r="F195" s="2">
        <v>28630.86</v>
      </c>
      <c r="G195" s="76">
        <v>42041</v>
      </c>
      <c r="H195" s="73">
        <f t="shared" si="4"/>
        <v>6369.1399999999994</v>
      </c>
      <c r="I195" s="73">
        <f t="shared" si="5"/>
        <v>14730.880000000005</v>
      </c>
    </row>
    <row r="196" spans="1:9" x14ac:dyDescent="0.25">
      <c r="A196" t="s">
        <v>520</v>
      </c>
      <c r="B196" s="2">
        <v>15000</v>
      </c>
      <c r="C196" s="2" t="s">
        <v>39</v>
      </c>
      <c r="D196" s="75">
        <v>42044</v>
      </c>
      <c r="E196">
        <v>1116543</v>
      </c>
      <c r="F196" s="2">
        <v>28556.99</v>
      </c>
      <c r="G196" s="76">
        <v>42046</v>
      </c>
      <c r="H196" s="73">
        <f t="shared" si="4"/>
        <v>-13556.990000000002</v>
      </c>
      <c r="I196" s="73">
        <f t="shared" si="5"/>
        <v>1173.8900000000031</v>
      </c>
    </row>
    <row r="197" spans="1:9" x14ac:dyDescent="0.25">
      <c r="A197" t="s">
        <v>521</v>
      </c>
      <c r="B197" s="2">
        <v>29000</v>
      </c>
      <c r="C197" s="2" t="s">
        <v>50</v>
      </c>
      <c r="D197" s="75">
        <v>42046</v>
      </c>
      <c r="E197">
        <v>1117007</v>
      </c>
      <c r="F197" s="2">
        <v>29679.62</v>
      </c>
      <c r="G197" s="76">
        <v>42048</v>
      </c>
      <c r="H197" s="73">
        <f t="shared" si="4"/>
        <v>-679.61999999999898</v>
      </c>
      <c r="I197" s="73">
        <f t="shared" si="5"/>
        <v>494.27000000000407</v>
      </c>
    </row>
    <row r="198" spans="1:9" x14ac:dyDescent="0.25">
      <c r="A198" t="s">
        <v>522</v>
      </c>
      <c r="B198" s="2">
        <v>29000</v>
      </c>
      <c r="C198" s="2" t="s">
        <v>50</v>
      </c>
      <c r="D198" s="75">
        <v>42046</v>
      </c>
      <c r="E198">
        <v>1117008</v>
      </c>
      <c r="F198" s="2">
        <v>29594.87</v>
      </c>
      <c r="G198" s="76">
        <v>42048</v>
      </c>
      <c r="H198" s="73">
        <f t="shared" si="4"/>
        <v>-594.86999999999898</v>
      </c>
      <c r="I198" s="73">
        <f t="shared" si="5"/>
        <v>-100.59999999999491</v>
      </c>
    </row>
    <row r="199" spans="1:9" x14ac:dyDescent="0.25">
      <c r="A199" t="s">
        <v>523</v>
      </c>
      <c r="B199" s="2">
        <v>29000</v>
      </c>
      <c r="C199" s="2" t="s">
        <v>84</v>
      </c>
      <c r="D199" s="75">
        <v>42048</v>
      </c>
      <c r="E199">
        <v>1118550</v>
      </c>
      <c r="F199" s="2">
        <v>30284.9</v>
      </c>
      <c r="G199" s="76">
        <v>42053</v>
      </c>
      <c r="H199" s="73">
        <f t="shared" ref="H199:H262" si="6">B199-F199</f>
        <v>-1284.9000000000015</v>
      </c>
      <c r="I199" s="73">
        <f t="shared" si="5"/>
        <v>-1385.4999999999964</v>
      </c>
    </row>
    <row r="200" spans="1:9" x14ac:dyDescent="0.25">
      <c r="A200" t="s">
        <v>524</v>
      </c>
      <c r="B200" s="2">
        <v>30000</v>
      </c>
      <c r="C200" s="2" t="s">
        <v>39</v>
      </c>
      <c r="D200" s="75">
        <v>42051</v>
      </c>
      <c r="E200">
        <v>1118880</v>
      </c>
      <c r="F200" s="2">
        <v>30730.959999999999</v>
      </c>
      <c r="G200" s="76">
        <v>42055</v>
      </c>
      <c r="H200" s="73">
        <f t="shared" si="6"/>
        <v>-730.95999999999913</v>
      </c>
      <c r="I200" s="73">
        <f t="shared" ref="I200:I263" si="7">I199+H200</f>
        <v>-2116.4599999999955</v>
      </c>
    </row>
    <row r="201" spans="1:9" x14ac:dyDescent="0.25">
      <c r="A201" t="s">
        <v>525</v>
      </c>
      <c r="B201" s="2">
        <v>30000</v>
      </c>
      <c r="C201" s="2" t="s">
        <v>39</v>
      </c>
      <c r="D201" s="75">
        <v>42051</v>
      </c>
      <c r="E201">
        <v>1118881</v>
      </c>
      <c r="F201" s="2">
        <v>31023.39</v>
      </c>
      <c r="G201" s="76">
        <v>42055</v>
      </c>
      <c r="H201" s="73">
        <f t="shared" si="6"/>
        <v>-1023.3899999999994</v>
      </c>
      <c r="I201" s="73">
        <f t="shared" si="7"/>
        <v>-3139.8499999999949</v>
      </c>
    </row>
    <row r="202" spans="1:9" x14ac:dyDescent="0.25">
      <c r="A202" t="s">
        <v>526</v>
      </c>
      <c r="B202" s="2">
        <v>30000</v>
      </c>
      <c r="C202" s="2" t="s">
        <v>50</v>
      </c>
      <c r="D202" s="75">
        <v>42053</v>
      </c>
      <c r="E202">
        <v>1120714</v>
      </c>
      <c r="F202" s="2">
        <v>31665.27</v>
      </c>
      <c r="G202" s="76">
        <v>42060</v>
      </c>
      <c r="H202" s="73">
        <f t="shared" si="6"/>
        <v>-1665.2700000000004</v>
      </c>
      <c r="I202" s="73">
        <f t="shared" si="7"/>
        <v>-4805.1199999999953</v>
      </c>
    </row>
    <row r="203" spans="1:9" x14ac:dyDescent="0.25">
      <c r="A203" t="s">
        <v>527</v>
      </c>
      <c r="B203" s="2">
        <v>34000</v>
      </c>
      <c r="C203" s="2" t="s">
        <v>39</v>
      </c>
      <c r="D203" s="75">
        <v>42058</v>
      </c>
      <c r="E203">
        <v>1122002</v>
      </c>
      <c r="F203" s="2">
        <v>28384</v>
      </c>
      <c r="G203" s="76">
        <v>42065</v>
      </c>
      <c r="H203" s="73">
        <f t="shared" si="6"/>
        <v>5616</v>
      </c>
      <c r="I203" s="73">
        <f t="shared" si="7"/>
        <v>810.88000000000466</v>
      </c>
    </row>
    <row r="204" spans="1:9" x14ac:dyDescent="0.25">
      <c r="A204" t="s">
        <v>528</v>
      </c>
      <c r="B204" s="2">
        <v>34000</v>
      </c>
      <c r="C204" s="2" t="s">
        <v>39</v>
      </c>
      <c r="D204" s="75">
        <v>42058</v>
      </c>
      <c r="E204">
        <v>1121120</v>
      </c>
      <c r="F204" s="2">
        <v>29240.87</v>
      </c>
      <c r="G204" s="76">
        <v>42062</v>
      </c>
      <c r="H204" s="73">
        <f t="shared" si="6"/>
        <v>4759.130000000001</v>
      </c>
      <c r="I204" s="73">
        <f t="shared" si="7"/>
        <v>5570.0100000000057</v>
      </c>
    </row>
    <row r="205" spans="1:9" x14ac:dyDescent="0.25">
      <c r="A205" t="s">
        <v>529</v>
      </c>
      <c r="B205" s="2">
        <v>25000</v>
      </c>
      <c r="C205" s="2" t="s">
        <v>84</v>
      </c>
      <c r="D205" s="75">
        <v>42062</v>
      </c>
      <c r="E205">
        <v>1122799</v>
      </c>
      <c r="F205" s="2">
        <v>29851.57</v>
      </c>
      <c r="G205" s="76">
        <v>42067</v>
      </c>
      <c r="H205" s="73">
        <f t="shared" si="6"/>
        <v>-4851.57</v>
      </c>
      <c r="I205" s="73">
        <f t="shared" si="7"/>
        <v>718.44000000000597</v>
      </c>
    </row>
    <row r="206" spans="1:9" x14ac:dyDescent="0.25">
      <c r="A206" t="s">
        <v>530</v>
      </c>
      <c r="B206" s="2">
        <v>29000</v>
      </c>
      <c r="C206" s="2" t="s">
        <v>39</v>
      </c>
      <c r="D206" s="75">
        <v>42065</v>
      </c>
      <c r="E206">
        <v>1123274</v>
      </c>
      <c r="F206" s="2">
        <v>27466.86</v>
      </c>
      <c r="G206" s="76">
        <v>42069</v>
      </c>
      <c r="H206" s="73">
        <f t="shared" si="6"/>
        <v>1533.1399999999994</v>
      </c>
      <c r="I206" s="73">
        <f t="shared" si="7"/>
        <v>2251.5800000000054</v>
      </c>
    </row>
    <row r="207" spans="1:9" x14ac:dyDescent="0.25">
      <c r="A207" t="s">
        <v>531</v>
      </c>
      <c r="B207" s="2">
        <v>29000</v>
      </c>
      <c r="C207" s="2" t="s">
        <v>39</v>
      </c>
      <c r="D207" s="75">
        <v>42065</v>
      </c>
      <c r="E207">
        <v>1123275</v>
      </c>
      <c r="F207" s="2">
        <v>28643.4</v>
      </c>
      <c r="G207" s="76">
        <v>42069</v>
      </c>
      <c r="H207" s="73">
        <f t="shared" si="6"/>
        <v>356.59999999999854</v>
      </c>
      <c r="I207" s="73">
        <f t="shared" si="7"/>
        <v>2608.1800000000039</v>
      </c>
    </row>
    <row r="208" spans="1:9" x14ac:dyDescent="0.25">
      <c r="A208" t="s">
        <v>532</v>
      </c>
      <c r="B208" s="2">
        <v>27000</v>
      </c>
      <c r="C208" s="2" t="s">
        <v>39</v>
      </c>
      <c r="D208" s="75">
        <v>42072</v>
      </c>
      <c r="E208">
        <v>1124967</v>
      </c>
      <c r="F208" s="2">
        <v>28743.39</v>
      </c>
      <c r="G208" s="76">
        <v>42074</v>
      </c>
      <c r="H208" s="73">
        <f t="shared" si="6"/>
        <v>-1743.3899999999994</v>
      </c>
      <c r="I208" s="73">
        <f t="shared" si="7"/>
        <v>864.79000000000451</v>
      </c>
    </row>
    <row r="209" spans="1:10" x14ac:dyDescent="0.25">
      <c r="A209" t="s">
        <v>533</v>
      </c>
      <c r="B209" s="2">
        <v>29000</v>
      </c>
      <c r="C209" s="2" t="s">
        <v>45</v>
      </c>
      <c r="D209" s="75">
        <v>42073</v>
      </c>
      <c r="E209">
        <v>1125356</v>
      </c>
      <c r="F209" s="2">
        <v>26773.82</v>
      </c>
      <c r="G209" s="76">
        <v>42076</v>
      </c>
      <c r="H209" s="73">
        <f t="shared" si="6"/>
        <v>2226.1800000000003</v>
      </c>
      <c r="I209" s="73">
        <f t="shared" si="7"/>
        <v>3090.9700000000048</v>
      </c>
    </row>
    <row r="210" spans="1:10" x14ac:dyDescent="0.25">
      <c r="A210" t="s">
        <v>534</v>
      </c>
      <c r="B210" s="2">
        <v>29000</v>
      </c>
      <c r="C210" s="2" t="s">
        <v>45</v>
      </c>
      <c r="D210" s="75">
        <v>42073</v>
      </c>
      <c r="E210">
        <v>1125448</v>
      </c>
      <c r="F210" s="2">
        <v>27398.31</v>
      </c>
      <c r="G210" s="76">
        <v>42076</v>
      </c>
      <c r="H210" s="73">
        <f t="shared" si="6"/>
        <v>1601.6899999999987</v>
      </c>
      <c r="I210" s="73">
        <f t="shared" si="7"/>
        <v>4692.6600000000035</v>
      </c>
    </row>
    <row r="211" spans="1:10" x14ac:dyDescent="0.25">
      <c r="A211" t="s">
        <v>535</v>
      </c>
      <c r="B211" s="2">
        <v>24000</v>
      </c>
      <c r="C211" s="2" t="s">
        <v>485</v>
      </c>
      <c r="D211" s="75">
        <v>42076</v>
      </c>
      <c r="E211">
        <v>1127123</v>
      </c>
      <c r="F211" s="2">
        <v>27419.94</v>
      </c>
      <c r="G211" s="76">
        <v>42081</v>
      </c>
      <c r="H211" s="73">
        <f t="shared" si="6"/>
        <v>-3419.9399999999987</v>
      </c>
      <c r="I211" s="73">
        <f t="shared" si="7"/>
        <v>1272.7200000000048</v>
      </c>
    </row>
    <row r="212" spans="1:10" x14ac:dyDescent="0.25">
      <c r="A212" t="s">
        <v>536</v>
      </c>
      <c r="B212" s="2">
        <v>29000</v>
      </c>
      <c r="C212" s="2" t="s">
        <v>45</v>
      </c>
      <c r="D212" s="75">
        <v>42080</v>
      </c>
      <c r="E212">
        <v>1127490</v>
      </c>
      <c r="F212" s="2">
        <v>25115.73</v>
      </c>
      <c r="G212" s="76">
        <v>42083</v>
      </c>
      <c r="H212" s="73">
        <f t="shared" si="6"/>
        <v>3884.2700000000004</v>
      </c>
      <c r="I212" s="73">
        <f t="shared" si="7"/>
        <v>5156.9900000000052</v>
      </c>
    </row>
    <row r="213" spans="1:10" x14ac:dyDescent="0.25">
      <c r="A213" t="s">
        <v>537</v>
      </c>
      <c r="B213" s="2">
        <v>29000</v>
      </c>
      <c r="C213" s="2" t="s">
        <v>45</v>
      </c>
      <c r="D213" s="75">
        <v>42080</v>
      </c>
      <c r="E213">
        <v>1127491</v>
      </c>
      <c r="F213" s="2">
        <v>25383.4</v>
      </c>
      <c r="G213" s="76">
        <v>42083</v>
      </c>
      <c r="H213" s="73">
        <f t="shared" si="6"/>
        <v>3616.5999999999985</v>
      </c>
      <c r="I213" s="73">
        <f t="shared" si="7"/>
        <v>8773.5900000000038</v>
      </c>
    </row>
    <row r="214" spans="1:10" x14ac:dyDescent="0.25">
      <c r="A214" t="s">
        <v>538</v>
      </c>
      <c r="B214" s="2">
        <v>26000</v>
      </c>
      <c r="C214" s="2" t="s">
        <v>84</v>
      </c>
      <c r="D214" s="75">
        <v>42083</v>
      </c>
      <c r="E214">
        <v>1129242</v>
      </c>
      <c r="F214" s="37">
        <v>25132.65</v>
      </c>
      <c r="G214" s="76">
        <v>42088</v>
      </c>
      <c r="H214" s="73">
        <f t="shared" si="6"/>
        <v>867.34999999999854</v>
      </c>
      <c r="I214" s="73">
        <f t="shared" si="7"/>
        <v>9640.9400000000023</v>
      </c>
    </row>
    <row r="215" spans="1:10" x14ac:dyDescent="0.25">
      <c r="A215" t="s">
        <v>539</v>
      </c>
      <c r="B215" s="2">
        <v>21000</v>
      </c>
      <c r="C215" s="2" t="s">
        <v>39</v>
      </c>
      <c r="D215" s="75">
        <v>42086</v>
      </c>
      <c r="E215">
        <v>1129663</v>
      </c>
      <c r="F215" s="37">
        <v>23371.119999999999</v>
      </c>
      <c r="G215" s="76">
        <v>42090</v>
      </c>
      <c r="H215" s="73">
        <f t="shared" si="6"/>
        <v>-2371.119999999999</v>
      </c>
      <c r="I215" s="73">
        <f t="shared" si="7"/>
        <v>7269.8200000000033</v>
      </c>
    </row>
    <row r="216" spans="1:10" x14ac:dyDescent="0.25">
      <c r="A216" t="s">
        <v>540</v>
      </c>
      <c r="B216" s="2">
        <v>21000</v>
      </c>
      <c r="C216" s="2" t="s">
        <v>39</v>
      </c>
      <c r="D216" s="75">
        <v>42086</v>
      </c>
      <c r="E216">
        <v>1129335</v>
      </c>
      <c r="F216" s="37">
        <v>24059.38</v>
      </c>
      <c r="G216" s="76">
        <v>42090</v>
      </c>
      <c r="H216" s="73">
        <f t="shared" si="6"/>
        <v>-3059.380000000001</v>
      </c>
      <c r="I216" s="73">
        <f t="shared" si="7"/>
        <v>4210.4400000000023</v>
      </c>
    </row>
    <row r="217" spans="1:10" x14ac:dyDescent="0.25">
      <c r="A217" t="s">
        <v>541</v>
      </c>
      <c r="B217" s="2">
        <v>70000</v>
      </c>
      <c r="C217" s="2" t="s">
        <v>39</v>
      </c>
      <c r="D217" s="75">
        <v>42086</v>
      </c>
      <c r="E217">
        <v>1130410</v>
      </c>
      <c r="F217" s="37">
        <v>26630.28</v>
      </c>
      <c r="G217" s="76">
        <v>42093</v>
      </c>
      <c r="H217" s="73">
        <f>B217-F217</f>
        <v>43369.72</v>
      </c>
      <c r="I217" s="73">
        <f>I216+H217</f>
        <v>47580.160000000003</v>
      </c>
    </row>
    <row r="218" spans="1:10" x14ac:dyDescent="0.25">
      <c r="A218" t="s">
        <v>542</v>
      </c>
      <c r="E218">
        <v>1131212</v>
      </c>
      <c r="F218" s="37">
        <v>21479.88</v>
      </c>
      <c r="G218" s="76">
        <v>42095</v>
      </c>
      <c r="H218" s="73">
        <f>B218-F218</f>
        <v>-21479.88</v>
      </c>
      <c r="I218" s="73">
        <f>I217+H218</f>
        <v>26100.280000000002</v>
      </c>
    </row>
    <row r="219" spans="1:10" x14ac:dyDescent="0.25">
      <c r="A219" t="s">
        <v>543</v>
      </c>
      <c r="E219">
        <v>1131213</v>
      </c>
      <c r="F219" s="37">
        <v>21563.93</v>
      </c>
      <c r="G219" s="76">
        <v>42095</v>
      </c>
      <c r="H219" s="73">
        <f>B219-F219</f>
        <v>-21563.93</v>
      </c>
      <c r="I219" s="73">
        <f>I218+H219</f>
        <v>4536.3500000000022</v>
      </c>
    </row>
    <row r="220" spans="1:10" x14ac:dyDescent="0.25">
      <c r="A220" t="s">
        <v>544</v>
      </c>
      <c r="B220" s="2">
        <v>20000</v>
      </c>
      <c r="C220" s="2" t="s">
        <v>50</v>
      </c>
      <c r="D220" s="75">
        <v>42095</v>
      </c>
      <c r="E220">
        <v>1133402</v>
      </c>
      <c r="F220" s="2">
        <v>22241.29</v>
      </c>
      <c r="G220" s="76">
        <v>42102</v>
      </c>
      <c r="H220" s="73">
        <f t="shared" si="6"/>
        <v>-2241.2900000000009</v>
      </c>
      <c r="I220" s="73">
        <f t="shared" si="7"/>
        <v>2295.0600000000013</v>
      </c>
    </row>
    <row r="221" spans="1:10" x14ac:dyDescent="0.25">
      <c r="A221" t="s">
        <v>545</v>
      </c>
      <c r="B221" s="2">
        <v>22000</v>
      </c>
      <c r="C221" s="2" t="s">
        <v>39</v>
      </c>
      <c r="D221" s="75">
        <v>42100</v>
      </c>
      <c r="E221">
        <v>1133748</v>
      </c>
      <c r="F221" s="2">
        <v>22780.36</v>
      </c>
      <c r="G221" s="76">
        <v>42104</v>
      </c>
      <c r="H221" s="73">
        <f t="shared" si="6"/>
        <v>-780.36000000000058</v>
      </c>
      <c r="I221" s="73">
        <f t="shared" si="7"/>
        <v>1514.7000000000007</v>
      </c>
    </row>
    <row r="222" spans="1:10" x14ac:dyDescent="0.25">
      <c r="A222" t="s">
        <v>546</v>
      </c>
      <c r="B222" s="2">
        <v>22000</v>
      </c>
      <c r="C222" s="2" t="s">
        <v>39</v>
      </c>
      <c r="D222" s="75">
        <v>42100</v>
      </c>
      <c r="E222">
        <v>1133749</v>
      </c>
      <c r="F222" s="2">
        <v>23013.119999999999</v>
      </c>
      <c r="G222" s="76">
        <v>42104</v>
      </c>
      <c r="H222" s="73">
        <f t="shared" si="6"/>
        <v>-1013.119999999999</v>
      </c>
      <c r="I222" s="73">
        <f t="shared" si="7"/>
        <v>501.58000000000175</v>
      </c>
    </row>
    <row r="223" spans="1:10" x14ac:dyDescent="0.25">
      <c r="A223" t="s">
        <v>547</v>
      </c>
      <c r="B223" s="2">
        <v>70000</v>
      </c>
      <c r="C223" s="2" t="s">
        <v>84</v>
      </c>
      <c r="D223" s="75">
        <v>42104</v>
      </c>
      <c r="E223">
        <v>1135547</v>
      </c>
      <c r="F223" s="2">
        <v>69120</v>
      </c>
      <c r="G223" s="76">
        <v>42109</v>
      </c>
      <c r="H223" s="73">
        <f>B223-F223</f>
        <v>880</v>
      </c>
      <c r="I223" s="73">
        <f>I222+H223</f>
        <v>1381.5800000000017</v>
      </c>
      <c r="J223" t="s">
        <v>458</v>
      </c>
    </row>
    <row r="224" spans="1:10" x14ac:dyDescent="0.25">
      <c r="A224" t="s">
        <v>548</v>
      </c>
      <c r="B224" s="2">
        <v>26000</v>
      </c>
      <c r="C224" s="2" t="s">
        <v>39</v>
      </c>
      <c r="D224" s="75">
        <v>42107</v>
      </c>
      <c r="E224">
        <v>1135548</v>
      </c>
      <c r="F224" s="2">
        <v>25544.94</v>
      </c>
      <c r="G224" s="76">
        <v>42109</v>
      </c>
      <c r="H224" s="73">
        <f>B224-F224</f>
        <v>455.06000000000131</v>
      </c>
      <c r="I224" s="73">
        <f>I223+H224</f>
        <v>1836.6400000000031</v>
      </c>
    </row>
    <row r="225" spans="1:10" x14ac:dyDescent="0.25">
      <c r="A225" t="s">
        <v>549</v>
      </c>
      <c r="B225" s="2">
        <v>26000</v>
      </c>
      <c r="C225" s="2" t="s">
        <v>39</v>
      </c>
      <c r="D225" s="75">
        <v>42107</v>
      </c>
      <c r="E225">
        <v>1136095</v>
      </c>
      <c r="F225" s="2">
        <f>26209.41-153.39</f>
        <v>26056.02</v>
      </c>
      <c r="G225" s="76">
        <v>42111</v>
      </c>
      <c r="H225" s="73">
        <f t="shared" si="6"/>
        <v>-56.020000000000437</v>
      </c>
      <c r="I225" s="73">
        <f t="shared" si="7"/>
        <v>1780.6200000000026</v>
      </c>
      <c r="J225" t="s">
        <v>550</v>
      </c>
    </row>
    <row r="226" spans="1:10" x14ac:dyDescent="0.25">
      <c r="A226" t="s">
        <v>551</v>
      </c>
      <c r="B226" s="2">
        <v>26000</v>
      </c>
      <c r="C226" s="2" t="s">
        <v>39</v>
      </c>
      <c r="D226" s="75">
        <v>42107</v>
      </c>
      <c r="E226">
        <v>1136096</v>
      </c>
      <c r="F226" s="2">
        <v>28686.92</v>
      </c>
      <c r="G226" s="76">
        <v>42111</v>
      </c>
      <c r="H226" s="73">
        <f t="shared" si="6"/>
        <v>-2686.9199999999983</v>
      </c>
      <c r="I226" s="73">
        <f t="shared" si="7"/>
        <v>-906.29999999999563</v>
      </c>
    </row>
    <row r="227" spans="1:10" x14ac:dyDescent="0.25">
      <c r="A227" t="s">
        <v>552</v>
      </c>
      <c r="B227" s="2">
        <v>26000</v>
      </c>
      <c r="C227" s="2" t="s">
        <v>84</v>
      </c>
      <c r="D227" s="75">
        <v>42111</v>
      </c>
      <c r="E227">
        <v>1137838</v>
      </c>
      <c r="F227" s="2">
        <v>29591.200000000001</v>
      </c>
      <c r="G227" s="76">
        <v>42116</v>
      </c>
      <c r="H227" s="73">
        <f t="shared" si="6"/>
        <v>-3591.2000000000007</v>
      </c>
      <c r="I227" s="73">
        <f t="shared" si="7"/>
        <v>-4497.4999999999964</v>
      </c>
    </row>
    <row r="228" spans="1:10" x14ac:dyDescent="0.25">
      <c r="A228" t="s">
        <v>553</v>
      </c>
      <c r="B228" s="2">
        <v>29000</v>
      </c>
      <c r="C228" s="2" t="s">
        <v>39</v>
      </c>
      <c r="D228" s="75">
        <v>42114</v>
      </c>
      <c r="E228">
        <v>1138317</v>
      </c>
      <c r="F228" s="2">
        <v>30364.78</v>
      </c>
      <c r="G228" s="76">
        <v>42118</v>
      </c>
      <c r="H228" s="73">
        <f t="shared" si="6"/>
        <v>-1364.7799999999988</v>
      </c>
      <c r="I228" s="73">
        <f t="shared" si="7"/>
        <v>-5862.2799999999952</v>
      </c>
    </row>
    <row r="229" spans="1:10" x14ac:dyDescent="0.25">
      <c r="A229" t="s">
        <v>554</v>
      </c>
      <c r="B229" s="2">
        <v>29000</v>
      </c>
      <c r="C229" s="2" t="s">
        <v>39</v>
      </c>
      <c r="D229" s="75">
        <v>42114</v>
      </c>
      <c r="E229">
        <v>1138318</v>
      </c>
      <c r="F229" s="2">
        <v>30473.41</v>
      </c>
      <c r="G229" s="76">
        <v>42118</v>
      </c>
      <c r="H229" s="73">
        <f t="shared" si="6"/>
        <v>-1473.4099999999999</v>
      </c>
      <c r="I229" s="73">
        <f t="shared" si="7"/>
        <v>-7335.6899999999951</v>
      </c>
    </row>
    <row r="230" spans="1:10" x14ac:dyDescent="0.25">
      <c r="A230" t="s">
        <v>555</v>
      </c>
      <c r="B230" s="2">
        <v>35000</v>
      </c>
      <c r="C230" s="2" t="s">
        <v>84</v>
      </c>
      <c r="D230" s="75">
        <v>42118</v>
      </c>
      <c r="E230">
        <v>1140035</v>
      </c>
      <c r="F230" s="2">
        <v>30141</v>
      </c>
      <c r="G230" s="76">
        <v>42123</v>
      </c>
      <c r="H230" s="73">
        <f t="shared" si="6"/>
        <v>4859</v>
      </c>
      <c r="I230" s="73">
        <f t="shared" si="7"/>
        <v>-2476.6899999999951</v>
      </c>
    </row>
    <row r="231" spans="1:10" x14ac:dyDescent="0.25">
      <c r="A231" t="s">
        <v>556</v>
      </c>
      <c r="B231" s="2">
        <v>33000</v>
      </c>
      <c r="C231" s="2" t="s">
        <v>39</v>
      </c>
      <c r="D231" s="75">
        <v>42121</v>
      </c>
      <c r="E231">
        <v>1140036</v>
      </c>
      <c r="F231" s="2">
        <v>28861.13</v>
      </c>
      <c r="G231" s="76">
        <v>42124</v>
      </c>
      <c r="H231" s="73">
        <f t="shared" si="6"/>
        <v>4138.869999999999</v>
      </c>
      <c r="I231" s="73">
        <f t="shared" si="7"/>
        <v>1662.1800000000039</v>
      </c>
    </row>
    <row r="232" spans="1:10" x14ac:dyDescent="0.25">
      <c r="A232" t="s">
        <v>557</v>
      </c>
      <c r="B232" s="2">
        <v>33000</v>
      </c>
      <c r="C232" s="2" t="s">
        <v>39</v>
      </c>
      <c r="D232" s="75">
        <v>42121</v>
      </c>
      <c r="E232">
        <v>1140314</v>
      </c>
      <c r="F232" s="2">
        <v>30035.69</v>
      </c>
      <c r="G232" s="76">
        <v>42124</v>
      </c>
      <c r="H232" s="73">
        <f t="shared" si="6"/>
        <v>2964.3100000000013</v>
      </c>
      <c r="I232" s="73">
        <f t="shared" si="7"/>
        <v>4626.4900000000052</v>
      </c>
    </row>
    <row r="233" spans="1:10" x14ac:dyDescent="0.25">
      <c r="A233" t="s">
        <v>558</v>
      </c>
      <c r="B233" s="2">
        <v>28000</v>
      </c>
      <c r="C233" s="2" t="s">
        <v>65</v>
      </c>
      <c r="D233" s="75">
        <v>42124</v>
      </c>
      <c r="E233">
        <v>1141914</v>
      </c>
      <c r="F233" s="2">
        <v>29681.56</v>
      </c>
      <c r="G233" s="76">
        <v>42130</v>
      </c>
      <c r="H233" s="73">
        <f t="shared" si="6"/>
        <v>-1681.5600000000013</v>
      </c>
      <c r="I233" s="73">
        <f t="shared" si="7"/>
        <v>2944.9300000000039</v>
      </c>
    </row>
    <row r="234" spans="1:10" x14ac:dyDescent="0.25">
      <c r="A234" t="s">
        <v>559</v>
      </c>
      <c r="B234" s="2">
        <v>28000</v>
      </c>
      <c r="C234" s="2" t="s">
        <v>65</v>
      </c>
      <c r="D234" s="75">
        <v>42124</v>
      </c>
      <c r="E234">
        <v>1142241</v>
      </c>
      <c r="F234" s="2">
        <v>30716.799999999999</v>
      </c>
      <c r="G234" s="76">
        <v>42131</v>
      </c>
      <c r="H234" s="73">
        <f t="shared" si="6"/>
        <v>-2716.7999999999993</v>
      </c>
      <c r="I234" s="73">
        <f t="shared" si="7"/>
        <v>228.13000000000466</v>
      </c>
    </row>
    <row r="235" spans="1:10" x14ac:dyDescent="0.25">
      <c r="A235" t="s">
        <v>560</v>
      </c>
      <c r="B235" s="2">
        <v>31000</v>
      </c>
      <c r="C235" s="2" t="s">
        <v>39</v>
      </c>
      <c r="D235" s="75">
        <v>42128</v>
      </c>
      <c r="E235">
        <v>1142706</v>
      </c>
      <c r="F235" s="2">
        <v>31076.400000000001</v>
      </c>
      <c r="G235" s="76">
        <v>42132</v>
      </c>
      <c r="H235" s="73">
        <f t="shared" si="6"/>
        <v>-76.400000000001455</v>
      </c>
      <c r="I235" s="73">
        <f t="shared" si="7"/>
        <v>151.7300000000032</v>
      </c>
    </row>
    <row r="236" spans="1:10" x14ac:dyDescent="0.25">
      <c r="A236" t="s">
        <v>561</v>
      </c>
      <c r="B236" s="2">
        <v>31000</v>
      </c>
      <c r="C236" s="2" t="s">
        <v>39</v>
      </c>
      <c r="D236" s="75">
        <v>42128</v>
      </c>
      <c r="E236">
        <v>1142707</v>
      </c>
      <c r="F236" s="2">
        <v>31044.5</v>
      </c>
      <c r="G236" s="76">
        <v>42132</v>
      </c>
      <c r="H236" s="73">
        <f t="shared" si="6"/>
        <v>-44.5</v>
      </c>
      <c r="I236" s="73">
        <f t="shared" si="7"/>
        <v>107.2300000000032</v>
      </c>
    </row>
    <row r="237" spans="1:10" x14ac:dyDescent="0.25">
      <c r="A237" t="s">
        <v>562</v>
      </c>
      <c r="B237" s="2">
        <v>31000</v>
      </c>
      <c r="C237" s="2" t="s">
        <v>84</v>
      </c>
      <c r="D237" s="75">
        <v>42132</v>
      </c>
      <c r="E237">
        <v>1144389</v>
      </c>
      <c r="F237" s="2">
        <v>31146.93</v>
      </c>
      <c r="G237" s="76">
        <v>42137</v>
      </c>
      <c r="H237" s="73">
        <f t="shared" si="6"/>
        <v>-146.93000000000029</v>
      </c>
      <c r="I237" s="73">
        <f t="shared" si="7"/>
        <v>-39.69999999999709</v>
      </c>
    </row>
    <row r="238" spans="1:10" x14ac:dyDescent="0.25">
      <c r="A238" t="s">
        <v>563</v>
      </c>
      <c r="B238" s="2">
        <v>31000</v>
      </c>
      <c r="C238" s="2" t="s">
        <v>84</v>
      </c>
      <c r="D238" s="75">
        <v>42132</v>
      </c>
      <c r="E238">
        <v>1144390</v>
      </c>
      <c r="F238" s="2">
        <v>32026.400000000001</v>
      </c>
      <c r="G238" s="76">
        <v>42138</v>
      </c>
      <c r="H238" s="73">
        <f t="shared" si="6"/>
        <v>-1026.4000000000015</v>
      </c>
      <c r="I238" s="73">
        <f t="shared" si="7"/>
        <v>-1066.0999999999985</v>
      </c>
    </row>
    <row r="239" spans="1:10" x14ac:dyDescent="0.25">
      <c r="A239" t="s">
        <v>564</v>
      </c>
      <c r="B239" s="2">
        <v>32000</v>
      </c>
      <c r="C239" s="2" t="s">
        <v>39</v>
      </c>
      <c r="D239" s="75">
        <v>42135</v>
      </c>
      <c r="E239">
        <v>1144949</v>
      </c>
      <c r="F239" s="2">
        <v>32369.759999999998</v>
      </c>
      <c r="G239" s="76">
        <v>42139</v>
      </c>
      <c r="H239" s="73">
        <f t="shared" si="6"/>
        <v>-369.7599999999984</v>
      </c>
      <c r="I239" s="73">
        <f t="shared" si="7"/>
        <v>-1435.8599999999969</v>
      </c>
    </row>
    <row r="240" spans="1:10" x14ac:dyDescent="0.25">
      <c r="A240" t="s">
        <v>565</v>
      </c>
      <c r="B240" s="2">
        <v>32000</v>
      </c>
      <c r="C240" s="2" t="s">
        <v>39</v>
      </c>
      <c r="D240" s="75">
        <v>42135</v>
      </c>
      <c r="E240">
        <v>1144950</v>
      </c>
      <c r="F240" s="2">
        <v>32575.5</v>
      </c>
      <c r="G240" s="76">
        <v>42139</v>
      </c>
      <c r="H240" s="73">
        <f t="shared" si="6"/>
        <v>-575.5</v>
      </c>
      <c r="I240" s="73">
        <f t="shared" si="7"/>
        <v>-2011.3599999999969</v>
      </c>
    </row>
    <row r="241" spans="1:9" x14ac:dyDescent="0.25">
      <c r="A241" t="s">
        <v>566</v>
      </c>
      <c r="B241" s="2">
        <v>33000</v>
      </c>
      <c r="C241" s="2" t="s">
        <v>84</v>
      </c>
      <c r="D241" s="75">
        <v>42139</v>
      </c>
      <c r="E241">
        <v>1146559</v>
      </c>
      <c r="F241" s="2">
        <v>33704.71</v>
      </c>
      <c r="G241" s="76">
        <v>42144</v>
      </c>
      <c r="H241" s="73">
        <f t="shared" si="6"/>
        <v>-704.70999999999913</v>
      </c>
      <c r="I241" s="73">
        <f t="shared" si="7"/>
        <v>-2716.0699999999961</v>
      </c>
    </row>
    <row r="242" spans="1:9" x14ac:dyDescent="0.25">
      <c r="A242" t="s">
        <v>567</v>
      </c>
      <c r="B242" s="2">
        <v>33000</v>
      </c>
      <c r="C242" s="2" t="s">
        <v>84</v>
      </c>
      <c r="D242" s="75">
        <v>42139</v>
      </c>
      <c r="E242">
        <v>1146560</v>
      </c>
      <c r="F242" s="2">
        <v>33178.019999999997</v>
      </c>
      <c r="G242" s="76">
        <v>42145</v>
      </c>
      <c r="H242" s="73">
        <f t="shared" si="6"/>
        <v>-178.0199999999968</v>
      </c>
      <c r="I242" s="73">
        <f t="shared" si="7"/>
        <v>-2894.0899999999929</v>
      </c>
    </row>
    <row r="243" spans="1:9" x14ac:dyDescent="0.25">
      <c r="A243" t="s">
        <v>568</v>
      </c>
      <c r="B243" s="2">
        <v>34000</v>
      </c>
      <c r="C243" s="2" t="s">
        <v>39</v>
      </c>
      <c r="D243" s="75">
        <v>42142</v>
      </c>
      <c r="E243">
        <v>1147119</v>
      </c>
      <c r="F243" s="2">
        <v>34125.660000000003</v>
      </c>
      <c r="G243" s="76">
        <v>42145</v>
      </c>
      <c r="H243" s="73">
        <f t="shared" si="6"/>
        <v>-125.66000000000349</v>
      </c>
      <c r="I243" s="73">
        <f t="shared" si="7"/>
        <v>-3019.7499999999964</v>
      </c>
    </row>
    <row r="244" spans="1:9" x14ac:dyDescent="0.25">
      <c r="A244" t="s">
        <v>569</v>
      </c>
      <c r="B244" s="2">
        <v>34000</v>
      </c>
      <c r="C244" s="2" t="s">
        <v>39</v>
      </c>
      <c r="D244" s="75">
        <v>42142</v>
      </c>
      <c r="E244">
        <v>1147120</v>
      </c>
      <c r="F244" s="2">
        <v>33976.51</v>
      </c>
      <c r="G244" s="76">
        <v>42146</v>
      </c>
      <c r="H244" s="73">
        <f t="shared" si="6"/>
        <v>23.489999999997963</v>
      </c>
      <c r="I244" s="73">
        <f t="shared" si="7"/>
        <v>-2996.2599999999984</v>
      </c>
    </row>
    <row r="245" spans="1:9" x14ac:dyDescent="0.25">
      <c r="A245" t="s">
        <v>570</v>
      </c>
      <c r="B245" s="2">
        <v>36000</v>
      </c>
      <c r="C245" s="2" t="s">
        <v>84</v>
      </c>
      <c r="D245" s="75">
        <v>42146</v>
      </c>
      <c r="E245">
        <v>1148751</v>
      </c>
      <c r="F245" s="2">
        <v>33213.72</v>
      </c>
      <c r="G245" s="76">
        <v>42152</v>
      </c>
      <c r="H245" s="73">
        <f t="shared" si="6"/>
        <v>2786.2799999999988</v>
      </c>
      <c r="I245" s="73">
        <f t="shared" si="7"/>
        <v>-209.97999999999956</v>
      </c>
    </row>
    <row r="246" spans="1:9" x14ac:dyDescent="0.25">
      <c r="A246" t="s">
        <v>571</v>
      </c>
      <c r="B246" s="2">
        <v>36000</v>
      </c>
      <c r="C246" s="2" t="s">
        <v>84</v>
      </c>
      <c r="D246" s="75">
        <v>42146</v>
      </c>
      <c r="E246">
        <v>1148752</v>
      </c>
      <c r="F246" s="2">
        <v>33175.160000000003</v>
      </c>
      <c r="G246" s="76">
        <v>42152</v>
      </c>
      <c r="H246" s="73">
        <f t="shared" si="6"/>
        <v>2824.8399999999965</v>
      </c>
      <c r="I246" s="73">
        <f t="shared" si="7"/>
        <v>2614.8599999999969</v>
      </c>
    </row>
    <row r="247" spans="1:9" x14ac:dyDescent="0.25">
      <c r="A247" t="s">
        <v>572</v>
      </c>
      <c r="B247" s="2">
        <v>34000</v>
      </c>
      <c r="C247" s="2" t="s">
        <v>39</v>
      </c>
      <c r="D247" s="75">
        <v>42149</v>
      </c>
      <c r="E247">
        <v>1148753</v>
      </c>
      <c r="F247" s="2">
        <v>33888.65</v>
      </c>
      <c r="G247" s="76">
        <v>42153</v>
      </c>
      <c r="H247" s="73">
        <f t="shared" si="6"/>
        <v>111.34999999999854</v>
      </c>
      <c r="I247" s="73">
        <f t="shared" si="7"/>
        <v>2726.2099999999955</v>
      </c>
    </row>
    <row r="248" spans="1:9" x14ac:dyDescent="0.25">
      <c r="A248" t="s">
        <v>573</v>
      </c>
      <c r="B248" s="2">
        <v>34000</v>
      </c>
      <c r="C248" s="2" t="s">
        <v>39</v>
      </c>
      <c r="D248" s="75">
        <v>42149</v>
      </c>
      <c r="E248">
        <v>1148989</v>
      </c>
      <c r="F248" s="2">
        <v>34027.78</v>
      </c>
      <c r="G248" s="76">
        <v>42153</v>
      </c>
      <c r="H248" s="73">
        <f t="shared" si="6"/>
        <v>-27.779999999998836</v>
      </c>
      <c r="I248" s="73">
        <f t="shared" si="7"/>
        <v>2698.4299999999967</v>
      </c>
    </row>
    <row r="249" spans="1:9" x14ac:dyDescent="0.25">
      <c r="A249" t="s">
        <v>574</v>
      </c>
      <c r="B249" s="2">
        <v>34000</v>
      </c>
      <c r="C249" s="2" t="s">
        <v>84</v>
      </c>
      <c r="D249" s="75">
        <v>42153</v>
      </c>
      <c r="E249">
        <v>1150616</v>
      </c>
      <c r="F249" s="2">
        <v>32863.11</v>
      </c>
      <c r="G249" s="76">
        <v>42158</v>
      </c>
      <c r="H249" s="73">
        <f t="shared" si="6"/>
        <v>1136.8899999999994</v>
      </c>
      <c r="I249" s="73">
        <f t="shared" si="7"/>
        <v>3835.3199999999961</v>
      </c>
    </row>
    <row r="250" spans="1:9" x14ac:dyDescent="0.25">
      <c r="A250" t="s">
        <v>575</v>
      </c>
      <c r="B250" s="2">
        <v>34000</v>
      </c>
      <c r="C250" s="2" t="s">
        <v>84</v>
      </c>
      <c r="D250" s="75">
        <v>42153</v>
      </c>
      <c r="E250">
        <v>1150617</v>
      </c>
      <c r="F250" s="2">
        <v>32087.58</v>
      </c>
      <c r="G250" s="76">
        <v>42159</v>
      </c>
      <c r="H250" s="73">
        <f t="shared" si="6"/>
        <v>1912.4199999999983</v>
      </c>
      <c r="I250" s="73">
        <f t="shared" si="7"/>
        <v>5747.7399999999943</v>
      </c>
    </row>
    <row r="251" spans="1:9" x14ac:dyDescent="0.25">
      <c r="A251" t="s">
        <v>576</v>
      </c>
      <c r="B251" s="2">
        <v>33000</v>
      </c>
      <c r="C251" s="2" t="s">
        <v>39</v>
      </c>
      <c r="D251" s="75">
        <v>42156</v>
      </c>
      <c r="E251">
        <v>1150731</v>
      </c>
      <c r="F251" s="2">
        <v>32823.94</v>
      </c>
      <c r="G251" s="76">
        <v>42160</v>
      </c>
      <c r="H251" s="73">
        <f t="shared" si="6"/>
        <v>176.05999999999767</v>
      </c>
      <c r="I251" s="73">
        <f t="shared" si="7"/>
        <v>5923.799999999992</v>
      </c>
    </row>
    <row r="252" spans="1:9" x14ac:dyDescent="0.25">
      <c r="A252" t="s">
        <v>577</v>
      </c>
      <c r="B252" s="2">
        <v>33000</v>
      </c>
      <c r="C252" s="2" t="s">
        <v>39</v>
      </c>
      <c r="D252" s="75">
        <v>42156</v>
      </c>
      <c r="E252">
        <v>1150988</v>
      </c>
      <c r="F252" s="2">
        <v>32071.040000000001</v>
      </c>
      <c r="G252" s="76">
        <v>42160</v>
      </c>
      <c r="H252" s="73">
        <f t="shared" si="6"/>
        <v>928.95999999999913</v>
      </c>
      <c r="I252" s="73">
        <f t="shared" si="7"/>
        <v>6852.7599999999911</v>
      </c>
    </row>
    <row r="253" spans="1:9" x14ac:dyDescent="0.25">
      <c r="A253" t="s">
        <v>578</v>
      </c>
      <c r="B253" s="2">
        <v>28000</v>
      </c>
      <c r="C253" s="2" t="s">
        <v>84</v>
      </c>
      <c r="D253" s="75">
        <v>42160</v>
      </c>
      <c r="E253">
        <v>1152679</v>
      </c>
      <c r="F253" s="2">
        <v>29750.82</v>
      </c>
      <c r="G253" s="76">
        <v>42165</v>
      </c>
      <c r="H253" s="73">
        <f t="shared" si="6"/>
        <v>-1750.8199999999997</v>
      </c>
      <c r="I253" s="73">
        <f t="shared" si="7"/>
        <v>5101.9399999999914</v>
      </c>
    </row>
    <row r="254" spans="1:9" x14ac:dyDescent="0.25">
      <c r="A254" t="s">
        <v>579</v>
      </c>
      <c r="B254" s="2">
        <v>28000</v>
      </c>
      <c r="C254" s="2" t="s">
        <v>84</v>
      </c>
      <c r="D254" s="75">
        <v>42160</v>
      </c>
      <c r="E254">
        <v>1152564</v>
      </c>
      <c r="F254" s="2">
        <v>30413.09</v>
      </c>
      <c r="G254" s="76">
        <v>42166</v>
      </c>
      <c r="H254" s="73">
        <f t="shared" si="6"/>
        <v>-2413.09</v>
      </c>
      <c r="I254" s="73">
        <f t="shared" si="7"/>
        <v>2688.8499999999913</v>
      </c>
    </row>
    <row r="255" spans="1:9" x14ac:dyDescent="0.25">
      <c r="A255" t="s">
        <v>580</v>
      </c>
      <c r="B255" s="2">
        <v>30000</v>
      </c>
      <c r="C255" s="2" t="s">
        <v>39</v>
      </c>
      <c r="D255" s="75">
        <v>42163</v>
      </c>
      <c r="E255">
        <v>1153181</v>
      </c>
      <c r="F255" s="2">
        <v>30560.76</v>
      </c>
      <c r="G255" s="76">
        <v>42167</v>
      </c>
      <c r="H255" s="73">
        <f t="shared" si="6"/>
        <v>-560.7599999999984</v>
      </c>
      <c r="I255" s="73">
        <f t="shared" si="7"/>
        <v>2128.0899999999929</v>
      </c>
    </row>
    <row r="256" spans="1:9" x14ac:dyDescent="0.25">
      <c r="A256" t="s">
        <v>581</v>
      </c>
      <c r="B256" s="2">
        <v>30000</v>
      </c>
      <c r="C256" s="2" t="s">
        <v>39</v>
      </c>
      <c r="D256" s="75">
        <v>42163</v>
      </c>
      <c r="E256">
        <v>1153021</v>
      </c>
      <c r="F256" s="2">
        <v>31295.73</v>
      </c>
      <c r="G256" s="76">
        <v>42167</v>
      </c>
      <c r="H256" s="73">
        <f t="shared" si="6"/>
        <v>-1295.7299999999996</v>
      </c>
      <c r="I256" s="73">
        <f t="shared" si="7"/>
        <v>832.35999999999331</v>
      </c>
    </row>
    <row r="257" spans="1:9" x14ac:dyDescent="0.25">
      <c r="A257" t="s">
        <v>582</v>
      </c>
      <c r="B257" s="2">
        <v>30000</v>
      </c>
      <c r="C257" s="2" t="s">
        <v>84</v>
      </c>
      <c r="D257" s="75">
        <v>42167</v>
      </c>
      <c r="E257">
        <v>1154723</v>
      </c>
      <c r="F257" s="2">
        <v>30345.99</v>
      </c>
      <c r="G257" s="76">
        <v>42172</v>
      </c>
      <c r="H257" s="73">
        <f t="shared" si="6"/>
        <v>-345.9900000000016</v>
      </c>
      <c r="I257" s="73">
        <f t="shared" si="7"/>
        <v>486.36999999999171</v>
      </c>
    </row>
    <row r="258" spans="1:9" x14ac:dyDescent="0.25">
      <c r="A258" t="s">
        <v>583</v>
      </c>
      <c r="B258" s="2">
        <v>30000</v>
      </c>
      <c r="C258" s="2" t="s">
        <v>84</v>
      </c>
      <c r="D258" s="75">
        <v>42167</v>
      </c>
      <c r="E258">
        <v>1154816</v>
      </c>
      <c r="F258" s="2">
        <v>29514.68</v>
      </c>
      <c r="G258" s="76">
        <v>42173</v>
      </c>
      <c r="H258" s="73">
        <f t="shared" si="6"/>
        <v>485.31999999999971</v>
      </c>
      <c r="I258" s="73">
        <f t="shared" si="7"/>
        <v>971.68999999999141</v>
      </c>
    </row>
    <row r="259" spans="1:9" x14ac:dyDescent="0.25">
      <c r="A259" t="s">
        <v>584</v>
      </c>
      <c r="B259" s="2">
        <v>32000</v>
      </c>
      <c r="C259" s="2" t="s">
        <v>39</v>
      </c>
      <c r="D259" s="75">
        <v>42170</v>
      </c>
      <c r="E259">
        <v>1155332</v>
      </c>
      <c r="F259" s="2">
        <v>30762.65</v>
      </c>
      <c r="G259" s="76">
        <v>42174</v>
      </c>
      <c r="H259" s="73">
        <f t="shared" si="6"/>
        <v>1237.3499999999985</v>
      </c>
      <c r="I259" s="73">
        <f t="shared" si="7"/>
        <v>2209.03999999999</v>
      </c>
    </row>
    <row r="260" spans="1:9" x14ac:dyDescent="0.25">
      <c r="A260" t="s">
        <v>585</v>
      </c>
      <c r="B260" s="2">
        <v>32000</v>
      </c>
      <c r="C260" s="2" t="s">
        <v>39</v>
      </c>
      <c r="D260" s="75">
        <v>42170</v>
      </c>
      <c r="E260">
        <v>1155333</v>
      </c>
      <c r="F260" s="2">
        <v>31625.09</v>
      </c>
      <c r="G260" s="76">
        <v>42174</v>
      </c>
      <c r="H260" s="73">
        <f t="shared" si="6"/>
        <v>374.90999999999985</v>
      </c>
      <c r="I260" s="73">
        <f t="shared" si="7"/>
        <v>2583.9499999999898</v>
      </c>
    </row>
    <row r="261" spans="1:9" x14ac:dyDescent="0.25">
      <c r="A261" t="s">
        <v>586</v>
      </c>
      <c r="B261" s="2">
        <v>32000</v>
      </c>
      <c r="C261" s="2" t="s">
        <v>84</v>
      </c>
      <c r="D261" s="75">
        <v>42174</v>
      </c>
      <c r="E261">
        <v>1156792</v>
      </c>
      <c r="F261" s="2">
        <v>31442.89</v>
      </c>
      <c r="G261" s="76">
        <v>42179</v>
      </c>
      <c r="H261" s="73">
        <f t="shared" si="6"/>
        <v>557.11000000000058</v>
      </c>
      <c r="I261" s="73">
        <f t="shared" si="7"/>
        <v>3141.0599999999904</v>
      </c>
    </row>
    <row r="262" spans="1:9" x14ac:dyDescent="0.25">
      <c r="A262" t="s">
        <v>587</v>
      </c>
      <c r="B262" s="2">
        <v>32000</v>
      </c>
      <c r="C262" s="2" t="s">
        <v>84</v>
      </c>
      <c r="D262" s="75">
        <v>42174</v>
      </c>
      <c r="E262">
        <v>1156912</v>
      </c>
      <c r="F262" s="2">
        <v>31425.98</v>
      </c>
      <c r="G262" s="76">
        <v>42180</v>
      </c>
      <c r="H262" s="73">
        <f t="shared" si="6"/>
        <v>574.02000000000044</v>
      </c>
      <c r="I262" s="73">
        <f t="shared" si="7"/>
        <v>3715.0799999999908</v>
      </c>
    </row>
    <row r="263" spans="1:9" x14ac:dyDescent="0.25">
      <c r="A263" t="s">
        <v>588</v>
      </c>
      <c r="B263" s="2">
        <v>31000</v>
      </c>
      <c r="C263" s="2" t="s">
        <v>39</v>
      </c>
      <c r="D263" s="75">
        <v>42177</v>
      </c>
      <c r="E263">
        <v>1157573</v>
      </c>
      <c r="F263" s="2">
        <v>30876.03</v>
      </c>
      <c r="G263" s="76">
        <v>42181</v>
      </c>
      <c r="H263" s="73">
        <f t="shared" ref="H263:H326" si="8">B263-F263</f>
        <v>123.97000000000116</v>
      </c>
      <c r="I263" s="73">
        <f t="shared" si="7"/>
        <v>3839.049999999992</v>
      </c>
    </row>
    <row r="264" spans="1:9" x14ac:dyDescent="0.25">
      <c r="A264" t="s">
        <v>589</v>
      </c>
      <c r="B264" s="2">
        <v>31000</v>
      </c>
      <c r="C264" s="2" t="s">
        <v>39</v>
      </c>
      <c r="D264" s="75">
        <v>42177</v>
      </c>
      <c r="E264">
        <v>1157574</v>
      </c>
      <c r="F264" s="2">
        <v>31114.400000000001</v>
      </c>
      <c r="G264" s="76">
        <v>42181</v>
      </c>
      <c r="H264" s="73">
        <f t="shared" si="8"/>
        <v>-114.40000000000146</v>
      </c>
      <c r="I264" s="73">
        <f t="shared" ref="I264:I327" si="9">I263+H264</f>
        <v>3724.6499999999905</v>
      </c>
    </row>
    <row r="265" spans="1:9" x14ac:dyDescent="0.25">
      <c r="A265" t="s">
        <v>590</v>
      </c>
      <c r="B265" s="2">
        <v>30000</v>
      </c>
      <c r="C265" s="2" t="s">
        <v>84</v>
      </c>
      <c r="D265" s="75">
        <v>42181</v>
      </c>
      <c r="E265">
        <v>1159144</v>
      </c>
      <c r="F265" s="2">
        <v>29320.2</v>
      </c>
      <c r="G265" s="76">
        <v>42186</v>
      </c>
      <c r="H265" s="73">
        <f t="shared" si="8"/>
        <v>679.79999999999927</v>
      </c>
      <c r="I265" s="73">
        <f t="shared" si="9"/>
        <v>4404.4499999999898</v>
      </c>
    </row>
    <row r="266" spans="1:9" x14ac:dyDescent="0.25">
      <c r="A266" t="s">
        <v>591</v>
      </c>
      <c r="B266" s="2">
        <v>30000</v>
      </c>
      <c r="C266" s="2" t="s">
        <v>84</v>
      </c>
      <c r="D266" s="75">
        <v>42181</v>
      </c>
      <c r="E266">
        <v>1159322</v>
      </c>
      <c r="F266" s="2">
        <v>29348.05</v>
      </c>
      <c r="G266" s="76">
        <v>42187</v>
      </c>
      <c r="H266" s="73">
        <f t="shared" si="8"/>
        <v>651.95000000000073</v>
      </c>
      <c r="I266" s="73">
        <f t="shared" si="9"/>
        <v>5056.3999999999905</v>
      </c>
    </row>
    <row r="267" spans="1:9" x14ac:dyDescent="0.25">
      <c r="A267" t="s">
        <v>592</v>
      </c>
      <c r="B267" s="2">
        <v>29000</v>
      </c>
      <c r="C267" s="2" t="s">
        <v>39</v>
      </c>
      <c r="D267" s="75">
        <v>42184</v>
      </c>
      <c r="E267">
        <v>1159323</v>
      </c>
      <c r="F267" s="2">
        <v>28366.97</v>
      </c>
      <c r="G267" s="76">
        <v>42187</v>
      </c>
      <c r="H267" s="73">
        <f t="shared" si="8"/>
        <v>633.02999999999884</v>
      </c>
      <c r="I267" s="73">
        <f t="shared" si="9"/>
        <v>5689.4299999999894</v>
      </c>
    </row>
    <row r="268" spans="1:9" x14ac:dyDescent="0.25">
      <c r="A268" t="s">
        <v>593</v>
      </c>
      <c r="B268" s="2">
        <v>29000</v>
      </c>
      <c r="C268" s="2" t="s">
        <v>39</v>
      </c>
      <c r="D268" s="75">
        <v>42184</v>
      </c>
      <c r="E268">
        <v>1159324</v>
      </c>
      <c r="F268" s="2">
        <v>29360.49</v>
      </c>
      <c r="G268" s="76">
        <v>42187</v>
      </c>
      <c r="H268" s="73">
        <f t="shared" si="8"/>
        <v>-360.4900000000016</v>
      </c>
      <c r="I268" s="73">
        <f t="shared" si="9"/>
        <v>5328.9399999999878</v>
      </c>
    </row>
    <row r="269" spans="1:9" x14ac:dyDescent="0.25">
      <c r="A269" t="s">
        <v>594</v>
      </c>
      <c r="B269" s="2">
        <v>28000</v>
      </c>
      <c r="C269" s="2" t="s">
        <v>84</v>
      </c>
      <c r="D269" s="75">
        <v>42188</v>
      </c>
      <c r="E269">
        <v>1160983</v>
      </c>
      <c r="F269" s="2">
        <v>28303.64</v>
      </c>
      <c r="G269" s="76">
        <v>42193</v>
      </c>
      <c r="H269" s="73">
        <f t="shared" si="8"/>
        <v>-303.63999999999942</v>
      </c>
      <c r="I269" s="73">
        <f t="shared" si="9"/>
        <v>5025.2999999999884</v>
      </c>
    </row>
    <row r="270" spans="1:9" x14ac:dyDescent="0.25">
      <c r="A270" t="s">
        <v>595</v>
      </c>
      <c r="B270" s="2">
        <v>28000</v>
      </c>
      <c r="C270" s="2" t="s">
        <v>84</v>
      </c>
      <c r="D270" s="75">
        <v>42188</v>
      </c>
      <c r="E270">
        <v>1160984</v>
      </c>
      <c r="F270" s="2">
        <v>27455.58</v>
      </c>
      <c r="G270" s="76">
        <v>42194</v>
      </c>
      <c r="H270" s="73">
        <f t="shared" si="8"/>
        <v>544.41999999999825</v>
      </c>
      <c r="I270" s="73">
        <f t="shared" si="9"/>
        <v>5569.7199999999866</v>
      </c>
    </row>
    <row r="271" spans="1:9" x14ac:dyDescent="0.25">
      <c r="A271" t="s">
        <v>596</v>
      </c>
      <c r="B271" s="2">
        <v>28000</v>
      </c>
      <c r="C271" s="2" t="s">
        <v>39</v>
      </c>
      <c r="D271" s="75">
        <v>42191</v>
      </c>
      <c r="E271">
        <v>1161476</v>
      </c>
      <c r="F271" s="2">
        <v>27227.86</v>
      </c>
      <c r="G271" s="76">
        <v>42195</v>
      </c>
      <c r="H271" s="73">
        <f t="shared" si="8"/>
        <v>772.13999999999942</v>
      </c>
      <c r="I271" s="73">
        <f t="shared" si="9"/>
        <v>6341.859999999986</v>
      </c>
    </row>
    <row r="272" spans="1:9" x14ac:dyDescent="0.25">
      <c r="A272" t="s">
        <v>597</v>
      </c>
      <c r="B272" s="2">
        <v>28000</v>
      </c>
      <c r="C272" s="2" t="s">
        <v>39</v>
      </c>
      <c r="D272" s="75">
        <v>42191</v>
      </c>
      <c r="E272">
        <v>1161477</v>
      </c>
      <c r="F272" s="2">
        <v>27015.35</v>
      </c>
      <c r="G272" s="76">
        <v>42195</v>
      </c>
      <c r="H272" s="73">
        <f t="shared" si="8"/>
        <v>984.65000000000146</v>
      </c>
      <c r="I272" s="73">
        <f t="shared" si="9"/>
        <v>7326.5099999999875</v>
      </c>
    </row>
    <row r="273" spans="1:9" x14ac:dyDescent="0.25">
      <c r="A273" t="s">
        <v>598</v>
      </c>
      <c r="B273" s="2">
        <v>24000</v>
      </c>
      <c r="C273" s="2" t="s">
        <v>84</v>
      </c>
      <c r="D273" s="75">
        <v>42195</v>
      </c>
      <c r="E273">
        <v>1163041</v>
      </c>
      <c r="F273" s="2">
        <v>27614.49</v>
      </c>
      <c r="G273" s="76">
        <v>42200</v>
      </c>
      <c r="H273" s="73">
        <f t="shared" si="8"/>
        <v>-3614.4900000000016</v>
      </c>
      <c r="I273" s="73">
        <f t="shared" si="9"/>
        <v>3712.0199999999859</v>
      </c>
    </row>
    <row r="274" spans="1:9" x14ac:dyDescent="0.25">
      <c r="A274" t="s">
        <v>599</v>
      </c>
      <c r="B274" s="2">
        <v>24000</v>
      </c>
      <c r="C274" s="2" t="s">
        <v>84</v>
      </c>
      <c r="D274" s="75">
        <v>42195</v>
      </c>
      <c r="E274">
        <v>1163327</v>
      </c>
      <c r="F274" s="2">
        <v>27161.7</v>
      </c>
      <c r="G274" s="76">
        <v>42201</v>
      </c>
      <c r="H274" s="73">
        <f t="shared" si="8"/>
        <v>-3161.7000000000007</v>
      </c>
      <c r="I274" s="73">
        <f t="shared" si="9"/>
        <v>550.31999999998516</v>
      </c>
    </row>
    <row r="275" spans="1:9" x14ac:dyDescent="0.25">
      <c r="A275" t="s">
        <v>600</v>
      </c>
      <c r="B275" s="2">
        <v>28000</v>
      </c>
      <c r="C275" s="2" t="s">
        <v>39</v>
      </c>
      <c r="D275" s="75">
        <v>42198</v>
      </c>
      <c r="E275">
        <v>1163609</v>
      </c>
      <c r="F275" s="2">
        <v>27123.94</v>
      </c>
      <c r="G275" s="76">
        <v>42202</v>
      </c>
      <c r="H275" s="73">
        <f t="shared" si="8"/>
        <v>876.06000000000131</v>
      </c>
      <c r="I275" s="73">
        <f t="shared" si="9"/>
        <v>1426.3799999999865</v>
      </c>
    </row>
    <row r="276" spans="1:9" x14ac:dyDescent="0.25">
      <c r="A276" t="s">
        <v>601</v>
      </c>
      <c r="B276" s="2">
        <v>28000</v>
      </c>
      <c r="C276" s="2" t="s">
        <v>39</v>
      </c>
      <c r="D276" s="75">
        <v>42198</v>
      </c>
      <c r="E276">
        <v>1163610</v>
      </c>
      <c r="F276" s="2">
        <v>27210.09</v>
      </c>
      <c r="G276" s="76">
        <v>42202</v>
      </c>
      <c r="H276" s="73">
        <f t="shared" si="8"/>
        <v>789.90999999999985</v>
      </c>
      <c r="I276" s="73">
        <f t="shared" si="9"/>
        <v>2216.2899999999863</v>
      </c>
    </row>
    <row r="277" spans="1:9" x14ac:dyDescent="0.25">
      <c r="A277" t="s">
        <v>602</v>
      </c>
      <c r="B277" s="2">
        <v>28000</v>
      </c>
      <c r="C277" s="2" t="s">
        <v>84</v>
      </c>
      <c r="D277" s="75">
        <v>42202</v>
      </c>
      <c r="E277">
        <v>1165121</v>
      </c>
      <c r="F277" s="2">
        <v>28702.51</v>
      </c>
      <c r="G277" s="76">
        <v>42207</v>
      </c>
      <c r="H277" s="73">
        <f t="shared" si="8"/>
        <v>-702.5099999999984</v>
      </c>
      <c r="I277" s="73">
        <f t="shared" si="9"/>
        <v>1513.7799999999879</v>
      </c>
    </row>
    <row r="278" spans="1:9" x14ac:dyDescent="0.25">
      <c r="A278" t="s">
        <v>603</v>
      </c>
      <c r="B278" s="2">
        <v>28000</v>
      </c>
      <c r="C278" s="2" t="s">
        <v>84</v>
      </c>
      <c r="D278" s="75">
        <v>42202</v>
      </c>
      <c r="E278">
        <v>1165218</v>
      </c>
      <c r="F278" s="2">
        <v>28787.39</v>
      </c>
      <c r="G278" s="76">
        <v>42208</v>
      </c>
      <c r="H278" s="73">
        <f t="shared" si="8"/>
        <v>-787.38999999999942</v>
      </c>
      <c r="I278" s="73">
        <f t="shared" si="9"/>
        <v>726.3899999999885</v>
      </c>
    </row>
    <row r="279" spans="1:9" x14ac:dyDescent="0.25">
      <c r="A279" t="s">
        <v>604</v>
      </c>
      <c r="B279" s="2">
        <v>28000</v>
      </c>
      <c r="C279" s="2" t="s">
        <v>39</v>
      </c>
      <c r="D279" s="75">
        <v>42205</v>
      </c>
      <c r="E279">
        <v>1165640</v>
      </c>
      <c r="F279" s="2">
        <v>29993.27</v>
      </c>
      <c r="G279" s="76">
        <v>42209</v>
      </c>
      <c r="H279" s="73">
        <f t="shared" si="8"/>
        <v>-1993.2700000000004</v>
      </c>
      <c r="I279" s="73">
        <f t="shared" si="9"/>
        <v>-1266.8800000000119</v>
      </c>
    </row>
    <row r="280" spans="1:9" x14ac:dyDescent="0.25">
      <c r="A280" t="s">
        <v>605</v>
      </c>
      <c r="B280" s="2">
        <v>28000</v>
      </c>
      <c r="C280" s="2" t="s">
        <v>39</v>
      </c>
      <c r="D280" s="75">
        <v>42205</v>
      </c>
      <c r="E280">
        <v>1165449</v>
      </c>
      <c r="F280" s="2">
        <v>29701.68</v>
      </c>
      <c r="G280" s="76">
        <v>42209</v>
      </c>
      <c r="H280" s="73">
        <f t="shared" si="8"/>
        <v>-1701.6800000000003</v>
      </c>
      <c r="I280" s="73">
        <f t="shared" si="9"/>
        <v>-2968.5600000000122</v>
      </c>
    </row>
    <row r="281" spans="1:9" x14ac:dyDescent="0.25">
      <c r="A281" t="s">
        <v>606</v>
      </c>
      <c r="B281" s="2">
        <v>50000</v>
      </c>
      <c r="C281" s="2" t="s">
        <v>39</v>
      </c>
      <c r="D281" s="75">
        <v>42205</v>
      </c>
      <c r="E281">
        <v>1165331</v>
      </c>
      <c r="F281" s="2">
        <v>46260.66</v>
      </c>
      <c r="G281" s="76">
        <v>42209</v>
      </c>
      <c r="H281" s="73">
        <f t="shared" si="8"/>
        <v>3739.3399999999965</v>
      </c>
      <c r="I281" s="73">
        <f t="shared" si="9"/>
        <v>770.77999999998428</v>
      </c>
    </row>
    <row r="282" spans="1:9" x14ac:dyDescent="0.25">
      <c r="A282" t="s">
        <v>607</v>
      </c>
      <c r="B282" s="2">
        <v>28000</v>
      </c>
      <c r="C282" s="2" t="s">
        <v>84</v>
      </c>
      <c r="D282" s="75">
        <v>42209</v>
      </c>
      <c r="E282">
        <v>1167080</v>
      </c>
      <c r="F282" s="2">
        <v>30300.48</v>
      </c>
      <c r="G282" s="76">
        <v>42214</v>
      </c>
      <c r="H282" s="73">
        <f t="shared" si="8"/>
        <v>-2300.4799999999996</v>
      </c>
      <c r="I282" s="73">
        <f t="shared" si="9"/>
        <v>-1529.7000000000153</v>
      </c>
    </row>
    <row r="283" spans="1:9" x14ac:dyDescent="0.25">
      <c r="A283" t="s">
        <v>608</v>
      </c>
      <c r="B283" s="2">
        <v>28000</v>
      </c>
      <c r="C283" s="2" t="s">
        <v>84</v>
      </c>
      <c r="D283" s="75">
        <v>42209</v>
      </c>
      <c r="E283">
        <v>1167361</v>
      </c>
      <c r="F283" s="2">
        <v>30211.18</v>
      </c>
      <c r="G283" s="76">
        <v>42215</v>
      </c>
      <c r="H283" s="73">
        <f t="shared" si="8"/>
        <v>-2211.1800000000003</v>
      </c>
      <c r="I283" s="73">
        <f t="shared" si="9"/>
        <v>-3740.8800000000156</v>
      </c>
    </row>
    <row r="284" spans="1:9" x14ac:dyDescent="0.25">
      <c r="A284" t="s">
        <v>609</v>
      </c>
      <c r="B284" s="2">
        <v>28000</v>
      </c>
      <c r="C284" s="2" t="s">
        <v>39</v>
      </c>
      <c r="D284" s="75">
        <v>42212</v>
      </c>
      <c r="E284">
        <v>1167576</v>
      </c>
      <c r="F284" s="2">
        <v>30956.79</v>
      </c>
      <c r="G284" s="76">
        <v>42215</v>
      </c>
      <c r="H284" s="73">
        <f t="shared" si="8"/>
        <v>-2956.7900000000009</v>
      </c>
      <c r="I284" s="73">
        <f t="shared" si="9"/>
        <v>-6697.6700000000164</v>
      </c>
    </row>
    <row r="285" spans="1:9" x14ac:dyDescent="0.25">
      <c r="A285" t="s">
        <v>610</v>
      </c>
      <c r="B285" s="2">
        <v>28000</v>
      </c>
      <c r="C285" s="2" t="s">
        <v>39</v>
      </c>
      <c r="D285" s="75">
        <v>42212</v>
      </c>
      <c r="E285">
        <v>1167577</v>
      </c>
      <c r="F285" s="2">
        <v>31037.88</v>
      </c>
      <c r="G285" s="76">
        <v>42215</v>
      </c>
      <c r="H285" s="73">
        <f t="shared" si="8"/>
        <v>-3037.880000000001</v>
      </c>
      <c r="I285" s="73">
        <f t="shared" si="9"/>
        <v>-9735.5500000000175</v>
      </c>
    </row>
    <row r="286" spans="1:9" x14ac:dyDescent="0.25">
      <c r="A286" t="s">
        <v>611</v>
      </c>
      <c r="B286" s="2">
        <v>28000</v>
      </c>
      <c r="C286" s="2" t="s">
        <v>84</v>
      </c>
      <c r="D286" s="75">
        <v>42216</v>
      </c>
      <c r="E286">
        <v>1168988</v>
      </c>
      <c r="F286" s="2">
        <v>32107.21</v>
      </c>
      <c r="G286" s="76">
        <v>42221</v>
      </c>
      <c r="H286" s="73">
        <f t="shared" si="8"/>
        <v>-4107.2099999999991</v>
      </c>
      <c r="I286" s="73">
        <f t="shared" si="9"/>
        <v>-13842.760000000017</v>
      </c>
    </row>
    <row r="287" spans="1:9" x14ac:dyDescent="0.25">
      <c r="A287" t="s">
        <v>612</v>
      </c>
      <c r="B287" s="2">
        <v>28000</v>
      </c>
      <c r="C287" s="2" t="s">
        <v>84</v>
      </c>
      <c r="D287" s="75">
        <v>42216</v>
      </c>
      <c r="E287">
        <v>1168989</v>
      </c>
      <c r="F287" s="2">
        <v>32278.83</v>
      </c>
      <c r="G287" s="76">
        <v>42222</v>
      </c>
      <c r="H287" s="73">
        <f t="shared" si="8"/>
        <v>-4278.8300000000017</v>
      </c>
      <c r="I287" s="73">
        <f t="shared" si="9"/>
        <v>-18121.590000000018</v>
      </c>
    </row>
    <row r="288" spans="1:9" x14ac:dyDescent="0.25">
      <c r="A288" t="s">
        <v>613</v>
      </c>
      <c r="B288" s="2">
        <v>28000</v>
      </c>
      <c r="C288" s="2" t="s">
        <v>39</v>
      </c>
      <c r="D288" s="75">
        <v>42219</v>
      </c>
      <c r="E288">
        <v>1169570</v>
      </c>
      <c r="F288" s="2">
        <v>33110.32</v>
      </c>
      <c r="G288" s="76">
        <v>42223</v>
      </c>
      <c r="H288" s="73">
        <f t="shared" si="8"/>
        <v>-5110.32</v>
      </c>
      <c r="I288" s="73">
        <f t="shared" si="9"/>
        <v>-23231.910000000018</v>
      </c>
    </row>
    <row r="289" spans="1:9" x14ac:dyDescent="0.25">
      <c r="A289" t="s">
        <v>614</v>
      </c>
      <c r="B289" s="2">
        <v>28000</v>
      </c>
      <c r="C289" s="2" t="s">
        <v>39</v>
      </c>
      <c r="D289" s="75">
        <v>42219</v>
      </c>
      <c r="E289">
        <v>1169571</v>
      </c>
      <c r="F289" s="2">
        <v>33281.22</v>
      </c>
      <c r="G289" s="76">
        <v>42223</v>
      </c>
      <c r="H289" s="73">
        <f t="shared" si="8"/>
        <v>-5281.2200000000012</v>
      </c>
      <c r="I289" s="73">
        <f t="shared" si="9"/>
        <v>-28513.130000000019</v>
      </c>
    </row>
    <row r="290" spans="1:9" x14ac:dyDescent="0.25">
      <c r="A290" t="s">
        <v>615</v>
      </c>
      <c r="B290" s="2">
        <v>40000</v>
      </c>
      <c r="C290" s="2" t="s">
        <v>84</v>
      </c>
      <c r="D290" s="75">
        <v>42223</v>
      </c>
      <c r="E290">
        <v>1170987</v>
      </c>
      <c r="F290" s="2">
        <v>30993.599999999999</v>
      </c>
      <c r="G290" s="76">
        <v>42228</v>
      </c>
      <c r="H290" s="73">
        <f t="shared" si="8"/>
        <v>9006.4000000000015</v>
      </c>
      <c r="I290" s="73">
        <f t="shared" si="9"/>
        <v>-19506.730000000018</v>
      </c>
    </row>
    <row r="291" spans="1:9" x14ac:dyDescent="0.25">
      <c r="A291" t="s">
        <v>616</v>
      </c>
      <c r="B291" s="2">
        <v>40000</v>
      </c>
      <c r="C291" s="2" t="s">
        <v>84</v>
      </c>
      <c r="D291" s="75">
        <v>42223</v>
      </c>
      <c r="E291">
        <v>1171172</v>
      </c>
      <c r="F291" s="2">
        <v>33049.07</v>
      </c>
      <c r="G291" s="76">
        <v>42229</v>
      </c>
      <c r="H291" s="73">
        <f t="shared" si="8"/>
        <v>6950.93</v>
      </c>
      <c r="I291" s="73">
        <f t="shared" si="9"/>
        <v>-12555.800000000017</v>
      </c>
    </row>
    <row r="292" spans="1:9" x14ac:dyDescent="0.25">
      <c r="A292" t="s">
        <v>617</v>
      </c>
      <c r="B292" s="2">
        <v>40000</v>
      </c>
      <c r="C292" s="2" t="s">
        <v>39</v>
      </c>
      <c r="D292" s="75">
        <v>42226</v>
      </c>
      <c r="E292">
        <v>1170988</v>
      </c>
      <c r="F292" s="2">
        <v>32299.72</v>
      </c>
      <c r="G292" s="76">
        <v>42229</v>
      </c>
      <c r="H292" s="73">
        <f t="shared" si="8"/>
        <v>7700.2799999999988</v>
      </c>
      <c r="I292" s="73">
        <f t="shared" si="9"/>
        <v>-4855.5200000000186</v>
      </c>
    </row>
    <row r="293" spans="1:9" x14ac:dyDescent="0.25">
      <c r="A293" t="s">
        <v>618</v>
      </c>
      <c r="B293" s="2">
        <v>40000</v>
      </c>
      <c r="C293" s="2" t="s">
        <v>39</v>
      </c>
      <c r="D293" s="75">
        <v>42226</v>
      </c>
      <c r="E293">
        <v>1171546</v>
      </c>
      <c r="F293" s="2">
        <v>32970.589999999997</v>
      </c>
      <c r="G293" s="76">
        <v>42230</v>
      </c>
      <c r="H293" s="73">
        <f t="shared" si="8"/>
        <v>7029.4100000000035</v>
      </c>
      <c r="I293" s="73">
        <f t="shared" si="9"/>
        <v>2173.8899999999849</v>
      </c>
    </row>
    <row r="294" spans="1:9" x14ac:dyDescent="0.25">
      <c r="A294" t="s">
        <v>619</v>
      </c>
      <c r="B294" s="2">
        <v>33000</v>
      </c>
      <c r="C294" s="2" t="s">
        <v>84</v>
      </c>
      <c r="D294" s="75">
        <v>42230</v>
      </c>
      <c r="E294">
        <v>1173001</v>
      </c>
      <c r="F294" s="2">
        <v>33263.03</v>
      </c>
      <c r="G294" s="76">
        <v>42235</v>
      </c>
      <c r="H294" s="73">
        <f t="shared" si="8"/>
        <v>-263.02999999999884</v>
      </c>
      <c r="I294" s="73">
        <f t="shared" si="9"/>
        <v>1910.859999999986</v>
      </c>
    </row>
    <row r="295" spans="1:9" x14ac:dyDescent="0.25">
      <c r="A295" t="s">
        <v>620</v>
      </c>
      <c r="B295" s="2">
        <v>33000</v>
      </c>
      <c r="C295" s="2" t="s">
        <v>84</v>
      </c>
      <c r="D295" s="75">
        <v>42230</v>
      </c>
      <c r="E295">
        <v>1172912</v>
      </c>
      <c r="F295" s="2">
        <v>32868.730000000003</v>
      </c>
      <c r="G295" s="76">
        <v>42236</v>
      </c>
      <c r="H295" s="73">
        <f t="shared" si="8"/>
        <v>131.2699999999968</v>
      </c>
      <c r="I295" s="73">
        <f t="shared" si="9"/>
        <v>2042.1299999999828</v>
      </c>
    </row>
    <row r="296" spans="1:9" x14ac:dyDescent="0.25">
      <c r="A296" t="s">
        <v>621</v>
      </c>
      <c r="B296" s="2">
        <v>35000</v>
      </c>
      <c r="C296" s="2" t="s">
        <v>39</v>
      </c>
      <c r="D296" s="75">
        <v>42233</v>
      </c>
      <c r="E296">
        <v>1172913</v>
      </c>
      <c r="F296" s="2">
        <v>32883.370000000003</v>
      </c>
      <c r="G296" s="76">
        <v>42236</v>
      </c>
      <c r="H296" s="73">
        <f t="shared" si="8"/>
        <v>2116.6299999999974</v>
      </c>
      <c r="I296" s="73">
        <f t="shared" si="9"/>
        <v>4158.7599999999802</v>
      </c>
    </row>
    <row r="297" spans="1:9" x14ac:dyDescent="0.25">
      <c r="A297" t="s">
        <v>622</v>
      </c>
      <c r="B297" s="2">
        <v>35000</v>
      </c>
      <c r="C297" s="2" t="s">
        <v>39</v>
      </c>
      <c r="D297" s="75">
        <v>42233</v>
      </c>
      <c r="E297">
        <v>1173399</v>
      </c>
      <c r="F297" s="2">
        <v>34134.239999999998</v>
      </c>
      <c r="G297" s="76">
        <v>42237</v>
      </c>
      <c r="H297" s="73">
        <f t="shared" si="8"/>
        <v>865.76000000000204</v>
      </c>
      <c r="I297" s="73">
        <f t="shared" si="9"/>
        <v>5024.5199999999822</v>
      </c>
    </row>
    <row r="298" spans="1:9" x14ac:dyDescent="0.25">
      <c r="A298" t="s">
        <v>623</v>
      </c>
      <c r="B298" s="2">
        <v>35000</v>
      </c>
      <c r="C298" s="2" t="s">
        <v>84</v>
      </c>
      <c r="D298" s="75">
        <v>42237</v>
      </c>
      <c r="E298">
        <v>1174731</v>
      </c>
      <c r="F298" s="2">
        <v>34005.160000000003</v>
      </c>
      <c r="G298" s="76">
        <v>42242</v>
      </c>
      <c r="H298" s="73">
        <f t="shared" si="8"/>
        <v>994.83999999999651</v>
      </c>
      <c r="I298" s="73">
        <f t="shared" si="9"/>
        <v>6019.3599999999788</v>
      </c>
    </row>
    <row r="299" spans="1:9" x14ac:dyDescent="0.25">
      <c r="A299" t="s">
        <v>624</v>
      </c>
      <c r="B299" s="2">
        <v>35000</v>
      </c>
      <c r="C299" s="2" t="s">
        <v>84</v>
      </c>
      <c r="D299" s="75">
        <v>42237</v>
      </c>
      <c r="E299">
        <v>1175236</v>
      </c>
      <c r="F299" s="2">
        <v>34707.82</v>
      </c>
      <c r="G299" s="76">
        <v>42243</v>
      </c>
      <c r="H299" s="73">
        <f t="shared" si="8"/>
        <v>292.18000000000029</v>
      </c>
      <c r="I299" s="73">
        <f t="shared" si="9"/>
        <v>6311.539999999979</v>
      </c>
    </row>
    <row r="300" spans="1:9" x14ac:dyDescent="0.25">
      <c r="A300" t="s">
        <v>625</v>
      </c>
      <c r="B300" s="2">
        <v>32000</v>
      </c>
      <c r="C300" s="2" t="s">
        <v>39</v>
      </c>
      <c r="D300" s="75">
        <v>42240</v>
      </c>
      <c r="E300">
        <v>1175237</v>
      </c>
      <c r="F300" s="2">
        <v>34362.94</v>
      </c>
      <c r="G300" s="76">
        <v>42243</v>
      </c>
      <c r="H300" s="73">
        <f t="shared" si="8"/>
        <v>-2362.9400000000023</v>
      </c>
      <c r="I300" s="73">
        <f t="shared" si="9"/>
        <v>3948.5999999999767</v>
      </c>
    </row>
    <row r="301" spans="1:9" x14ac:dyDescent="0.25">
      <c r="A301" t="s">
        <v>626</v>
      </c>
      <c r="B301" s="2">
        <v>32000</v>
      </c>
      <c r="C301" s="2" t="s">
        <v>39</v>
      </c>
      <c r="D301" s="75">
        <v>42240</v>
      </c>
      <c r="E301">
        <v>1175460</v>
      </c>
      <c r="F301" s="2">
        <v>34325.42</v>
      </c>
      <c r="G301" s="76">
        <v>42244</v>
      </c>
      <c r="H301" s="73">
        <f t="shared" si="8"/>
        <v>-2325.4199999999983</v>
      </c>
      <c r="I301" s="73">
        <f t="shared" si="9"/>
        <v>1623.1799999999785</v>
      </c>
    </row>
    <row r="302" spans="1:9" x14ac:dyDescent="0.25">
      <c r="A302" t="s">
        <v>627</v>
      </c>
      <c r="B302" s="2">
        <v>32000</v>
      </c>
      <c r="C302" s="2" t="s">
        <v>65</v>
      </c>
      <c r="D302" s="75">
        <v>42243</v>
      </c>
      <c r="E302">
        <v>1177416</v>
      </c>
      <c r="F302" s="2">
        <v>33848.1</v>
      </c>
      <c r="G302" s="76">
        <v>42249</v>
      </c>
      <c r="H302" s="73">
        <f t="shared" si="8"/>
        <v>-1848.0999999999985</v>
      </c>
      <c r="I302" s="73">
        <f t="shared" si="9"/>
        <v>-224.92000000002008</v>
      </c>
    </row>
    <row r="303" spans="1:9" x14ac:dyDescent="0.25">
      <c r="A303" t="s">
        <v>628</v>
      </c>
      <c r="B303" s="2">
        <v>32000</v>
      </c>
      <c r="C303" s="2" t="s">
        <v>65</v>
      </c>
      <c r="D303" s="75">
        <v>42243</v>
      </c>
      <c r="E303">
        <v>1177417</v>
      </c>
      <c r="F303" s="2">
        <v>33146.800000000003</v>
      </c>
      <c r="G303" s="76">
        <v>42250</v>
      </c>
      <c r="H303" s="73">
        <f t="shared" si="8"/>
        <v>-1146.8000000000029</v>
      </c>
      <c r="I303" s="73">
        <f t="shared" si="9"/>
        <v>-1371.720000000023</v>
      </c>
    </row>
    <row r="304" spans="1:9" x14ac:dyDescent="0.25">
      <c r="A304" t="s">
        <v>629</v>
      </c>
      <c r="B304" s="2">
        <v>33000</v>
      </c>
      <c r="C304" s="2" t="s">
        <v>39</v>
      </c>
      <c r="D304" s="75">
        <v>42247</v>
      </c>
      <c r="E304">
        <v>1177364</v>
      </c>
      <c r="F304" s="2">
        <v>33090.720000000001</v>
      </c>
      <c r="G304" s="76">
        <v>42249</v>
      </c>
      <c r="H304" s="73">
        <f t="shared" si="8"/>
        <v>-90.720000000001164</v>
      </c>
      <c r="I304" s="73">
        <f t="shared" si="9"/>
        <v>-1462.4400000000242</v>
      </c>
    </row>
    <row r="305" spans="1:9" x14ac:dyDescent="0.25">
      <c r="A305" t="s">
        <v>630</v>
      </c>
      <c r="B305" s="2">
        <v>33000</v>
      </c>
      <c r="C305" s="2" t="s">
        <v>39</v>
      </c>
      <c r="D305" s="75">
        <v>42247</v>
      </c>
      <c r="E305">
        <v>1177900</v>
      </c>
      <c r="F305" s="2">
        <v>32902.959999999999</v>
      </c>
      <c r="G305" s="76">
        <v>42251</v>
      </c>
      <c r="H305" s="73">
        <f t="shared" si="8"/>
        <v>97.040000000000873</v>
      </c>
      <c r="I305" s="73">
        <f t="shared" si="9"/>
        <v>-1365.4000000000233</v>
      </c>
    </row>
    <row r="306" spans="1:9" x14ac:dyDescent="0.25">
      <c r="A306" t="s">
        <v>631</v>
      </c>
      <c r="B306" s="2">
        <v>34000</v>
      </c>
      <c r="C306" s="2" t="s">
        <v>84</v>
      </c>
      <c r="D306" s="75">
        <v>42251</v>
      </c>
      <c r="E306">
        <v>1179740</v>
      </c>
      <c r="F306" s="2">
        <v>34548.46</v>
      </c>
      <c r="G306" s="76">
        <v>42257</v>
      </c>
      <c r="H306" s="73">
        <f t="shared" si="8"/>
        <v>-548.45999999999913</v>
      </c>
      <c r="I306" s="73">
        <f t="shared" si="9"/>
        <v>-1913.8600000000224</v>
      </c>
    </row>
    <row r="307" spans="1:9" x14ac:dyDescent="0.25">
      <c r="A307" t="s">
        <v>632</v>
      </c>
      <c r="B307" s="2">
        <v>34000</v>
      </c>
      <c r="C307" s="2" t="s">
        <v>84</v>
      </c>
      <c r="D307" s="75">
        <v>42251</v>
      </c>
      <c r="E307">
        <v>1179741</v>
      </c>
      <c r="F307" s="2">
        <v>34616.06</v>
      </c>
      <c r="G307" s="76">
        <v>42257</v>
      </c>
      <c r="H307" s="73">
        <f t="shared" si="8"/>
        <v>-616.05999999999767</v>
      </c>
      <c r="I307" s="73">
        <f t="shared" si="9"/>
        <v>-2529.9200000000201</v>
      </c>
    </row>
    <row r="308" spans="1:9" x14ac:dyDescent="0.25">
      <c r="A308" t="s">
        <v>633</v>
      </c>
      <c r="B308" s="2">
        <v>34000</v>
      </c>
      <c r="C308" s="2" t="s">
        <v>45</v>
      </c>
      <c r="D308" s="75">
        <v>42255</v>
      </c>
      <c r="E308">
        <v>1180044</v>
      </c>
      <c r="F308" s="2">
        <v>32988.480000000003</v>
      </c>
      <c r="G308" s="76">
        <v>42258</v>
      </c>
      <c r="H308" s="73">
        <f t="shared" si="8"/>
        <v>1011.5199999999968</v>
      </c>
      <c r="I308" s="73">
        <f t="shared" si="9"/>
        <v>-1518.4000000000233</v>
      </c>
    </row>
    <row r="309" spans="1:9" x14ac:dyDescent="0.25">
      <c r="A309" t="s">
        <v>634</v>
      </c>
      <c r="B309" s="2">
        <v>33000</v>
      </c>
      <c r="C309" s="2" t="s">
        <v>65</v>
      </c>
      <c r="D309" s="75">
        <v>42257</v>
      </c>
      <c r="E309">
        <v>1180774</v>
      </c>
      <c r="F309" s="2">
        <v>31811.5</v>
      </c>
      <c r="G309" s="76">
        <v>42261</v>
      </c>
      <c r="H309" s="73">
        <f t="shared" si="8"/>
        <v>1188.5</v>
      </c>
      <c r="I309" s="73">
        <f t="shared" si="9"/>
        <v>-329.90000000002328</v>
      </c>
    </row>
    <row r="310" spans="1:9" x14ac:dyDescent="0.25">
      <c r="A310" t="s">
        <v>635</v>
      </c>
      <c r="B310" s="2">
        <v>33000</v>
      </c>
      <c r="C310" s="2" t="s">
        <v>84</v>
      </c>
      <c r="D310" s="75">
        <v>42258</v>
      </c>
      <c r="E310">
        <v>1181697</v>
      </c>
      <c r="F310" s="2">
        <v>29870.86</v>
      </c>
      <c r="G310" s="76">
        <v>42265</v>
      </c>
      <c r="H310" s="73">
        <f t="shared" si="8"/>
        <v>3129.1399999999994</v>
      </c>
      <c r="I310" s="73">
        <f t="shared" si="9"/>
        <v>2799.2399999999761</v>
      </c>
    </row>
    <row r="311" spans="1:9" x14ac:dyDescent="0.25">
      <c r="A311" t="s">
        <v>636</v>
      </c>
      <c r="B311" s="2">
        <v>33000</v>
      </c>
      <c r="C311" s="2" t="s">
        <v>39</v>
      </c>
      <c r="D311" s="75">
        <v>42261</v>
      </c>
      <c r="E311">
        <v>1181893</v>
      </c>
      <c r="F311" s="2">
        <v>29274.959999999999</v>
      </c>
      <c r="G311" s="76">
        <v>42265</v>
      </c>
      <c r="H311" s="73">
        <f t="shared" si="8"/>
        <v>3725.0400000000009</v>
      </c>
      <c r="I311" s="73">
        <f t="shared" si="9"/>
        <v>6524.279999999977</v>
      </c>
    </row>
    <row r="312" spans="1:9" x14ac:dyDescent="0.25">
      <c r="A312" t="s">
        <v>637</v>
      </c>
      <c r="B312" s="2">
        <v>32000</v>
      </c>
      <c r="C312" s="2" t="s">
        <v>84</v>
      </c>
      <c r="D312" s="75">
        <v>42265</v>
      </c>
      <c r="E312">
        <v>1183633</v>
      </c>
      <c r="F312" s="2">
        <v>28096.66</v>
      </c>
      <c r="G312" s="76">
        <v>42270</v>
      </c>
      <c r="H312" s="73">
        <f t="shared" si="8"/>
        <v>3903.34</v>
      </c>
      <c r="I312" s="73">
        <f t="shared" si="9"/>
        <v>10427.619999999977</v>
      </c>
    </row>
    <row r="313" spans="1:9" x14ac:dyDescent="0.25">
      <c r="A313" t="s">
        <v>638</v>
      </c>
      <c r="B313" s="2">
        <v>32000</v>
      </c>
      <c r="C313" s="2" t="s">
        <v>84</v>
      </c>
      <c r="D313" s="75">
        <v>42265</v>
      </c>
      <c r="E313">
        <v>1183820</v>
      </c>
      <c r="F313" s="2">
        <v>28911.69</v>
      </c>
      <c r="G313" s="76">
        <v>42271</v>
      </c>
      <c r="H313" s="73">
        <f t="shared" si="8"/>
        <v>3088.3100000000013</v>
      </c>
      <c r="I313" s="73">
        <f t="shared" si="9"/>
        <v>13515.929999999978</v>
      </c>
    </row>
    <row r="314" spans="1:9" x14ac:dyDescent="0.25">
      <c r="A314" t="s">
        <v>639</v>
      </c>
      <c r="B314" s="2">
        <v>25000</v>
      </c>
      <c r="C314" s="2" t="s">
        <v>39</v>
      </c>
      <c r="D314" s="75">
        <v>42268</v>
      </c>
      <c r="E314">
        <v>1184040</v>
      </c>
      <c r="F314" s="2">
        <v>29361.62</v>
      </c>
      <c r="G314" s="76">
        <v>42272</v>
      </c>
      <c r="H314" s="73">
        <f t="shared" si="8"/>
        <v>-4361.619999999999</v>
      </c>
      <c r="I314" s="73">
        <f t="shared" si="9"/>
        <v>9154.3099999999795</v>
      </c>
    </row>
    <row r="315" spans="1:9" x14ac:dyDescent="0.25">
      <c r="A315" t="s">
        <v>640</v>
      </c>
      <c r="B315" s="2">
        <v>28000</v>
      </c>
      <c r="C315" s="2" t="s">
        <v>84</v>
      </c>
      <c r="D315" s="75">
        <v>42272</v>
      </c>
      <c r="E315">
        <v>1185766</v>
      </c>
      <c r="F315" s="2">
        <v>30076.25</v>
      </c>
      <c r="G315" s="76">
        <v>42277</v>
      </c>
      <c r="H315" s="73">
        <f t="shared" si="8"/>
        <v>-2076.25</v>
      </c>
      <c r="I315" s="73">
        <f t="shared" si="9"/>
        <v>7078.0599999999795</v>
      </c>
    </row>
    <row r="316" spans="1:9" x14ac:dyDescent="0.25">
      <c r="A316" t="s">
        <v>641</v>
      </c>
      <c r="B316" s="2">
        <v>28000</v>
      </c>
      <c r="C316" s="2" t="s">
        <v>84</v>
      </c>
      <c r="D316" s="75">
        <v>42272</v>
      </c>
      <c r="E316">
        <v>1185767</v>
      </c>
      <c r="F316" s="2">
        <v>30748.46</v>
      </c>
      <c r="G316" s="76">
        <v>42278</v>
      </c>
      <c r="H316" s="73">
        <f t="shared" si="8"/>
        <v>-2748.4599999999991</v>
      </c>
      <c r="I316" s="73">
        <f t="shared" si="9"/>
        <v>4329.5999999999804</v>
      </c>
    </row>
    <row r="317" spans="1:9" x14ac:dyDescent="0.25">
      <c r="A317" t="s">
        <v>642</v>
      </c>
      <c r="B317" s="2">
        <v>29000</v>
      </c>
      <c r="C317" s="2" t="s">
        <v>39</v>
      </c>
      <c r="D317" s="75">
        <v>42275</v>
      </c>
      <c r="E317">
        <v>1186171</v>
      </c>
      <c r="F317" s="2">
        <v>31545.58</v>
      </c>
      <c r="G317" s="76">
        <v>42279</v>
      </c>
      <c r="H317" s="73">
        <f t="shared" si="8"/>
        <v>-2545.5800000000017</v>
      </c>
      <c r="I317" s="73">
        <f t="shared" si="9"/>
        <v>1784.0199999999786</v>
      </c>
    </row>
    <row r="318" spans="1:9" x14ac:dyDescent="0.25">
      <c r="A318" t="s">
        <v>643</v>
      </c>
      <c r="B318" s="2">
        <v>30000</v>
      </c>
      <c r="C318" s="2" t="s">
        <v>84</v>
      </c>
      <c r="D318" s="75">
        <v>42279</v>
      </c>
      <c r="E318">
        <v>1187893</v>
      </c>
      <c r="F318" s="2">
        <v>32044.69</v>
      </c>
      <c r="G318" s="76">
        <v>42284</v>
      </c>
      <c r="H318" s="73">
        <f t="shared" si="8"/>
        <v>-2044.6899999999987</v>
      </c>
      <c r="I318" s="73">
        <f t="shared" si="9"/>
        <v>-260.67000000002008</v>
      </c>
    </row>
    <row r="319" spans="1:9" x14ac:dyDescent="0.25">
      <c r="A319" t="s">
        <v>644</v>
      </c>
      <c r="B319" s="2">
        <v>30000</v>
      </c>
      <c r="C319" s="2" t="s">
        <v>84</v>
      </c>
      <c r="D319" s="75">
        <v>42279</v>
      </c>
      <c r="E319">
        <v>1188029</v>
      </c>
      <c r="F319" s="2">
        <v>31595.63</v>
      </c>
      <c r="G319" s="76">
        <v>42285</v>
      </c>
      <c r="H319" s="73">
        <f t="shared" si="8"/>
        <v>-1595.630000000001</v>
      </c>
      <c r="I319" s="73">
        <f t="shared" si="9"/>
        <v>-1856.3000000000211</v>
      </c>
    </row>
    <row r="320" spans="1:9" x14ac:dyDescent="0.25">
      <c r="A320" t="s">
        <v>645</v>
      </c>
      <c r="B320" s="2">
        <v>33000</v>
      </c>
      <c r="C320" s="2" t="s">
        <v>39</v>
      </c>
      <c r="D320" s="75">
        <v>42282</v>
      </c>
      <c r="E320">
        <v>1188436</v>
      </c>
      <c r="F320" s="2">
        <v>33426.620000000003</v>
      </c>
      <c r="G320" s="76">
        <v>42286</v>
      </c>
      <c r="H320" s="73">
        <f t="shared" si="8"/>
        <v>-426.62000000000262</v>
      </c>
      <c r="I320" s="73">
        <f t="shared" si="9"/>
        <v>-2282.9200000000237</v>
      </c>
    </row>
    <row r="321" spans="1:9" x14ac:dyDescent="0.25">
      <c r="A321" t="s">
        <v>646</v>
      </c>
      <c r="B321" s="2">
        <v>35000</v>
      </c>
      <c r="C321" s="2" t="s">
        <v>84</v>
      </c>
      <c r="D321" s="75">
        <v>42286</v>
      </c>
      <c r="E321">
        <v>1190075</v>
      </c>
      <c r="F321" s="2">
        <v>35074.870000000003</v>
      </c>
      <c r="G321" s="76">
        <v>42291</v>
      </c>
      <c r="H321" s="73">
        <f t="shared" si="8"/>
        <v>-74.870000000002619</v>
      </c>
      <c r="I321" s="73">
        <f t="shared" si="9"/>
        <v>-2357.7900000000263</v>
      </c>
    </row>
    <row r="322" spans="1:9" x14ac:dyDescent="0.25">
      <c r="A322" t="s">
        <v>647</v>
      </c>
      <c r="B322" s="2">
        <v>35000</v>
      </c>
      <c r="C322" s="2" t="s">
        <v>84</v>
      </c>
      <c r="D322" s="75">
        <v>42286</v>
      </c>
      <c r="E322">
        <v>1190221</v>
      </c>
      <c r="F322" s="2">
        <v>35532.6</v>
      </c>
      <c r="G322" s="76">
        <v>42292</v>
      </c>
      <c r="H322" s="73">
        <f t="shared" si="8"/>
        <v>-532.59999999999854</v>
      </c>
      <c r="I322" s="73">
        <f t="shared" si="9"/>
        <v>-2890.3900000000249</v>
      </c>
    </row>
    <row r="323" spans="1:9" x14ac:dyDescent="0.25">
      <c r="A323" t="s">
        <v>648</v>
      </c>
      <c r="B323" s="2">
        <v>35000</v>
      </c>
      <c r="C323" s="2" t="s">
        <v>39</v>
      </c>
      <c r="D323" s="75">
        <v>42289</v>
      </c>
      <c r="E323">
        <v>1190469</v>
      </c>
      <c r="F323" s="2">
        <v>34799.129999999997</v>
      </c>
      <c r="G323" s="76">
        <v>42293</v>
      </c>
      <c r="H323" s="73">
        <f t="shared" si="8"/>
        <v>200.87000000000262</v>
      </c>
      <c r="I323" s="73">
        <f t="shared" si="9"/>
        <v>-2689.5200000000223</v>
      </c>
    </row>
    <row r="324" spans="1:9" x14ac:dyDescent="0.25">
      <c r="A324" t="s">
        <v>649</v>
      </c>
      <c r="B324" s="2">
        <v>36000</v>
      </c>
      <c r="C324" s="2" t="s">
        <v>84</v>
      </c>
      <c r="D324" s="75">
        <v>42293</v>
      </c>
      <c r="E324">
        <v>1192260</v>
      </c>
      <c r="F324" s="2">
        <v>36105.040000000001</v>
      </c>
      <c r="G324" s="76">
        <v>42298</v>
      </c>
      <c r="H324" s="73">
        <f t="shared" si="8"/>
        <v>-105.04000000000087</v>
      </c>
      <c r="I324" s="73">
        <f t="shared" si="9"/>
        <v>-2794.5600000000231</v>
      </c>
    </row>
    <row r="325" spans="1:9" x14ac:dyDescent="0.25">
      <c r="A325" t="s">
        <v>650</v>
      </c>
      <c r="B325" s="2">
        <v>36000</v>
      </c>
      <c r="C325" s="2" t="s">
        <v>84</v>
      </c>
      <c r="D325" s="75">
        <v>42293</v>
      </c>
      <c r="E325">
        <v>1192450</v>
      </c>
      <c r="F325" s="2">
        <v>35704.730000000003</v>
      </c>
      <c r="G325" s="76">
        <v>42299</v>
      </c>
      <c r="H325" s="73">
        <f t="shared" si="8"/>
        <v>295.2699999999968</v>
      </c>
      <c r="I325" s="73">
        <f t="shared" si="9"/>
        <v>-2499.2900000000263</v>
      </c>
    </row>
    <row r="326" spans="1:9" x14ac:dyDescent="0.25">
      <c r="A326" t="s">
        <v>651</v>
      </c>
      <c r="B326" s="2">
        <v>55000</v>
      </c>
      <c r="C326" s="2" t="s">
        <v>39</v>
      </c>
      <c r="D326" s="75">
        <v>42296</v>
      </c>
      <c r="E326">
        <v>1192536</v>
      </c>
      <c r="F326" s="2">
        <v>54519.71</v>
      </c>
      <c r="G326" s="76">
        <v>38648</v>
      </c>
      <c r="H326" s="73">
        <f t="shared" si="8"/>
        <v>480.29000000000087</v>
      </c>
      <c r="I326" s="73">
        <f t="shared" si="9"/>
        <v>-2019.0000000000255</v>
      </c>
    </row>
    <row r="327" spans="1:9" x14ac:dyDescent="0.25">
      <c r="A327" t="s">
        <v>652</v>
      </c>
      <c r="B327" s="2">
        <v>40000</v>
      </c>
      <c r="C327" s="2" t="s">
        <v>39</v>
      </c>
      <c r="D327" s="75">
        <v>42296</v>
      </c>
      <c r="E327">
        <v>1192697</v>
      </c>
      <c r="F327" s="2">
        <v>35251.129999999997</v>
      </c>
      <c r="G327" s="76">
        <v>42300</v>
      </c>
      <c r="H327" s="73">
        <f t="shared" ref="H327:H370" si="10">B327-F327</f>
        <v>4748.8700000000026</v>
      </c>
      <c r="I327" s="73">
        <f t="shared" si="9"/>
        <v>2729.8699999999772</v>
      </c>
    </row>
    <row r="328" spans="1:9" x14ac:dyDescent="0.25">
      <c r="A328" t="s">
        <v>653</v>
      </c>
      <c r="B328" s="2">
        <v>33000</v>
      </c>
      <c r="C328" s="2" t="s">
        <v>84</v>
      </c>
      <c r="D328" s="75">
        <v>42300</v>
      </c>
      <c r="E328">
        <v>1194359</v>
      </c>
      <c r="F328" s="2">
        <v>31315.97</v>
      </c>
      <c r="G328" s="76">
        <v>42305</v>
      </c>
      <c r="H328" s="73">
        <f t="shared" si="10"/>
        <v>1684.0299999999988</v>
      </c>
      <c r="I328" s="73">
        <f t="shared" ref="I328:I340" si="11">I327+H328</f>
        <v>4413.899999999976</v>
      </c>
    </row>
    <row r="329" spans="1:9" x14ac:dyDescent="0.25">
      <c r="A329" t="s">
        <v>654</v>
      </c>
      <c r="B329" s="2">
        <v>33000</v>
      </c>
      <c r="C329" s="2" t="s">
        <v>84</v>
      </c>
      <c r="D329" s="75">
        <v>42300</v>
      </c>
      <c r="E329">
        <v>1194477</v>
      </c>
      <c r="F329" s="2">
        <v>29543.3</v>
      </c>
      <c r="G329" s="76">
        <v>42306</v>
      </c>
      <c r="H329" s="73">
        <f t="shared" si="10"/>
        <v>3456.7000000000007</v>
      </c>
      <c r="I329" s="73">
        <f t="shared" si="11"/>
        <v>7870.5999999999767</v>
      </c>
    </row>
    <row r="330" spans="1:9" x14ac:dyDescent="0.25">
      <c r="A330" t="s">
        <v>655</v>
      </c>
      <c r="B330" s="2">
        <v>30000</v>
      </c>
      <c r="C330" s="2" t="s">
        <v>39</v>
      </c>
      <c r="D330" s="75">
        <v>42303</v>
      </c>
      <c r="E330">
        <v>1195378</v>
      </c>
      <c r="F330" s="2">
        <v>28654.48</v>
      </c>
      <c r="G330" s="76">
        <v>42307</v>
      </c>
      <c r="H330" s="73">
        <f t="shared" si="10"/>
        <v>1345.5200000000004</v>
      </c>
      <c r="I330" s="73">
        <f t="shared" si="11"/>
        <v>9216.1199999999772</v>
      </c>
    </row>
    <row r="331" spans="1:9" x14ac:dyDescent="0.25">
      <c r="A331" t="s">
        <v>656</v>
      </c>
      <c r="B331" s="2">
        <v>27000</v>
      </c>
      <c r="C331" s="2" t="s">
        <v>84</v>
      </c>
      <c r="D331" s="75">
        <v>42307</v>
      </c>
      <c r="E331">
        <v>1196385</v>
      </c>
      <c r="F331" s="2">
        <v>28865.03</v>
      </c>
      <c r="G331" s="76">
        <v>42312</v>
      </c>
      <c r="H331" s="73">
        <f t="shared" si="10"/>
        <v>-1865.0299999999988</v>
      </c>
      <c r="I331" s="73">
        <f t="shared" si="11"/>
        <v>7351.0899999999783</v>
      </c>
    </row>
    <row r="332" spans="1:9" x14ac:dyDescent="0.25">
      <c r="A332" t="s">
        <v>657</v>
      </c>
      <c r="B332" s="2">
        <v>27000</v>
      </c>
      <c r="C332" s="2" t="s">
        <v>84</v>
      </c>
      <c r="D332" s="75">
        <v>42307</v>
      </c>
      <c r="E332">
        <v>1196605</v>
      </c>
      <c r="F332" s="2">
        <v>29608.75</v>
      </c>
      <c r="G332" s="76">
        <v>42313</v>
      </c>
      <c r="H332" s="73">
        <f t="shared" si="10"/>
        <v>-2608.75</v>
      </c>
      <c r="I332" s="73">
        <f t="shared" si="11"/>
        <v>4742.3399999999783</v>
      </c>
    </row>
    <row r="333" spans="1:9" x14ac:dyDescent="0.25">
      <c r="A333" t="s">
        <v>658</v>
      </c>
      <c r="B333" s="2">
        <v>29000</v>
      </c>
      <c r="C333" s="2" t="s">
        <v>45</v>
      </c>
      <c r="D333" s="75">
        <v>42311</v>
      </c>
      <c r="E333">
        <v>1196606</v>
      </c>
      <c r="F333" s="2">
        <v>29624.09</v>
      </c>
      <c r="G333" s="76">
        <v>42313</v>
      </c>
      <c r="H333" s="73">
        <f t="shared" si="10"/>
        <v>-624.09000000000015</v>
      </c>
      <c r="I333" s="73">
        <f t="shared" si="11"/>
        <v>4118.2499999999782</v>
      </c>
    </row>
    <row r="334" spans="1:9" x14ac:dyDescent="0.25">
      <c r="A334" t="s">
        <v>659</v>
      </c>
      <c r="B334" s="2">
        <v>30000</v>
      </c>
      <c r="C334" s="2" t="s">
        <v>45</v>
      </c>
      <c r="D334" s="75">
        <v>42311</v>
      </c>
      <c r="E334">
        <v>1197408</v>
      </c>
      <c r="F334" s="2">
        <v>30589.67</v>
      </c>
      <c r="G334" s="76">
        <v>42314</v>
      </c>
      <c r="H334" s="73">
        <f t="shared" si="10"/>
        <v>-589.66999999999825</v>
      </c>
      <c r="I334" s="73">
        <f t="shared" si="11"/>
        <v>3528.5799999999799</v>
      </c>
    </row>
    <row r="335" spans="1:9" x14ac:dyDescent="0.25">
      <c r="A335" t="s">
        <v>660</v>
      </c>
      <c r="B335" s="2">
        <v>31000</v>
      </c>
      <c r="C335" s="2" t="s">
        <v>84</v>
      </c>
      <c r="D335" s="75">
        <v>42314</v>
      </c>
      <c r="E335">
        <v>1198619</v>
      </c>
      <c r="F335" s="2">
        <v>29843.77</v>
      </c>
      <c r="G335" s="76">
        <v>42319</v>
      </c>
      <c r="H335" s="73">
        <f t="shared" si="10"/>
        <v>1156.2299999999996</v>
      </c>
      <c r="I335" s="73">
        <f t="shared" si="11"/>
        <v>4684.8099999999795</v>
      </c>
    </row>
    <row r="336" spans="1:9" x14ac:dyDescent="0.25">
      <c r="A336" t="s">
        <v>661</v>
      </c>
      <c r="B336" s="2">
        <v>31000</v>
      </c>
      <c r="C336" s="2" t="s">
        <v>84</v>
      </c>
      <c r="D336" s="75">
        <v>42314</v>
      </c>
      <c r="E336">
        <v>1198620</v>
      </c>
      <c r="F336" s="2">
        <v>30412.33</v>
      </c>
      <c r="G336" s="76">
        <v>42321</v>
      </c>
      <c r="H336" s="73">
        <f t="shared" si="10"/>
        <v>587.66999999999825</v>
      </c>
      <c r="I336" s="73">
        <f t="shared" si="11"/>
        <v>5272.4799999999777</v>
      </c>
    </row>
    <row r="337" spans="1:10" x14ac:dyDescent="0.25">
      <c r="A337" t="s">
        <v>662</v>
      </c>
      <c r="B337" s="2">
        <v>31000</v>
      </c>
      <c r="C337" s="2" t="s">
        <v>84</v>
      </c>
      <c r="D337" s="75">
        <v>42314</v>
      </c>
      <c r="E337">
        <v>1198621</v>
      </c>
      <c r="F337" s="2">
        <v>30348.33</v>
      </c>
      <c r="G337" s="76">
        <v>42320</v>
      </c>
      <c r="H337" s="73">
        <f t="shared" si="10"/>
        <v>651.66999999999825</v>
      </c>
      <c r="I337" s="73">
        <f t="shared" si="11"/>
        <v>5924.149999999976</v>
      </c>
    </row>
    <row r="338" spans="1:10" x14ac:dyDescent="0.25">
      <c r="A338" t="s">
        <v>663</v>
      </c>
      <c r="B338" s="2">
        <v>31000</v>
      </c>
      <c r="C338" s="2" t="s">
        <v>39</v>
      </c>
      <c r="D338" s="75">
        <v>42317</v>
      </c>
      <c r="E338">
        <v>1199459</v>
      </c>
      <c r="F338" s="2">
        <v>30992.15</v>
      </c>
      <c r="G338" s="76">
        <v>42321</v>
      </c>
      <c r="H338" s="73">
        <f t="shared" si="10"/>
        <v>7.8499999999985448</v>
      </c>
      <c r="I338" s="73">
        <f t="shared" si="11"/>
        <v>5931.9999999999745</v>
      </c>
    </row>
    <row r="339" spans="1:10" x14ac:dyDescent="0.25">
      <c r="A339" t="s">
        <v>664</v>
      </c>
      <c r="B339" s="2">
        <v>1655.44</v>
      </c>
      <c r="C339" s="2" t="s">
        <v>361</v>
      </c>
      <c r="D339" s="75">
        <v>42317</v>
      </c>
      <c r="H339" s="73">
        <f t="shared" si="10"/>
        <v>1655.44</v>
      </c>
      <c r="I339" s="73">
        <f t="shared" si="11"/>
        <v>7587.439999999975</v>
      </c>
      <c r="J339" t="s">
        <v>665</v>
      </c>
    </row>
    <row r="340" spans="1:10" x14ac:dyDescent="0.25">
      <c r="A340" t="s">
        <v>666</v>
      </c>
      <c r="B340" s="2">
        <v>29000</v>
      </c>
      <c r="C340" s="2" t="s">
        <v>84</v>
      </c>
      <c r="D340" s="75">
        <v>42321</v>
      </c>
      <c r="E340">
        <v>1200634</v>
      </c>
      <c r="F340" s="2">
        <v>30951.26</v>
      </c>
      <c r="G340" s="76">
        <v>42022</v>
      </c>
      <c r="H340" s="73">
        <f t="shared" si="10"/>
        <v>-1951.2599999999984</v>
      </c>
      <c r="I340" s="73">
        <f t="shared" si="11"/>
        <v>5636.1799999999766</v>
      </c>
    </row>
    <row r="341" spans="1:10" x14ac:dyDescent="0.25">
      <c r="A341" t="s">
        <v>667</v>
      </c>
      <c r="B341" s="2">
        <v>29000</v>
      </c>
      <c r="C341" s="2" t="s">
        <v>84</v>
      </c>
      <c r="D341" s="75">
        <v>42321</v>
      </c>
      <c r="E341">
        <v>1201249</v>
      </c>
      <c r="F341" s="2">
        <v>30527.040000000001</v>
      </c>
      <c r="G341" s="76">
        <v>42327</v>
      </c>
      <c r="H341" s="73">
        <f t="shared" si="10"/>
        <v>-1527.0400000000009</v>
      </c>
      <c r="I341" s="73">
        <f>I340+H341</f>
        <v>4109.1399999999758</v>
      </c>
    </row>
    <row r="342" spans="1:10" x14ac:dyDescent="0.25">
      <c r="A342" t="s">
        <v>668</v>
      </c>
      <c r="B342" s="2">
        <v>29000</v>
      </c>
      <c r="C342" s="2" t="s">
        <v>84</v>
      </c>
      <c r="D342" s="75">
        <v>42321</v>
      </c>
      <c r="E342">
        <v>1201250</v>
      </c>
      <c r="F342" s="2">
        <v>30756.49</v>
      </c>
      <c r="G342" s="76">
        <v>42328</v>
      </c>
      <c r="H342" s="73">
        <f t="shared" si="10"/>
        <v>-1756.4900000000016</v>
      </c>
      <c r="I342" s="73">
        <f>I341+H342</f>
        <v>2352.6499999999742</v>
      </c>
    </row>
    <row r="343" spans="1:10" x14ac:dyDescent="0.25">
      <c r="A343" t="s">
        <v>669</v>
      </c>
      <c r="B343" s="2">
        <v>30000</v>
      </c>
      <c r="C343" s="2" t="s">
        <v>50</v>
      </c>
      <c r="D343" s="75">
        <v>42326</v>
      </c>
      <c r="E343">
        <v>1202000</v>
      </c>
      <c r="F343" s="2">
        <v>30787.1</v>
      </c>
      <c r="G343" s="76">
        <v>42331</v>
      </c>
      <c r="H343" s="73">
        <f t="shared" si="10"/>
        <v>-787.09999999999854</v>
      </c>
      <c r="I343" s="73">
        <f t="shared" ref="I343:I396" si="12">I342+H343</f>
        <v>1565.5499999999756</v>
      </c>
    </row>
    <row r="344" spans="1:10" x14ac:dyDescent="0.25">
      <c r="A344" t="s">
        <v>670</v>
      </c>
      <c r="B344" s="2">
        <v>30000</v>
      </c>
      <c r="C344" s="2" t="s">
        <v>50</v>
      </c>
      <c r="D344" s="75">
        <v>42326</v>
      </c>
      <c r="E344">
        <v>1202001</v>
      </c>
      <c r="F344" s="2">
        <v>31059.439999999999</v>
      </c>
      <c r="G344" s="76">
        <v>42332</v>
      </c>
      <c r="H344" s="73">
        <f t="shared" si="10"/>
        <v>-1059.4399999999987</v>
      </c>
      <c r="I344" s="73">
        <f t="shared" si="12"/>
        <v>506.10999999997694</v>
      </c>
    </row>
    <row r="345" spans="1:10" x14ac:dyDescent="0.25">
      <c r="A345" t="s">
        <v>671</v>
      </c>
      <c r="B345" s="2">
        <v>31000</v>
      </c>
      <c r="C345" s="2" t="s">
        <v>65</v>
      </c>
      <c r="D345" s="75">
        <v>42327</v>
      </c>
      <c r="E345">
        <v>1202776</v>
      </c>
      <c r="F345" s="2">
        <v>30878.02</v>
      </c>
      <c r="G345" s="76">
        <v>42333</v>
      </c>
      <c r="H345" s="73">
        <f t="shared" si="10"/>
        <v>121.97999999999956</v>
      </c>
      <c r="I345" s="73">
        <f t="shared" si="12"/>
        <v>628.0899999999765</v>
      </c>
    </row>
    <row r="346" spans="1:10" x14ac:dyDescent="0.25">
      <c r="A346" t="s">
        <v>672</v>
      </c>
      <c r="B346" s="2">
        <v>31000</v>
      </c>
      <c r="C346" s="2" t="s">
        <v>65</v>
      </c>
      <c r="D346" s="75">
        <v>42327</v>
      </c>
      <c r="E346">
        <v>1202684</v>
      </c>
      <c r="F346" s="2">
        <v>30592.48</v>
      </c>
      <c r="G346" s="76">
        <v>42333</v>
      </c>
      <c r="H346" s="73">
        <f t="shared" si="10"/>
        <v>407.52000000000044</v>
      </c>
      <c r="I346" s="73">
        <f t="shared" si="12"/>
        <v>1035.6099999999769</v>
      </c>
    </row>
    <row r="347" spans="1:10" x14ac:dyDescent="0.25">
      <c r="A347" t="s">
        <v>673</v>
      </c>
      <c r="B347" s="2">
        <v>31000</v>
      </c>
      <c r="C347" s="2" t="s">
        <v>65</v>
      </c>
      <c r="D347" s="75">
        <v>42327</v>
      </c>
      <c r="E347">
        <v>1203744</v>
      </c>
      <c r="F347" s="2">
        <v>30619.83</v>
      </c>
      <c r="G347" s="76">
        <v>42335</v>
      </c>
      <c r="H347" s="73">
        <f t="shared" si="10"/>
        <v>380.16999999999825</v>
      </c>
      <c r="I347" s="73">
        <f t="shared" si="12"/>
        <v>1415.7799999999752</v>
      </c>
    </row>
    <row r="348" spans="1:10" x14ac:dyDescent="0.25">
      <c r="A348" t="s">
        <v>674</v>
      </c>
      <c r="B348" s="2">
        <v>500</v>
      </c>
      <c r="C348" s="2" t="s">
        <v>84</v>
      </c>
      <c r="D348" s="75">
        <v>42328</v>
      </c>
      <c r="G348" s="76"/>
      <c r="H348" s="73">
        <f t="shared" si="10"/>
        <v>500</v>
      </c>
      <c r="I348" s="73">
        <f t="shared" si="12"/>
        <v>1915.7799999999752</v>
      </c>
      <c r="J348" t="s">
        <v>675</v>
      </c>
    </row>
    <row r="349" spans="1:10" x14ac:dyDescent="0.25">
      <c r="A349" t="s">
        <v>676</v>
      </c>
      <c r="B349" s="2">
        <v>31000</v>
      </c>
      <c r="C349" s="2" t="s">
        <v>65</v>
      </c>
      <c r="D349" s="75">
        <v>42334</v>
      </c>
      <c r="E349">
        <v>1204532</v>
      </c>
      <c r="F349" s="2">
        <v>30741.11</v>
      </c>
      <c r="G349" s="76">
        <v>42340</v>
      </c>
      <c r="H349" s="73">
        <f t="shared" si="10"/>
        <v>258.88999999999942</v>
      </c>
      <c r="I349" s="73">
        <f t="shared" si="12"/>
        <v>2174.6699999999746</v>
      </c>
    </row>
    <row r="350" spans="1:10" x14ac:dyDescent="0.25">
      <c r="A350" t="s">
        <v>677</v>
      </c>
      <c r="B350" s="2">
        <v>31000</v>
      </c>
      <c r="C350" s="2" t="s">
        <v>65</v>
      </c>
      <c r="D350" s="75">
        <v>42334</v>
      </c>
      <c r="E350">
        <v>1204533</v>
      </c>
      <c r="F350" s="2">
        <v>30848.46</v>
      </c>
      <c r="G350" s="76">
        <v>42340</v>
      </c>
      <c r="H350" s="73">
        <f t="shared" si="10"/>
        <v>151.54000000000087</v>
      </c>
      <c r="I350" s="73">
        <f t="shared" si="12"/>
        <v>2326.2099999999755</v>
      </c>
    </row>
    <row r="351" spans="1:10" x14ac:dyDescent="0.25">
      <c r="A351" t="s">
        <v>678</v>
      </c>
      <c r="B351" s="2">
        <v>31000</v>
      </c>
      <c r="C351" s="2" t="s">
        <v>84</v>
      </c>
      <c r="D351" s="75">
        <v>42335</v>
      </c>
      <c r="E351">
        <v>1204786</v>
      </c>
      <c r="F351" s="2">
        <v>32150.67</v>
      </c>
      <c r="G351" s="76">
        <v>42341</v>
      </c>
      <c r="H351" s="73">
        <f t="shared" si="10"/>
        <v>-1150.6699999999983</v>
      </c>
      <c r="I351" s="73">
        <f t="shared" si="12"/>
        <v>1175.5399999999772</v>
      </c>
    </row>
    <row r="352" spans="1:10" x14ac:dyDescent="0.25">
      <c r="A352" t="s">
        <v>679</v>
      </c>
      <c r="B352" s="2">
        <v>32000</v>
      </c>
      <c r="C352" s="2" t="s">
        <v>361</v>
      </c>
      <c r="D352" s="75">
        <v>42338</v>
      </c>
      <c r="E352">
        <v>1205404</v>
      </c>
      <c r="F352" s="2">
        <v>32259.32</v>
      </c>
      <c r="G352" s="76">
        <v>42346</v>
      </c>
      <c r="H352" s="73">
        <f t="shared" si="10"/>
        <v>-259.31999999999971</v>
      </c>
      <c r="I352" s="73">
        <f t="shared" si="12"/>
        <v>916.21999999997752</v>
      </c>
    </row>
    <row r="353" spans="1:10" x14ac:dyDescent="0.25">
      <c r="A353" t="s">
        <v>680</v>
      </c>
      <c r="B353" s="2">
        <v>32000</v>
      </c>
      <c r="C353" s="2" t="s">
        <v>65</v>
      </c>
      <c r="D353" s="75">
        <v>42341</v>
      </c>
      <c r="E353">
        <v>1206642</v>
      </c>
      <c r="F353" s="2">
        <v>34185.22</v>
      </c>
      <c r="G353" s="76">
        <v>42347</v>
      </c>
      <c r="H353" s="73">
        <f t="shared" si="10"/>
        <v>-2185.2200000000012</v>
      </c>
      <c r="I353" s="73">
        <f t="shared" si="12"/>
        <v>-1269.0000000000236</v>
      </c>
    </row>
    <row r="354" spans="1:10" x14ac:dyDescent="0.25">
      <c r="A354" t="s">
        <v>681</v>
      </c>
      <c r="B354" s="2">
        <v>32000</v>
      </c>
      <c r="C354" s="2" t="s">
        <v>65</v>
      </c>
      <c r="D354" s="75">
        <v>42341</v>
      </c>
      <c r="E354">
        <v>1206643</v>
      </c>
      <c r="F354" s="2">
        <v>33954.629999999997</v>
      </c>
      <c r="G354" s="76">
        <v>42347</v>
      </c>
      <c r="H354" s="73">
        <f t="shared" si="10"/>
        <v>-1954.6299999999974</v>
      </c>
      <c r="I354" s="73">
        <f t="shared" si="12"/>
        <v>-3223.630000000021</v>
      </c>
    </row>
    <row r="355" spans="1:10" x14ac:dyDescent="0.25">
      <c r="A355" t="s">
        <v>682</v>
      </c>
      <c r="B355" s="2">
        <v>32000</v>
      </c>
      <c r="C355" s="2" t="s">
        <v>84</v>
      </c>
      <c r="D355" s="75">
        <v>42342</v>
      </c>
      <c r="E355">
        <v>1206855</v>
      </c>
      <c r="F355" s="2">
        <v>34408.980000000003</v>
      </c>
      <c r="G355" s="76">
        <v>42348</v>
      </c>
      <c r="H355" s="73">
        <f t="shared" si="10"/>
        <v>-2408.9800000000032</v>
      </c>
      <c r="I355" s="73">
        <f t="shared" si="12"/>
        <v>-5632.6100000000242</v>
      </c>
    </row>
    <row r="356" spans="1:10" x14ac:dyDescent="0.25">
      <c r="A356" t="s">
        <v>683</v>
      </c>
      <c r="B356" s="2">
        <v>40000</v>
      </c>
      <c r="C356" s="2" t="s">
        <v>39</v>
      </c>
      <c r="D356" s="75">
        <v>42345</v>
      </c>
      <c r="E356">
        <v>1208025</v>
      </c>
      <c r="F356" s="2">
        <v>34491.910000000003</v>
      </c>
      <c r="G356" s="76">
        <v>42352</v>
      </c>
      <c r="H356" s="73">
        <f t="shared" si="10"/>
        <v>5508.0899999999965</v>
      </c>
      <c r="I356" s="73">
        <f t="shared" si="12"/>
        <v>-124.52000000002772</v>
      </c>
    </row>
    <row r="357" spans="1:10" x14ac:dyDescent="0.25">
      <c r="A357" t="s">
        <v>684</v>
      </c>
      <c r="B357" s="2">
        <v>36000</v>
      </c>
      <c r="C357" s="2" t="s">
        <v>65</v>
      </c>
      <c r="D357" s="75">
        <v>42348</v>
      </c>
      <c r="E357">
        <v>1208799</v>
      </c>
      <c r="F357" s="2">
        <v>35404.17</v>
      </c>
      <c r="G357" s="76">
        <v>42354</v>
      </c>
      <c r="H357" s="73">
        <f t="shared" si="10"/>
        <v>595.83000000000175</v>
      </c>
      <c r="I357" s="73">
        <f t="shared" si="12"/>
        <v>471.30999999997402</v>
      </c>
    </row>
    <row r="358" spans="1:10" x14ac:dyDescent="0.25">
      <c r="A358" t="s">
        <v>685</v>
      </c>
      <c r="B358" s="2">
        <v>36000</v>
      </c>
      <c r="C358" s="2" t="s">
        <v>65</v>
      </c>
      <c r="D358" s="75">
        <v>42348</v>
      </c>
      <c r="E358">
        <v>1208800</v>
      </c>
      <c r="F358" s="2">
        <v>35213.78</v>
      </c>
      <c r="G358" s="76">
        <v>42354</v>
      </c>
      <c r="H358" s="73">
        <f t="shared" si="10"/>
        <v>786.22000000000116</v>
      </c>
      <c r="I358" s="73">
        <f t="shared" si="12"/>
        <v>1257.5299999999752</v>
      </c>
    </row>
    <row r="359" spans="1:10" x14ac:dyDescent="0.25">
      <c r="A359" t="s">
        <v>686</v>
      </c>
      <c r="B359" s="2">
        <v>36000</v>
      </c>
      <c r="C359" s="2" t="s">
        <v>84</v>
      </c>
      <c r="D359" s="75">
        <v>42349</v>
      </c>
      <c r="E359">
        <v>1208925</v>
      </c>
      <c r="F359" s="2">
        <v>34966.74</v>
      </c>
      <c r="G359" s="76">
        <v>42355</v>
      </c>
      <c r="H359" s="73">
        <f t="shared" si="10"/>
        <v>1033.260000000002</v>
      </c>
      <c r="I359" s="73">
        <f t="shared" si="12"/>
        <v>2290.7899999999772</v>
      </c>
    </row>
    <row r="360" spans="1:10" x14ac:dyDescent="0.25">
      <c r="A360" t="s">
        <v>687</v>
      </c>
      <c r="B360" s="2">
        <v>400</v>
      </c>
      <c r="C360" s="2" t="s">
        <v>485</v>
      </c>
      <c r="D360" s="75">
        <v>42349</v>
      </c>
      <c r="H360" s="73">
        <f t="shared" si="10"/>
        <v>400</v>
      </c>
      <c r="I360" s="73">
        <f t="shared" si="12"/>
        <v>2690.7899999999772</v>
      </c>
      <c r="J360" t="s">
        <v>688</v>
      </c>
    </row>
    <row r="361" spans="1:10" x14ac:dyDescent="0.25">
      <c r="A361" t="s">
        <v>689</v>
      </c>
      <c r="B361" s="2">
        <v>36000</v>
      </c>
      <c r="C361" s="2" t="s">
        <v>39</v>
      </c>
      <c r="D361" s="75">
        <v>42352</v>
      </c>
      <c r="E361">
        <v>1209293</v>
      </c>
      <c r="F361" s="2">
        <v>33907.58</v>
      </c>
      <c r="G361" s="76">
        <v>42356</v>
      </c>
      <c r="H361" s="73">
        <f t="shared" si="10"/>
        <v>2092.4199999999983</v>
      </c>
      <c r="I361" s="73">
        <f t="shared" si="12"/>
        <v>4783.2099999999755</v>
      </c>
    </row>
    <row r="362" spans="1:10" x14ac:dyDescent="0.25">
      <c r="A362" t="s">
        <v>690</v>
      </c>
      <c r="B362" s="2">
        <v>36000</v>
      </c>
      <c r="C362" s="2" t="s">
        <v>39</v>
      </c>
      <c r="D362" s="75">
        <v>42352</v>
      </c>
      <c r="E362">
        <v>1209294</v>
      </c>
      <c r="F362" s="2">
        <v>34113.31</v>
      </c>
      <c r="G362" s="76">
        <v>42356</v>
      </c>
      <c r="H362" s="73">
        <f t="shared" si="10"/>
        <v>1886.6900000000023</v>
      </c>
      <c r="I362" s="73">
        <f t="shared" si="12"/>
        <v>6669.8999999999778</v>
      </c>
    </row>
    <row r="363" spans="1:10" x14ac:dyDescent="0.25">
      <c r="A363" t="s">
        <v>691</v>
      </c>
      <c r="B363" s="2">
        <v>36000</v>
      </c>
      <c r="C363" s="2" t="s">
        <v>50</v>
      </c>
      <c r="D363" s="75">
        <v>42354</v>
      </c>
      <c r="E363">
        <v>1209813</v>
      </c>
      <c r="F363" s="37">
        <v>31619.26</v>
      </c>
      <c r="G363" s="76">
        <v>42359</v>
      </c>
      <c r="H363" s="73">
        <f t="shared" si="10"/>
        <v>4380.7400000000016</v>
      </c>
      <c r="I363" s="73">
        <f t="shared" si="12"/>
        <v>11050.639999999979</v>
      </c>
    </row>
    <row r="364" spans="1:10" x14ac:dyDescent="0.25">
      <c r="A364" t="s">
        <v>692</v>
      </c>
      <c r="B364" s="2">
        <v>35000</v>
      </c>
      <c r="C364" s="2" t="s">
        <v>65</v>
      </c>
      <c r="D364" s="75">
        <v>42355</v>
      </c>
      <c r="E364">
        <v>1210600</v>
      </c>
      <c r="F364" s="37">
        <v>31411.68</v>
      </c>
      <c r="G364" s="76">
        <v>42360</v>
      </c>
      <c r="H364" s="73">
        <f t="shared" si="10"/>
        <v>3588.3199999999997</v>
      </c>
      <c r="I364" s="73">
        <f t="shared" si="12"/>
        <v>14638.959999999979</v>
      </c>
    </row>
    <row r="365" spans="1:10" x14ac:dyDescent="0.25">
      <c r="A365" t="s">
        <v>693</v>
      </c>
      <c r="B365" s="2">
        <v>35000</v>
      </c>
      <c r="C365" s="2" t="s">
        <v>65</v>
      </c>
      <c r="D365" s="75">
        <v>42355</v>
      </c>
      <c r="E365">
        <v>1209814</v>
      </c>
      <c r="F365" s="37">
        <v>31882.63</v>
      </c>
      <c r="G365" s="76">
        <v>42360</v>
      </c>
      <c r="H365" s="73">
        <f t="shared" si="10"/>
        <v>3117.369999999999</v>
      </c>
      <c r="I365" s="73">
        <f t="shared" si="12"/>
        <v>17756.32999999998</v>
      </c>
    </row>
    <row r="366" spans="1:10" x14ac:dyDescent="0.25">
      <c r="A366" t="s">
        <v>694</v>
      </c>
      <c r="B366" s="2">
        <v>35000</v>
      </c>
      <c r="C366" s="2" t="s">
        <v>65</v>
      </c>
      <c r="D366" s="75">
        <v>42355</v>
      </c>
      <c r="E366">
        <v>1210601</v>
      </c>
      <c r="F366" s="37">
        <v>31852.87</v>
      </c>
      <c r="G366" s="76">
        <v>42360</v>
      </c>
      <c r="H366" s="73">
        <f t="shared" si="10"/>
        <v>3147.130000000001</v>
      </c>
      <c r="I366" s="73">
        <f t="shared" si="12"/>
        <v>20903.459999999981</v>
      </c>
    </row>
    <row r="367" spans="1:10" x14ac:dyDescent="0.25">
      <c r="A367" t="s">
        <v>695</v>
      </c>
      <c r="B367" s="2">
        <v>35000</v>
      </c>
      <c r="C367" s="2" t="s">
        <v>84</v>
      </c>
      <c r="D367" s="75">
        <v>42356</v>
      </c>
      <c r="E367">
        <v>1210987</v>
      </c>
      <c r="F367" s="37">
        <v>29702.959999999999</v>
      </c>
      <c r="G367" s="76">
        <v>42361</v>
      </c>
      <c r="H367" s="73">
        <f t="shared" si="10"/>
        <v>5297.0400000000009</v>
      </c>
      <c r="I367" s="73">
        <f t="shared" si="12"/>
        <v>26200.499999999982</v>
      </c>
    </row>
    <row r="368" spans="1:10" x14ac:dyDescent="0.25">
      <c r="A368" t="s">
        <v>696</v>
      </c>
      <c r="B368" s="2">
        <v>35000</v>
      </c>
      <c r="C368" s="2" t="s">
        <v>84</v>
      </c>
      <c r="D368" s="75">
        <v>42356</v>
      </c>
      <c r="E368">
        <v>1210988</v>
      </c>
      <c r="F368" s="37">
        <v>29764.33</v>
      </c>
      <c r="G368" s="76">
        <v>42361</v>
      </c>
      <c r="H368" s="73">
        <f t="shared" si="10"/>
        <v>5235.6699999999983</v>
      </c>
      <c r="I368" s="73">
        <f t="shared" si="12"/>
        <v>31436.16999999998</v>
      </c>
    </row>
    <row r="369" spans="1:10" x14ac:dyDescent="0.25">
      <c r="A369" t="s">
        <v>697</v>
      </c>
      <c r="B369" s="2">
        <v>23000</v>
      </c>
      <c r="C369" s="2" t="s">
        <v>39</v>
      </c>
      <c r="D369" s="75">
        <v>42359</v>
      </c>
      <c r="E369">
        <v>1211567</v>
      </c>
      <c r="F369" s="37">
        <v>25520</v>
      </c>
      <c r="G369" s="76">
        <v>42366</v>
      </c>
      <c r="H369" s="73">
        <f t="shared" si="10"/>
        <v>-2520</v>
      </c>
      <c r="I369" s="73">
        <f t="shared" si="12"/>
        <v>28916.16999999998</v>
      </c>
    </row>
    <row r="370" spans="1:10" x14ac:dyDescent="0.25">
      <c r="A370" t="s">
        <v>698</v>
      </c>
      <c r="B370" s="2">
        <v>23000</v>
      </c>
      <c r="C370" s="2" t="s">
        <v>39</v>
      </c>
      <c r="D370" s="75">
        <v>42359</v>
      </c>
      <c r="E370">
        <v>1211911</v>
      </c>
      <c r="F370" s="37">
        <v>25490.63</v>
      </c>
      <c r="G370" s="76">
        <v>42367</v>
      </c>
      <c r="H370" s="73">
        <f t="shared" si="10"/>
        <v>-2490.630000000001</v>
      </c>
      <c r="I370" s="73">
        <f t="shared" si="12"/>
        <v>26425.539999999979</v>
      </c>
    </row>
    <row r="371" spans="1:10" x14ac:dyDescent="0.25">
      <c r="A371" t="s">
        <v>699</v>
      </c>
      <c r="B371" s="2">
        <v>23000</v>
      </c>
      <c r="C371" s="2" t="s">
        <v>39</v>
      </c>
      <c r="D371" s="75">
        <v>42359</v>
      </c>
      <c r="E371">
        <v>1211912</v>
      </c>
      <c r="F371" s="37">
        <v>25543.360000000001</v>
      </c>
      <c r="G371" s="76">
        <v>42367</v>
      </c>
      <c r="H371" s="78">
        <f>B371-F371</f>
        <v>-2543.3600000000006</v>
      </c>
      <c r="I371" s="73">
        <f t="shared" si="12"/>
        <v>23882.179999999978</v>
      </c>
    </row>
    <row r="372" spans="1:10" x14ac:dyDescent="0.25">
      <c r="A372" t="s">
        <v>700</v>
      </c>
      <c r="B372" s="37">
        <v>29000</v>
      </c>
      <c r="C372" s="2" t="s">
        <v>50</v>
      </c>
      <c r="D372" s="75">
        <v>42361</v>
      </c>
      <c r="E372">
        <v>1212617</v>
      </c>
      <c r="F372" s="37">
        <v>25763.31</v>
      </c>
      <c r="G372" s="76">
        <v>42368</v>
      </c>
      <c r="H372" s="78">
        <f t="shared" ref="H372:H401" si="13">B372-F372</f>
        <v>3236.6899999999987</v>
      </c>
      <c r="I372" s="73">
        <f t="shared" si="12"/>
        <v>27118.869999999977</v>
      </c>
    </row>
    <row r="373" spans="1:10" x14ac:dyDescent="0.25">
      <c r="A373" t="s">
        <v>701</v>
      </c>
      <c r="B373" s="37"/>
      <c r="C373" s="2" t="s">
        <v>50</v>
      </c>
      <c r="D373" s="75">
        <v>42361</v>
      </c>
      <c r="F373" s="37"/>
      <c r="G373" s="76">
        <v>42368</v>
      </c>
      <c r="H373" s="78">
        <f t="shared" si="13"/>
        <v>0</v>
      </c>
      <c r="I373" s="73">
        <f t="shared" si="12"/>
        <v>27118.869999999977</v>
      </c>
      <c r="J373" t="s">
        <v>702</v>
      </c>
    </row>
    <row r="374" spans="1:10" x14ac:dyDescent="0.25">
      <c r="A374" t="s">
        <v>1022</v>
      </c>
      <c r="B374" s="37">
        <v>29000</v>
      </c>
      <c r="C374" s="2" t="s">
        <v>50</v>
      </c>
      <c r="D374" s="75">
        <v>42361</v>
      </c>
      <c r="E374">
        <v>1214205</v>
      </c>
      <c r="F374" s="37">
        <v>25331.53</v>
      </c>
      <c r="G374" s="76">
        <v>42375</v>
      </c>
      <c r="H374" s="78">
        <f t="shared" si="13"/>
        <v>3668.4700000000012</v>
      </c>
      <c r="I374" s="73">
        <f>I373+H374</f>
        <v>30787.339999999978</v>
      </c>
    </row>
    <row r="375" spans="1:10" x14ac:dyDescent="0.25">
      <c r="A375" t="s">
        <v>1023</v>
      </c>
      <c r="B375" s="2">
        <v>26000</v>
      </c>
      <c r="C375" s="2" t="s">
        <v>45</v>
      </c>
      <c r="D375" s="75">
        <v>42367</v>
      </c>
      <c r="E375">
        <v>1214206</v>
      </c>
      <c r="F375" s="37">
        <v>25789.21</v>
      </c>
      <c r="G375" s="76">
        <v>42375</v>
      </c>
      <c r="H375" s="78">
        <f t="shared" si="13"/>
        <v>210.79000000000087</v>
      </c>
      <c r="I375" s="73">
        <f t="shared" si="12"/>
        <v>30998.129999999979</v>
      </c>
    </row>
    <row r="376" spans="1:10" x14ac:dyDescent="0.25">
      <c r="A376" t="s">
        <v>1024</v>
      </c>
      <c r="B376" s="2">
        <v>26000</v>
      </c>
      <c r="C376" s="2" t="s">
        <v>45</v>
      </c>
      <c r="D376" s="75">
        <v>42367</v>
      </c>
      <c r="E376">
        <v>1214686</v>
      </c>
      <c r="F376" s="37">
        <v>26556.35</v>
      </c>
      <c r="G376" s="76">
        <v>42376</v>
      </c>
      <c r="H376" s="78">
        <f t="shared" si="13"/>
        <v>-556.34999999999854</v>
      </c>
      <c r="I376" s="73">
        <f t="shared" si="12"/>
        <v>30441.779999999981</v>
      </c>
    </row>
    <row r="377" spans="1:10" x14ac:dyDescent="0.25">
      <c r="A377" t="s">
        <v>1025</v>
      </c>
      <c r="B377" s="2">
        <v>26000</v>
      </c>
      <c r="C377" s="2" t="s">
        <v>45</v>
      </c>
      <c r="D377" s="75">
        <v>42367</v>
      </c>
      <c r="E377">
        <v>1214687</v>
      </c>
      <c r="F377" s="37">
        <v>26525.39</v>
      </c>
      <c r="G377" s="76">
        <v>42376</v>
      </c>
      <c r="H377" s="78">
        <f t="shared" si="13"/>
        <v>-525.38999999999942</v>
      </c>
      <c r="I377" s="73">
        <f t="shared" si="12"/>
        <v>29916.389999999981</v>
      </c>
    </row>
    <row r="378" spans="1:10" x14ac:dyDescent="0.25">
      <c r="A378" t="s">
        <v>1026</v>
      </c>
      <c r="B378" s="37">
        <v>10000</v>
      </c>
      <c r="C378" s="2" t="s">
        <v>65</v>
      </c>
      <c r="D378" s="75">
        <v>42375</v>
      </c>
      <c r="E378">
        <v>1214935</v>
      </c>
      <c r="F378" s="37">
        <v>26593.46</v>
      </c>
      <c r="G378" s="76">
        <v>42377</v>
      </c>
      <c r="H378" s="78">
        <f>B378-F378</f>
        <v>-16593.46</v>
      </c>
      <c r="I378" s="73">
        <f>I377+H378</f>
        <v>13322.929999999982</v>
      </c>
    </row>
    <row r="379" spans="1:10" x14ac:dyDescent="0.25">
      <c r="A379" t="s">
        <v>1027</v>
      </c>
      <c r="B379" s="37">
        <v>10000</v>
      </c>
      <c r="C379" s="2" t="s">
        <v>65</v>
      </c>
      <c r="D379" s="75">
        <v>42375</v>
      </c>
      <c r="E379">
        <v>1216539</v>
      </c>
      <c r="F379" s="37">
        <v>26567.200000000001</v>
      </c>
      <c r="G379" s="76">
        <v>42382</v>
      </c>
      <c r="H379" s="78">
        <f t="shared" si="13"/>
        <v>-16567.2</v>
      </c>
      <c r="I379" s="73">
        <f t="shared" si="12"/>
        <v>-3244.2700000000186</v>
      </c>
    </row>
    <row r="380" spans="1:10" x14ac:dyDescent="0.25">
      <c r="A380" t="s">
        <v>1028</v>
      </c>
      <c r="B380" s="37">
        <v>10000</v>
      </c>
      <c r="C380" s="2" t="s">
        <v>65</v>
      </c>
      <c r="D380" s="75">
        <v>42375</v>
      </c>
      <c r="E380">
        <v>1216540</v>
      </c>
      <c r="F380" s="37">
        <v>26599.040000000001</v>
      </c>
      <c r="G380" s="76">
        <v>42382</v>
      </c>
      <c r="H380" s="78">
        <f>B380-F380</f>
        <v>-16599.04</v>
      </c>
      <c r="I380" s="73">
        <f t="shared" si="12"/>
        <v>-19843.310000000019</v>
      </c>
    </row>
    <row r="381" spans="1:10" x14ac:dyDescent="0.25">
      <c r="A381" t="s">
        <v>1029</v>
      </c>
      <c r="B381" s="37">
        <v>22000</v>
      </c>
      <c r="C381" s="2" t="s">
        <v>84</v>
      </c>
      <c r="D381" s="75">
        <v>42375</v>
      </c>
      <c r="E381">
        <v>1216728</v>
      </c>
      <c r="F381" s="37">
        <v>27291.51</v>
      </c>
      <c r="G381" s="76">
        <v>42383</v>
      </c>
      <c r="H381" s="78">
        <f t="shared" si="13"/>
        <v>-5291.5099999999984</v>
      </c>
      <c r="I381" s="73">
        <f t="shared" si="12"/>
        <v>-25134.820000000018</v>
      </c>
    </row>
    <row r="382" spans="1:10" x14ac:dyDescent="0.25">
      <c r="A382" t="s">
        <v>1030</v>
      </c>
      <c r="B382" s="37">
        <v>22000</v>
      </c>
      <c r="C382" s="2" t="s">
        <v>84</v>
      </c>
      <c r="D382" s="75">
        <v>42375</v>
      </c>
      <c r="E382">
        <v>1216905</v>
      </c>
      <c r="F382" s="37">
        <v>27580.83</v>
      </c>
      <c r="G382" s="76">
        <v>42383</v>
      </c>
      <c r="H382" s="78">
        <f t="shared" si="13"/>
        <v>-5580.8300000000017</v>
      </c>
      <c r="I382" s="73">
        <f t="shared" si="12"/>
        <v>-30715.65000000002</v>
      </c>
    </row>
    <row r="383" spans="1:10" x14ac:dyDescent="0.25">
      <c r="A383" t="s">
        <v>1031</v>
      </c>
      <c r="B383" s="37">
        <v>27000</v>
      </c>
      <c r="C383" s="2" t="s">
        <v>39</v>
      </c>
      <c r="D383" s="75">
        <v>42380</v>
      </c>
      <c r="E383">
        <v>1217170</v>
      </c>
      <c r="F383" s="2">
        <v>27031.17</v>
      </c>
      <c r="G383" s="76">
        <v>42384</v>
      </c>
      <c r="H383" s="78">
        <f t="shared" si="13"/>
        <v>-31.169999999998254</v>
      </c>
      <c r="I383" s="73">
        <f t="shared" si="12"/>
        <v>-30746.820000000018</v>
      </c>
    </row>
    <row r="384" spans="1:10" x14ac:dyDescent="0.25">
      <c r="A384" t="s">
        <v>1032</v>
      </c>
      <c r="B384" s="37">
        <v>28000</v>
      </c>
      <c r="C384" s="2" t="s">
        <v>65</v>
      </c>
      <c r="D384" s="75">
        <v>42383</v>
      </c>
      <c r="E384">
        <v>1218821</v>
      </c>
      <c r="F384" s="2">
        <v>28502.93</v>
      </c>
      <c r="G384" s="76">
        <v>42389</v>
      </c>
      <c r="H384" s="78">
        <f t="shared" si="13"/>
        <v>-502.93000000000029</v>
      </c>
      <c r="I384" s="73">
        <f t="shared" si="12"/>
        <v>-31249.750000000018</v>
      </c>
    </row>
    <row r="385" spans="1:9" x14ac:dyDescent="0.25">
      <c r="A385" t="s">
        <v>1033</v>
      </c>
      <c r="B385" s="37">
        <v>28000</v>
      </c>
      <c r="C385" s="2" t="s">
        <v>65</v>
      </c>
      <c r="D385" s="75">
        <v>42383</v>
      </c>
      <c r="E385">
        <v>1218822</v>
      </c>
      <c r="F385" s="2">
        <v>28549.07</v>
      </c>
      <c r="G385" s="76">
        <v>42389</v>
      </c>
      <c r="H385" s="78">
        <f t="shared" si="13"/>
        <v>-549.06999999999971</v>
      </c>
      <c r="I385" s="73">
        <f t="shared" si="12"/>
        <v>-31798.820000000018</v>
      </c>
    </row>
    <row r="386" spans="1:9" x14ac:dyDescent="0.25">
      <c r="A386" t="s">
        <v>1034</v>
      </c>
      <c r="B386" s="37">
        <v>29000</v>
      </c>
      <c r="C386" s="2" t="s">
        <v>84</v>
      </c>
      <c r="D386" s="75">
        <v>42384</v>
      </c>
      <c r="E386">
        <v>1219170</v>
      </c>
      <c r="F386" s="2">
        <v>29485.29</v>
      </c>
      <c r="G386" s="76">
        <v>42390</v>
      </c>
      <c r="H386" s="78">
        <f t="shared" si="13"/>
        <v>-485.29000000000087</v>
      </c>
      <c r="I386" s="73">
        <f t="shared" si="12"/>
        <v>-32284.110000000019</v>
      </c>
    </row>
    <row r="387" spans="1:9" x14ac:dyDescent="0.25">
      <c r="A387" t="s">
        <v>1035</v>
      </c>
      <c r="B387" s="37">
        <v>29000</v>
      </c>
      <c r="C387" s="2" t="s">
        <v>84</v>
      </c>
      <c r="D387" s="75">
        <v>42384</v>
      </c>
      <c r="E387">
        <v>1219171</v>
      </c>
      <c r="F387" s="2">
        <v>29363.22</v>
      </c>
      <c r="G387" s="76">
        <v>42390</v>
      </c>
      <c r="H387" s="78">
        <f t="shared" si="13"/>
        <v>-363.22000000000116</v>
      </c>
      <c r="I387" s="73">
        <f t="shared" si="12"/>
        <v>-32647.33000000002</v>
      </c>
    </row>
    <row r="388" spans="1:9" x14ac:dyDescent="0.25">
      <c r="A388" t="s">
        <v>1036</v>
      </c>
      <c r="B388" s="37">
        <v>30000</v>
      </c>
      <c r="C388" s="2" t="s">
        <v>39</v>
      </c>
      <c r="D388" s="75">
        <v>42387</v>
      </c>
      <c r="E388">
        <v>1219172</v>
      </c>
      <c r="F388" s="2">
        <v>29248.52</v>
      </c>
      <c r="G388" s="76">
        <v>42391</v>
      </c>
      <c r="H388" s="78">
        <f t="shared" si="13"/>
        <v>751.47999999999956</v>
      </c>
      <c r="I388" s="73">
        <f t="shared" si="12"/>
        <v>-31895.85000000002</v>
      </c>
    </row>
    <row r="389" spans="1:9" x14ac:dyDescent="0.25">
      <c r="A389" t="s">
        <v>1037</v>
      </c>
      <c r="B389" s="2">
        <v>29000</v>
      </c>
      <c r="C389" s="2" t="s">
        <v>65</v>
      </c>
      <c r="D389" s="75">
        <v>42390</v>
      </c>
      <c r="E389">
        <v>1221066</v>
      </c>
      <c r="F389" s="2">
        <v>28908.03</v>
      </c>
      <c r="G389" s="76">
        <v>42396</v>
      </c>
      <c r="H389" s="78">
        <f t="shared" si="13"/>
        <v>91.970000000001164</v>
      </c>
      <c r="I389" s="73">
        <f t="shared" si="12"/>
        <v>-31803.880000000019</v>
      </c>
    </row>
    <row r="390" spans="1:9" x14ac:dyDescent="0.25">
      <c r="A390" t="s">
        <v>1038</v>
      </c>
      <c r="B390" s="2">
        <v>29000</v>
      </c>
      <c r="C390" s="2" t="s">
        <v>65</v>
      </c>
      <c r="D390" s="75">
        <v>42390</v>
      </c>
      <c r="E390">
        <v>1221067</v>
      </c>
      <c r="F390" s="2">
        <v>28601.16</v>
      </c>
      <c r="G390" s="76">
        <v>42396</v>
      </c>
      <c r="H390" s="78">
        <f t="shared" si="13"/>
        <v>398.84000000000015</v>
      </c>
      <c r="I390" s="73">
        <f t="shared" si="12"/>
        <v>-31405.040000000019</v>
      </c>
    </row>
    <row r="391" spans="1:9" x14ac:dyDescent="0.25">
      <c r="A391" t="s">
        <v>1039</v>
      </c>
      <c r="B391" s="2">
        <v>30000</v>
      </c>
      <c r="C391" s="2" t="s">
        <v>84</v>
      </c>
      <c r="D391" s="75">
        <v>42391</v>
      </c>
      <c r="E391">
        <v>1221213</v>
      </c>
      <c r="F391" s="2">
        <v>29637.58</v>
      </c>
      <c r="G391" s="76">
        <v>42397</v>
      </c>
      <c r="H391" s="78">
        <f t="shared" si="13"/>
        <v>362.41999999999825</v>
      </c>
      <c r="I391" s="73">
        <f t="shared" si="12"/>
        <v>-31042.620000000021</v>
      </c>
    </row>
    <row r="392" spans="1:9" x14ac:dyDescent="0.25">
      <c r="A392" t="s">
        <v>1040</v>
      </c>
      <c r="B392" s="2">
        <v>30000</v>
      </c>
      <c r="C392" s="2" t="s">
        <v>84</v>
      </c>
      <c r="D392" s="75">
        <v>42391</v>
      </c>
      <c r="E392">
        <v>1221214</v>
      </c>
      <c r="F392" s="2">
        <v>29423.53</v>
      </c>
      <c r="G392" s="76">
        <v>42397</v>
      </c>
      <c r="H392" s="78">
        <f t="shared" si="13"/>
        <v>576.47000000000116</v>
      </c>
      <c r="I392" s="73">
        <f t="shared" si="12"/>
        <v>-30466.15000000002</v>
      </c>
    </row>
    <row r="393" spans="1:9" x14ac:dyDescent="0.25">
      <c r="A393" t="s">
        <v>1041</v>
      </c>
      <c r="B393" s="37">
        <v>32000</v>
      </c>
      <c r="C393" s="2" t="s">
        <v>39</v>
      </c>
      <c r="D393" s="75">
        <v>42394</v>
      </c>
      <c r="E393">
        <v>1221215</v>
      </c>
      <c r="F393" s="2">
        <v>30082.38</v>
      </c>
      <c r="G393" s="76">
        <v>42398</v>
      </c>
      <c r="H393" s="78">
        <f t="shared" si="13"/>
        <v>1917.619999999999</v>
      </c>
      <c r="I393" s="73">
        <f t="shared" si="12"/>
        <v>-28548.530000000021</v>
      </c>
    </row>
    <row r="394" spans="1:9" x14ac:dyDescent="0.25">
      <c r="A394" t="s">
        <v>1042</v>
      </c>
      <c r="B394" s="2">
        <v>30000</v>
      </c>
      <c r="C394" s="2" t="s">
        <v>65</v>
      </c>
      <c r="D394" s="75">
        <v>42397</v>
      </c>
      <c r="E394">
        <v>1223221</v>
      </c>
      <c r="F394" s="2">
        <v>29611.200000000001</v>
      </c>
      <c r="G394" s="76">
        <v>42403</v>
      </c>
      <c r="H394" s="78">
        <f t="shared" si="13"/>
        <v>388.79999999999927</v>
      </c>
      <c r="I394" s="73">
        <f t="shared" si="12"/>
        <v>-28159.730000000021</v>
      </c>
    </row>
    <row r="395" spans="1:9" x14ac:dyDescent="0.25">
      <c r="A395" t="s">
        <v>1043</v>
      </c>
      <c r="B395" s="2">
        <v>30000</v>
      </c>
      <c r="C395" s="2" t="s">
        <v>65</v>
      </c>
      <c r="D395" s="75">
        <v>42397</v>
      </c>
      <c r="E395">
        <v>1223220</v>
      </c>
      <c r="F395" s="2">
        <v>29826.61</v>
      </c>
      <c r="G395" s="76">
        <v>42403</v>
      </c>
      <c r="H395" s="78">
        <f t="shared" si="13"/>
        <v>173.38999999999942</v>
      </c>
      <c r="I395" s="73">
        <f t="shared" si="12"/>
        <v>-27986.340000000022</v>
      </c>
    </row>
    <row r="396" spans="1:9" x14ac:dyDescent="0.25">
      <c r="A396" t="s">
        <v>1044</v>
      </c>
      <c r="B396" s="2">
        <v>30000</v>
      </c>
      <c r="C396" s="2" t="s">
        <v>84</v>
      </c>
      <c r="D396" s="75">
        <v>42398</v>
      </c>
      <c r="E396">
        <v>1223453</v>
      </c>
      <c r="F396" s="2">
        <v>29686.560000000001</v>
      </c>
      <c r="G396" s="76">
        <v>42404</v>
      </c>
      <c r="H396" s="78">
        <f t="shared" si="13"/>
        <v>313.43999999999869</v>
      </c>
      <c r="I396" s="73">
        <f t="shared" si="12"/>
        <v>-27672.900000000023</v>
      </c>
    </row>
    <row r="397" spans="1:9" x14ac:dyDescent="0.25">
      <c r="A397" t="s">
        <v>1045</v>
      </c>
      <c r="B397" s="2">
        <v>30000</v>
      </c>
      <c r="C397" s="2" t="s">
        <v>84</v>
      </c>
      <c r="D397" s="75">
        <v>42398</v>
      </c>
      <c r="E397">
        <v>1223454</v>
      </c>
      <c r="F397" s="2">
        <v>29903.06</v>
      </c>
      <c r="G397" s="76">
        <v>42404</v>
      </c>
      <c r="H397" s="78">
        <f t="shared" si="13"/>
        <v>96.93999999999869</v>
      </c>
      <c r="I397" s="73">
        <f t="shared" ref="I397:I399" si="14">I396+H397</f>
        <v>-27575.960000000025</v>
      </c>
    </row>
    <row r="398" spans="1:9" x14ac:dyDescent="0.25">
      <c r="A398" t="s">
        <v>1046</v>
      </c>
      <c r="B398" s="2">
        <v>30000</v>
      </c>
      <c r="C398" s="2" t="s">
        <v>45</v>
      </c>
      <c r="D398" s="75">
        <v>42402</v>
      </c>
      <c r="E398">
        <v>1223570</v>
      </c>
      <c r="F398" s="2">
        <v>30844.87</v>
      </c>
      <c r="G398" s="76">
        <v>42405</v>
      </c>
      <c r="H398" s="78">
        <f>B398-F398</f>
        <v>-844.86999999999898</v>
      </c>
      <c r="I398" s="73">
        <f>I397+H398</f>
        <v>-28420.830000000024</v>
      </c>
    </row>
    <row r="399" spans="1:9" x14ac:dyDescent="0.25">
      <c r="A399" t="s">
        <v>1143</v>
      </c>
      <c r="B399" s="2">
        <v>31000</v>
      </c>
      <c r="C399" s="2" t="s">
        <v>65</v>
      </c>
      <c r="D399" s="75">
        <v>42404</v>
      </c>
      <c r="E399">
        <v>1225088</v>
      </c>
      <c r="F399" s="2">
        <v>29473.55</v>
      </c>
      <c r="G399" s="76">
        <v>42410</v>
      </c>
      <c r="H399" s="78">
        <f>B399-F399</f>
        <v>1526.4500000000007</v>
      </c>
      <c r="I399" s="73">
        <f t="shared" si="14"/>
        <v>-26894.380000000023</v>
      </c>
    </row>
    <row r="400" spans="1:9" x14ac:dyDescent="0.25">
      <c r="A400" t="s">
        <v>1144</v>
      </c>
      <c r="B400" s="2">
        <v>31000</v>
      </c>
      <c r="C400" s="2" t="s">
        <v>65</v>
      </c>
      <c r="D400" s="75">
        <v>42404</v>
      </c>
      <c r="E400">
        <v>1225089</v>
      </c>
      <c r="F400" s="2">
        <v>29497.08</v>
      </c>
      <c r="G400" s="76">
        <v>42410</v>
      </c>
      <c r="H400" s="78">
        <f t="shared" si="13"/>
        <v>1502.9199999999983</v>
      </c>
      <c r="I400" s="73">
        <f t="shared" ref="I400:I401" si="15">I399+H400</f>
        <v>-25391.460000000025</v>
      </c>
    </row>
    <row r="401" spans="1:9" x14ac:dyDescent="0.25">
      <c r="A401" t="s">
        <v>1145</v>
      </c>
      <c r="B401" s="2">
        <v>31000</v>
      </c>
      <c r="C401" s="2" t="s">
        <v>84</v>
      </c>
      <c r="D401" s="75">
        <v>42405</v>
      </c>
      <c r="E401">
        <v>1225323</v>
      </c>
      <c r="F401" s="2">
        <v>30095.66</v>
      </c>
      <c r="G401" s="76">
        <v>42411</v>
      </c>
      <c r="H401" s="78">
        <f t="shared" si="13"/>
        <v>904.34000000000015</v>
      </c>
      <c r="I401" s="73">
        <f t="shared" si="15"/>
        <v>-24487.120000000024</v>
      </c>
    </row>
    <row r="402" spans="1:9" x14ac:dyDescent="0.25">
      <c r="A402" t="s">
        <v>1146</v>
      </c>
      <c r="B402" s="2">
        <v>31000</v>
      </c>
      <c r="C402" s="2" t="s">
        <v>84</v>
      </c>
      <c r="D402" s="75">
        <v>42405</v>
      </c>
      <c r="E402">
        <v>1225457</v>
      </c>
      <c r="F402" s="2">
        <v>30252.27</v>
      </c>
      <c r="G402" s="76">
        <v>42411</v>
      </c>
      <c r="H402" s="78">
        <f t="shared" ref="H402:H410" si="16">B402-F402</f>
        <v>747.72999999999956</v>
      </c>
      <c r="I402" s="73">
        <f t="shared" ref="I402:I408" si="17">I401+H402</f>
        <v>-23739.390000000025</v>
      </c>
    </row>
    <row r="403" spans="1:9" x14ac:dyDescent="0.25">
      <c r="A403" t="s">
        <v>1147</v>
      </c>
      <c r="B403" s="2">
        <v>31000</v>
      </c>
      <c r="C403" s="2" t="s">
        <v>39</v>
      </c>
      <c r="D403" s="75">
        <v>42408</v>
      </c>
      <c r="E403">
        <v>1225815</v>
      </c>
      <c r="F403" s="2">
        <v>29630.51</v>
      </c>
      <c r="G403" s="76">
        <v>42412</v>
      </c>
      <c r="H403" s="73">
        <f t="shared" si="16"/>
        <v>1369.4900000000016</v>
      </c>
      <c r="I403" s="73">
        <f t="shared" si="17"/>
        <v>-22369.900000000023</v>
      </c>
    </row>
    <row r="404" spans="1:9" x14ac:dyDescent="0.25">
      <c r="A404" t="s">
        <v>1189</v>
      </c>
      <c r="B404" s="37">
        <v>45000</v>
      </c>
      <c r="C404" s="2" t="s">
        <v>39</v>
      </c>
      <c r="D404" s="75">
        <v>42408</v>
      </c>
      <c r="E404">
        <v>1225322</v>
      </c>
      <c r="F404" s="2">
        <v>38086.92</v>
      </c>
      <c r="G404" s="76">
        <v>42411</v>
      </c>
      <c r="H404" s="73">
        <f t="shared" si="16"/>
        <v>6913.0800000000017</v>
      </c>
      <c r="I404" s="73">
        <f t="shared" si="17"/>
        <v>-15456.820000000022</v>
      </c>
    </row>
    <row r="405" spans="1:9" x14ac:dyDescent="0.25">
      <c r="A405" t="s">
        <v>1148</v>
      </c>
      <c r="B405" s="37">
        <v>35000</v>
      </c>
      <c r="C405" s="2" t="s">
        <v>65</v>
      </c>
      <c r="D405" s="75">
        <v>42411</v>
      </c>
      <c r="E405">
        <v>1227551</v>
      </c>
      <c r="F405" s="2">
        <v>29441.38</v>
      </c>
      <c r="G405" s="76">
        <v>42417</v>
      </c>
      <c r="H405" s="73">
        <f t="shared" si="16"/>
        <v>5558.619999999999</v>
      </c>
      <c r="I405" s="73">
        <f t="shared" si="17"/>
        <v>-9898.2000000000226</v>
      </c>
    </row>
    <row r="406" spans="1:9" x14ac:dyDescent="0.25">
      <c r="A406" t="s">
        <v>1149</v>
      </c>
      <c r="B406" s="37">
        <v>35000</v>
      </c>
      <c r="C406" s="2" t="s">
        <v>65</v>
      </c>
      <c r="D406" s="75">
        <v>42411</v>
      </c>
      <c r="E406">
        <v>1227552</v>
      </c>
      <c r="F406" s="2">
        <v>29375.21</v>
      </c>
      <c r="G406" s="76">
        <v>42417</v>
      </c>
      <c r="H406" s="73">
        <f t="shared" si="16"/>
        <v>5624.7900000000009</v>
      </c>
      <c r="I406" s="73">
        <f t="shared" si="17"/>
        <v>-4273.4100000000217</v>
      </c>
    </row>
    <row r="407" spans="1:9" x14ac:dyDescent="0.25">
      <c r="A407" t="s">
        <v>1150</v>
      </c>
      <c r="B407" s="37">
        <v>35000</v>
      </c>
      <c r="C407" s="2" t="s">
        <v>84</v>
      </c>
      <c r="D407" s="75">
        <v>42412</v>
      </c>
      <c r="E407">
        <v>1227553</v>
      </c>
      <c r="F407" s="2">
        <v>29667.47</v>
      </c>
      <c r="G407" s="76">
        <v>42418</v>
      </c>
      <c r="H407" s="73">
        <f t="shared" si="16"/>
        <v>5332.5299999999988</v>
      </c>
      <c r="I407" s="73">
        <f t="shared" si="17"/>
        <v>1059.1199999999772</v>
      </c>
    </row>
    <row r="408" spans="1:9" x14ac:dyDescent="0.25">
      <c r="A408" t="s">
        <v>1151</v>
      </c>
      <c r="B408" s="37">
        <v>35000</v>
      </c>
      <c r="C408" s="2" t="s">
        <v>84</v>
      </c>
      <c r="D408" s="75">
        <v>42412</v>
      </c>
      <c r="E408">
        <v>1227554</v>
      </c>
      <c r="F408" s="2">
        <v>29630.25</v>
      </c>
      <c r="G408" s="76">
        <v>42418</v>
      </c>
      <c r="H408" s="73">
        <f t="shared" si="16"/>
        <v>5369.75</v>
      </c>
      <c r="I408" s="73">
        <f t="shared" si="17"/>
        <v>6428.8699999999772</v>
      </c>
    </row>
    <row r="409" spans="1:9" x14ac:dyDescent="0.25">
      <c r="A409" t="s">
        <v>1152</v>
      </c>
      <c r="B409" s="37">
        <v>25000</v>
      </c>
      <c r="C409" s="2" t="s">
        <v>39</v>
      </c>
      <c r="D409" s="75">
        <v>42415</v>
      </c>
      <c r="E409">
        <v>1228061</v>
      </c>
      <c r="F409" s="2">
        <v>27852.34</v>
      </c>
      <c r="G409" s="76">
        <v>42419</v>
      </c>
      <c r="H409" s="73">
        <f t="shared" si="16"/>
        <v>-2852.34</v>
      </c>
      <c r="I409" s="73">
        <f>I408+H409</f>
        <v>3576.529999999977</v>
      </c>
    </row>
    <row r="410" spans="1:9" x14ac:dyDescent="0.25">
      <c r="A410" t="s">
        <v>1153</v>
      </c>
      <c r="B410" s="37">
        <v>29000</v>
      </c>
      <c r="C410" s="2" t="s">
        <v>65</v>
      </c>
      <c r="D410" s="75">
        <v>42418</v>
      </c>
      <c r="E410">
        <v>1229781</v>
      </c>
      <c r="F410" s="2">
        <v>28082.799999999999</v>
      </c>
      <c r="G410" s="76">
        <v>42424</v>
      </c>
      <c r="H410" s="73">
        <f t="shared" si="16"/>
        <v>917.20000000000073</v>
      </c>
      <c r="I410" s="73">
        <f>I409+H410</f>
        <v>4493.7299999999777</v>
      </c>
    </row>
    <row r="411" spans="1:9" x14ac:dyDescent="0.25">
      <c r="A411" t="s">
        <v>1339</v>
      </c>
      <c r="B411" s="37">
        <v>29000</v>
      </c>
      <c r="C411" s="2" t="s">
        <v>65</v>
      </c>
      <c r="D411" s="75">
        <v>42418</v>
      </c>
      <c r="E411">
        <v>1229782</v>
      </c>
      <c r="F411" s="2">
        <v>28064.37</v>
      </c>
      <c r="G411" s="76">
        <v>42424</v>
      </c>
      <c r="H411" s="73">
        <f t="shared" ref="H411:H420" si="18">B411-F411</f>
        <v>935.63000000000102</v>
      </c>
      <c r="I411" s="73">
        <f t="shared" ref="I411:I420" si="19">I410+H411</f>
        <v>5429.3599999999788</v>
      </c>
    </row>
    <row r="412" spans="1:9" x14ac:dyDescent="0.25">
      <c r="A412" t="s">
        <v>1340</v>
      </c>
      <c r="B412" s="37">
        <v>29000</v>
      </c>
      <c r="C412" s="2" t="s">
        <v>84</v>
      </c>
      <c r="D412" s="75">
        <v>42419</v>
      </c>
      <c r="E412">
        <v>1230299</v>
      </c>
      <c r="F412" s="2">
        <v>28528.240000000002</v>
      </c>
      <c r="G412" s="76">
        <v>42425</v>
      </c>
      <c r="H412" s="73">
        <f t="shared" si="18"/>
        <v>471.7599999999984</v>
      </c>
      <c r="I412" s="73">
        <f t="shared" si="19"/>
        <v>5901.1199999999772</v>
      </c>
    </row>
    <row r="413" spans="1:9" x14ac:dyDescent="0.25">
      <c r="A413" t="s">
        <v>1341</v>
      </c>
      <c r="B413" s="37">
        <v>29000</v>
      </c>
      <c r="C413" s="2" t="s">
        <v>84</v>
      </c>
      <c r="D413" s="75">
        <v>42419</v>
      </c>
      <c r="E413">
        <v>1230134</v>
      </c>
      <c r="F413" s="2">
        <v>28622.85</v>
      </c>
      <c r="G413" s="76">
        <v>42425</v>
      </c>
      <c r="H413" s="73">
        <f t="shared" si="18"/>
        <v>377.15000000000146</v>
      </c>
      <c r="I413" s="73">
        <f t="shared" si="19"/>
        <v>6278.2699999999786</v>
      </c>
    </row>
    <row r="414" spans="1:9" x14ac:dyDescent="0.25">
      <c r="A414" t="s">
        <v>1342</v>
      </c>
      <c r="B414" s="37">
        <v>25000</v>
      </c>
      <c r="C414" s="2" t="s">
        <v>39</v>
      </c>
      <c r="D414" s="75">
        <v>42422</v>
      </c>
      <c r="E414">
        <v>1230300</v>
      </c>
      <c r="F414" s="2">
        <v>28913.599999999999</v>
      </c>
      <c r="G414" s="76">
        <v>42426</v>
      </c>
      <c r="H414" s="73">
        <f t="shared" si="18"/>
        <v>-3913.5999999999985</v>
      </c>
      <c r="I414" s="73">
        <f t="shared" si="19"/>
        <v>2364.6699999999801</v>
      </c>
    </row>
    <row r="415" spans="1:9" x14ac:dyDescent="0.25">
      <c r="A415" t="s">
        <v>1343</v>
      </c>
      <c r="B415" s="37">
        <v>27000</v>
      </c>
      <c r="C415" s="2" t="s">
        <v>65</v>
      </c>
      <c r="D415" s="75">
        <v>42425</v>
      </c>
      <c r="E415">
        <v>1232037</v>
      </c>
      <c r="F415" s="2">
        <v>27805.119999999999</v>
      </c>
      <c r="G415" s="76">
        <v>42431</v>
      </c>
      <c r="H415" s="73">
        <f t="shared" si="18"/>
        <v>-805.11999999999898</v>
      </c>
      <c r="I415" s="73">
        <f t="shared" si="19"/>
        <v>1559.5499999999811</v>
      </c>
    </row>
    <row r="416" spans="1:9" x14ac:dyDescent="0.25">
      <c r="A416" t="s">
        <v>1344</v>
      </c>
      <c r="B416" s="37">
        <v>27000</v>
      </c>
      <c r="C416" s="2" t="s">
        <v>65</v>
      </c>
      <c r="D416" s="75">
        <v>42425</v>
      </c>
      <c r="E416">
        <v>1232038</v>
      </c>
      <c r="F416" s="2">
        <v>27942.36</v>
      </c>
      <c r="G416" s="76">
        <v>42431</v>
      </c>
      <c r="H416" s="73">
        <f t="shared" si="18"/>
        <v>-942.36000000000058</v>
      </c>
      <c r="I416" s="73">
        <f t="shared" si="19"/>
        <v>617.1899999999805</v>
      </c>
    </row>
    <row r="417" spans="1:9" x14ac:dyDescent="0.25">
      <c r="A417" t="s">
        <v>1345</v>
      </c>
      <c r="B417" s="37">
        <v>28000</v>
      </c>
      <c r="C417" s="2" t="s">
        <v>84</v>
      </c>
      <c r="D417" s="75">
        <v>42426</v>
      </c>
      <c r="E417">
        <v>1232039</v>
      </c>
      <c r="F417" s="2">
        <v>27990.54</v>
      </c>
      <c r="G417" s="76">
        <v>42432</v>
      </c>
      <c r="H417" s="73">
        <f t="shared" si="18"/>
        <v>9.4599999999991269</v>
      </c>
      <c r="I417" s="73">
        <f t="shared" si="19"/>
        <v>626.64999999997963</v>
      </c>
    </row>
    <row r="418" spans="1:9" x14ac:dyDescent="0.25">
      <c r="A418" t="s">
        <v>1346</v>
      </c>
      <c r="B418" s="37">
        <v>28000</v>
      </c>
      <c r="C418" s="2" t="s">
        <v>84</v>
      </c>
      <c r="D418" s="75">
        <v>42426</v>
      </c>
      <c r="E418">
        <v>1232040</v>
      </c>
      <c r="F418" s="2">
        <v>27903.88</v>
      </c>
      <c r="G418" s="76">
        <v>42432</v>
      </c>
      <c r="H418" s="73">
        <f t="shared" si="18"/>
        <v>96.119999999998981</v>
      </c>
      <c r="I418" s="73">
        <f t="shared" si="19"/>
        <v>722.76999999997861</v>
      </c>
    </row>
    <row r="419" spans="1:9" x14ac:dyDescent="0.25">
      <c r="A419" t="s">
        <v>1347</v>
      </c>
      <c r="B419" s="37">
        <v>28000</v>
      </c>
      <c r="C419" s="2" t="s">
        <v>39</v>
      </c>
      <c r="D419" s="75">
        <v>42429</v>
      </c>
      <c r="E419">
        <v>1232468</v>
      </c>
      <c r="F419" s="2">
        <v>27905.11</v>
      </c>
      <c r="G419" s="76">
        <v>42433</v>
      </c>
      <c r="H419" s="73">
        <f t="shared" si="18"/>
        <v>94.889999999999418</v>
      </c>
      <c r="I419" s="73">
        <f t="shared" si="19"/>
        <v>817.65999999997803</v>
      </c>
    </row>
    <row r="420" spans="1:9" x14ac:dyDescent="0.25">
      <c r="A420" t="s">
        <v>1528</v>
      </c>
      <c r="B420" s="2">
        <v>28500</v>
      </c>
      <c r="C420" s="2" t="s">
        <v>65</v>
      </c>
      <c r="D420" s="75">
        <v>42432</v>
      </c>
      <c r="E420">
        <v>1234130</v>
      </c>
      <c r="F420" s="2">
        <v>28728.36</v>
      </c>
      <c r="G420" s="76">
        <v>42438</v>
      </c>
      <c r="H420" s="73">
        <f t="shared" si="18"/>
        <v>-228.36000000000058</v>
      </c>
      <c r="I420" s="73">
        <f t="shared" si="19"/>
        <v>589.29999999997744</v>
      </c>
    </row>
    <row r="421" spans="1:9" x14ac:dyDescent="0.25">
      <c r="A421" t="s">
        <v>1529</v>
      </c>
      <c r="B421" s="2">
        <v>28500</v>
      </c>
      <c r="C421" s="2" t="s">
        <v>65</v>
      </c>
      <c r="D421" s="75">
        <v>42432</v>
      </c>
      <c r="E421">
        <v>1234131</v>
      </c>
      <c r="F421" s="2">
        <v>28644.12</v>
      </c>
      <c r="G421" s="76">
        <v>42438</v>
      </c>
      <c r="H421" s="73">
        <f t="shared" ref="H421:H426" si="20">B421-F421</f>
        <v>-144.11999999999898</v>
      </c>
      <c r="I421" s="73">
        <f t="shared" ref="I421:I426" si="21">I420+H421</f>
        <v>445.17999999997846</v>
      </c>
    </row>
    <row r="422" spans="1:9" x14ac:dyDescent="0.25">
      <c r="A422" t="s">
        <v>1539</v>
      </c>
      <c r="B422" s="2">
        <v>28500</v>
      </c>
      <c r="C422" s="2" t="s">
        <v>84</v>
      </c>
      <c r="D422" s="75">
        <v>42433</v>
      </c>
      <c r="E422">
        <v>1234132</v>
      </c>
      <c r="F422" s="2">
        <v>28450.19</v>
      </c>
      <c r="G422" s="76">
        <v>42439</v>
      </c>
      <c r="H422" s="73">
        <f t="shared" si="20"/>
        <v>49.81000000000131</v>
      </c>
      <c r="I422" s="73">
        <f t="shared" si="21"/>
        <v>494.98999999997977</v>
      </c>
    </row>
    <row r="423" spans="1:9" x14ac:dyDescent="0.25">
      <c r="A423" t="s">
        <v>1540</v>
      </c>
      <c r="B423" s="2">
        <v>28500</v>
      </c>
      <c r="C423" s="2" t="s">
        <v>84</v>
      </c>
      <c r="D423" s="75">
        <v>42433</v>
      </c>
      <c r="E423">
        <v>1234686</v>
      </c>
      <c r="F423" s="2">
        <v>28808.59</v>
      </c>
      <c r="G423" s="76">
        <v>42440</v>
      </c>
      <c r="H423" s="73">
        <f t="shared" si="20"/>
        <v>-308.59000000000015</v>
      </c>
      <c r="I423" s="73">
        <f t="shared" si="21"/>
        <v>186.39999999997963</v>
      </c>
    </row>
    <row r="424" spans="1:9" x14ac:dyDescent="0.25">
      <c r="A424" t="s">
        <v>1541</v>
      </c>
      <c r="B424" s="2">
        <v>28500</v>
      </c>
      <c r="C424" s="2" t="s">
        <v>39</v>
      </c>
      <c r="D424" s="75">
        <v>42436</v>
      </c>
      <c r="E424">
        <v>1236397</v>
      </c>
      <c r="F424" s="2">
        <v>29082.04</v>
      </c>
      <c r="G424" s="76">
        <v>42445</v>
      </c>
      <c r="H424" s="73">
        <f t="shared" si="20"/>
        <v>-582.04000000000087</v>
      </c>
      <c r="I424" s="73">
        <f t="shared" si="21"/>
        <v>-395.64000000002125</v>
      </c>
    </row>
    <row r="425" spans="1:9" x14ac:dyDescent="0.25">
      <c r="A425" t="s">
        <v>1542</v>
      </c>
      <c r="B425" s="2">
        <v>29000</v>
      </c>
      <c r="C425" s="2" t="s">
        <v>50</v>
      </c>
      <c r="D425" s="75">
        <v>42438</v>
      </c>
      <c r="E425">
        <v>1236398</v>
      </c>
      <c r="F425" s="2">
        <v>29071.14</v>
      </c>
      <c r="G425" s="76">
        <v>42445</v>
      </c>
      <c r="H425" s="73">
        <f t="shared" si="20"/>
        <v>-71.139999999999418</v>
      </c>
      <c r="I425" s="73">
        <f t="shared" si="21"/>
        <v>-466.78000000002066</v>
      </c>
    </row>
    <row r="426" spans="1:9" x14ac:dyDescent="0.25">
      <c r="A426" t="s">
        <v>1543</v>
      </c>
      <c r="B426" s="2">
        <v>29000</v>
      </c>
      <c r="C426" s="2" t="s">
        <v>50</v>
      </c>
      <c r="D426" s="75">
        <v>42438</v>
      </c>
      <c r="E426">
        <v>1236399</v>
      </c>
      <c r="F426" s="2">
        <v>29015.48</v>
      </c>
      <c r="G426" s="76">
        <v>42446</v>
      </c>
      <c r="H426" s="73">
        <f t="shared" si="20"/>
        <v>-15.479999999999563</v>
      </c>
      <c r="I426" s="73">
        <f t="shared" si="21"/>
        <v>-482.26000000002023</v>
      </c>
    </row>
    <row r="427" spans="1:9" x14ac:dyDescent="0.25">
      <c r="A427" t="s">
        <v>1544</v>
      </c>
      <c r="B427" s="2">
        <v>29000</v>
      </c>
      <c r="C427" s="2" t="s">
        <v>84</v>
      </c>
      <c r="D427" s="75">
        <v>42440</v>
      </c>
      <c r="E427">
        <v>1236400</v>
      </c>
      <c r="F427" s="2">
        <v>28873.119999999999</v>
      </c>
      <c r="G427" s="76">
        <v>42446</v>
      </c>
      <c r="H427" s="73">
        <f t="shared" ref="H427:H436" si="22">B427-F427</f>
        <v>126.88000000000102</v>
      </c>
      <c r="I427" s="73">
        <f t="shared" ref="I427:I436" si="23">I426+H427</f>
        <v>-355.38000000001921</v>
      </c>
    </row>
    <row r="428" spans="1:9" x14ac:dyDescent="0.25">
      <c r="A428" t="s">
        <v>1545</v>
      </c>
      <c r="B428" s="2">
        <v>29000</v>
      </c>
      <c r="C428" s="2" t="s">
        <v>84</v>
      </c>
      <c r="D428" s="75">
        <v>42440</v>
      </c>
      <c r="E428">
        <v>1236401</v>
      </c>
      <c r="F428" s="2">
        <v>28767.37</v>
      </c>
      <c r="G428" s="76">
        <v>42446</v>
      </c>
      <c r="H428" s="73">
        <f t="shared" si="22"/>
        <v>232.63000000000102</v>
      </c>
      <c r="I428" s="73">
        <f t="shared" si="23"/>
        <v>-122.75000000001819</v>
      </c>
    </row>
    <row r="429" spans="1:9" x14ac:dyDescent="0.25">
      <c r="A429" t="s">
        <v>1546</v>
      </c>
      <c r="B429" s="2">
        <v>29000</v>
      </c>
      <c r="C429" s="2" t="s">
        <v>39</v>
      </c>
      <c r="D429" s="75">
        <v>42443</v>
      </c>
      <c r="E429">
        <v>1236996</v>
      </c>
      <c r="F429" s="2">
        <v>28124.03</v>
      </c>
      <c r="G429" s="76">
        <v>42447</v>
      </c>
      <c r="H429" s="73">
        <f t="shared" si="22"/>
        <v>875.97000000000116</v>
      </c>
      <c r="I429" s="73">
        <f t="shared" si="23"/>
        <v>753.21999999998297</v>
      </c>
    </row>
    <row r="430" spans="1:9" x14ac:dyDescent="0.25">
      <c r="A430" t="s">
        <v>1547</v>
      </c>
      <c r="B430" s="37">
        <v>29000</v>
      </c>
      <c r="C430" s="2" t="s">
        <v>50</v>
      </c>
      <c r="D430" s="75">
        <v>42445</v>
      </c>
      <c r="E430">
        <v>1237688</v>
      </c>
      <c r="F430" s="2">
        <v>27529.37</v>
      </c>
      <c r="G430" s="76">
        <v>42451</v>
      </c>
      <c r="H430" s="73">
        <f t="shared" si="22"/>
        <v>1470.630000000001</v>
      </c>
      <c r="I430" s="73">
        <f t="shared" si="23"/>
        <v>2223.849999999984</v>
      </c>
    </row>
    <row r="431" spans="1:9" x14ac:dyDescent="0.25">
      <c r="A431" t="s">
        <v>1548</v>
      </c>
      <c r="B431" s="37">
        <v>29000</v>
      </c>
      <c r="C431" s="2" t="s">
        <v>50</v>
      </c>
      <c r="D431" s="75">
        <v>42445</v>
      </c>
      <c r="E431">
        <v>1237689</v>
      </c>
      <c r="F431" s="2">
        <v>27544.95</v>
      </c>
      <c r="G431" s="76">
        <v>42451</v>
      </c>
      <c r="H431" s="73">
        <f t="shared" si="22"/>
        <v>1455.0499999999993</v>
      </c>
      <c r="I431" s="73">
        <f t="shared" si="23"/>
        <v>3678.8999999999833</v>
      </c>
    </row>
    <row r="432" spans="1:9" x14ac:dyDescent="0.25">
      <c r="A432" t="s">
        <v>1549</v>
      </c>
      <c r="B432" s="37">
        <v>29500</v>
      </c>
      <c r="C432" s="2" t="s">
        <v>65</v>
      </c>
      <c r="D432" s="75">
        <v>42446</v>
      </c>
      <c r="E432">
        <v>1238540</v>
      </c>
      <c r="F432" s="2">
        <v>26976.83</v>
      </c>
      <c r="G432" s="76">
        <v>42452</v>
      </c>
      <c r="H432" s="73">
        <f t="shared" si="22"/>
        <v>2523.1699999999983</v>
      </c>
      <c r="I432" s="73">
        <f t="shared" si="23"/>
        <v>6202.0699999999815</v>
      </c>
    </row>
    <row r="433" spans="1:9" x14ac:dyDescent="0.25">
      <c r="A433" t="s">
        <v>1673</v>
      </c>
      <c r="B433" s="2">
        <v>26000</v>
      </c>
      <c r="C433" s="2" t="s">
        <v>50</v>
      </c>
      <c r="D433" s="75">
        <v>42452</v>
      </c>
      <c r="E433">
        <v>1240765</v>
      </c>
      <c r="F433" s="2">
        <v>26787.08</v>
      </c>
      <c r="G433" s="76">
        <v>42459</v>
      </c>
      <c r="H433" s="73">
        <f t="shared" si="22"/>
        <v>-787.08000000000175</v>
      </c>
      <c r="I433" s="73">
        <f t="shared" si="23"/>
        <v>5414.9899999999798</v>
      </c>
    </row>
    <row r="434" spans="1:9" x14ac:dyDescent="0.25">
      <c r="A434" t="s">
        <v>1674</v>
      </c>
      <c r="B434" s="2">
        <v>26000</v>
      </c>
      <c r="C434" s="2" t="s">
        <v>50</v>
      </c>
      <c r="D434" s="75">
        <v>42452</v>
      </c>
      <c r="E434">
        <v>1240766</v>
      </c>
      <c r="F434" s="2">
        <v>26841.18</v>
      </c>
      <c r="G434" s="76">
        <v>42459</v>
      </c>
      <c r="H434" s="73">
        <f t="shared" si="22"/>
        <v>-841.18000000000029</v>
      </c>
      <c r="I434" s="73">
        <f t="shared" si="23"/>
        <v>4573.8099999999795</v>
      </c>
    </row>
    <row r="435" spans="1:9" x14ac:dyDescent="0.25">
      <c r="A435" t="s">
        <v>1772</v>
      </c>
      <c r="B435" s="2">
        <v>26000</v>
      </c>
      <c r="C435" s="2" t="s">
        <v>50</v>
      </c>
      <c r="D435" s="75">
        <v>42452</v>
      </c>
      <c r="E435">
        <v>1240767</v>
      </c>
      <c r="F435" s="2">
        <v>27111.8</v>
      </c>
      <c r="G435" s="76">
        <v>42460</v>
      </c>
      <c r="H435" s="73">
        <f t="shared" si="22"/>
        <v>-1111.7999999999993</v>
      </c>
      <c r="I435" s="73">
        <f t="shared" si="23"/>
        <v>3462.0099999999802</v>
      </c>
    </row>
    <row r="436" spans="1:9" x14ac:dyDescent="0.25">
      <c r="A436" t="s">
        <v>1773</v>
      </c>
      <c r="B436" s="2">
        <v>26000</v>
      </c>
      <c r="C436" s="2" t="s">
        <v>50</v>
      </c>
      <c r="D436" s="75">
        <v>42452</v>
      </c>
      <c r="E436">
        <v>1240768</v>
      </c>
      <c r="F436" s="2">
        <v>26913.42</v>
      </c>
      <c r="G436" s="76">
        <v>42460</v>
      </c>
      <c r="H436" s="73">
        <f t="shared" si="22"/>
        <v>-913.41999999999825</v>
      </c>
      <c r="I436" s="73">
        <f t="shared" si="23"/>
        <v>2548.589999999982</v>
      </c>
    </row>
    <row r="437" spans="1:9" x14ac:dyDescent="0.25">
      <c r="A437" t="s">
        <v>1774</v>
      </c>
      <c r="B437" s="2">
        <v>27000</v>
      </c>
      <c r="C437" s="2" t="s">
        <v>39</v>
      </c>
      <c r="D437" s="75">
        <v>42457</v>
      </c>
      <c r="E437">
        <v>1241206</v>
      </c>
      <c r="F437" s="2">
        <v>27536.66</v>
      </c>
      <c r="G437" s="76">
        <v>42461</v>
      </c>
      <c r="H437" s="73">
        <f t="shared" ref="H437:H458" si="24">B437-F437</f>
        <v>-536.65999999999985</v>
      </c>
      <c r="I437" s="73">
        <f t="shared" ref="I437:I458" si="25">I436+H437</f>
        <v>2011.9299999999821</v>
      </c>
    </row>
    <row r="438" spans="1:9" x14ac:dyDescent="0.25">
      <c r="A438" t="s">
        <v>1775</v>
      </c>
      <c r="B438" s="2">
        <v>27000</v>
      </c>
      <c r="C438" s="2" t="s">
        <v>50</v>
      </c>
      <c r="D438" s="75">
        <v>42459</v>
      </c>
      <c r="E438">
        <v>1242108</v>
      </c>
      <c r="F438" s="2">
        <v>27817.99</v>
      </c>
      <c r="G438" s="76">
        <v>42464</v>
      </c>
      <c r="H438" s="73">
        <f t="shared" si="24"/>
        <v>-817.9900000000016</v>
      </c>
      <c r="I438" s="73">
        <f t="shared" si="25"/>
        <v>1193.9399999999805</v>
      </c>
    </row>
    <row r="439" spans="1:9" x14ac:dyDescent="0.25">
      <c r="A439" t="s">
        <v>1776</v>
      </c>
      <c r="B439" s="2">
        <v>27500</v>
      </c>
      <c r="C439" s="2" t="s">
        <v>65</v>
      </c>
      <c r="D439" s="75">
        <v>42460</v>
      </c>
      <c r="E439">
        <v>1242803</v>
      </c>
      <c r="F439" s="2">
        <v>27893.19</v>
      </c>
      <c r="G439" s="76">
        <v>42466</v>
      </c>
      <c r="H439" s="73">
        <f t="shared" si="24"/>
        <v>-393.18999999999869</v>
      </c>
      <c r="I439" s="73">
        <f t="shared" si="25"/>
        <v>800.74999999998181</v>
      </c>
    </row>
    <row r="440" spans="1:9" x14ac:dyDescent="0.25">
      <c r="A440" t="s">
        <v>1777</v>
      </c>
      <c r="B440" s="2">
        <v>27500</v>
      </c>
      <c r="C440" s="2" t="s">
        <v>65</v>
      </c>
      <c r="D440" s="75">
        <v>42460</v>
      </c>
      <c r="E440">
        <v>1242804</v>
      </c>
      <c r="F440" s="2">
        <v>28380.560000000001</v>
      </c>
      <c r="G440" s="76">
        <v>42466</v>
      </c>
      <c r="H440" s="73">
        <f t="shared" si="24"/>
        <v>-880.56000000000131</v>
      </c>
      <c r="I440" s="73">
        <f t="shared" si="25"/>
        <v>-79.8100000000195</v>
      </c>
    </row>
    <row r="441" spans="1:9" x14ac:dyDescent="0.25">
      <c r="A441" t="s">
        <v>1778</v>
      </c>
      <c r="B441" s="2">
        <v>27500</v>
      </c>
      <c r="C441" s="2" t="s">
        <v>84</v>
      </c>
      <c r="D441" s="75">
        <v>42430</v>
      </c>
      <c r="E441">
        <v>1243310</v>
      </c>
      <c r="F441" s="2">
        <v>28453.11</v>
      </c>
      <c r="G441" s="76">
        <v>42467</v>
      </c>
      <c r="H441" s="73">
        <f t="shared" si="24"/>
        <v>-953.11000000000058</v>
      </c>
      <c r="I441" s="73">
        <f t="shared" si="25"/>
        <v>-1032.9200000000201</v>
      </c>
    </row>
    <row r="442" spans="1:9" x14ac:dyDescent="0.25">
      <c r="A442" t="s">
        <v>1779</v>
      </c>
      <c r="B442" s="2">
        <v>27500</v>
      </c>
      <c r="C442" s="2" t="s">
        <v>39</v>
      </c>
      <c r="D442" s="75">
        <v>42464</v>
      </c>
      <c r="E442">
        <v>1243311</v>
      </c>
      <c r="F442" s="2">
        <v>29062.38</v>
      </c>
      <c r="G442" s="76">
        <v>42471</v>
      </c>
      <c r="H442" s="73">
        <f t="shared" si="24"/>
        <v>-1562.380000000001</v>
      </c>
      <c r="I442" s="73">
        <f t="shared" si="25"/>
        <v>-2595.3000000000211</v>
      </c>
    </row>
    <row r="443" spans="1:9" x14ac:dyDescent="0.25">
      <c r="A443" t="s">
        <v>1972</v>
      </c>
      <c r="D443" s="75"/>
      <c r="H443" s="73">
        <f t="shared" si="24"/>
        <v>0</v>
      </c>
      <c r="I443" s="73">
        <f t="shared" si="25"/>
        <v>-2595.3000000000211</v>
      </c>
    </row>
    <row r="444" spans="1:9" x14ac:dyDescent="0.25">
      <c r="A444" t="s">
        <v>1781</v>
      </c>
      <c r="B444" s="2">
        <v>30000</v>
      </c>
      <c r="C444" s="2" t="s">
        <v>375</v>
      </c>
      <c r="D444" s="75">
        <v>42467</v>
      </c>
      <c r="E444">
        <v>1245135</v>
      </c>
      <c r="F444" s="2">
        <v>28526.23</v>
      </c>
      <c r="G444" s="76">
        <v>42473</v>
      </c>
      <c r="H444" s="73">
        <f t="shared" si="24"/>
        <v>1473.7700000000004</v>
      </c>
      <c r="I444" s="73">
        <f t="shared" si="25"/>
        <v>-1121.5300000000207</v>
      </c>
    </row>
    <row r="445" spans="1:9" x14ac:dyDescent="0.25">
      <c r="A445" t="s">
        <v>1782</v>
      </c>
      <c r="B445" s="2">
        <v>30000</v>
      </c>
      <c r="C445" s="2" t="s">
        <v>65</v>
      </c>
      <c r="D445" s="75">
        <v>42467</v>
      </c>
      <c r="E445">
        <v>1245136</v>
      </c>
      <c r="F445" s="2">
        <v>28689.35</v>
      </c>
      <c r="G445" s="76">
        <v>42473</v>
      </c>
      <c r="H445" s="73">
        <f t="shared" si="24"/>
        <v>1310.6500000000015</v>
      </c>
      <c r="I445" s="73">
        <f t="shared" si="25"/>
        <v>189.11999999998079</v>
      </c>
    </row>
    <row r="446" spans="1:9" x14ac:dyDescent="0.25">
      <c r="A446" t="s">
        <v>1783</v>
      </c>
      <c r="B446" s="2">
        <v>30000</v>
      </c>
      <c r="C446" s="2" t="s">
        <v>84</v>
      </c>
      <c r="D446" s="75">
        <v>42468</v>
      </c>
      <c r="E446">
        <v>1245137</v>
      </c>
      <c r="F446" s="2">
        <v>28474.47</v>
      </c>
      <c r="G446" s="76">
        <v>42474</v>
      </c>
      <c r="H446" s="73">
        <f t="shared" si="24"/>
        <v>1525.5299999999988</v>
      </c>
      <c r="I446" s="73">
        <f t="shared" si="25"/>
        <v>1714.6499999999796</v>
      </c>
    </row>
    <row r="447" spans="1:9" x14ac:dyDescent="0.25">
      <c r="A447" t="s">
        <v>1784</v>
      </c>
      <c r="B447" s="2">
        <v>30000</v>
      </c>
      <c r="C447" s="2" t="s">
        <v>50</v>
      </c>
      <c r="D447" s="75">
        <v>42466</v>
      </c>
      <c r="E447">
        <v>1245693</v>
      </c>
      <c r="F447" s="2">
        <v>28925.22</v>
      </c>
      <c r="G447" s="76">
        <v>42475</v>
      </c>
      <c r="H447" s="73">
        <f t="shared" si="24"/>
        <v>1074.7799999999988</v>
      </c>
      <c r="I447" s="73">
        <f t="shared" si="25"/>
        <v>2789.4299999999785</v>
      </c>
    </row>
    <row r="448" spans="1:9" x14ac:dyDescent="0.25">
      <c r="A448" t="s">
        <v>1785</v>
      </c>
      <c r="B448" s="37">
        <v>30000</v>
      </c>
      <c r="C448" s="2" t="s">
        <v>50</v>
      </c>
      <c r="D448" s="75">
        <v>42473</v>
      </c>
      <c r="E448">
        <v>1246661</v>
      </c>
      <c r="F448" s="2">
        <v>31036.49</v>
      </c>
      <c r="G448" s="76">
        <v>42478</v>
      </c>
      <c r="H448" s="73">
        <f t="shared" si="24"/>
        <v>-1036.4900000000016</v>
      </c>
      <c r="I448" s="73">
        <f t="shared" si="25"/>
        <v>1752.9399999999769</v>
      </c>
    </row>
    <row r="449" spans="1:9" x14ac:dyDescent="0.25">
      <c r="A449" t="s">
        <v>1786</v>
      </c>
      <c r="B449" s="2">
        <v>30000</v>
      </c>
      <c r="C449" s="2" t="s">
        <v>65</v>
      </c>
      <c r="D449" s="75">
        <v>42443</v>
      </c>
      <c r="E449">
        <v>1247226</v>
      </c>
      <c r="F449" s="2">
        <v>32237.98</v>
      </c>
      <c r="G449" s="76">
        <v>42480</v>
      </c>
      <c r="H449" s="73">
        <f t="shared" si="24"/>
        <v>-2237.9799999999996</v>
      </c>
      <c r="I449" s="73">
        <f t="shared" si="25"/>
        <v>-485.0400000000227</v>
      </c>
    </row>
    <row r="450" spans="1:9" x14ac:dyDescent="0.25">
      <c r="A450" t="s">
        <v>1787</v>
      </c>
      <c r="B450" s="2">
        <v>30000</v>
      </c>
      <c r="C450" s="2" t="s">
        <v>65</v>
      </c>
      <c r="D450" s="75">
        <v>42443</v>
      </c>
      <c r="E450">
        <v>1247227</v>
      </c>
      <c r="F450" s="2">
        <v>32224.34</v>
      </c>
      <c r="G450" s="76">
        <v>42480</v>
      </c>
      <c r="H450" s="73">
        <f t="shared" si="24"/>
        <v>-2224.34</v>
      </c>
      <c r="I450" s="73">
        <f t="shared" si="25"/>
        <v>-2709.3800000000228</v>
      </c>
    </row>
    <row r="451" spans="1:9" x14ac:dyDescent="0.25">
      <c r="A451" t="s">
        <v>1788</v>
      </c>
      <c r="B451" s="2">
        <v>30000</v>
      </c>
      <c r="C451" s="2" t="s">
        <v>84</v>
      </c>
      <c r="D451" s="75">
        <v>42444</v>
      </c>
      <c r="E451">
        <v>1247228</v>
      </c>
      <c r="F451" s="2">
        <v>32582.35</v>
      </c>
      <c r="G451" s="76">
        <v>42481</v>
      </c>
      <c r="H451" s="73">
        <f t="shared" si="24"/>
        <v>-2582.3499999999985</v>
      </c>
      <c r="I451" s="73">
        <f t="shared" si="25"/>
        <v>-5291.7300000000214</v>
      </c>
    </row>
    <row r="452" spans="1:9" x14ac:dyDescent="0.25">
      <c r="A452" t="s">
        <v>1789</v>
      </c>
      <c r="B452" s="2">
        <v>33000</v>
      </c>
      <c r="C452" s="2" t="s">
        <v>39</v>
      </c>
      <c r="D452" s="75">
        <v>42478</v>
      </c>
      <c r="E452">
        <v>1247719</v>
      </c>
      <c r="F452" s="2">
        <v>33253.379999999997</v>
      </c>
      <c r="G452" s="76">
        <v>42482</v>
      </c>
      <c r="H452" s="73">
        <f t="shared" ref="H452:H455" si="26">B452-F452</f>
        <v>-253.37999999999738</v>
      </c>
      <c r="I452" s="73">
        <f t="shared" ref="I452:I455" si="27">I451+H452</f>
        <v>-5545.1100000000188</v>
      </c>
    </row>
    <row r="453" spans="1:9" x14ac:dyDescent="0.25">
      <c r="A453" t="s">
        <v>1780</v>
      </c>
      <c r="B453" s="2">
        <v>33000</v>
      </c>
      <c r="C453" s="2" t="s">
        <v>50</v>
      </c>
      <c r="D453" s="75">
        <v>42480</v>
      </c>
      <c r="E453">
        <v>1248676</v>
      </c>
      <c r="F453" s="2">
        <v>33662.92</v>
      </c>
      <c r="G453" s="76">
        <v>42485</v>
      </c>
      <c r="H453" s="73">
        <f t="shared" si="26"/>
        <v>-662.91999999999825</v>
      </c>
      <c r="I453" s="73">
        <f t="shared" si="27"/>
        <v>-6208.030000000017</v>
      </c>
    </row>
    <row r="454" spans="1:9" x14ac:dyDescent="0.25">
      <c r="A454" t="s">
        <v>1790</v>
      </c>
      <c r="B454" s="2">
        <v>33000</v>
      </c>
      <c r="C454" s="2" t="s">
        <v>50</v>
      </c>
      <c r="D454" s="75">
        <v>42480</v>
      </c>
      <c r="E454">
        <v>1248677</v>
      </c>
      <c r="F454" s="2">
        <v>33651.78</v>
      </c>
      <c r="G454" s="76">
        <v>42485</v>
      </c>
      <c r="H454" s="73">
        <f t="shared" si="26"/>
        <v>-651.77999999999884</v>
      </c>
      <c r="I454" s="73">
        <f t="shared" si="27"/>
        <v>-6859.8100000000159</v>
      </c>
    </row>
    <row r="455" spans="1:9" x14ac:dyDescent="0.25">
      <c r="A455" t="s">
        <v>1791</v>
      </c>
      <c r="B455" s="2">
        <v>33000</v>
      </c>
      <c r="C455" s="2" t="s">
        <v>65</v>
      </c>
      <c r="D455" s="75">
        <v>42481</v>
      </c>
      <c r="E455">
        <v>1249667</v>
      </c>
      <c r="F455" s="2">
        <v>34327.129999999997</v>
      </c>
      <c r="G455" s="76">
        <v>42487</v>
      </c>
      <c r="H455" s="73">
        <f t="shared" si="26"/>
        <v>-1327.1299999999974</v>
      </c>
      <c r="I455" s="73">
        <f t="shared" si="27"/>
        <v>-8186.9400000000132</v>
      </c>
    </row>
    <row r="456" spans="1:9" x14ac:dyDescent="0.25">
      <c r="A456" t="s">
        <v>1792</v>
      </c>
      <c r="B456" s="2">
        <v>33000</v>
      </c>
      <c r="C456" s="2" t="s">
        <v>65</v>
      </c>
      <c r="D456" s="75">
        <v>42481</v>
      </c>
      <c r="E456">
        <v>1249668</v>
      </c>
      <c r="F456" s="2">
        <v>34393.01</v>
      </c>
      <c r="G456" s="76">
        <v>42487</v>
      </c>
      <c r="H456" s="73">
        <f t="shared" si="24"/>
        <v>-1393.010000000002</v>
      </c>
      <c r="I456" s="73">
        <f t="shared" si="25"/>
        <v>-9579.9500000000153</v>
      </c>
    </row>
    <row r="457" spans="1:9" x14ac:dyDescent="0.25">
      <c r="A457" t="s">
        <v>1793</v>
      </c>
      <c r="B457" s="2">
        <v>33000</v>
      </c>
      <c r="C457" s="2" t="s">
        <v>84</v>
      </c>
      <c r="D457" s="75">
        <v>42482</v>
      </c>
      <c r="E457">
        <v>1249669</v>
      </c>
      <c r="F457" s="2">
        <v>35090.78</v>
      </c>
      <c r="G457" s="76">
        <v>42488</v>
      </c>
      <c r="H457" s="73">
        <f t="shared" si="24"/>
        <v>-2090.7799999999988</v>
      </c>
      <c r="I457" s="73">
        <f t="shared" si="25"/>
        <v>-11670.730000000014</v>
      </c>
    </row>
    <row r="458" spans="1:9" x14ac:dyDescent="0.25">
      <c r="A458" t="s">
        <v>1794</v>
      </c>
      <c r="B458" s="2">
        <v>35000</v>
      </c>
      <c r="C458" s="2" t="s">
        <v>39</v>
      </c>
      <c r="D458" s="75">
        <v>42485</v>
      </c>
      <c r="E458">
        <v>1249969</v>
      </c>
      <c r="F458" s="2">
        <v>35121.08</v>
      </c>
      <c r="G458" s="76">
        <v>42489</v>
      </c>
      <c r="H458" s="73">
        <f t="shared" si="24"/>
        <v>-121.08000000000175</v>
      </c>
      <c r="I458" s="73">
        <f t="shared" si="25"/>
        <v>-11791.810000000016</v>
      </c>
    </row>
    <row r="459" spans="1:9" x14ac:dyDescent="0.25">
      <c r="A459" t="s">
        <v>2163</v>
      </c>
      <c r="B459" s="2">
        <v>38000</v>
      </c>
      <c r="C459" s="2" t="s">
        <v>50</v>
      </c>
      <c r="D459" s="75">
        <v>42487</v>
      </c>
      <c r="E459">
        <v>1250866</v>
      </c>
      <c r="F459" s="2">
        <v>34894.17</v>
      </c>
      <c r="G459" s="76">
        <v>42492</v>
      </c>
      <c r="H459" s="73">
        <f t="shared" ref="H459:H460" si="28">B459-F459</f>
        <v>3105.8300000000017</v>
      </c>
      <c r="I459" s="73">
        <f t="shared" ref="I459:I460" si="29">I458+H459</f>
        <v>-8685.9800000000141</v>
      </c>
    </row>
    <row r="460" spans="1:9" x14ac:dyDescent="0.25">
      <c r="A460" t="s">
        <v>2164</v>
      </c>
      <c r="B460" s="2">
        <v>38000</v>
      </c>
      <c r="C460" s="2" t="s">
        <v>65</v>
      </c>
      <c r="D460" s="75">
        <v>42488</v>
      </c>
      <c r="E460">
        <v>1251580</v>
      </c>
      <c r="F460" s="2">
        <v>35089.33</v>
      </c>
      <c r="G460" s="76">
        <v>42494</v>
      </c>
      <c r="H460" s="73">
        <f t="shared" si="28"/>
        <v>2910.6699999999983</v>
      </c>
      <c r="I460" s="73">
        <f t="shared" si="29"/>
        <v>-5775.3100000000159</v>
      </c>
    </row>
    <row r="461" spans="1:9" x14ac:dyDescent="0.25">
      <c r="A461" t="s">
        <v>2165</v>
      </c>
      <c r="B461" s="2">
        <v>38000</v>
      </c>
      <c r="C461" s="2" t="s">
        <v>65</v>
      </c>
      <c r="D461" s="75">
        <v>42488</v>
      </c>
      <c r="E461">
        <v>1251581</v>
      </c>
      <c r="F461" s="2">
        <v>35001.54</v>
      </c>
      <c r="G461" s="76">
        <v>42494</v>
      </c>
      <c r="H461" s="73">
        <f t="shared" ref="H461:H470" si="30">B461-F461</f>
        <v>2998.4599999999991</v>
      </c>
      <c r="I461" s="73">
        <f t="shared" ref="I461:I470" si="31">I460+H461</f>
        <v>-2776.8500000000167</v>
      </c>
    </row>
    <row r="462" spans="1:9" x14ac:dyDescent="0.25">
      <c r="A462" t="s">
        <v>2166</v>
      </c>
      <c r="B462" s="2">
        <v>38000</v>
      </c>
      <c r="C462" s="2" t="s">
        <v>84</v>
      </c>
      <c r="D462" s="75">
        <v>42489</v>
      </c>
      <c r="E462">
        <v>1251582</v>
      </c>
      <c r="F462" s="2">
        <v>34648</v>
      </c>
      <c r="G462" s="76">
        <v>42495</v>
      </c>
      <c r="H462" s="73">
        <f t="shared" si="30"/>
        <v>3352</v>
      </c>
      <c r="I462" s="73">
        <f t="shared" si="31"/>
        <v>575.14999999998327</v>
      </c>
    </row>
    <row r="463" spans="1:9" x14ac:dyDescent="0.25">
      <c r="A463" t="s">
        <v>2167</v>
      </c>
      <c r="B463" s="2">
        <v>38000</v>
      </c>
      <c r="C463" s="2" t="s">
        <v>84</v>
      </c>
      <c r="D463" s="75">
        <v>42489</v>
      </c>
      <c r="E463">
        <v>1251583</v>
      </c>
      <c r="F463" s="2">
        <v>34374.949999999997</v>
      </c>
      <c r="G463" s="76">
        <v>42495</v>
      </c>
      <c r="H463" s="73">
        <f t="shared" si="30"/>
        <v>3625.0500000000029</v>
      </c>
      <c r="I463" s="73">
        <f t="shared" si="31"/>
        <v>4200.1999999999862</v>
      </c>
    </row>
    <row r="464" spans="1:9" x14ac:dyDescent="0.25">
      <c r="A464" t="s">
        <v>2168</v>
      </c>
      <c r="B464" s="2">
        <v>37000</v>
      </c>
      <c r="C464" s="2" t="s">
        <v>361</v>
      </c>
      <c r="D464" s="75">
        <v>42492</v>
      </c>
      <c r="E464">
        <v>1251821</v>
      </c>
      <c r="F464" s="37">
        <v>32451.919999999998</v>
      </c>
      <c r="G464" s="76">
        <v>42496</v>
      </c>
      <c r="H464" s="73">
        <f t="shared" si="30"/>
        <v>4548.0800000000017</v>
      </c>
      <c r="I464" s="73">
        <f t="shared" si="31"/>
        <v>8748.2799999999879</v>
      </c>
    </row>
    <row r="465" spans="1:10" x14ac:dyDescent="0.25">
      <c r="A465" t="s">
        <v>2352</v>
      </c>
      <c r="D465" s="75"/>
      <c r="F465" s="37">
        <v>76.77</v>
      </c>
      <c r="G465" s="76">
        <v>42493</v>
      </c>
      <c r="H465" s="73">
        <f t="shared" ref="H465:H467" si="32">B465-F465</f>
        <v>-76.77</v>
      </c>
      <c r="I465" s="73">
        <f t="shared" ref="I465:I467" si="33">I464+H465</f>
        <v>8671.5099999999875</v>
      </c>
      <c r="J465" t="s">
        <v>2353</v>
      </c>
    </row>
    <row r="466" spans="1:10" x14ac:dyDescent="0.25">
      <c r="A466" t="s">
        <v>2350</v>
      </c>
      <c r="B466" s="2">
        <v>300</v>
      </c>
      <c r="C466" s="2" t="s">
        <v>45</v>
      </c>
      <c r="D466" s="75">
        <v>42493</v>
      </c>
      <c r="G466" s="76"/>
      <c r="H466" s="73">
        <f t="shared" si="32"/>
        <v>300</v>
      </c>
      <c r="I466" s="73">
        <f t="shared" si="33"/>
        <v>8971.5099999999875</v>
      </c>
      <c r="J466" t="s">
        <v>2351</v>
      </c>
    </row>
    <row r="467" spans="1:10" x14ac:dyDescent="0.25">
      <c r="A467" t="s">
        <v>2169</v>
      </c>
      <c r="B467" s="2">
        <v>32000</v>
      </c>
      <c r="C467" s="2" t="s">
        <v>50</v>
      </c>
      <c r="D467" s="75">
        <v>42494</v>
      </c>
      <c r="E467">
        <v>1252931</v>
      </c>
      <c r="F467" s="37">
        <v>33304.980000000003</v>
      </c>
      <c r="G467" s="76">
        <v>42500</v>
      </c>
      <c r="H467" s="73">
        <f t="shared" si="32"/>
        <v>-1304.9800000000032</v>
      </c>
      <c r="I467" s="73">
        <f t="shared" si="33"/>
        <v>7666.5299999999843</v>
      </c>
    </row>
    <row r="468" spans="1:10" x14ac:dyDescent="0.25">
      <c r="A468" t="s">
        <v>2170</v>
      </c>
      <c r="B468" s="2">
        <v>32000</v>
      </c>
      <c r="C468" s="2" t="s">
        <v>65</v>
      </c>
      <c r="D468" s="75">
        <v>42495</v>
      </c>
      <c r="E468">
        <v>1253758</v>
      </c>
      <c r="F468" s="37">
        <v>33931.370000000003</v>
      </c>
      <c r="G468" s="76">
        <v>42501</v>
      </c>
      <c r="H468" s="73">
        <f t="shared" si="30"/>
        <v>-1931.3700000000026</v>
      </c>
      <c r="I468" s="73">
        <f t="shared" si="31"/>
        <v>5735.1599999999817</v>
      </c>
    </row>
    <row r="469" spans="1:10" x14ac:dyDescent="0.25">
      <c r="A469" t="s">
        <v>2171</v>
      </c>
      <c r="B469" s="2">
        <v>32000</v>
      </c>
      <c r="C469" s="2" t="s">
        <v>65</v>
      </c>
      <c r="D469" s="75">
        <v>42495</v>
      </c>
      <c r="E469">
        <v>1253759</v>
      </c>
      <c r="F469" s="37">
        <v>33796.57</v>
      </c>
      <c r="G469" s="76">
        <v>42501</v>
      </c>
      <c r="H469" s="73">
        <f t="shared" si="30"/>
        <v>-1796.5699999999997</v>
      </c>
      <c r="I469" s="73">
        <f t="shared" si="31"/>
        <v>3938.589999999982</v>
      </c>
    </row>
    <row r="470" spans="1:10" x14ac:dyDescent="0.25">
      <c r="A470" t="s">
        <v>2354</v>
      </c>
      <c r="B470" s="2">
        <v>33000</v>
      </c>
      <c r="C470" s="2" t="s">
        <v>84</v>
      </c>
      <c r="D470" s="75">
        <v>42496</v>
      </c>
      <c r="E470">
        <v>1253760</v>
      </c>
      <c r="F470" s="2">
        <v>33531.25</v>
      </c>
      <c r="G470" s="76">
        <v>42502</v>
      </c>
      <c r="H470" s="73">
        <f t="shared" si="30"/>
        <v>-531.25</v>
      </c>
      <c r="I470" s="73">
        <f t="shared" si="31"/>
        <v>3407.339999999982</v>
      </c>
    </row>
    <row r="471" spans="1:10" x14ac:dyDescent="0.25">
      <c r="A471" t="s">
        <v>2355</v>
      </c>
      <c r="B471" s="2">
        <v>33000</v>
      </c>
      <c r="C471" s="2" t="s">
        <v>84</v>
      </c>
      <c r="D471" s="75">
        <v>42496</v>
      </c>
      <c r="E471">
        <v>1253761</v>
      </c>
      <c r="F471" s="2">
        <v>33385.410000000003</v>
      </c>
      <c r="G471" s="76">
        <v>42502</v>
      </c>
      <c r="H471" s="73">
        <f t="shared" ref="H471:H474" si="34">B471-F471</f>
        <v>-385.41000000000349</v>
      </c>
      <c r="I471" s="73">
        <f t="shared" ref="I471:I474" si="35">I470+H471</f>
        <v>3021.9299999999785</v>
      </c>
    </row>
    <row r="472" spans="1:10" x14ac:dyDescent="0.25">
      <c r="A472" t="s">
        <v>2357</v>
      </c>
      <c r="B472" s="2">
        <v>33000</v>
      </c>
      <c r="C472" s="2" t="s">
        <v>39</v>
      </c>
      <c r="D472" s="75">
        <v>42499</v>
      </c>
      <c r="E472">
        <v>1254173</v>
      </c>
      <c r="F472" s="2">
        <v>33037.46</v>
      </c>
      <c r="G472" s="76">
        <v>42503</v>
      </c>
      <c r="H472" s="73">
        <f t="shared" si="34"/>
        <v>-37.459999999999127</v>
      </c>
      <c r="I472" s="73">
        <f t="shared" si="35"/>
        <v>2984.4699999999793</v>
      </c>
    </row>
    <row r="473" spans="1:10" x14ac:dyDescent="0.25">
      <c r="A473" t="s">
        <v>2358</v>
      </c>
      <c r="B473" s="2">
        <v>33000</v>
      </c>
      <c r="C473" s="2" t="s">
        <v>50</v>
      </c>
      <c r="D473" s="75">
        <v>42501</v>
      </c>
      <c r="E473">
        <v>1255725</v>
      </c>
      <c r="F473" s="2">
        <v>31871.599999999999</v>
      </c>
      <c r="G473" s="76">
        <v>42507</v>
      </c>
      <c r="H473" s="73">
        <f t="shared" si="34"/>
        <v>1128.4000000000015</v>
      </c>
      <c r="I473" s="73">
        <f t="shared" si="35"/>
        <v>4112.8699999999808</v>
      </c>
    </row>
    <row r="474" spans="1:10" x14ac:dyDescent="0.25">
      <c r="A474" t="s">
        <v>2359</v>
      </c>
      <c r="B474" s="2">
        <v>33000</v>
      </c>
      <c r="C474" s="2" t="s">
        <v>65</v>
      </c>
      <c r="D474" s="75">
        <v>42502</v>
      </c>
      <c r="E474">
        <v>1255726</v>
      </c>
      <c r="F474" s="2">
        <v>31873.96</v>
      </c>
      <c r="G474" s="76">
        <v>42508</v>
      </c>
      <c r="H474" s="73">
        <f t="shared" si="34"/>
        <v>1126.0400000000009</v>
      </c>
      <c r="I474" s="73">
        <f t="shared" si="35"/>
        <v>5238.9099999999817</v>
      </c>
    </row>
    <row r="475" spans="1:10" x14ac:dyDescent="0.25">
      <c r="A475" t="s">
        <v>2381</v>
      </c>
      <c r="B475" s="2">
        <v>33000</v>
      </c>
      <c r="C475" s="2" t="s">
        <v>65</v>
      </c>
      <c r="D475" s="75">
        <v>42502</v>
      </c>
      <c r="E475">
        <v>1255727</v>
      </c>
      <c r="F475" s="2">
        <v>31924.91</v>
      </c>
      <c r="G475" s="76">
        <v>42508</v>
      </c>
      <c r="H475" s="73">
        <f t="shared" ref="H475:H482" si="36">B475-F475</f>
        <v>1075.0900000000001</v>
      </c>
      <c r="I475" s="73">
        <f t="shared" ref="I475:I482" si="37">I474+H475</f>
        <v>6313.9999999999818</v>
      </c>
    </row>
    <row r="476" spans="1:10" x14ac:dyDescent="0.25">
      <c r="A476" t="s">
        <v>2382</v>
      </c>
      <c r="B476" s="2">
        <v>33000</v>
      </c>
      <c r="C476" s="2" t="s">
        <v>84</v>
      </c>
      <c r="D476" s="75">
        <v>42503</v>
      </c>
      <c r="E476">
        <v>1256244</v>
      </c>
      <c r="F476" s="2">
        <v>31906.61</v>
      </c>
      <c r="G476" s="76">
        <v>42509</v>
      </c>
      <c r="H476" s="73">
        <f t="shared" si="36"/>
        <v>1093.3899999999994</v>
      </c>
      <c r="I476" s="73">
        <f t="shared" si="37"/>
        <v>7407.3899999999812</v>
      </c>
    </row>
    <row r="477" spans="1:10" x14ac:dyDescent="0.25">
      <c r="A477" t="s">
        <v>2383</v>
      </c>
      <c r="B477" s="2">
        <v>33000</v>
      </c>
      <c r="C477" s="2" t="s">
        <v>84</v>
      </c>
      <c r="D477" s="75">
        <v>42137</v>
      </c>
      <c r="E477">
        <v>1256245</v>
      </c>
      <c r="F477" s="2">
        <v>30601.3</v>
      </c>
      <c r="G477" s="76">
        <v>42509</v>
      </c>
      <c r="H477" s="73">
        <f t="shared" si="36"/>
        <v>2398.7000000000007</v>
      </c>
      <c r="I477" s="73">
        <f t="shared" si="37"/>
        <v>9806.089999999982</v>
      </c>
    </row>
    <row r="478" spans="1:10" x14ac:dyDescent="0.25">
      <c r="A478" t="s">
        <v>2385</v>
      </c>
      <c r="B478" s="2">
        <v>32000</v>
      </c>
      <c r="C478" s="2" t="s">
        <v>39</v>
      </c>
      <c r="D478" s="75">
        <v>42506</v>
      </c>
      <c r="E478">
        <v>1256428</v>
      </c>
      <c r="F478" s="2">
        <v>33088.199999999997</v>
      </c>
      <c r="G478" s="76">
        <v>42510</v>
      </c>
      <c r="H478" s="73">
        <f t="shared" si="36"/>
        <v>-1088.1999999999971</v>
      </c>
      <c r="I478" s="73">
        <f t="shared" si="37"/>
        <v>8717.8899999999849</v>
      </c>
    </row>
    <row r="479" spans="1:10" x14ac:dyDescent="0.25">
      <c r="A479" t="s">
        <v>2386</v>
      </c>
      <c r="B479" s="2">
        <v>32000</v>
      </c>
      <c r="C479" s="2" t="s">
        <v>50</v>
      </c>
      <c r="D479" s="75">
        <v>42508</v>
      </c>
      <c r="E479">
        <v>1257197</v>
      </c>
      <c r="F479" s="2">
        <v>32920.14</v>
      </c>
      <c r="G479" s="76">
        <v>42514</v>
      </c>
      <c r="H479" s="73">
        <f t="shared" si="36"/>
        <v>-920.13999999999942</v>
      </c>
      <c r="I479" s="73">
        <f t="shared" si="37"/>
        <v>7797.7499999999854</v>
      </c>
    </row>
    <row r="480" spans="1:10" x14ac:dyDescent="0.25">
      <c r="A480" t="s">
        <v>2387</v>
      </c>
      <c r="B480" s="2">
        <v>32000</v>
      </c>
      <c r="C480" s="2" t="s">
        <v>65</v>
      </c>
      <c r="D480" s="75">
        <v>42509</v>
      </c>
      <c r="E480">
        <v>1258228</v>
      </c>
      <c r="F480" s="2">
        <v>32534.52</v>
      </c>
      <c r="G480" s="76">
        <v>42515</v>
      </c>
      <c r="H480" s="73">
        <f t="shared" si="36"/>
        <v>-534.52000000000044</v>
      </c>
      <c r="I480" s="73">
        <f t="shared" si="37"/>
        <v>7263.229999999985</v>
      </c>
    </row>
    <row r="481" spans="1:9" x14ac:dyDescent="0.25">
      <c r="A481" t="s">
        <v>2388</v>
      </c>
      <c r="B481" s="2">
        <v>32000</v>
      </c>
      <c r="C481" s="2" t="s">
        <v>65</v>
      </c>
      <c r="D481" s="75">
        <v>42509</v>
      </c>
      <c r="E481">
        <v>1258229</v>
      </c>
      <c r="F481" s="2">
        <v>32383.26</v>
      </c>
      <c r="G481" s="76">
        <v>42515</v>
      </c>
      <c r="H481" s="73">
        <f t="shared" si="36"/>
        <v>-383.2599999999984</v>
      </c>
      <c r="I481" s="73">
        <f t="shared" si="37"/>
        <v>6879.9699999999866</v>
      </c>
    </row>
    <row r="482" spans="1:9" x14ac:dyDescent="0.25">
      <c r="A482" t="s">
        <v>2389</v>
      </c>
      <c r="B482" s="2">
        <v>30000</v>
      </c>
      <c r="C482" s="2" t="s">
        <v>84</v>
      </c>
      <c r="D482" s="75">
        <v>42510</v>
      </c>
      <c r="E482">
        <v>1258230</v>
      </c>
      <c r="F482" s="2">
        <v>32232.54</v>
      </c>
      <c r="G482" s="76">
        <v>42516</v>
      </c>
      <c r="H482" s="73">
        <f t="shared" si="36"/>
        <v>-2232.5400000000009</v>
      </c>
      <c r="I482" s="73">
        <f t="shared" si="37"/>
        <v>4647.4299999999857</v>
      </c>
    </row>
    <row r="483" spans="1:9" x14ac:dyDescent="0.25">
      <c r="A483" t="s">
        <v>2577</v>
      </c>
      <c r="B483" s="2">
        <v>30000</v>
      </c>
      <c r="C483" s="2" t="s">
        <v>84</v>
      </c>
      <c r="D483" s="75">
        <v>42510</v>
      </c>
      <c r="E483">
        <v>1258500</v>
      </c>
      <c r="F483" s="2">
        <v>32347.46</v>
      </c>
      <c r="G483" s="76">
        <v>42516</v>
      </c>
      <c r="H483" s="73">
        <f t="shared" ref="H483:H491" si="38">B483-F483</f>
        <v>-2347.4599999999991</v>
      </c>
      <c r="I483" s="73">
        <f t="shared" ref="I483:I491" si="39">I482+H483</f>
        <v>2299.9699999999866</v>
      </c>
    </row>
    <row r="484" spans="1:9" x14ac:dyDescent="0.25">
      <c r="A484" t="s">
        <v>2578</v>
      </c>
      <c r="B484" s="2">
        <v>33000</v>
      </c>
      <c r="C484" s="2" t="s">
        <v>39</v>
      </c>
      <c r="D484" s="75">
        <v>42513</v>
      </c>
      <c r="E484">
        <v>1258634</v>
      </c>
      <c r="F484" s="2">
        <v>31909.8</v>
      </c>
      <c r="G484" s="76">
        <v>42517</v>
      </c>
      <c r="H484" s="73">
        <f t="shared" si="38"/>
        <v>1090.2000000000007</v>
      </c>
      <c r="I484" s="73">
        <f t="shared" si="39"/>
        <v>3390.1699999999873</v>
      </c>
    </row>
    <row r="485" spans="1:9" x14ac:dyDescent="0.25">
      <c r="A485" t="s">
        <v>2579</v>
      </c>
      <c r="B485" s="2">
        <v>33000</v>
      </c>
      <c r="C485" s="2" t="s">
        <v>50</v>
      </c>
      <c r="D485" s="75">
        <v>42515</v>
      </c>
      <c r="E485">
        <v>1259481</v>
      </c>
      <c r="F485" s="2">
        <v>32305.96</v>
      </c>
      <c r="G485" s="76">
        <v>42522</v>
      </c>
      <c r="H485" s="73">
        <f t="shared" si="38"/>
        <v>694.04000000000087</v>
      </c>
      <c r="I485" s="73">
        <f t="shared" si="39"/>
        <v>4084.2099999999882</v>
      </c>
    </row>
    <row r="486" spans="1:9" x14ac:dyDescent="0.25">
      <c r="A486" t="s">
        <v>2580</v>
      </c>
      <c r="B486" s="2">
        <v>33000</v>
      </c>
      <c r="C486" s="2" t="s">
        <v>65</v>
      </c>
      <c r="D486" s="75">
        <v>42516</v>
      </c>
      <c r="E486">
        <v>1260002</v>
      </c>
      <c r="F486" s="2">
        <v>32920.07</v>
      </c>
      <c r="G486" s="76">
        <v>42523</v>
      </c>
      <c r="H486" s="73">
        <f t="shared" si="38"/>
        <v>79.930000000000291</v>
      </c>
      <c r="I486" s="73">
        <f t="shared" si="39"/>
        <v>4164.1399999999885</v>
      </c>
    </row>
    <row r="487" spans="1:9" x14ac:dyDescent="0.25">
      <c r="A487" t="s">
        <v>2581</v>
      </c>
      <c r="B487" s="2">
        <v>33000</v>
      </c>
      <c r="C487" s="2" t="s">
        <v>65</v>
      </c>
      <c r="D487" s="75">
        <v>42516</v>
      </c>
      <c r="E487">
        <v>1260003</v>
      </c>
      <c r="F487" s="2">
        <v>32929.31</v>
      </c>
      <c r="G487" s="76">
        <v>42523</v>
      </c>
      <c r="H487" s="73">
        <f t="shared" si="38"/>
        <v>70.690000000002328</v>
      </c>
      <c r="I487" s="73">
        <f t="shared" si="39"/>
        <v>4234.8299999999908</v>
      </c>
    </row>
    <row r="488" spans="1:9" x14ac:dyDescent="0.25">
      <c r="A488" t="s">
        <v>2582</v>
      </c>
      <c r="B488" s="2">
        <v>33000</v>
      </c>
      <c r="C488" s="2" t="s">
        <v>84</v>
      </c>
      <c r="D488" s="75">
        <v>42517</v>
      </c>
      <c r="E488">
        <v>1260004</v>
      </c>
      <c r="F488" s="2">
        <v>33030.910000000003</v>
      </c>
      <c r="G488" s="76">
        <v>42524</v>
      </c>
      <c r="H488" s="73">
        <f t="shared" si="38"/>
        <v>-30.910000000003492</v>
      </c>
      <c r="I488" s="73">
        <f t="shared" si="39"/>
        <v>4203.9199999999873</v>
      </c>
    </row>
    <row r="489" spans="1:9" x14ac:dyDescent="0.25">
      <c r="A489" t="s">
        <v>2583</v>
      </c>
      <c r="B489" s="2">
        <v>33000</v>
      </c>
      <c r="C489" s="2" t="s">
        <v>84</v>
      </c>
      <c r="D489" s="75">
        <v>42517</v>
      </c>
      <c r="E489">
        <v>1260005</v>
      </c>
      <c r="F489" s="2">
        <v>33074.019999999997</v>
      </c>
      <c r="G489" s="76">
        <v>42524</v>
      </c>
      <c r="H489" s="73">
        <f t="shared" si="38"/>
        <v>-74.019999999996799</v>
      </c>
      <c r="I489" s="73">
        <f t="shared" si="39"/>
        <v>4129.8999999999905</v>
      </c>
    </row>
    <row r="490" spans="1:9" x14ac:dyDescent="0.25">
      <c r="A490" t="s">
        <v>2584</v>
      </c>
      <c r="B490" s="2">
        <v>0</v>
      </c>
      <c r="C490" s="2" t="s">
        <v>39</v>
      </c>
      <c r="D490" s="75">
        <v>42551</v>
      </c>
      <c r="E490" s="82" t="s">
        <v>349</v>
      </c>
      <c r="G490" s="76">
        <v>42525</v>
      </c>
      <c r="H490" s="73">
        <f t="shared" si="38"/>
        <v>0</v>
      </c>
      <c r="I490" s="73">
        <f t="shared" si="39"/>
        <v>4129.8999999999905</v>
      </c>
    </row>
    <row r="491" spans="1:9" x14ac:dyDescent="0.25">
      <c r="A491" t="s">
        <v>2585</v>
      </c>
      <c r="B491" s="2">
        <v>32000</v>
      </c>
      <c r="C491" s="2" t="s">
        <v>45</v>
      </c>
      <c r="D491" s="75">
        <v>42521</v>
      </c>
      <c r="E491">
        <v>1261510</v>
      </c>
      <c r="F491" s="2">
        <v>33168.19</v>
      </c>
      <c r="G491" s="76">
        <v>42528</v>
      </c>
      <c r="H491" s="73">
        <f t="shared" si="38"/>
        <v>-1168.1900000000023</v>
      </c>
      <c r="I491" s="73">
        <f t="shared" si="39"/>
        <v>2961.7099999999882</v>
      </c>
    </row>
    <row r="492" spans="1:9" x14ac:dyDescent="0.25">
      <c r="A492" t="s">
        <v>2876</v>
      </c>
      <c r="D492" s="75"/>
      <c r="E492" t="s">
        <v>2877</v>
      </c>
      <c r="F492" s="2">
        <v>299.08</v>
      </c>
      <c r="G492" s="76">
        <v>42528</v>
      </c>
      <c r="H492" s="73">
        <f t="shared" ref="H492:H494" si="40">B492-F492</f>
        <v>-299.08</v>
      </c>
      <c r="I492" s="73">
        <f t="shared" ref="I492:I494" si="41">I491+H492</f>
        <v>2662.6299999999883</v>
      </c>
    </row>
    <row r="493" spans="1:9" x14ac:dyDescent="0.25">
      <c r="A493" t="s">
        <v>2674</v>
      </c>
      <c r="B493" s="2">
        <v>31000</v>
      </c>
      <c r="C493" s="2" t="s">
        <v>65</v>
      </c>
      <c r="D493" s="75">
        <v>42523</v>
      </c>
      <c r="E493">
        <v>1262093</v>
      </c>
      <c r="F493" s="2">
        <v>33844.06</v>
      </c>
      <c r="G493" s="76">
        <v>42529</v>
      </c>
      <c r="H493" s="73">
        <f t="shared" si="40"/>
        <v>-2844.0599999999977</v>
      </c>
      <c r="I493" s="73">
        <f t="shared" si="41"/>
        <v>-181.43000000000939</v>
      </c>
    </row>
    <row r="494" spans="1:9" x14ac:dyDescent="0.25">
      <c r="A494" t="s">
        <v>2675</v>
      </c>
      <c r="B494" s="2">
        <v>31000</v>
      </c>
      <c r="C494" s="2" t="s">
        <v>65</v>
      </c>
      <c r="D494" s="75">
        <v>42523</v>
      </c>
      <c r="E494">
        <v>1262612</v>
      </c>
      <c r="F494" s="2">
        <v>33563.57</v>
      </c>
      <c r="G494" s="76">
        <v>42529</v>
      </c>
      <c r="H494" s="73">
        <f t="shared" si="40"/>
        <v>-2563.5699999999997</v>
      </c>
      <c r="I494" s="73">
        <f t="shared" si="41"/>
        <v>-2745.0000000000091</v>
      </c>
    </row>
    <row r="495" spans="1:9" x14ac:dyDescent="0.25">
      <c r="A495" t="s">
        <v>2676</v>
      </c>
      <c r="B495" s="2">
        <v>33000</v>
      </c>
      <c r="C495" s="2" t="s">
        <v>39</v>
      </c>
      <c r="D495" s="75">
        <v>42527</v>
      </c>
      <c r="E495">
        <v>1262613</v>
      </c>
      <c r="F495" s="2">
        <v>33308.18</v>
      </c>
      <c r="G495" s="76">
        <v>42531</v>
      </c>
      <c r="H495" s="73">
        <f t="shared" ref="H495:H507" si="42">B495-F495</f>
        <v>-308.18000000000029</v>
      </c>
      <c r="I495" s="73">
        <f t="shared" ref="I495:I507" si="43">I494+H495</f>
        <v>-3053.1800000000094</v>
      </c>
    </row>
    <row r="496" spans="1:9" x14ac:dyDescent="0.25">
      <c r="A496" t="s">
        <v>2677</v>
      </c>
      <c r="B496" s="2">
        <v>34000</v>
      </c>
      <c r="C496" s="2" t="s">
        <v>45</v>
      </c>
      <c r="D496" s="75">
        <v>42528</v>
      </c>
      <c r="E496">
        <v>1264029</v>
      </c>
      <c r="F496" s="2">
        <v>34689.72</v>
      </c>
      <c r="G496" s="76">
        <v>42504</v>
      </c>
      <c r="H496" s="73">
        <f t="shared" si="42"/>
        <v>-689.72000000000116</v>
      </c>
      <c r="I496" s="73">
        <f t="shared" si="43"/>
        <v>-3742.9000000000106</v>
      </c>
    </row>
    <row r="497" spans="1:9" x14ac:dyDescent="0.25">
      <c r="A497" t="s">
        <v>2678</v>
      </c>
      <c r="B497" s="2">
        <v>34000</v>
      </c>
      <c r="C497" s="2" t="s">
        <v>65</v>
      </c>
      <c r="D497" s="75">
        <v>42530</v>
      </c>
      <c r="E497">
        <v>1264272</v>
      </c>
      <c r="F497" s="2">
        <v>35053.01</v>
      </c>
      <c r="G497" s="76">
        <v>42536</v>
      </c>
      <c r="H497" s="73">
        <f t="shared" si="42"/>
        <v>-1053.010000000002</v>
      </c>
      <c r="I497" s="73">
        <f t="shared" si="43"/>
        <v>-4795.9100000000126</v>
      </c>
    </row>
    <row r="498" spans="1:9" x14ac:dyDescent="0.25">
      <c r="A498" t="s">
        <v>2679</v>
      </c>
      <c r="B498" s="2">
        <v>34000</v>
      </c>
      <c r="C498" s="2" t="s">
        <v>65</v>
      </c>
      <c r="D498" s="75">
        <v>42530</v>
      </c>
      <c r="E498">
        <v>1264273</v>
      </c>
      <c r="F498" s="2">
        <v>34821.83</v>
      </c>
      <c r="G498" s="76">
        <v>42536</v>
      </c>
      <c r="H498" s="73">
        <f t="shared" si="42"/>
        <v>-821.83000000000175</v>
      </c>
      <c r="I498" s="73">
        <f t="shared" si="43"/>
        <v>-5617.7400000000143</v>
      </c>
    </row>
    <row r="499" spans="1:9" x14ac:dyDescent="0.25">
      <c r="A499" t="s">
        <v>2680</v>
      </c>
      <c r="B499" s="2">
        <v>35000</v>
      </c>
      <c r="C499" s="2" t="s">
        <v>39</v>
      </c>
      <c r="D499" s="75">
        <v>42534</v>
      </c>
      <c r="E499">
        <v>1265339</v>
      </c>
      <c r="F499" s="2">
        <v>36061.18</v>
      </c>
      <c r="G499" s="76">
        <v>42538</v>
      </c>
      <c r="H499" s="73">
        <f t="shared" si="42"/>
        <v>-1061.1800000000003</v>
      </c>
      <c r="I499" s="73">
        <f t="shared" si="43"/>
        <v>-6678.9200000000146</v>
      </c>
    </row>
    <row r="500" spans="1:9" x14ac:dyDescent="0.25">
      <c r="A500" t="s">
        <v>2681</v>
      </c>
      <c r="B500" s="2">
        <v>36000</v>
      </c>
      <c r="C500" s="2" t="s">
        <v>50</v>
      </c>
      <c r="D500" s="75">
        <v>42536</v>
      </c>
      <c r="E500">
        <v>1265340</v>
      </c>
      <c r="F500" s="2">
        <v>35552.1</v>
      </c>
      <c r="G500" s="76">
        <v>42542</v>
      </c>
      <c r="H500" s="73">
        <f t="shared" ref="H500:H505" si="44">B500-F500</f>
        <v>447.90000000000146</v>
      </c>
      <c r="I500" s="73">
        <f t="shared" ref="I500:I505" si="45">I499+H500</f>
        <v>-6231.0200000000132</v>
      </c>
    </row>
    <row r="501" spans="1:9" x14ac:dyDescent="0.25">
      <c r="A501" t="s">
        <v>3062</v>
      </c>
      <c r="B501" s="2">
        <v>800</v>
      </c>
      <c r="C501" s="2" t="s">
        <v>65</v>
      </c>
      <c r="D501" s="75">
        <v>42544</v>
      </c>
      <c r="E501" t="s">
        <v>3063</v>
      </c>
      <c r="G501" s="76"/>
      <c r="H501" s="73">
        <f t="shared" si="44"/>
        <v>800</v>
      </c>
      <c r="I501" s="73">
        <f t="shared" si="45"/>
        <v>-5431.0200000000132</v>
      </c>
    </row>
    <row r="502" spans="1:9" x14ac:dyDescent="0.25">
      <c r="A502" t="s">
        <v>2682</v>
      </c>
      <c r="B502" s="2">
        <v>36000</v>
      </c>
      <c r="C502" s="2" t="s">
        <v>65</v>
      </c>
      <c r="D502" s="75">
        <v>42537</v>
      </c>
      <c r="E502">
        <v>1266341</v>
      </c>
      <c r="F502" s="2">
        <v>36639.599999999999</v>
      </c>
      <c r="G502" s="76">
        <v>42543</v>
      </c>
      <c r="H502" s="73">
        <f t="shared" si="44"/>
        <v>-639.59999999999854</v>
      </c>
      <c r="I502" s="73">
        <f t="shared" si="45"/>
        <v>-6070.6200000000117</v>
      </c>
    </row>
    <row r="503" spans="1:9" x14ac:dyDescent="0.25">
      <c r="A503" t="s">
        <v>3064</v>
      </c>
      <c r="B503" s="2">
        <v>800</v>
      </c>
      <c r="C503" s="2" t="s">
        <v>65</v>
      </c>
      <c r="D503" s="75">
        <v>42547</v>
      </c>
      <c r="E503" t="s">
        <v>3106</v>
      </c>
      <c r="G503" s="76"/>
      <c r="H503" s="73">
        <f t="shared" si="44"/>
        <v>800</v>
      </c>
      <c r="I503" s="73">
        <f t="shared" si="45"/>
        <v>-5270.6200000000117</v>
      </c>
    </row>
    <row r="504" spans="1:9" x14ac:dyDescent="0.25">
      <c r="A504" t="s">
        <v>2683</v>
      </c>
      <c r="B504" s="2">
        <v>36000</v>
      </c>
      <c r="C504" s="2" t="s">
        <v>65</v>
      </c>
      <c r="D504" s="75">
        <v>42537</v>
      </c>
      <c r="E504">
        <v>1266342</v>
      </c>
      <c r="F504" s="2">
        <v>36562.06</v>
      </c>
      <c r="G504" s="76">
        <v>42543</v>
      </c>
      <c r="H504" s="73">
        <f t="shared" si="44"/>
        <v>-562.05999999999767</v>
      </c>
      <c r="I504" s="73">
        <f t="shared" si="45"/>
        <v>-5832.6800000000094</v>
      </c>
    </row>
    <row r="505" spans="1:9" x14ac:dyDescent="0.25">
      <c r="A505" t="s">
        <v>2684</v>
      </c>
      <c r="B505" s="2">
        <v>36000</v>
      </c>
      <c r="C505" s="2" t="s">
        <v>39</v>
      </c>
      <c r="D505" s="75">
        <v>42541</v>
      </c>
      <c r="E505">
        <v>1266803</v>
      </c>
      <c r="F505" s="2">
        <v>36881.47</v>
      </c>
      <c r="G505" s="76">
        <v>42545</v>
      </c>
      <c r="H505" s="73">
        <f t="shared" si="44"/>
        <v>-881.47000000000116</v>
      </c>
      <c r="I505" s="73">
        <f t="shared" si="45"/>
        <v>-6714.1500000000106</v>
      </c>
    </row>
    <row r="506" spans="1:9" x14ac:dyDescent="0.25">
      <c r="A506" t="s">
        <v>2685</v>
      </c>
      <c r="B506" s="2">
        <v>40000</v>
      </c>
      <c r="C506" s="2" t="s">
        <v>50</v>
      </c>
      <c r="D506" s="75">
        <v>42543</v>
      </c>
      <c r="E506">
        <v>1268151</v>
      </c>
      <c r="F506" s="2">
        <v>37079.29</v>
      </c>
      <c r="G506" s="76">
        <v>42549</v>
      </c>
      <c r="H506" s="73">
        <f t="shared" si="42"/>
        <v>2920.7099999999991</v>
      </c>
      <c r="I506" s="73">
        <f t="shared" si="43"/>
        <v>-3793.4400000000114</v>
      </c>
    </row>
    <row r="507" spans="1:9" x14ac:dyDescent="0.25">
      <c r="A507" t="s">
        <v>2686</v>
      </c>
      <c r="B507" s="2">
        <v>40000</v>
      </c>
      <c r="C507" s="2" t="s">
        <v>65</v>
      </c>
      <c r="D507" s="75">
        <v>42544</v>
      </c>
      <c r="E507">
        <v>1268342</v>
      </c>
      <c r="F507" s="2">
        <v>37865.99</v>
      </c>
      <c r="G507" s="76">
        <v>42550</v>
      </c>
      <c r="H507" s="73">
        <f t="shared" si="42"/>
        <v>2134.010000000002</v>
      </c>
      <c r="I507" s="73">
        <f t="shared" si="43"/>
        <v>-1659.4300000000094</v>
      </c>
    </row>
    <row r="508" spans="1:9" x14ac:dyDescent="0.25">
      <c r="A508" t="s">
        <v>2965</v>
      </c>
      <c r="B508" s="2">
        <v>40000</v>
      </c>
      <c r="C508" s="2" t="s">
        <v>65</v>
      </c>
      <c r="D508" s="75">
        <v>42544</v>
      </c>
      <c r="E508">
        <v>1268343</v>
      </c>
      <c r="F508" s="2">
        <v>37876.69</v>
      </c>
      <c r="G508" s="76">
        <v>42550</v>
      </c>
      <c r="H508" s="73">
        <f t="shared" ref="H508:H509" si="46">B508-F508</f>
        <v>2123.3099999999977</v>
      </c>
      <c r="I508" s="73">
        <f t="shared" ref="I508:I522" si="47">I507+H508</f>
        <v>463.87999999998829</v>
      </c>
    </row>
    <row r="509" spans="1:9" x14ac:dyDescent="0.25">
      <c r="A509" t="s">
        <v>2966</v>
      </c>
      <c r="E509" s="199" t="s">
        <v>487</v>
      </c>
      <c r="G509" s="76">
        <v>42552</v>
      </c>
      <c r="H509" s="73">
        <f t="shared" si="46"/>
        <v>0</v>
      </c>
      <c r="I509" s="73">
        <f t="shared" si="47"/>
        <v>463.87999999998829</v>
      </c>
    </row>
    <row r="510" spans="1:9" x14ac:dyDescent="0.25">
      <c r="A510" t="s">
        <v>2967</v>
      </c>
      <c r="B510" s="2">
        <v>36000</v>
      </c>
      <c r="C510" s="2" t="s">
        <v>39</v>
      </c>
      <c r="D510" s="75">
        <v>42548</v>
      </c>
      <c r="E510">
        <v>1268453</v>
      </c>
      <c r="F510" s="2">
        <v>40036.57</v>
      </c>
      <c r="G510" s="76">
        <v>42552</v>
      </c>
      <c r="H510" s="73">
        <f t="shared" ref="H510:H522" si="48">B510-F510</f>
        <v>-4036.5699999999997</v>
      </c>
      <c r="I510" s="73">
        <f t="shared" si="47"/>
        <v>-3572.6900000000114</v>
      </c>
    </row>
    <row r="511" spans="1:9" x14ac:dyDescent="0.25">
      <c r="A511" t="s">
        <v>3119</v>
      </c>
      <c r="B511" s="2">
        <v>37500</v>
      </c>
      <c r="C511" s="2" t="s">
        <v>65</v>
      </c>
      <c r="D511" s="75">
        <v>42551</v>
      </c>
      <c r="E511">
        <v>1270427</v>
      </c>
      <c r="F511" s="2">
        <v>38988.83</v>
      </c>
      <c r="G511" s="76">
        <v>42557</v>
      </c>
      <c r="H511" s="73">
        <f t="shared" si="48"/>
        <v>-1488.8300000000017</v>
      </c>
      <c r="I511" s="73">
        <f t="shared" si="47"/>
        <v>-5061.5200000000132</v>
      </c>
    </row>
    <row r="512" spans="1:9" x14ac:dyDescent="0.25">
      <c r="A512" t="s">
        <v>3120</v>
      </c>
      <c r="B512" s="2">
        <v>37500</v>
      </c>
      <c r="C512" s="2" t="s">
        <v>65</v>
      </c>
      <c r="D512" s="75">
        <v>42551</v>
      </c>
      <c r="E512">
        <v>1269758</v>
      </c>
      <c r="F512" s="2">
        <v>39019.1</v>
      </c>
      <c r="G512" s="76">
        <v>42557</v>
      </c>
      <c r="H512" s="73">
        <f t="shared" si="48"/>
        <v>-1519.0999999999985</v>
      </c>
      <c r="I512" s="73">
        <f t="shared" si="47"/>
        <v>-6580.6200000000117</v>
      </c>
    </row>
    <row r="513" spans="1:9" x14ac:dyDescent="0.25">
      <c r="A513" t="s">
        <v>3121</v>
      </c>
      <c r="B513" s="2">
        <v>39000</v>
      </c>
      <c r="C513" s="2" t="s">
        <v>84</v>
      </c>
      <c r="D513" s="75">
        <v>42552</v>
      </c>
      <c r="E513">
        <v>1270590</v>
      </c>
      <c r="F513" s="2">
        <v>38722.71</v>
      </c>
      <c r="G513" s="76">
        <v>42558</v>
      </c>
      <c r="H513" s="73">
        <f t="shared" si="48"/>
        <v>277.29000000000087</v>
      </c>
      <c r="I513" s="73">
        <f t="shared" si="47"/>
        <v>-6303.3300000000108</v>
      </c>
    </row>
    <row r="514" spans="1:9" x14ac:dyDescent="0.25">
      <c r="A514" t="s">
        <v>3122</v>
      </c>
      <c r="B514" s="2">
        <v>39000</v>
      </c>
      <c r="C514" s="2" t="s">
        <v>84</v>
      </c>
      <c r="D514" s="75">
        <v>42552</v>
      </c>
      <c r="E514">
        <v>1270591</v>
      </c>
      <c r="F514" s="2">
        <v>39009.01</v>
      </c>
      <c r="G514" s="76">
        <v>42558</v>
      </c>
      <c r="H514" s="73">
        <f t="shared" si="48"/>
        <v>-9.0100000000020373</v>
      </c>
      <c r="I514" s="73">
        <f t="shared" si="47"/>
        <v>-6312.3400000000129</v>
      </c>
    </row>
    <row r="515" spans="1:9" x14ac:dyDescent="0.25">
      <c r="A515" t="s">
        <v>3107</v>
      </c>
      <c r="B515" s="2">
        <v>37500</v>
      </c>
      <c r="C515" s="2" t="s">
        <v>50</v>
      </c>
      <c r="D515" s="75">
        <v>42550</v>
      </c>
      <c r="E515">
        <v>1271070</v>
      </c>
      <c r="F515" s="2">
        <v>38813.58</v>
      </c>
      <c r="G515" s="76">
        <v>42562</v>
      </c>
      <c r="H515" s="73">
        <f t="shared" ref="H515" si="49">B515-F515</f>
        <v>-1313.5800000000017</v>
      </c>
      <c r="I515" s="73">
        <f t="shared" si="47"/>
        <v>-7625.9200000000146</v>
      </c>
    </row>
    <row r="516" spans="1:9" x14ac:dyDescent="0.25">
      <c r="A516" t="s">
        <v>3123</v>
      </c>
      <c r="B516" s="2">
        <v>36000</v>
      </c>
      <c r="C516" s="2" t="s">
        <v>39</v>
      </c>
      <c r="D516" s="75">
        <v>42548</v>
      </c>
      <c r="E516">
        <v>1271431</v>
      </c>
      <c r="F516" s="2">
        <v>39535.910000000003</v>
      </c>
      <c r="G516" s="76">
        <v>42562</v>
      </c>
      <c r="H516" s="73">
        <f t="shared" si="48"/>
        <v>-3535.9100000000035</v>
      </c>
      <c r="I516" s="73">
        <f t="shared" si="47"/>
        <v>-11161.830000000018</v>
      </c>
    </row>
    <row r="517" spans="1:9" x14ac:dyDescent="0.25">
      <c r="A517" t="s">
        <v>3251</v>
      </c>
      <c r="B517" s="2">
        <v>600</v>
      </c>
      <c r="C517" s="2" t="s">
        <v>65</v>
      </c>
      <c r="D517" s="75">
        <v>42551</v>
      </c>
      <c r="E517" t="s">
        <v>3252</v>
      </c>
      <c r="G517" s="76"/>
      <c r="H517" s="73">
        <f t="shared" ref="H517:H520" si="50">B517-F517</f>
        <v>600</v>
      </c>
      <c r="I517" s="73">
        <f t="shared" ref="I517:I520" si="51">I516+H517</f>
        <v>-10561.830000000018</v>
      </c>
    </row>
    <row r="518" spans="1:9" x14ac:dyDescent="0.25">
      <c r="A518" t="s">
        <v>3291</v>
      </c>
      <c r="B518" s="2">
        <v>30000</v>
      </c>
      <c r="C518" s="2" t="s">
        <v>84</v>
      </c>
      <c r="D518" s="75">
        <v>42559</v>
      </c>
      <c r="E518">
        <v>1271069</v>
      </c>
      <c r="F518" s="2">
        <v>26678.57</v>
      </c>
      <c r="G518" s="76">
        <v>42562</v>
      </c>
      <c r="H518" s="73">
        <f t="shared" si="50"/>
        <v>3321.4300000000003</v>
      </c>
      <c r="I518" s="73">
        <f t="shared" si="51"/>
        <v>-7240.4000000000178</v>
      </c>
    </row>
    <row r="519" spans="1:9" x14ac:dyDescent="0.25">
      <c r="A519" t="s">
        <v>3124</v>
      </c>
      <c r="B519" s="2">
        <v>42000</v>
      </c>
      <c r="C519" s="2" t="s">
        <v>50</v>
      </c>
      <c r="D519" s="75">
        <v>42557</v>
      </c>
      <c r="E519">
        <v>1271432</v>
      </c>
      <c r="F519" s="2">
        <v>39150.339999999997</v>
      </c>
      <c r="G519" s="76">
        <v>42563</v>
      </c>
      <c r="H519" s="73">
        <f t="shared" si="50"/>
        <v>2849.6600000000035</v>
      </c>
      <c r="I519" s="73">
        <f t="shared" si="51"/>
        <v>-4390.7400000000143</v>
      </c>
    </row>
    <row r="520" spans="1:9" x14ac:dyDescent="0.25">
      <c r="A520" t="s">
        <v>3125</v>
      </c>
      <c r="B520" s="2">
        <v>43000</v>
      </c>
      <c r="C520" s="2" t="s">
        <v>65</v>
      </c>
      <c r="D520" s="75">
        <v>42558</v>
      </c>
      <c r="E520">
        <v>1272376</v>
      </c>
      <c r="F520" s="2">
        <v>40512</v>
      </c>
      <c r="G520" s="76">
        <v>42473</v>
      </c>
      <c r="H520" s="73">
        <f t="shared" si="50"/>
        <v>2488</v>
      </c>
      <c r="I520" s="73">
        <f t="shared" si="51"/>
        <v>-1902.7400000000143</v>
      </c>
    </row>
    <row r="521" spans="1:9" x14ac:dyDescent="0.25">
      <c r="A521" t="s">
        <v>3126</v>
      </c>
      <c r="B521" s="2">
        <v>43000</v>
      </c>
      <c r="C521" s="2" t="s">
        <v>65</v>
      </c>
      <c r="D521" s="75">
        <v>42558</v>
      </c>
      <c r="E521">
        <v>1272377</v>
      </c>
      <c r="F521" s="2">
        <v>40538.42</v>
      </c>
      <c r="G521" s="76">
        <v>41377</v>
      </c>
      <c r="H521" s="73">
        <f t="shared" si="48"/>
        <v>2461.5800000000017</v>
      </c>
      <c r="I521" s="73">
        <f t="shared" si="47"/>
        <v>558.83999999998741</v>
      </c>
    </row>
    <row r="522" spans="1:9" x14ac:dyDescent="0.25">
      <c r="A522" t="s">
        <v>3127</v>
      </c>
      <c r="B522" s="2">
        <v>40000</v>
      </c>
      <c r="C522" s="2" t="s">
        <v>50</v>
      </c>
      <c r="D522" s="75">
        <v>42564</v>
      </c>
      <c r="E522">
        <v>1273792</v>
      </c>
      <c r="F522" s="37">
        <v>39831.230000000003</v>
      </c>
      <c r="G522" s="76">
        <v>42569</v>
      </c>
      <c r="H522" s="73">
        <f t="shared" si="48"/>
        <v>168.7699999999968</v>
      </c>
      <c r="I522" s="73">
        <f t="shared" si="47"/>
        <v>727.60999999998421</v>
      </c>
    </row>
    <row r="523" spans="1:9" x14ac:dyDescent="0.25">
      <c r="A523" t="s">
        <v>3353</v>
      </c>
      <c r="B523" s="2">
        <v>40000</v>
      </c>
      <c r="C523" s="2" t="s">
        <v>50</v>
      </c>
      <c r="D523" s="75">
        <v>42564</v>
      </c>
      <c r="E523">
        <v>1273793</v>
      </c>
      <c r="F523" s="37">
        <v>38615.58</v>
      </c>
      <c r="G523" s="76">
        <v>42570</v>
      </c>
      <c r="H523" s="73">
        <f t="shared" ref="H523:H525" si="52">B523-F523</f>
        <v>1384.4199999999983</v>
      </c>
      <c r="I523" s="73">
        <f t="shared" ref="I523:I525" si="53">I522+H523</f>
        <v>2112.0299999999825</v>
      </c>
    </row>
    <row r="524" spans="1:9" x14ac:dyDescent="0.25">
      <c r="A524" t="s">
        <v>3354</v>
      </c>
      <c r="B524" s="2">
        <v>40000</v>
      </c>
      <c r="C524" s="2" t="s">
        <v>39</v>
      </c>
      <c r="D524" s="75">
        <v>42562</v>
      </c>
      <c r="E524">
        <v>1274490</v>
      </c>
      <c r="F524" s="37">
        <v>38954.99</v>
      </c>
      <c r="G524" s="76">
        <v>42572</v>
      </c>
      <c r="H524" s="73">
        <f t="shared" si="52"/>
        <v>1045.010000000002</v>
      </c>
      <c r="I524" s="73">
        <f t="shared" si="53"/>
        <v>3157.0399999999845</v>
      </c>
    </row>
    <row r="525" spans="1:9" x14ac:dyDescent="0.25">
      <c r="A525" t="s">
        <v>3355</v>
      </c>
      <c r="B525" s="2">
        <v>40000</v>
      </c>
      <c r="C525" s="2" t="s">
        <v>65</v>
      </c>
      <c r="D525" s="75">
        <v>42565</v>
      </c>
      <c r="E525">
        <v>1274491</v>
      </c>
      <c r="F525" s="37">
        <v>39124.46</v>
      </c>
      <c r="G525" s="76">
        <v>42572</v>
      </c>
      <c r="H525" s="73">
        <f t="shared" si="52"/>
        <v>875.54000000000087</v>
      </c>
      <c r="I525" s="73">
        <f t="shared" si="53"/>
        <v>4032.5799999999854</v>
      </c>
    </row>
    <row r="526" spans="1:9" x14ac:dyDescent="0.25">
      <c r="A526" t="s">
        <v>3356</v>
      </c>
      <c r="B526" s="2">
        <v>40000</v>
      </c>
      <c r="C526" s="2" t="s">
        <v>39</v>
      </c>
      <c r="D526" s="75">
        <v>42569</v>
      </c>
      <c r="E526" s="50">
        <v>1275827</v>
      </c>
      <c r="F526" s="37">
        <v>35301.78</v>
      </c>
      <c r="G526" s="76">
        <v>42573</v>
      </c>
      <c r="H526" s="73">
        <f t="shared" ref="H526" si="54">B526-F526</f>
        <v>4698.2200000000012</v>
      </c>
      <c r="I526" s="73">
        <f t="shared" ref="I526" si="55">I525+H526</f>
        <v>8730.7999999999865</v>
      </c>
    </row>
    <row r="527" spans="1:9" x14ac:dyDescent="0.25">
      <c r="A527" t="s">
        <v>3454</v>
      </c>
      <c r="B527" s="2">
        <v>42000</v>
      </c>
      <c r="C527" s="2" t="s">
        <v>50</v>
      </c>
      <c r="D527" s="75">
        <v>42571</v>
      </c>
      <c r="E527" s="50">
        <v>1275458</v>
      </c>
      <c r="F527" s="37">
        <v>35378.42</v>
      </c>
      <c r="G527" s="76">
        <v>42576</v>
      </c>
      <c r="H527" s="73">
        <f t="shared" ref="H527:H538" si="56">B527-F527</f>
        <v>6621.5800000000017</v>
      </c>
      <c r="I527" s="73">
        <f t="shared" ref="I527:I538" si="57">I526+H527</f>
        <v>15352.379999999988</v>
      </c>
    </row>
    <row r="528" spans="1:9" x14ac:dyDescent="0.25">
      <c r="A528" t="s">
        <v>3464</v>
      </c>
      <c r="B528" s="2">
        <v>30000</v>
      </c>
      <c r="C528" s="2" t="s">
        <v>50</v>
      </c>
      <c r="D528" s="75">
        <v>42571</v>
      </c>
      <c r="E528" s="50">
        <v>1275460</v>
      </c>
      <c r="F528" s="37">
        <v>25151.99</v>
      </c>
      <c r="G528" s="76">
        <v>42576</v>
      </c>
      <c r="H528" s="73">
        <f t="shared" si="56"/>
        <v>4848.0099999999984</v>
      </c>
      <c r="I528" s="73">
        <f t="shared" si="57"/>
        <v>20200.389999999985</v>
      </c>
    </row>
    <row r="529" spans="1:10" x14ac:dyDescent="0.25">
      <c r="A529" t="s">
        <v>3479</v>
      </c>
      <c r="B529" s="2">
        <v>52000</v>
      </c>
      <c r="C529" s="2" t="s">
        <v>50</v>
      </c>
      <c r="D529" s="75">
        <v>42571</v>
      </c>
      <c r="E529" s="50">
        <v>1276156</v>
      </c>
      <c r="F529" s="37">
        <v>48827.44</v>
      </c>
      <c r="G529" s="76">
        <v>42576</v>
      </c>
      <c r="H529" s="73">
        <f t="shared" ref="H529:H530" si="58">B529-F529</f>
        <v>3172.5599999999977</v>
      </c>
      <c r="I529" s="73">
        <f t="shared" ref="I529:I530" si="59">I528+H529</f>
        <v>23372.949999999983</v>
      </c>
    </row>
    <row r="530" spans="1:10" x14ac:dyDescent="0.25">
      <c r="A530" t="s">
        <v>3455</v>
      </c>
      <c r="B530" s="37">
        <v>36000</v>
      </c>
      <c r="C530" s="2" t="s">
        <v>65</v>
      </c>
      <c r="D530" s="75">
        <v>42572</v>
      </c>
      <c r="E530" s="50">
        <v>1275459</v>
      </c>
      <c r="F530" s="37">
        <v>35843.29</v>
      </c>
      <c r="G530" s="76">
        <v>42577</v>
      </c>
      <c r="H530" s="73">
        <f t="shared" si="58"/>
        <v>156.70999999999913</v>
      </c>
      <c r="I530" s="73">
        <f t="shared" si="59"/>
        <v>23529.659999999982</v>
      </c>
      <c r="J530" t="s">
        <v>3508</v>
      </c>
    </row>
    <row r="531" spans="1:10" x14ac:dyDescent="0.25">
      <c r="A531" t="s">
        <v>3456</v>
      </c>
      <c r="B531" s="37">
        <v>36000</v>
      </c>
      <c r="C531" s="2" t="s">
        <v>65</v>
      </c>
      <c r="D531" s="75">
        <v>42572</v>
      </c>
      <c r="E531" s="50">
        <v>1276839</v>
      </c>
      <c r="F531" s="2">
        <v>33736.67</v>
      </c>
      <c r="G531" s="76">
        <v>42578</v>
      </c>
      <c r="H531" s="73">
        <f t="shared" si="56"/>
        <v>2263.3300000000017</v>
      </c>
      <c r="I531" s="73">
        <f t="shared" si="57"/>
        <v>25792.989999999983</v>
      </c>
    </row>
    <row r="532" spans="1:10" x14ac:dyDescent="0.25">
      <c r="A532" t="s">
        <v>3457</v>
      </c>
      <c r="B532" s="37">
        <v>36000</v>
      </c>
      <c r="C532" s="2" t="s">
        <v>65</v>
      </c>
      <c r="D532" s="58">
        <v>42572</v>
      </c>
      <c r="E532" s="50">
        <v>1276840</v>
      </c>
      <c r="F532" s="2">
        <v>34482.410000000003</v>
      </c>
      <c r="G532" s="76">
        <v>42578</v>
      </c>
      <c r="H532" s="73">
        <f t="shared" si="56"/>
        <v>1517.5899999999965</v>
      </c>
      <c r="I532" s="73">
        <f t="shared" si="57"/>
        <v>27310.57999999998</v>
      </c>
    </row>
    <row r="533" spans="1:10" x14ac:dyDescent="0.25">
      <c r="A533" t="s">
        <v>3458</v>
      </c>
      <c r="B533" s="35">
        <v>36000</v>
      </c>
      <c r="C533" s="2" t="s">
        <v>39</v>
      </c>
      <c r="D533" s="58">
        <v>42576</v>
      </c>
      <c r="E533" s="50">
        <v>1277511</v>
      </c>
      <c r="F533" s="2">
        <v>33690.03</v>
      </c>
      <c r="G533" s="76">
        <v>42580</v>
      </c>
      <c r="H533" s="73">
        <f t="shared" si="56"/>
        <v>2309.9700000000012</v>
      </c>
      <c r="I533" s="73">
        <f t="shared" si="57"/>
        <v>29620.549999999981</v>
      </c>
    </row>
    <row r="534" spans="1:10" x14ac:dyDescent="0.25">
      <c r="A534" t="s">
        <v>3459</v>
      </c>
      <c r="B534" s="2">
        <v>35000</v>
      </c>
      <c r="C534" s="2" t="s">
        <v>50</v>
      </c>
      <c r="D534" s="171">
        <v>42578</v>
      </c>
      <c r="E534" s="50">
        <v>1277897</v>
      </c>
      <c r="F534" s="2">
        <v>32093.86</v>
      </c>
      <c r="G534" s="76">
        <v>42583</v>
      </c>
      <c r="H534" s="73">
        <f t="shared" si="56"/>
        <v>2906.1399999999994</v>
      </c>
      <c r="I534" s="73">
        <f t="shared" si="57"/>
        <v>32526.689999999981</v>
      </c>
    </row>
    <row r="535" spans="1:10" x14ac:dyDescent="0.25">
      <c r="A535" t="s">
        <v>3460</v>
      </c>
      <c r="B535" s="2">
        <v>35000</v>
      </c>
      <c r="C535" s="2" t="s">
        <v>50</v>
      </c>
      <c r="D535" s="171">
        <v>42578</v>
      </c>
      <c r="E535" s="50">
        <v>1277898</v>
      </c>
      <c r="F535" s="2">
        <v>32009.49</v>
      </c>
      <c r="G535" s="76">
        <v>42584</v>
      </c>
      <c r="H535" s="73">
        <f t="shared" si="56"/>
        <v>2990.5099999999984</v>
      </c>
      <c r="I535" s="73">
        <f t="shared" si="57"/>
        <v>35517.199999999983</v>
      </c>
    </row>
    <row r="536" spans="1:10" x14ac:dyDescent="0.25">
      <c r="A536" t="s">
        <v>3461</v>
      </c>
      <c r="B536" s="2">
        <v>32000</v>
      </c>
      <c r="C536" s="2" t="s">
        <v>65</v>
      </c>
      <c r="D536" s="171">
        <v>42579</v>
      </c>
      <c r="G536" s="76">
        <v>42585</v>
      </c>
      <c r="H536" s="73">
        <f t="shared" si="56"/>
        <v>32000</v>
      </c>
      <c r="I536" s="73">
        <f t="shared" si="57"/>
        <v>67517.199999999983</v>
      </c>
    </row>
    <row r="537" spans="1:10" x14ac:dyDescent="0.25">
      <c r="A537" t="s">
        <v>3462</v>
      </c>
      <c r="B537" s="2">
        <v>32000</v>
      </c>
      <c r="C537" s="2" t="s">
        <v>65</v>
      </c>
      <c r="D537" s="171">
        <v>42579</v>
      </c>
      <c r="G537" s="76">
        <v>42585</v>
      </c>
      <c r="H537" s="73">
        <f t="shared" si="56"/>
        <v>32000</v>
      </c>
      <c r="I537" s="73">
        <f t="shared" si="57"/>
        <v>99517.199999999983</v>
      </c>
    </row>
    <row r="538" spans="1:10" x14ac:dyDescent="0.25">
      <c r="A538" t="s">
        <v>3463</v>
      </c>
      <c r="B538" s="2">
        <v>32000</v>
      </c>
      <c r="C538" s="2" t="s">
        <v>39</v>
      </c>
      <c r="D538" s="171">
        <v>42583</v>
      </c>
      <c r="E538" s="50"/>
      <c r="G538" s="76">
        <v>42587</v>
      </c>
      <c r="H538" s="73">
        <f t="shared" si="56"/>
        <v>32000</v>
      </c>
      <c r="I538" s="73">
        <f t="shared" si="57"/>
        <v>131517.19999999998</v>
      </c>
    </row>
    <row r="539" spans="1:10" x14ac:dyDescent="0.25">
      <c r="A539" t="s">
        <v>3465</v>
      </c>
      <c r="C539" s="2" t="s">
        <v>50</v>
      </c>
      <c r="D539" s="171">
        <v>42585</v>
      </c>
      <c r="G539" s="76">
        <v>42590</v>
      </c>
      <c r="H539" s="73">
        <f t="shared" ref="H539:H540" si="60">B539-F539</f>
        <v>0</v>
      </c>
      <c r="I539" s="73">
        <f t="shared" ref="I539:I540" si="61">I538+H539</f>
        <v>131517.19999999998</v>
      </c>
    </row>
    <row r="540" spans="1:10" x14ac:dyDescent="0.25">
      <c r="A540" t="s">
        <v>3466</v>
      </c>
      <c r="C540" s="2" t="s">
        <v>50</v>
      </c>
      <c r="D540" s="171">
        <v>42585</v>
      </c>
      <c r="G540" s="76">
        <v>42591</v>
      </c>
      <c r="H540" s="73">
        <f t="shared" si="60"/>
        <v>0</v>
      </c>
      <c r="I540" s="73">
        <f t="shared" si="61"/>
        <v>131517.19999999998</v>
      </c>
    </row>
    <row r="541" spans="1:10" x14ac:dyDescent="0.25">
      <c r="A541" t="s">
        <v>3500</v>
      </c>
      <c r="C541" s="2" t="s">
        <v>65</v>
      </c>
      <c r="D541" s="171">
        <v>42586</v>
      </c>
      <c r="G541" s="76">
        <v>42592</v>
      </c>
      <c r="H541" s="73">
        <f t="shared" ref="H541:H547" si="62">B541-F541</f>
        <v>0</v>
      </c>
      <c r="I541" s="73">
        <f t="shared" ref="I541:I547" si="63">I540+H541</f>
        <v>131517.19999999998</v>
      </c>
    </row>
    <row r="542" spans="1:10" x14ac:dyDescent="0.25">
      <c r="A542" t="s">
        <v>3501</v>
      </c>
      <c r="C542" s="2" t="s">
        <v>65</v>
      </c>
      <c r="D542" s="171">
        <v>42586</v>
      </c>
      <c r="G542" s="76">
        <v>42592</v>
      </c>
      <c r="H542" s="73">
        <f t="shared" si="62"/>
        <v>0</v>
      </c>
      <c r="I542" s="73">
        <f t="shared" si="63"/>
        <v>131517.19999999998</v>
      </c>
    </row>
    <row r="543" spans="1:10" x14ac:dyDescent="0.25">
      <c r="A543" t="s">
        <v>3502</v>
      </c>
      <c r="C543" s="2" t="s">
        <v>39</v>
      </c>
      <c r="D543" s="132">
        <v>42590</v>
      </c>
      <c r="G543" s="76">
        <v>42594</v>
      </c>
      <c r="H543" s="73">
        <f t="shared" si="62"/>
        <v>0</v>
      </c>
      <c r="I543" s="73">
        <f t="shared" si="63"/>
        <v>131517.19999999998</v>
      </c>
    </row>
    <row r="544" spans="1:10" x14ac:dyDescent="0.25">
      <c r="A544" t="s">
        <v>3503</v>
      </c>
      <c r="G544" s="76">
        <v>42597</v>
      </c>
      <c r="H544" s="73">
        <f t="shared" si="62"/>
        <v>0</v>
      </c>
      <c r="I544" s="73">
        <f t="shared" si="63"/>
        <v>131517.19999999998</v>
      </c>
    </row>
    <row r="545" spans="1:9" x14ac:dyDescent="0.25">
      <c r="A545" t="s">
        <v>3504</v>
      </c>
      <c r="G545" s="76">
        <v>42598</v>
      </c>
      <c r="H545" s="73">
        <f t="shared" si="62"/>
        <v>0</v>
      </c>
      <c r="I545" s="73">
        <f t="shared" si="63"/>
        <v>131517.19999999998</v>
      </c>
    </row>
    <row r="546" spans="1:9" x14ac:dyDescent="0.25">
      <c r="A546" t="s">
        <v>3505</v>
      </c>
      <c r="G546" s="76">
        <v>42599</v>
      </c>
      <c r="H546" s="73">
        <f t="shared" si="62"/>
        <v>0</v>
      </c>
      <c r="I546" s="73">
        <f t="shared" si="63"/>
        <v>131517.19999999998</v>
      </c>
    </row>
    <row r="547" spans="1:9" x14ac:dyDescent="0.25">
      <c r="A547" t="s">
        <v>3506</v>
      </c>
      <c r="G547" s="76">
        <v>42599</v>
      </c>
      <c r="H547" s="73">
        <f t="shared" si="62"/>
        <v>0</v>
      </c>
      <c r="I547" s="73">
        <f t="shared" si="63"/>
        <v>131517.19999999998</v>
      </c>
    </row>
    <row r="548" spans="1:9" x14ac:dyDescent="0.25">
      <c r="A548" t="s">
        <v>3507</v>
      </c>
      <c r="G548" s="76">
        <v>42601</v>
      </c>
      <c r="H548" s="73">
        <f t="shared" ref="H548" si="64">B548-F548</f>
        <v>0</v>
      </c>
      <c r="I548" s="73">
        <f t="shared" ref="I548" si="65">I547+H548</f>
        <v>131517.19999999998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opLeftCell="A2" workbookViewId="0">
      <pane ySplit="3" topLeftCell="A71" activePane="bottomLeft" state="frozen"/>
      <selection activeCell="A2" sqref="A2"/>
      <selection pane="bottomLeft" activeCell="A75" sqref="A75"/>
    </sheetView>
  </sheetViews>
  <sheetFormatPr baseColWidth="10" defaultRowHeight="15" x14ac:dyDescent="0.25"/>
  <cols>
    <col min="2" max="2" width="12.5703125" style="2" bestFit="1" customWidth="1"/>
    <col min="3" max="3" width="4.28515625" customWidth="1"/>
    <col min="6" max="6" width="11.42578125" style="2"/>
    <col min="8" max="9" width="11.42578125" style="2"/>
  </cols>
  <sheetData>
    <row r="2" spans="1:9" x14ac:dyDescent="0.25">
      <c r="A2" t="s">
        <v>703</v>
      </c>
      <c r="C2" s="2"/>
      <c r="F2" s="2" t="s">
        <v>309</v>
      </c>
      <c r="G2" s="2"/>
    </row>
    <row r="3" spans="1:9" x14ac:dyDescent="0.25">
      <c r="C3" s="2"/>
      <c r="G3" s="74" t="s">
        <v>310</v>
      </c>
    </row>
    <row r="4" spans="1:9" x14ac:dyDescent="0.25">
      <c r="A4" t="s">
        <v>311</v>
      </c>
      <c r="B4" s="2" t="s">
        <v>312</v>
      </c>
      <c r="C4" s="2" t="s">
        <v>12</v>
      </c>
      <c r="D4" t="s">
        <v>313</v>
      </c>
      <c r="E4" t="s">
        <v>314</v>
      </c>
      <c r="F4" s="2" t="s">
        <v>315</v>
      </c>
      <c r="G4" s="74" t="s">
        <v>316</v>
      </c>
      <c r="H4" s="2" t="s">
        <v>317</v>
      </c>
      <c r="I4" s="2" t="s">
        <v>318</v>
      </c>
    </row>
    <row r="5" spans="1:9" x14ac:dyDescent="0.25">
      <c r="A5" t="s">
        <v>704</v>
      </c>
      <c r="B5" s="2">
        <v>30000</v>
      </c>
      <c r="C5" s="75" t="s">
        <v>84</v>
      </c>
      <c r="D5" s="75">
        <v>42272</v>
      </c>
      <c r="E5">
        <v>725173</v>
      </c>
      <c r="F5" s="2">
        <v>30108.98</v>
      </c>
      <c r="G5" s="75">
        <v>42279</v>
      </c>
      <c r="H5" s="73">
        <f t="shared" ref="H5:H39" si="0">B5-F5</f>
        <v>-108.97999999999956</v>
      </c>
      <c r="I5" s="73">
        <f>H5</f>
        <v>-108.97999999999956</v>
      </c>
    </row>
    <row r="6" spans="1:9" x14ac:dyDescent="0.25">
      <c r="A6" t="s">
        <v>705</v>
      </c>
      <c r="B6" s="2">
        <v>30000</v>
      </c>
      <c r="C6" s="75" t="s">
        <v>84</v>
      </c>
      <c r="D6" s="75">
        <v>42279</v>
      </c>
      <c r="E6">
        <v>725975</v>
      </c>
      <c r="F6" s="2">
        <v>32366.43</v>
      </c>
      <c r="G6" s="75">
        <v>42286</v>
      </c>
      <c r="H6" s="73">
        <f t="shared" si="0"/>
        <v>-2366.4300000000003</v>
      </c>
      <c r="I6" s="73">
        <f t="shared" ref="I6:I39" si="1">I5+H6</f>
        <v>-2475.41</v>
      </c>
    </row>
    <row r="7" spans="1:9" x14ac:dyDescent="0.25">
      <c r="A7" t="s">
        <v>706</v>
      </c>
      <c r="B7" s="2">
        <v>36000</v>
      </c>
      <c r="C7" s="75" t="s">
        <v>84</v>
      </c>
      <c r="D7" s="75">
        <v>42286</v>
      </c>
      <c r="E7">
        <v>727067</v>
      </c>
      <c r="F7" s="2">
        <v>32972.79</v>
      </c>
      <c r="G7" s="75">
        <v>42293</v>
      </c>
      <c r="H7" s="73">
        <f t="shared" si="0"/>
        <v>3027.2099999999991</v>
      </c>
      <c r="I7" s="73">
        <f t="shared" si="1"/>
        <v>551.79999999999927</v>
      </c>
    </row>
    <row r="8" spans="1:9" x14ac:dyDescent="0.25">
      <c r="A8" t="s">
        <v>707</v>
      </c>
      <c r="B8" s="2">
        <v>36000</v>
      </c>
      <c r="C8" s="75" t="s">
        <v>84</v>
      </c>
      <c r="D8" s="75">
        <v>42293</v>
      </c>
      <c r="E8">
        <v>727536</v>
      </c>
      <c r="F8" s="2">
        <v>35373.29</v>
      </c>
      <c r="G8" s="75">
        <v>42300</v>
      </c>
      <c r="H8" s="73">
        <f t="shared" si="0"/>
        <v>626.70999999999913</v>
      </c>
      <c r="I8" s="73">
        <f t="shared" si="1"/>
        <v>1178.5099999999984</v>
      </c>
    </row>
    <row r="9" spans="1:9" x14ac:dyDescent="0.25">
      <c r="A9" t="s">
        <v>708</v>
      </c>
      <c r="B9" s="2">
        <v>33000</v>
      </c>
      <c r="C9" s="75" t="s">
        <v>84</v>
      </c>
      <c r="D9" s="75">
        <v>42300</v>
      </c>
      <c r="E9">
        <v>728681</v>
      </c>
      <c r="F9" s="2">
        <v>28547.68</v>
      </c>
      <c r="G9" s="75">
        <v>42307</v>
      </c>
      <c r="H9" s="73">
        <f t="shared" si="0"/>
        <v>4452.32</v>
      </c>
      <c r="I9" s="73">
        <f t="shared" si="1"/>
        <v>5630.8299999999981</v>
      </c>
    </row>
    <row r="10" spans="1:9" x14ac:dyDescent="0.25">
      <c r="A10" t="s">
        <v>709</v>
      </c>
      <c r="B10" s="2">
        <v>25000</v>
      </c>
      <c r="C10" s="75" t="s">
        <v>84</v>
      </c>
      <c r="D10" s="75">
        <v>42307</v>
      </c>
      <c r="E10">
        <v>729543</v>
      </c>
      <c r="F10" s="2">
        <v>28382.49</v>
      </c>
      <c r="G10" s="75">
        <v>42314</v>
      </c>
      <c r="H10" s="73">
        <f t="shared" si="0"/>
        <v>-3382.4900000000016</v>
      </c>
      <c r="I10" s="73">
        <f t="shared" si="1"/>
        <v>2248.3399999999965</v>
      </c>
    </row>
    <row r="11" spans="1:9" x14ac:dyDescent="0.25">
      <c r="A11" t="s">
        <v>710</v>
      </c>
      <c r="B11" s="2">
        <v>32000</v>
      </c>
      <c r="C11" s="75" t="s">
        <v>84</v>
      </c>
      <c r="D11" s="75">
        <v>42314</v>
      </c>
      <c r="E11">
        <v>730634</v>
      </c>
      <c r="F11" s="2">
        <v>29585.01</v>
      </c>
      <c r="G11" s="75">
        <v>42321</v>
      </c>
      <c r="H11" s="73">
        <f t="shared" si="0"/>
        <v>2414.9900000000016</v>
      </c>
      <c r="I11" s="73">
        <f t="shared" si="1"/>
        <v>4663.3299999999981</v>
      </c>
    </row>
    <row r="12" spans="1:9" x14ac:dyDescent="0.25">
      <c r="A12" t="s">
        <v>711</v>
      </c>
      <c r="B12" s="2">
        <v>29000</v>
      </c>
      <c r="C12" s="75" t="s">
        <v>84</v>
      </c>
      <c r="D12" s="75">
        <v>42321</v>
      </c>
      <c r="E12">
        <v>731511</v>
      </c>
      <c r="F12" s="2">
        <v>30053.65</v>
      </c>
      <c r="G12" s="75">
        <v>42328</v>
      </c>
      <c r="H12" s="73">
        <f t="shared" si="0"/>
        <v>-1053.6500000000015</v>
      </c>
      <c r="I12" s="73">
        <f t="shared" si="1"/>
        <v>3609.6799999999967</v>
      </c>
    </row>
    <row r="13" spans="1:9" x14ac:dyDescent="0.25">
      <c r="A13" t="s">
        <v>712</v>
      </c>
      <c r="B13" s="2">
        <v>28000</v>
      </c>
      <c r="C13" s="75" t="s">
        <v>457</v>
      </c>
      <c r="D13" s="75">
        <v>42326</v>
      </c>
      <c r="E13">
        <v>732345</v>
      </c>
      <c r="F13" s="2">
        <v>29968.639999999999</v>
      </c>
      <c r="G13" s="75">
        <v>42333</v>
      </c>
      <c r="H13" s="73">
        <f t="shared" si="0"/>
        <v>-1968.6399999999994</v>
      </c>
      <c r="I13" s="73">
        <f t="shared" si="1"/>
        <v>1641.0399999999972</v>
      </c>
    </row>
    <row r="14" spans="1:9" x14ac:dyDescent="0.25">
      <c r="A14" t="s">
        <v>713</v>
      </c>
      <c r="B14" s="2">
        <v>30000</v>
      </c>
      <c r="C14" s="75" t="s">
        <v>457</v>
      </c>
      <c r="D14" s="75">
        <v>42333</v>
      </c>
      <c r="E14">
        <v>732874</v>
      </c>
      <c r="F14" s="2">
        <v>30288.12</v>
      </c>
      <c r="G14" s="75">
        <v>42338</v>
      </c>
      <c r="H14" s="73">
        <f t="shared" si="0"/>
        <v>-288.11999999999898</v>
      </c>
      <c r="I14" s="73">
        <f t="shared" si="1"/>
        <v>1352.9199999999983</v>
      </c>
    </row>
    <row r="15" spans="1:9" x14ac:dyDescent="0.25">
      <c r="A15" t="s">
        <v>714</v>
      </c>
      <c r="B15" s="2">
        <v>30000</v>
      </c>
      <c r="C15" s="75" t="s">
        <v>84</v>
      </c>
      <c r="D15" s="75">
        <v>42335</v>
      </c>
      <c r="E15">
        <v>733448</v>
      </c>
      <c r="F15" s="2">
        <v>31222.39</v>
      </c>
      <c r="G15" s="75">
        <v>42342</v>
      </c>
      <c r="H15" s="73">
        <f t="shared" si="0"/>
        <v>-1222.3899999999994</v>
      </c>
      <c r="I15" s="73">
        <f t="shared" si="1"/>
        <v>130.52999999999884</v>
      </c>
    </row>
    <row r="16" spans="1:9" x14ac:dyDescent="0.25">
      <c r="A16" t="s">
        <v>715</v>
      </c>
      <c r="B16" s="2">
        <v>31000</v>
      </c>
      <c r="C16" s="75" t="s">
        <v>39</v>
      </c>
      <c r="D16" s="75">
        <v>42338</v>
      </c>
      <c r="E16">
        <v>733861</v>
      </c>
      <c r="F16" s="2">
        <v>32576.53</v>
      </c>
      <c r="G16" s="75">
        <v>42346</v>
      </c>
      <c r="H16" s="73">
        <f t="shared" si="0"/>
        <v>-1576.5299999999988</v>
      </c>
      <c r="I16" s="73">
        <f t="shared" si="1"/>
        <v>-1446</v>
      </c>
    </row>
    <row r="17" spans="1:13" x14ac:dyDescent="0.25">
      <c r="A17" t="s">
        <v>716</v>
      </c>
      <c r="B17" s="2">
        <v>32000</v>
      </c>
      <c r="C17" s="75" t="s">
        <v>485</v>
      </c>
      <c r="D17" s="75">
        <v>42342</v>
      </c>
      <c r="E17">
        <v>734289</v>
      </c>
      <c r="F17" s="2">
        <v>33584.230000000003</v>
      </c>
      <c r="G17" s="75">
        <v>42349</v>
      </c>
      <c r="H17" s="73">
        <f t="shared" si="0"/>
        <v>-1584.2300000000032</v>
      </c>
      <c r="I17" s="73">
        <f t="shared" si="1"/>
        <v>-3030.2300000000032</v>
      </c>
    </row>
    <row r="18" spans="1:13" x14ac:dyDescent="0.25">
      <c r="A18" t="s">
        <v>717</v>
      </c>
      <c r="B18" s="2">
        <v>40000</v>
      </c>
      <c r="C18" s="75" t="s">
        <v>457</v>
      </c>
      <c r="D18" s="75">
        <v>42347</v>
      </c>
      <c r="E18">
        <v>735077</v>
      </c>
      <c r="F18" s="2">
        <v>32932.239999999998</v>
      </c>
      <c r="G18" s="75">
        <v>42352</v>
      </c>
      <c r="H18" s="73">
        <f t="shared" si="0"/>
        <v>7067.760000000002</v>
      </c>
      <c r="I18" s="73">
        <f t="shared" si="1"/>
        <v>4037.5299999999988</v>
      </c>
    </row>
    <row r="19" spans="1:13" x14ac:dyDescent="0.25">
      <c r="A19" t="s">
        <v>718</v>
      </c>
      <c r="B19" s="2">
        <v>40000</v>
      </c>
      <c r="C19" s="75" t="s">
        <v>84</v>
      </c>
      <c r="D19" s="75">
        <v>42349</v>
      </c>
      <c r="E19">
        <v>735495</v>
      </c>
      <c r="F19" s="2">
        <v>34175.15</v>
      </c>
      <c r="G19" s="75">
        <v>42356</v>
      </c>
      <c r="H19" s="73">
        <f t="shared" si="0"/>
        <v>5824.8499999999985</v>
      </c>
      <c r="I19" s="73">
        <f t="shared" si="1"/>
        <v>9862.3799999999974</v>
      </c>
    </row>
    <row r="20" spans="1:13" x14ac:dyDescent="0.25">
      <c r="A20" t="s">
        <v>719</v>
      </c>
      <c r="B20" s="2">
        <v>30000</v>
      </c>
      <c r="C20" s="75" t="s">
        <v>457</v>
      </c>
      <c r="D20" s="75">
        <v>42354</v>
      </c>
      <c r="E20">
        <v>735922</v>
      </c>
      <c r="F20" s="37">
        <v>30972.29</v>
      </c>
      <c r="G20" s="75">
        <v>42359</v>
      </c>
      <c r="H20" s="73">
        <f t="shared" si="0"/>
        <v>-972.29000000000087</v>
      </c>
      <c r="I20" s="73">
        <f t="shared" si="1"/>
        <v>8890.0899999999965</v>
      </c>
    </row>
    <row r="21" spans="1:13" x14ac:dyDescent="0.25">
      <c r="A21" t="s">
        <v>720</v>
      </c>
      <c r="C21" s="75" t="s">
        <v>65</v>
      </c>
      <c r="E21" t="s">
        <v>721</v>
      </c>
      <c r="F21" s="80"/>
      <c r="G21" s="75">
        <v>42361</v>
      </c>
      <c r="H21" s="73">
        <f t="shared" si="0"/>
        <v>0</v>
      </c>
      <c r="I21" s="73">
        <f t="shared" si="1"/>
        <v>8890.0899999999965</v>
      </c>
    </row>
    <row r="22" spans="1:13" x14ac:dyDescent="0.25">
      <c r="A22" t="s">
        <v>722</v>
      </c>
      <c r="B22" s="2">
        <v>30000</v>
      </c>
      <c r="C22" s="75" t="s">
        <v>39</v>
      </c>
      <c r="D22" s="75">
        <v>42355</v>
      </c>
      <c r="E22">
        <v>736619</v>
      </c>
      <c r="F22" s="37">
        <v>24940.400000000001</v>
      </c>
      <c r="G22" s="75">
        <v>42366</v>
      </c>
      <c r="H22" s="73">
        <f t="shared" si="0"/>
        <v>5059.5999999999985</v>
      </c>
      <c r="I22" s="73">
        <f t="shared" si="1"/>
        <v>13949.689999999995</v>
      </c>
    </row>
    <row r="23" spans="1:13" x14ac:dyDescent="0.25">
      <c r="A23" t="s">
        <v>723</v>
      </c>
      <c r="B23" s="37">
        <v>20000</v>
      </c>
      <c r="C23" s="75" t="s">
        <v>457</v>
      </c>
      <c r="D23" s="75">
        <v>42359</v>
      </c>
      <c r="E23">
        <v>736850</v>
      </c>
      <c r="F23" s="2">
        <v>24616.03</v>
      </c>
      <c r="G23" s="75">
        <v>42368</v>
      </c>
      <c r="H23" s="73">
        <f t="shared" si="0"/>
        <v>-4616.0299999999988</v>
      </c>
      <c r="I23" s="73">
        <f t="shared" si="1"/>
        <v>9333.6599999999962</v>
      </c>
    </row>
    <row r="24" spans="1:13" x14ac:dyDescent="0.25">
      <c r="A24" t="s">
        <v>724</v>
      </c>
      <c r="B24" s="37">
        <v>26000</v>
      </c>
      <c r="C24" s="75" t="s">
        <v>65</v>
      </c>
      <c r="D24" s="75">
        <v>42361</v>
      </c>
      <c r="E24">
        <v>737331</v>
      </c>
      <c r="F24" s="37">
        <v>25437.05</v>
      </c>
      <c r="G24" s="75">
        <v>42373</v>
      </c>
      <c r="H24" s="73">
        <f t="shared" si="0"/>
        <v>562.95000000000073</v>
      </c>
      <c r="I24" s="73">
        <f t="shared" si="1"/>
        <v>9896.6099999999969</v>
      </c>
    </row>
    <row r="25" spans="1:13" x14ac:dyDescent="0.25">
      <c r="A25" t="s">
        <v>725</v>
      </c>
      <c r="B25" s="2">
        <v>20000</v>
      </c>
      <c r="C25" s="75" t="s">
        <v>65</v>
      </c>
      <c r="D25" s="75">
        <v>42367</v>
      </c>
      <c r="E25">
        <v>737763</v>
      </c>
      <c r="F25" s="37">
        <v>25907.23</v>
      </c>
      <c r="G25" s="75">
        <v>42377</v>
      </c>
      <c r="H25" s="73">
        <f t="shared" si="0"/>
        <v>-5907.23</v>
      </c>
      <c r="I25" s="73">
        <f t="shared" si="1"/>
        <v>3989.3799999999974</v>
      </c>
    </row>
    <row r="26" spans="1:13" x14ac:dyDescent="0.25">
      <c r="A26" t="s">
        <v>726</v>
      </c>
      <c r="B26" s="37">
        <v>21000</v>
      </c>
      <c r="C26" s="75" t="s">
        <v>457</v>
      </c>
      <c r="D26" s="75">
        <v>42375</v>
      </c>
      <c r="E26">
        <v>738229</v>
      </c>
      <c r="F26" s="37">
        <v>25402.639999999999</v>
      </c>
      <c r="G26" s="75">
        <v>42380</v>
      </c>
      <c r="H26" s="73">
        <f t="shared" si="0"/>
        <v>-4402.6399999999994</v>
      </c>
      <c r="I26" s="73">
        <f t="shared" si="1"/>
        <v>-413.26000000000204</v>
      </c>
    </row>
    <row r="27" spans="1:13" x14ac:dyDescent="0.25">
      <c r="A27" t="s">
        <v>727</v>
      </c>
      <c r="B27" s="37">
        <v>25000</v>
      </c>
      <c r="C27" s="75" t="s">
        <v>84</v>
      </c>
      <c r="D27" s="75">
        <v>42375</v>
      </c>
      <c r="E27">
        <v>738650</v>
      </c>
      <c r="F27" s="37">
        <v>26803.32</v>
      </c>
      <c r="G27" s="75">
        <v>42384</v>
      </c>
      <c r="H27" s="73">
        <f t="shared" si="0"/>
        <v>-1803.3199999999997</v>
      </c>
      <c r="I27" s="73">
        <f t="shared" si="1"/>
        <v>-2216.5800000000017</v>
      </c>
    </row>
    <row r="28" spans="1:13" x14ac:dyDescent="0.25">
      <c r="A28" t="s">
        <v>728</v>
      </c>
      <c r="B28" s="37">
        <v>28000</v>
      </c>
      <c r="C28" s="75" t="s">
        <v>457</v>
      </c>
      <c r="D28" s="75">
        <v>42382</v>
      </c>
      <c r="E28">
        <v>739122</v>
      </c>
      <c r="F28" s="2">
        <v>26808.62</v>
      </c>
      <c r="G28" s="75">
        <v>42387</v>
      </c>
      <c r="H28" s="73">
        <f t="shared" si="0"/>
        <v>1191.380000000001</v>
      </c>
      <c r="I28" s="73">
        <f t="shared" si="1"/>
        <v>-1025.2000000000007</v>
      </c>
    </row>
    <row r="29" spans="1:13" x14ac:dyDescent="0.25">
      <c r="A29" t="s">
        <v>729</v>
      </c>
      <c r="B29" s="37">
        <v>30000</v>
      </c>
      <c r="C29" s="75" t="s">
        <v>84</v>
      </c>
      <c r="D29" s="75">
        <v>42384</v>
      </c>
      <c r="E29">
        <v>739537</v>
      </c>
      <c r="F29" s="2">
        <v>28031.02</v>
      </c>
      <c r="G29" s="75">
        <v>42391</v>
      </c>
      <c r="H29" s="73">
        <f t="shared" si="0"/>
        <v>1968.9799999999996</v>
      </c>
      <c r="I29" s="73">
        <f t="shared" si="1"/>
        <v>943.77999999999884</v>
      </c>
    </row>
    <row r="30" spans="1:13" x14ac:dyDescent="0.25">
      <c r="A30" t="s">
        <v>730</v>
      </c>
      <c r="B30" s="2">
        <v>30000</v>
      </c>
      <c r="C30" s="75" t="s">
        <v>457</v>
      </c>
      <c r="D30" s="75">
        <v>42389</v>
      </c>
      <c r="E30">
        <v>739960</v>
      </c>
      <c r="F30" s="2">
        <v>28691.7</v>
      </c>
      <c r="G30" s="75">
        <v>42395</v>
      </c>
      <c r="H30" s="73">
        <f t="shared" si="0"/>
        <v>1308.2999999999993</v>
      </c>
      <c r="I30" s="73">
        <f t="shared" si="1"/>
        <v>2252.0799999999981</v>
      </c>
      <c r="J30" t="s">
        <v>971</v>
      </c>
      <c r="M30" t="s">
        <v>972</v>
      </c>
    </row>
    <row r="31" spans="1:13" x14ac:dyDescent="0.25">
      <c r="A31" t="s">
        <v>731</v>
      </c>
      <c r="B31" s="2">
        <v>30000</v>
      </c>
      <c r="C31" s="75" t="s">
        <v>84</v>
      </c>
      <c r="D31" s="75">
        <v>42391</v>
      </c>
      <c r="E31">
        <v>740373</v>
      </c>
      <c r="F31" s="2">
        <v>29144.34</v>
      </c>
      <c r="G31" s="75">
        <v>42398</v>
      </c>
      <c r="H31" s="73">
        <f>B31-F31</f>
        <v>855.65999999999985</v>
      </c>
      <c r="I31" s="73">
        <f t="shared" si="1"/>
        <v>3107.739999999998</v>
      </c>
    </row>
    <row r="32" spans="1:13" x14ac:dyDescent="0.25">
      <c r="A32" t="s">
        <v>1059</v>
      </c>
      <c r="B32" s="2">
        <v>29000</v>
      </c>
      <c r="C32" s="75" t="s">
        <v>45</v>
      </c>
      <c r="D32" s="75">
        <v>42395</v>
      </c>
      <c r="E32">
        <v>740374</v>
      </c>
      <c r="F32" s="2">
        <v>28960.2</v>
      </c>
      <c r="G32" s="75">
        <v>42398</v>
      </c>
      <c r="H32" s="73">
        <f>B32-F32</f>
        <v>39.799999999999272</v>
      </c>
      <c r="I32" s="73">
        <f t="shared" si="1"/>
        <v>3147.5399999999972</v>
      </c>
    </row>
    <row r="33" spans="1:9" x14ac:dyDescent="0.25">
      <c r="A33" t="s">
        <v>1060</v>
      </c>
      <c r="B33" s="2">
        <v>28000</v>
      </c>
      <c r="C33" s="75" t="s">
        <v>84</v>
      </c>
      <c r="D33" s="75">
        <v>42398</v>
      </c>
      <c r="E33">
        <v>741181</v>
      </c>
      <c r="F33" s="2">
        <v>28691.57</v>
      </c>
      <c r="G33" s="75">
        <v>42405</v>
      </c>
      <c r="H33" s="73">
        <f>B33-F33</f>
        <v>-691.56999999999971</v>
      </c>
      <c r="I33" s="73">
        <f>I32+H33</f>
        <v>2455.9699999999975</v>
      </c>
    </row>
    <row r="34" spans="1:9" x14ac:dyDescent="0.25">
      <c r="A34" t="s">
        <v>1061</v>
      </c>
      <c r="B34" s="2">
        <v>29000</v>
      </c>
      <c r="C34" s="75" t="s">
        <v>457</v>
      </c>
      <c r="D34" s="75">
        <v>42403</v>
      </c>
      <c r="E34">
        <v>741622</v>
      </c>
      <c r="F34" s="2">
        <v>29850.65</v>
      </c>
      <c r="G34" s="75">
        <v>42408</v>
      </c>
      <c r="H34" s="73">
        <f t="shared" si="0"/>
        <v>-850.65000000000146</v>
      </c>
      <c r="I34" s="73">
        <f t="shared" si="1"/>
        <v>1605.3199999999961</v>
      </c>
    </row>
    <row r="35" spans="1:9" x14ac:dyDescent="0.25">
      <c r="A35" t="s">
        <v>1062</v>
      </c>
      <c r="B35" s="2">
        <v>29000</v>
      </c>
      <c r="C35" s="75" t="s">
        <v>84</v>
      </c>
      <c r="D35" s="75">
        <v>42405</v>
      </c>
      <c r="E35">
        <v>741841</v>
      </c>
      <c r="F35" s="2">
        <v>28744.69</v>
      </c>
      <c r="G35" s="75">
        <v>42412</v>
      </c>
      <c r="H35" s="73">
        <f t="shared" si="0"/>
        <v>255.31000000000131</v>
      </c>
      <c r="I35" s="73">
        <f t="shared" si="1"/>
        <v>1860.6299999999974</v>
      </c>
    </row>
    <row r="36" spans="1:9" x14ac:dyDescent="0.25">
      <c r="A36" t="s">
        <v>1063</v>
      </c>
      <c r="B36" s="2">
        <v>30000</v>
      </c>
      <c r="C36" s="75" t="s">
        <v>457</v>
      </c>
      <c r="D36" s="75">
        <v>42410</v>
      </c>
      <c r="E36">
        <v>742464</v>
      </c>
      <c r="F36" s="2">
        <v>29106.54</v>
      </c>
      <c r="G36" s="75">
        <v>42415</v>
      </c>
      <c r="H36" s="73">
        <f t="shared" si="0"/>
        <v>893.45999999999913</v>
      </c>
      <c r="I36" s="73">
        <f t="shared" si="1"/>
        <v>2754.0899999999965</v>
      </c>
    </row>
    <row r="37" spans="1:9" x14ac:dyDescent="0.25">
      <c r="A37" t="s">
        <v>1064</v>
      </c>
      <c r="B37" s="2">
        <v>30000</v>
      </c>
      <c r="C37" s="75" t="s">
        <v>84</v>
      </c>
      <c r="D37" s="75">
        <v>42412</v>
      </c>
      <c r="E37">
        <v>742697</v>
      </c>
      <c r="F37" s="2">
        <v>28592.09</v>
      </c>
      <c r="G37" s="75">
        <v>42418</v>
      </c>
      <c r="H37" s="73">
        <f t="shared" si="0"/>
        <v>1407.9099999999999</v>
      </c>
      <c r="I37" s="73">
        <f t="shared" si="1"/>
        <v>4161.9999999999964</v>
      </c>
    </row>
    <row r="38" spans="1:9" x14ac:dyDescent="0.25">
      <c r="A38" t="s">
        <v>1065</v>
      </c>
      <c r="B38" s="2">
        <v>29000</v>
      </c>
      <c r="C38" s="75" t="s">
        <v>457</v>
      </c>
      <c r="D38" s="75">
        <v>42417</v>
      </c>
      <c r="E38">
        <v>743306</v>
      </c>
      <c r="F38" s="2">
        <v>27769.58</v>
      </c>
      <c r="G38" s="75">
        <v>42422</v>
      </c>
      <c r="H38" s="73">
        <f t="shared" si="0"/>
        <v>1230.4199999999983</v>
      </c>
      <c r="I38" s="73">
        <f t="shared" si="1"/>
        <v>5392.4199999999946</v>
      </c>
    </row>
    <row r="39" spans="1:9" x14ac:dyDescent="0.25">
      <c r="A39" t="s">
        <v>1066</v>
      </c>
      <c r="B39" s="2">
        <v>29000</v>
      </c>
      <c r="C39" s="75" t="s">
        <v>84</v>
      </c>
      <c r="D39" s="75">
        <v>42419</v>
      </c>
      <c r="E39">
        <v>743534</v>
      </c>
      <c r="F39" s="2">
        <v>27438.77</v>
      </c>
      <c r="G39" s="75">
        <v>42426</v>
      </c>
      <c r="H39" s="73">
        <f t="shared" si="0"/>
        <v>1561.2299999999996</v>
      </c>
      <c r="I39" s="73">
        <f t="shared" si="1"/>
        <v>6953.6499999999942</v>
      </c>
    </row>
    <row r="40" spans="1:9" x14ac:dyDescent="0.25">
      <c r="A40" t="s">
        <v>1436</v>
      </c>
      <c r="B40" s="2">
        <v>22000</v>
      </c>
      <c r="C40" s="75" t="s">
        <v>457</v>
      </c>
      <c r="D40" s="75">
        <v>42424</v>
      </c>
      <c r="E40">
        <v>744090</v>
      </c>
      <c r="F40" s="2">
        <v>27606.33</v>
      </c>
      <c r="G40" s="75">
        <v>42429</v>
      </c>
      <c r="H40" s="73">
        <f t="shared" ref="H40:H50" si="2">B40-F40</f>
        <v>-5606.3300000000017</v>
      </c>
      <c r="I40" s="73">
        <f t="shared" ref="I40:I50" si="3">I39+H40</f>
        <v>1347.3199999999924</v>
      </c>
    </row>
    <row r="41" spans="1:9" x14ac:dyDescent="0.25">
      <c r="A41" t="s">
        <v>1437</v>
      </c>
      <c r="B41" s="37">
        <v>27000</v>
      </c>
      <c r="C41" s="75" t="s">
        <v>485</v>
      </c>
      <c r="D41" s="75">
        <v>42426</v>
      </c>
      <c r="E41">
        <v>744342</v>
      </c>
      <c r="F41" s="2">
        <v>27094.11</v>
      </c>
      <c r="G41" s="75">
        <v>42433</v>
      </c>
      <c r="H41" s="73">
        <f t="shared" si="2"/>
        <v>-94.110000000000582</v>
      </c>
      <c r="I41" s="73">
        <f t="shared" si="3"/>
        <v>1253.2099999999919</v>
      </c>
    </row>
    <row r="42" spans="1:9" x14ac:dyDescent="0.25">
      <c r="A42" t="s">
        <v>1438</v>
      </c>
      <c r="B42" s="2">
        <v>27000</v>
      </c>
      <c r="C42" s="75" t="s">
        <v>457</v>
      </c>
      <c r="D42" s="75">
        <v>42431</v>
      </c>
      <c r="E42">
        <v>745004</v>
      </c>
      <c r="F42" s="2">
        <v>28074.55</v>
      </c>
      <c r="G42" s="75">
        <v>42436</v>
      </c>
      <c r="H42" s="73">
        <f t="shared" si="2"/>
        <v>-1074.5499999999993</v>
      </c>
      <c r="I42" s="73">
        <f t="shared" si="3"/>
        <v>178.65999999999258</v>
      </c>
    </row>
    <row r="43" spans="1:9" x14ac:dyDescent="0.25">
      <c r="A43" t="s">
        <v>1439</v>
      </c>
      <c r="B43" s="37">
        <v>27500</v>
      </c>
      <c r="C43" s="75" t="s">
        <v>39</v>
      </c>
      <c r="D43" s="75">
        <v>42436</v>
      </c>
      <c r="E43">
        <v>745417</v>
      </c>
      <c r="F43" s="2">
        <v>28331.279999999999</v>
      </c>
      <c r="G43" s="75">
        <v>42440</v>
      </c>
      <c r="H43" s="73">
        <f t="shared" si="2"/>
        <v>-831.27999999999884</v>
      </c>
      <c r="I43" s="73">
        <f t="shared" si="3"/>
        <v>-652.62000000000626</v>
      </c>
    </row>
    <row r="44" spans="1:9" x14ac:dyDescent="0.25">
      <c r="A44" t="s">
        <v>1440</v>
      </c>
      <c r="B44" s="2">
        <v>28000</v>
      </c>
      <c r="C44" s="58" t="s">
        <v>457</v>
      </c>
      <c r="D44" s="75">
        <v>42438</v>
      </c>
      <c r="E44">
        <v>745858</v>
      </c>
      <c r="F44" s="2">
        <v>28664.9</v>
      </c>
      <c r="G44" s="75">
        <v>42443</v>
      </c>
      <c r="H44" s="73">
        <f t="shared" si="2"/>
        <v>-664.90000000000146</v>
      </c>
      <c r="I44" s="73">
        <f t="shared" si="3"/>
        <v>-1317.5200000000077</v>
      </c>
    </row>
    <row r="45" spans="1:9" x14ac:dyDescent="0.25">
      <c r="A45" t="s">
        <v>1441</v>
      </c>
      <c r="B45" s="37">
        <v>29000</v>
      </c>
      <c r="C45" s="58" t="s">
        <v>84</v>
      </c>
      <c r="D45" s="75">
        <v>42440</v>
      </c>
      <c r="E45">
        <v>746257</v>
      </c>
      <c r="F45" s="2">
        <v>28086.91</v>
      </c>
      <c r="G45" s="75">
        <v>42447</v>
      </c>
      <c r="H45" s="73">
        <f t="shared" si="2"/>
        <v>913.09000000000015</v>
      </c>
      <c r="I45" s="73">
        <f t="shared" si="3"/>
        <v>-404.43000000000757</v>
      </c>
    </row>
    <row r="46" spans="1:9" x14ac:dyDescent="0.25">
      <c r="A46" t="s">
        <v>1442</v>
      </c>
      <c r="B46" s="37">
        <v>29000</v>
      </c>
      <c r="C46" s="58" t="s">
        <v>84</v>
      </c>
      <c r="D46" s="75">
        <v>42440</v>
      </c>
      <c r="E46">
        <v>746258</v>
      </c>
      <c r="F46" s="2">
        <v>27938.58</v>
      </c>
      <c r="G46" s="75">
        <v>42447</v>
      </c>
      <c r="H46" s="73">
        <f t="shared" si="2"/>
        <v>1061.4199999999983</v>
      </c>
      <c r="I46" s="73">
        <f t="shared" si="3"/>
        <v>656.98999999999069</v>
      </c>
    </row>
    <row r="47" spans="1:9" x14ac:dyDescent="0.25">
      <c r="A47" t="s">
        <v>1443</v>
      </c>
      <c r="B47" s="2">
        <v>29500</v>
      </c>
      <c r="C47" s="58" t="s">
        <v>84</v>
      </c>
      <c r="D47" s="75">
        <v>42446</v>
      </c>
      <c r="E47">
        <v>746944</v>
      </c>
      <c r="F47" s="2">
        <v>25941.08</v>
      </c>
      <c r="G47" s="75">
        <v>42452</v>
      </c>
      <c r="H47" s="73">
        <f t="shared" si="2"/>
        <v>3558.9199999999983</v>
      </c>
      <c r="I47" s="73">
        <f t="shared" si="3"/>
        <v>4215.9099999999889</v>
      </c>
    </row>
    <row r="48" spans="1:9" x14ac:dyDescent="0.25">
      <c r="A48" t="s">
        <v>1444</v>
      </c>
      <c r="B48" s="2">
        <v>24000</v>
      </c>
      <c r="C48" s="58" t="s">
        <v>457</v>
      </c>
      <c r="D48" s="75">
        <v>42452</v>
      </c>
      <c r="E48">
        <v>747536</v>
      </c>
      <c r="F48" s="2">
        <v>25637.4</v>
      </c>
      <c r="G48" s="75">
        <v>42457</v>
      </c>
      <c r="H48" s="73">
        <f t="shared" si="2"/>
        <v>-1637.4000000000015</v>
      </c>
      <c r="I48" s="73">
        <f t="shared" si="3"/>
        <v>2578.5099999999875</v>
      </c>
    </row>
    <row r="49" spans="1:9" x14ac:dyDescent="0.25">
      <c r="A49" t="s">
        <v>1445</v>
      </c>
      <c r="B49" s="2">
        <v>25000</v>
      </c>
      <c r="C49" s="58" t="s">
        <v>457</v>
      </c>
      <c r="D49" s="75">
        <v>42452</v>
      </c>
      <c r="E49">
        <v>747917</v>
      </c>
      <c r="F49" s="2">
        <v>26342.34</v>
      </c>
      <c r="G49" s="75">
        <v>42461</v>
      </c>
      <c r="H49" s="73">
        <f t="shared" si="2"/>
        <v>-1342.3400000000001</v>
      </c>
      <c r="I49" s="73">
        <f t="shared" si="3"/>
        <v>1236.1699999999873</v>
      </c>
    </row>
    <row r="50" spans="1:9" x14ac:dyDescent="0.25">
      <c r="A50" t="s">
        <v>1446</v>
      </c>
      <c r="B50" s="2">
        <v>26000</v>
      </c>
      <c r="C50" s="58" t="s">
        <v>457</v>
      </c>
      <c r="D50" s="75">
        <v>42459</v>
      </c>
      <c r="E50">
        <v>748385</v>
      </c>
      <c r="F50" s="2">
        <v>27098.9</v>
      </c>
      <c r="G50" s="75">
        <v>42464</v>
      </c>
      <c r="H50" s="73">
        <f t="shared" si="2"/>
        <v>-1098.9000000000015</v>
      </c>
      <c r="I50" s="73">
        <f t="shared" si="3"/>
        <v>137.26999999998588</v>
      </c>
    </row>
    <row r="51" spans="1:9" x14ac:dyDescent="0.25">
      <c r="A51" t="s">
        <v>1849</v>
      </c>
      <c r="B51" s="2">
        <v>27000</v>
      </c>
      <c r="C51" s="58" t="s">
        <v>84</v>
      </c>
      <c r="D51" s="75">
        <v>42461</v>
      </c>
      <c r="E51">
        <v>748740</v>
      </c>
      <c r="F51" s="2">
        <v>27320.22</v>
      </c>
      <c r="G51" s="75">
        <v>42468</v>
      </c>
      <c r="H51" s="73">
        <f t="shared" ref="H51:H56" si="4">B51-F51</f>
        <v>-320.22000000000116</v>
      </c>
      <c r="I51" s="73">
        <f t="shared" ref="I51:I56" si="5">I50+H51</f>
        <v>-182.95000000001528</v>
      </c>
    </row>
    <row r="52" spans="1:9" x14ac:dyDescent="0.25">
      <c r="A52" t="s">
        <v>1850</v>
      </c>
      <c r="B52" s="2">
        <v>28500</v>
      </c>
      <c r="C52" s="58" t="s">
        <v>457</v>
      </c>
      <c r="D52" s="75">
        <v>42466</v>
      </c>
      <c r="E52">
        <v>749252</v>
      </c>
      <c r="F52" s="2">
        <v>27631.58</v>
      </c>
      <c r="G52" s="75">
        <v>42471</v>
      </c>
      <c r="H52" s="73">
        <f t="shared" si="4"/>
        <v>868.41999999999825</v>
      </c>
      <c r="I52" s="73">
        <f t="shared" si="5"/>
        <v>685.46999999998297</v>
      </c>
    </row>
    <row r="53" spans="1:9" x14ac:dyDescent="0.25">
      <c r="A53" t="s">
        <v>1851</v>
      </c>
      <c r="B53" s="2">
        <v>29000</v>
      </c>
      <c r="C53" s="58" t="s">
        <v>84</v>
      </c>
      <c r="D53" s="75">
        <v>42468</v>
      </c>
      <c r="E53">
        <v>749606</v>
      </c>
      <c r="F53" s="2">
        <v>27462.57</v>
      </c>
      <c r="G53" s="75">
        <v>42475</v>
      </c>
      <c r="H53" s="73">
        <f t="shared" si="4"/>
        <v>1537.4300000000003</v>
      </c>
      <c r="I53" s="73">
        <f t="shared" si="5"/>
        <v>2222.8999999999833</v>
      </c>
    </row>
    <row r="54" spans="1:9" x14ac:dyDescent="0.25">
      <c r="A54" t="s">
        <v>1852</v>
      </c>
      <c r="B54" s="37">
        <v>29000</v>
      </c>
      <c r="C54" s="58" t="s">
        <v>457</v>
      </c>
      <c r="D54" s="75">
        <v>42473</v>
      </c>
      <c r="E54">
        <v>750034</v>
      </c>
      <c r="F54" s="2">
        <v>30797.24</v>
      </c>
      <c r="G54" s="75">
        <v>42478</v>
      </c>
      <c r="H54" s="73">
        <f t="shared" si="4"/>
        <v>-1797.2400000000016</v>
      </c>
      <c r="I54" s="73">
        <f t="shared" si="5"/>
        <v>425.65999999998166</v>
      </c>
    </row>
    <row r="55" spans="1:9" x14ac:dyDescent="0.25">
      <c r="A55" t="s">
        <v>1853</v>
      </c>
      <c r="B55" s="2">
        <v>29000</v>
      </c>
      <c r="C55" s="58" t="s">
        <v>84</v>
      </c>
      <c r="D55" s="75">
        <v>42475</v>
      </c>
      <c r="E55">
        <v>750604</v>
      </c>
      <c r="F55" s="2">
        <v>32416.5</v>
      </c>
      <c r="G55" s="75">
        <v>42482</v>
      </c>
      <c r="H55" s="73">
        <f t="shared" si="4"/>
        <v>-3416.5</v>
      </c>
      <c r="I55" s="73">
        <f t="shared" si="5"/>
        <v>-2990.8400000000183</v>
      </c>
    </row>
    <row r="56" spans="1:9" x14ac:dyDescent="0.25">
      <c r="A56" t="s">
        <v>1854</v>
      </c>
      <c r="B56" s="2">
        <v>32000</v>
      </c>
      <c r="C56" s="58" t="s">
        <v>457</v>
      </c>
      <c r="D56" s="75">
        <v>42480</v>
      </c>
      <c r="E56">
        <v>750948</v>
      </c>
      <c r="F56" s="2">
        <v>33098.49</v>
      </c>
      <c r="G56" s="75">
        <v>42485</v>
      </c>
      <c r="H56" s="73">
        <f t="shared" si="4"/>
        <v>-1098.489999999998</v>
      </c>
      <c r="I56" s="73">
        <f t="shared" si="5"/>
        <v>-4089.3300000000163</v>
      </c>
    </row>
    <row r="57" spans="1:9" x14ac:dyDescent="0.25">
      <c r="A57" t="s">
        <v>1855</v>
      </c>
      <c r="B57" s="2">
        <v>32000</v>
      </c>
      <c r="C57" s="58" t="s">
        <v>84</v>
      </c>
      <c r="D57" s="75">
        <v>42482</v>
      </c>
      <c r="E57">
        <v>751315</v>
      </c>
      <c r="F57" s="2">
        <v>33909.53</v>
      </c>
      <c r="G57" s="75">
        <v>42489</v>
      </c>
      <c r="H57" s="73">
        <f t="shared" ref="H57:H62" si="6">B57-F57</f>
        <v>-1909.5299999999988</v>
      </c>
      <c r="I57" s="73">
        <f t="shared" ref="I57:I62" si="7">I56+H57</f>
        <v>-5998.8600000000151</v>
      </c>
    </row>
    <row r="58" spans="1:9" x14ac:dyDescent="0.25">
      <c r="A58" t="s">
        <v>2158</v>
      </c>
      <c r="B58" s="2">
        <v>38000</v>
      </c>
      <c r="C58" s="58" t="s">
        <v>457</v>
      </c>
      <c r="D58" s="75">
        <v>42487</v>
      </c>
      <c r="E58">
        <v>751606</v>
      </c>
      <c r="F58" s="2">
        <v>33988.019999999997</v>
      </c>
      <c r="G58" s="75">
        <v>42492</v>
      </c>
      <c r="H58" s="73">
        <f t="shared" si="6"/>
        <v>4011.9800000000032</v>
      </c>
      <c r="I58" s="73">
        <f t="shared" si="7"/>
        <v>-1986.8800000000119</v>
      </c>
    </row>
    <row r="59" spans="1:9" x14ac:dyDescent="0.25">
      <c r="A59" t="s">
        <v>2159</v>
      </c>
      <c r="B59" s="2">
        <v>38000</v>
      </c>
      <c r="C59" s="58" t="s">
        <v>84</v>
      </c>
      <c r="D59" s="75">
        <v>42489</v>
      </c>
      <c r="E59">
        <v>752148</v>
      </c>
      <c r="F59" s="2">
        <v>33461</v>
      </c>
      <c r="G59" s="75">
        <v>42496</v>
      </c>
      <c r="H59" s="73">
        <f t="shared" si="6"/>
        <v>4539</v>
      </c>
      <c r="I59" s="73">
        <f t="shared" si="7"/>
        <v>2552.1199999999881</v>
      </c>
    </row>
    <row r="60" spans="1:9" x14ac:dyDescent="0.25">
      <c r="A60" t="s">
        <v>2160</v>
      </c>
      <c r="B60" s="2">
        <v>30000</v>
      </c>
      <c r="C60" s="58" t="s">
        <v>457</v>
      </c>
      <c r="D60" s="75">
        <v>42494</v>
      </c>
      <c r="E60">
        <v>752423</v>
      </c>
      <c r="F60" s="2">
        <v>34067.050000000003</v>
      </c>
      <c r="G60" s="75">
        <v>42499</v>
      </c>
      <c r="H60" s="73">
        <f t="shared" si="6"/>
        <v>-4067.0500000000029</v>
      </c>
      <c r="I60" s="73">
        <f t="shared" si="7"/>
        <v>-1514.9300000000148</v>
      </c>
    </row>
    <row r="61" spans="1:9" x14ac:dyDescent="0.25">
      <c r="A61" t="s">
        <v>2161</v>
      </c>
      <c r="B61" s="2">
        <v>34000</v>
      </c>
      <c r="C61" s="58" t="s">
        <v>84</v>
      </c>
      <c r="D61" s="75">
        <v>42496</v>
      </c>
      <c r="E61">
        <v>752990</v>
      </c>
      <c r="F61" s="2">
        <v>33329.82</v>
      </c>
      <c r="G61" s="75">
        <v>42503</v>
      </c>
      <c r="H61" s="73">
        <f t="shared" si="6"/>
        <v>670.18000000000029</v>
      </c>
      <c r="I61" s="73">
        <f t="shared" si="7"/>
        <v>-844.75000000001455</v>
      </c>
    </row>
    <row r="62" spans="1:9" x14ac:dyDescent="0.25">
      <c r="A62" t="s">
        <v>2356</v>
      </c>
      <c r="B62" s="2">
        <v>33000</v>
      </c>
      <c r="C62" s="58" t="s">
        <v>457</v>
      </c>
      <c r="D62" s="75">
        <v>42501</v>
      </c>
      <c r="E62">
        <v>753278</v>
      </c>
      <c r="F62" s="2">
        <v>32488.87</v>
      </c>
      <c r="G62" s="75">
        <v>42506</v>
      </c>
      <c r="H62" s="73">
        <f t="shared" si="6"/>
        <v>511.13000000000102</v>
      </c>
      <c r="I62" s="73">
        <f t="shared" si="7"/>
        <v>-333.62000000001353</v>
      </c>
    </row>
    <row r="63" spans="1:9" x14ac:dyDescent="0.25">
      <c r="A63" t="s">
        <v>2384</v>
      </c>
      <c r="B63" s="2">
        <v>33000</v>
      </c>
      <c r="C63" s="58" t="s">
        <v>84</v>
      </c>
      <c r="D63" s="75">
        <v>42503</v>
      </c>
      <c r="E63">
        <v>753820</v>
      </c>
      <c r="F63" s="2">
        <v>31110.99</v>
      </c>
      <c r="G63" s="75">
        <v>42510</v>
      </c>
      <c r="H63" s="73">
        <f t="shared" ref="H63:H70" si="8">B63-F63</f>
        <v>1889.0099999999984</v>
      </c>
      <c r="I63" s="73">
        <f t="shared" ref="I63:I70" si="9">I62+H63</f>
        <v>1555.3899999999849</v>
      </c>
    </row>
    <row r="64" spans="1:9" x14ac:dyDescent="0.25">
      <c r="A64" t="s">
        <v>2537</v>
      </c>
      <c r="B64" s="2">
        <v>33000</v>
      </c>
      <c r="C64" s="58" t="s">
        <v>457</v>
      </c>
      <c r="D64" s="75">
        <v>42508</v>
      </c>
      <c r="E64">
        <v>754086</v>
      </c>
      <c r="F64" s="2">
        <v>30498.01</v>
      </c>
      <c r="G64" s="75">
        <v>42513</v>
      </c>
      <c r="H64" s="73">
        <f t="shared" si="8"/>
        <v>2501.9900000000016</v>
      </c>
      <c r="I64" s="73">
        <f t="shared" si="9"/>
        <v>4057.3799999999865</v>
      </c>
    </row>
    <row r="65" spans="1:9" x14ac:dyDescent="0.25">
      <c r="A65" t="s">
        <v>2538</v>
      </c>
      <c r="B65" s="2">
        <v>32000</v>
      </c>
      <c r="C65" s="58" t="s">
        <v>84</v>
      </c>
      <c r="D65" s="75">
        <v>42510</v>
      </c>
      <c r="E65">
        <v>754639</v>
      </c>
      <c r="F65" s="2">
        <v>30915.23</v>
      </c>
      <c r="G65" s="75">
        <v>42517</v>
      </c>
      <c r="H65" s="73">
        <f t="shared" si="8"/>
        <v>1084.7700000000004</v>
      </c>
      <c r="I65" s="73">
        <f t="shared" si="9"/>
        <v>5142.1499999999869</v>
      </c>
    </row>
    <row r="66" spans="1:9" x14ac:dyDescent="0.25">
      <c r="A66" t="s">
        <v>2539</v>
      </c>
      <c r="B66" s="2">
        <v>33000</v>
      </c>
      <c r="C66" s="58" t="s">
        <v>457</v>
      </c>
      <c r="D66" s="75">
        <v>42515</v>
      </c>
      <c r="E66">
        <v>754902</v>
      </c>
      <c r="F66" s="2">
        <v>31723.919999999998</v>
      </c>
      <c r="G66" s="75">
        <v>42520</v>
      </c>
      <c r="H66" s="73">
        <f t="shared" si="8"/>
        <v>1276.0800000000017</v>
      </c>
      <c r="I66" s="73">
        <f t="shared" si="9"/>
        <v>6418.2299999999886</v>
      </c>
    </row>
    <row r="67" spans="1:9" x14ac:dyDescent="0.25">
      <c r="A67" t="s">
        <v>2540</v>
      </c>
      <c r="B67" s="2">
        <v>30000</v>
      </c>
      <c r="C67" s="58" t="s">
        <v>84</v>
      </c>
      <c r="D67" s="75">
        <v>42517</v>
      </c>
      <c r="E67">
        <v>755277</v>
      </c>
      <c r="F67" s="2">
        <v>31561.360000000001</v>
      </c>
      <c r="G67" s="75">
        <v>42524</v>
      </c>
      <c r="H67" s="73">
        <f t="shared" si="8"/>
        <v>-1561.3600000000006</v>
      </c>
      <c r="I67" s="73">
        <f t="shared" si="9"/>
        <v>4856.8699999999881</v>
      </c>
    </row>
    <row r="68" spans="1:9" x14ac:dyDescent="0.25">
      <c r="A68" t="s">
        <v>2541</v>
      </c>
      <c r="B68" s="2">
        <v>31000</v>
      </c>
      <c r="C68" s="58" t="s">
        <v>84</v>
      </c>
      <c r="D68" s="75">
        <v>42500</v>
      </c>
      <c r="E68">
        <v>756839</v>
      </c>
      <c r="F68" s="2">
        <v>33181.449999999997</v>
      </c>
      <c r="G68" s="75">
        <v>42538</v>
      </c>
      <c r="H68" s="73">
        <f t="shared" si="8"/>
        <v>-2181.4499999999971</v>
      </c>
      <c r="I68" s="73">
        <f t="shared" si="9"/>
        <v>2675.419999999991</v>
      </c>
    </row>
    <row r="69" spans="1:9" x14ac:dyDescent="0.25">
      <c r="A69" t="s">
        <v>2542</v>
      </c>
      <c r="B69" s="2">
        <v>31000</v>
      </c>
      <c r="C69" s="58" t="s">
        <v>84</v>
      </c>
      <c r="D69" s="75">
        <v>42500</v>
      </c>
      <c r="E69">
        <v>756840</v>
      </c>
      <c r="F69" s="2">
        <v>33507.08</v>
      </c>
      <c r="G69" s="75">
        <v>42538</v>
      </c>
      <c r="H69" s="73">
        <f t="shared" si="8"/>
        <v>-2507.0800000000017</v>
      </c>
      <c r="I69" s="73">
        <f t="shared" si="9"/>
        <v>168.33999999998923</v>
      </c>
    </row>
    <row r="70" spans="1:9" x14ac:dyDescent="0.25">
      <c r="A70" t="s">
        <v>2543</v>
      </c>
      <c r="B70" s="2">
        <v>34000</v>
      </c>
      <c r="C70" s="58" t="s">
        <v>84</v>
      </c>
      <c r="D70" s="75">
        <v>42538</v>
      </c>
      <c r="E70">
        <v>757670</v>
      </c>
      <c r="F70" s="2">
        <v>35567.42</v>
      </c>
      <c r="G70" s="75">
        <v>42545</v>
      </c>
      <c r="H70" s="73">
        <f t="shared" si="8"/>
        <v>-1567.4199999999983</v>
      </c>
      <c r="I70" s="73">
        <f t="shared" si="9"/>
        <v>-1399.080000000009</v>
      </c>
    </row>
    <row r="71" spans="1:9" x14ac:dyDescent="0.25">
      <c r="A71" t="s">
        <v>2544</v>
      </c>
      <c r="B71" s="2">
        <v>34000</v>
      </c>
      <c r="C71" s="58" t="s">
        <v>84</v>
      </c>
      <c r="D71" s="75">
        <v>42538</v>
      </c>
      <c r="E71">
        <v>757836</v>
      </c>
      <c r="F71" s="2">
        <v>35122.46</v>
      </c>
      <c r="G71" s="75">
        <v>42545</v>
      </c>
      <c r="H71" s="73">
        <f t="shared" ref="H71:H73" si="10">B71-F71</f>
        <v>-1122.4599999999991</v>
      </c>
      <c r="I71" s="73">
        <f t="shared" ref="I71:I78" si="11">I70+H71</f>
        <v>-2521.5400000000081</v>
      </c>
    </row>
    <row r="72" spans="1:9" x14ac:dyDescent="0.25">
      <c r="A72" t="s">
        <v>2545</v>
      </c>
      <c r="B72" s="2">
        <v>37000</v>
      </c>
      <c r="C72" s="58" t="s">
        <v>84</v>
      </c>
      <c r="D72" s="75">
        <v>42545</v>
      </c>
      <c r="E72">
        <v>758485</v>
      </c>
      <c r="F72" s="2">
        <v>36961.31</v>
      </c>
      <c r="G72" s="75">
        <v>42552</v>
      </c>
      <c r="H72" s="73">
        <f t="shared" si="10"/>
        <v>38.690000000002328</v>
      </c>
      <c r="I72" s="73">
        <f t="shared" si="11"/>
        <v>-2482.8500000000058</v>
      </c>
    </row>
    <row r="73" spans="1:9" x14ac:dyDescent="0.25">
      <c r="A73" t="s">
        <v>2546</v>
      </c>
      <c r="B73" s="2">
        <v>37000</v>
      </c>
      <c r="C73" s="58" t="s">
        <v>84</v>
      </c>
      <c r="D73" s="75">
        <v>42545</v>
      </c>
      <c r="E73">
        <v>758486</v>
      </c>
      <c r="F73" s="2">
        <v>37006</v>
      </c>
      <c r="G73" s="75">
        <v>42552</v>
      </c>
      <c r="H73" s="73">
        <f t="shared" si="10"/>
        <v>-6</v>
      </c>
      <c r="I73" s="73">
        <f t="shared" si="11"/>
        <v>-2488.8500000000058</v>
      </c>
    </row>
    <row r="74" spans="1:9" x14ac:dyDescent="0.25">
      <c r="A74" t="s">
        <v>3007</v>
      </c>
      <c r="B74" s="2">
        <v>40000</v>
      </c>
      <c r="C74" s="58" t="s">
        <v>84</v>
      </c>
      <c r="D74" s="75">
        <v>42552</v>
      </c>
      <c r="E74">
        <v>759328</v>
      </c>
      <c r="F74" s="2">
        <v>37331.22</v>
      </c>
      <c r="G74" s="75">
        <v>42559</v>
      </c>
      <c r="H74" s="73">
        <f t="shared" ref="H74:H79" si="12">B74-F74</f>
        <v>2668.7799999999988</v>
      </c>
      <c r="I74" s="73">
        <f t="shared" si="11"/>
        <v>179.92999999999302</v>
      </c>
    </row>
    <row r="75" spans="1:9" x14ac:dyDescent="0.25">
      <c r="A75" t="s">
        <v>3274</v>
      </c>
      <c r="B75" s="2">
        <v>1000</v>
      </c>
      <c r="C75" s="58" t="s">
        <v>65</v>
      </c>
      <c r="D75" s="75">
        <v>42558</v>
      </c>
      <c r="G75" s="75"/>
      <c r="H75" s="73">
        <f t="shared" si="12"/>
        <v>1000</v>
      </c>
      <c r="I75" s="73">
        <f t="shared" si="11"/>
        <v>1179.929999999993</v>
      </c>
    </row>
    <row r="76" spans="1:9" x14ac:dyDescent="0.25">
      <c r="A76" t="s">
        <v>3008</v>
      </c>
      <c r="B76" s="2">
        <v>38000</v>
      </c>
      <c r="C76" s="58" t="s">
        <v>84</v>
      </c>
      <c r="D76" s="75">
        <v>42559</v>
      </c>
      <c r="E76">
        <v>760165</v>
      </c>
      <c r="F76" s="2">
        <v>37738.730000000003</v>
      </c>
      <c r="G76" s="75">
        <v>42566</v>
      </c>
      <c r="H76" s="73">
        <f t="shared" si="12"/>
        <v>261.2699999999968</v>
      </c>
      <c r="I76" s="73">
        <f t="shared" si="11"/>
        <v>1441.1999999999898</v>
      </c>
    </row>
    <row r="77" spans="1:9" x14ac:dyDescent="0.25">
      <c r="A77" t="s">
        <v>3009</v>
      </c>
      <c r="B77" s="2">
        <v>38000</v>
      </c>
      <c r="C77" s="58" t="s">
        <v>84</v>
      </c>
      <c r="D77" s="75">
        <v>42566</v>
      </c>
      <c r="E77">
        <v>761018</v>
      </c>
      <c r="F77" s="2">
        <v>39121.94</v>
      </c>
      <c r="G77" s="75">
        <v>42573</v>
      </c>
      <c r="H77" s="73">
        <f t="shared" si="12"/>
        <v>-1121.9400000000023</v>
      </c>
      <c r="I77" s="73">
        <f t="shared" si="11"/>
        <v>319.25999999998749</v>
      </c>
    </row>
    <row r="78" spans="1:9" x14ac:dyDescent="0.25">
      <c r="A78" t="s">
        <v>3010</v>
      </c>
      <c r="B78" s="2">
        <v>40000</v>
      </c>
      <c r="C78" s="58" t="s">
        <v>84</v>
      </c>
      <c r="D78" s="75">
        <v>42573</v>
      </c>
      <c r="E78">
        <v>761849</v>
      </c>
      <c r="F78" s="2">
        <v>33980.82</v>
      </c>
      <c r="G78" s="75">
        <v>42580</v>
      </c>
      <c r="H78" s="73">
        <f t="shared" si="12"/>
        <v>6019.18</v>
      </c>
      <c r="I78" s="73">
        <f t="shared" si="11"/>
        <v>6338.4399999999878</v>
      </c>
    </row>
    <row r="79" spans="1:9" x14ac:dyDescent="0.25">
      <c r="A79" t="s">
        <v>3011</v>
      </c>
      <c r="C79" s="58" t="s">
        <v>84</v>
      </c>
      <c r="D79" s="75">
        <v>42580</v>
      </c>
      <c r="G79" s="75">
        <v>42587</v>
      </c>
      <c r="H79" s="73">
        <f t="shared" si="12"/>
        <v>0</v>
      </c>
      <c r="I79" s="73">
        <f t="shared" ref="I79:I80" si="13">I78+H79</f>
        <v>6338.4399999999878</v>
      </c>
    </row>
    <row r="80" spans="1:9" x14ac:dyDescent="0.25">
      <c r="A80" t="s">
        <v>3509</v>
      </c>
      <c r="C80" s="58" t="s">
        <v>84</v>
      </c>
      <c r="D80" s="132">
        <v>42587</v>
      </c>
      <c r="G80" s="75">
        <v>42594</v>
      </c>
      <c r="H80" s="73">
        <f t="shared" ref="H80:H81" si="14">B80-F80</f>
        <v>0</v>
      </c>
      <c r="I80" s="73">
        <f t="shared" si="13"/>
        <v>6338.4399999999878</v>
      </c>
    </row>
    <row r="81" spans="1:9" x14ac:dyDescent="0.25">
      <c r="A81" t="s">
        <v>3510</v>
      </c>
      <c r="H81" s="73">
        <f t="shared" si="14"/>
        <v>0</v>
      </c>
      <c r="I81" s="73">
        <f t="shared" ref="I81:I83" si="15">I80+H81</f>
        <v>6338.4399999999878</v>
      </c>
    </row>
    <row r="82" spans="1:9" x14ac:dyDescent="0.25">
      <c r="A82" t="s">
        <v>3511</v>
      </c>
      <c r="H82" s="73">
        <f t="shared" ref="H82:H83" si="16">B82-F82</f>
        <v>0</v>
      </c>
      <c r="I82" s="73">
        <f t="shared" si="15"/>
        <v>6338.4399999999878</v>
      </c>
    </row>
    <row r="83" spans="1:9" x14ac:dyDescent="0.25">
      <c r="A83" t="s">
        <v>3512</v>
      </c>
      <c r="H83" s="73">
        <f t="shared" si="16"/>
        <v>0</v>
      </c>
      <c r="I83" s="73">
        <f t="shared" si="15"/>
        <v>6338.4399999999878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pane ySplit="2" topLeftCell="A53" activePane="bottomLeft" state="frozen"/>
      <selection pane="bottomLeft" activeCell="L69" sqref="L69"/>
    </sheetView>
  </sheetViews>
  <sheetFormatPr baseColWidth="10" defaultRowHeight="15" x14ac:dyDescent="0.25"/>
  <cols>
    <col min="2" max="2" width="15.28515625" customWidth="1"/>
    <col min="4" max="4" width="11.42578125" style="2"/>
    <col min="5" max="5" width="11.7109375" customWidth="1"/>
    <col min="6" max="6" width="11.42578125" style="2"/>
    <col min="7" max="7" width="13.7109375" customWidth="1"/>
    <col min="8" max="8" width="11.42578125" customWidth="1"/>
  </cols>
  <sheetData>
    <row r="1" spans="1:23" x14ac:dyDescent="0.25">
      <c r="A1" t="s">
        <v>732</v>
      </c>
    </row>
    <row r="2" spans="1:23" ht="30" x14ac:dyDescent="0.25">
      <c r="A2" t="s">
        <v>3</v>
      </c>
      <c r="B2" s="83" t="s">
        <v>733</v>
      </c>
      <c r="C2" t="s">
        <v>734</v>
      </c>
      <c r="D2" s="84" t="s">
        <v>735</v>
      </c>
      <c r="E2" s="83" t="s">
        <v>736</v>
      </c>
      <c r="F2" s="84" t="s">
        <v>737</v>
      </c>
      <c r="G2" t="s">
        <v>738</v>
      </c>
      <c r="H2" t="s">
        <v>739</v>
      </c>
      <c r="I2" t="s">
        <v>740</v>
      </c>
      <c r="J2" t="s">
        <v>741</v>
      </c>
      <c r="Q2" t="s">
        <v>742</v>
      </c>
    </row>
    <row r="3" spans="1:23" x14ac:dyDescent="0.25">
      <c r="A3" t="s">
        <v>68</v>
      </c>
      <c r="B3" s="75">
        <v>42094</v>
      </c>
      <c r="C3">
        <v>249</v>
      </c>
      <c r="D3" s="2">
        <v>32</v>
      </c>
      <c r="E3">
        <v>249</v>
      </c>
      <c r="F3" s="2">
        <f>E3*D3</f>
        <v>7968</v>
      </c>
      <c r="G3">
        <v>21037</v>
      </c>
      <c r="H3" s="75">
        <v>42138</v>
      </c>
      <c r="I3">
        <f t="shared" ref="I3:I67" si="0">C3-E3</f>
        <v>0</v>
      </c>
      <c r="J3" s="75"/>
      <c r="K3" s="75"/>
      <c r="L3" s="75"/>
      <c r="M3" s="75"/>
    </row>
    <row r="4" spans="1:23" x14ac:dyDescent="0.25">
      <c r="A4" t="s">
        <v>743</v>
      </c>
      <c r="B4" s="75">
        <v>42101</v>
      </c>
      <c r="C4">
        <v>0</v>
      </c>
      <c r="F4" s="2">
        <f>E4*D4</f>
        <v>0</v>
      </c>
      <c r="I4">
        <f t="shared" si="0"/>
        <v>0</v>
      </c>
      <c r="K4" s="75"/>
      <c r="L4" s="75"/>
      <c r="M4" s="75"/>
      <c r="Q4" t="s">
        <v>744</v>
      </c>
      <c r="S4" t="s">
        <v>745</v>
      </c>
      <c r="T4" t="s">
        <v>746</v>
      </c>
      <c r="U4" t="s">
        <v>747</v>
      </c>
      <c r="V4" t="s">
        <v>748</v>
      </c>
      <c r="W4" s="2">
        <v>526305</v>
      </c>
    </row>
    <row r="5" spans="1:23" x14ac:dyDescent="0.25">
      <c r="A5" t="s">
        <v>68</v>
      </c>
      <c r="B5" s="75">
        <v>42108</v>
      </c>
      <c r="C5">
        <v>248</v>
      </c>
      <c r="D5" s="2">
        <v>32</v>
      </c>
      <c r="E5">
        <v>248</v>
      </c>
      <c r="F5" s="2">
        <f t="shared" ref="F5:F68" si="1">E5*D5</f>
        <v>7936</v>
      </c>
      <c r="G5">
        <v>21516</v>
      </c>
      <c r="H5" s="75">
        <v>42142</v>
      </c>
      <c r="I5">
        <f t="shared" si="0"/>
        <v>0</v>
      </c>
      <c r="J5" s="75"/>
      <c r="K5" s="75"/>
      <c r="L5" s="75"/>
      <c r="M5" s="75"/>
      <c r="W5" s="2"/>
    </row>
    <row r="6" spans="1:23" x14ac:dyDescent="0.25">
      <c r="A6" t="s">
        <v>68</v>
      </c>
      <c r="B6" s="75">
        <v>42115</v>
      </c>
      <c r="C6">
        <v>248</v>
      </c>
      <c r="D6" s="2">
        <v>32</v>
      </c>
      <c r="E6">
        <v>246</v>
      </c>
      <c r="F6" s="2">
        <f t="shared" si="1"/>
        <v>7872</v>
      </c>
      <c r="G6">
        <v>23224</v>
      </c>
      <c r="H6" s="75">
        <v>42158</v>
      </c>
      <c r="I6">
        <f t="shared" si="0"/>
        <v>2</v>
      </c>
      <c r="J6" s="75"/>
      <c r="S6" t="s">
        <v>749</v>
      </c>
      <c r="U6" t="s">
        <v>750</v>
      </c>
      <c r="W6" s="2">
        <v>23859</v>
      </c>
    </row>
    <row r="7" spans="1:23" x14ac:dyDescent="0.25">
      <c r="A7" t="s">
        <v>68</v>
      </c>
      <c r="B7" s="75">
        <v>42122</v>
      </c>
      <c r="C7">
        <v>248</v>
      </c>
      <c r="D7" s="2">
        <v>32</v>
      </c>
      <c r="E7">
        <v>238</v>
      </c>
      <c r="F7" s="2">
        <f t="shared" si="1"/>
        <v>7616</v>
      </c>
      <c r="G7">
        <v>23225</v>
      </c>
      <c r="H7" s="75">
        <v>42158</v>
      </c>
      <c r="I7">
        <f t="shared" si="0"/>
        <v>10</v>
      </c>
      <c r="S7" t="s">
        <v>751</v>
      </c>
      <c r="U7" t="s">
        <v>752</v>
      </c>
      <c r="W7" s="2">
        <v>2410</v>
      </c>
    </row>
    <row r="8" spans="1:23" x14ac:dyDescent="0.25">
      <c r="A8" t="s">
        <v>68</v>
      </c>
      <c r="B8" s="75">
        <v>42129</v>
      </c>
      <c r="C8">
        <v>247</v>
      </c>
      <c r="D8" s="2">
        <v>32</v>
      </c>
      <c r="E8">
        <v>232</v>
      </c>
      <c r="F8" s="2">
        <f t="shared" si="1"/>
        <v>7424</v>
      </c>
      <c r="G8">
        <v>23226</v>
      </c>
      <c r="H8" s="75">
        <v>42158</v>
      </c>
      <c r="I8">
        <f t="shared" si="0"/>
        <v>15</v>
      </c>
      <c r="W8" s="2"/>
    </row>
    <row r="9" spans="1:23" x14ac:dyDescent="0.25">
      <c r="A9" t="s">
        <v>68</v>
      </c>
      <c r="B9" s="75">
        <v>37023</v>
      </c>
      <c r="C9">
        <v>248</v>
      </c>
      <c r="D9" s="2">
        <v>32</v>
      </c>
      <c r="E9">
        <v>248</v>
      </c>
      <c r="F9" s="2">
        <f t="shared" si="1"/>
        <v>7936</v>
      </c>
      <c r="G9">
        <v>24697</v>
      </c>
      <c r="H9" s="75">
        <v>42174</v>
      </c>
      <c r="I9">
        <f t="shared" si="0"/>
        <v>0</v>
      </c>
      <c r="S9" t="s">
        <v>753</v>
      </c>
      <c r="W9" s="2">
        <v>-7712</v>
      </c>
    </row>
    <row r="10" spans="1:23" x14ac:dyDescent="0.25">
      <c r="A10" t="s">
        <v>68</v>
      </c>
      <c r="B10" s="75">
        <v>42143</v>
      </c>
      <c r="C10">
        <v>249</v>
      </c>
      <c r="D10" s="2">
        <v>32</v>
      </c>
      <c r="E10">
        <v>240</v>
      </c>
      <c r="F10" s="2">
        <f t="shared" si="1"/>
        <v>7680</v>
      </c>
      <c r="G10">
        <v>24698</v>
      </c>
      <c r="H10" s="75">
        <v>42174</v>
      </c>
      <c r="I10">
        <f t="shared" si="0"/>
        <v>9</v>
      </c>
      <c r="W10" s="2"/>
    </row>
    <row r="11" spans="1:23" x14ac:dyDescent="0.25">
      <c r="A11" t="s">
        <v>743</v>
      </c>
      <c r="B11" s="75">
        <v>42150</v>
      </c>
      <c r="C11">
        <v>0</v>
      </c>
      <c r="D11" s="2">
        <v>32</v>
      </c>
      <c r="E11">
        <v>0</v>
      </c>
      <c r="F11" s="2">
        <f t="shared" si="1"/>
        <v>0</v>
      </c>
      <c r="I11">
        <f t="shared" si="0"/>
        <v>0</v>
      </c>
      <c r="V11" t="s">
        <v>754</v>
      </c>
      <c r="W11" s="2">
        <f>SUM(W4:W10)</f>
        <v>544862</v>
      </c>
    </row>
    <row r="12" spans="1:23" x14ac:dyDescent="0.25">
      <c r="A12" t="s">
        <v>68</v>
      </c>
      <c r="B12" s="75">
        <v>42157</v>
      </c>
      <c r="C12">
        <v>225</v>
      </c>
      <c r="D12" s="2">
        <v>32</v>
      </c>
      <c r="E12">
        <v>223</v>
      </c>
      <c r="F12" s="2">
        <f t="shared" si="1"/>
        <v>7136</v>
      </c>
      <c r="G12" t="s">
        <v>755</v>
      </c>
      <c r="H12" s="75">
        <v>42185</v>
      </c>
      <c r="I12">
        <f t="shared" si="0"/>
        <v>2</v>
      </c>
      <c r="J12" s="75">
        <v>42185</v>
      </c>
      <c r="W12" s="2"/>
    </row>
    <row r="13" spans="1:23" x14ac:dyDescent="0.25">
      <c r="A13" t="s">
        <v>68</v>
      </c>
      <c r="B13" s="75">
        <v>42164</v>
      </c>
      <c r="C13">
        <v>220</v>
      </c>
      <c r="D13" s="2">
        <v>32</v>
      </c>
      <c r="E13">
        <v>211</v>
      </c>
      <c r="F13" s="2">
        <f t="shared" si="1"/>
        <v>6752</v>
      </c>
      <c r="G13" t="s">
        <v>756</v>
      </c>
      <c r="H13" s="75">
        <v>42200</v>
      </c>
      <c r="I13">
        <f t="shared" si="0"/>
        <v>9</v>
      </c>
      <c r="J13" s="75">
        <v>42200</v>
      </c>
      <c r="S13" t="s">
        <v>757</v>
      </c>
      <c r="V13" t="s">
        <v>758</v>
      </c>
      <c r="W13" s="2"/>
    </row>
    <row r="14" spans="1:23" x14ac:dyDescent="0.25">
      <c r="A14" t="s">
        <v>68</v>
      </c>
      <c r="B14" s="75">
        <v>42171</v>
      </c>
      <c r="C14">
        <v>216</v>
      </c>
      <c r="D14" s="2">
        <v>32</v>
      </c>
      <c r="E14">
        <v>213</v>
      </c>
      <c r="F14" s="2">
        <f t="shared" si="1"/>
        <v>6816</v>
      </c>
      <c r="G14" t="s">
        <v>759</v>
      </c>
      <c r="H14" s="75">
        <v>42223</v>
      </c>
      <c r="I14">
        <f t="shared" si="0"/>
        <v>3</v>
      </c>
      <c r="J14" s="75">
        <v>42223</v>
      </c>
      <c r="K14" s="50"/>
      <c r="V14" s="71" t="s">
        <v>760</v>
      </c>
      <c r="W14" s="85">
        <v>24.8</v>
      </c>
    </row>
    <row r="15" spans="1:23" x14ac:dyDescent="0.25">
      <c r="A15" t="s">
        <v>68</v>
      </c>
      <c r="B15" s="75">
        <v>42178</v>
      </c>
      <c r="C15">
        <v>215</v>
      </c>
      <c r="D15" s="2">
        <v>32</v>
      </c>
      <c r="E15">
        <v>214.375</v>
      </c>
      <c r="F15" s="2">
        <f>70*98</f>
        <v>6860</v>
      </c>
      <c r="I15">
        <f t="shared" si="0"/>
        <v>0.625</v>
      </c>
      <c r="J15" s="58">
        <v>42306</v>
      </c>
      <c r="K15" s="86" t="s">
        <v>761</v>
      </c>
      <c r="W15" s="2"/>
    </row>
    <row r="16" spans="1:23" x14ac:dyDescent="0.25">
      <c r="A16" s="69" t="s">
        <v>762</v>
      </c>
      <c r="B16" s="75">
        <v>42185</v>
      </c>
      <c r="C16" s="87">
        <v>126</v>
      </c>
      <c r="D16" s="88">
        <v>35</v>
      </c>
      <c r="E16" s="87">
        <v>114</v>
      </c>
      <c r="F16" s="88">
        <f t="shared" si="1"/>
        <v>3990</v>
      </c>
      <c r="G16" s="87" t="s">
        <v>763</v>
      </c>
      <c r="H16" s="89">
        <v>42194</v>
      </c>
      <c r="I16" s="87">
        <f t="shared" si="0"/>
        <v>12</v>
      </c>
      <c r="J16" s="89">
        <v>42199</v>
      </c>
      <c r="K16" s="87" t="s">
        <v>764</v>
      </c>
      <c r="L16" s="87" t="s">
        <v>98</v>
      </c>
      <c r="P16" t="s">
        <v>765</v>
      </c>
      <c r="W16" s="2"/>
    </row>
    <row r="17" spans="1:16" x14ac:dyDescent="0.25">
      <c r="A17" t="s">
        <v>762</v>
      </c>
      <c r="B17" s="75">
        <v>42192</v>
      </c>
      <c r="C17">
        <v>244</v>
      </c>
      <c r="D17" s="2">
        <v>35</v>
      </c>
      <c r="E17">
        <v>244</v>
      </c>
      <c r="F17" s="2">
        <f t="shared" si="1"/>
        <v>8540</v>
      </c>
      <c r="I17">
        <f t="shared" si="0"/>
        <v>0</v>
      </c>
      <c r="P17" t="s">
        <v>766</v>
      </c>
    </row>
    <row r="18" spans="1:16" x14ac:dyDescent="0.25">
      <c r="A18" t="s">
        <v>762</v>
      </c>
      <c r="B18" s="75">
        <v>42193</v>
      </c>
      <c r="C18">
        <v>245</v>
      </c>
      <c r="D18" s="2">
        <v>35</v>
      </c>
      <c r="E18">
        <v>242</v>
      </c>
      <c r="F18" s="2">
        <f t="shared" si="1"/>
        <v>8470</v>
      </c>
      <c r="G18" t="s">
        <v>767</v>
      </c>
      <c r="H18" s="75">
        <v>42201</v>
      </c>
      <c r="I18">
        <f t="shared" si="0"/>
        <v>3</v>
      </c>
      <c r="J18" s="75">
        <v>42201</v>
      </c>
      <c r="K18" t="s">
        <v>768</v>
      </c>
      <c r="P18" t="s">
        <v>769</v>
      </c>
    </row>
    <row r="19" spans="1:16" x14ac:dyDescent="0.25">
      <c r="A19" t="s">
        <v>762</v>
      </c>
      <c r="B19" s="75">
        <v>42199</v>
      </c>
      <c r="C19">
        <v>247</v>
      </c>
      <c r="D19" s="2">
        <v>35</v>
      </c>
      <c r="E19">
        <v>247</v>
      </c>
      <c r="F19" s="2">
        <f t="shared" si="1"/>
        <v>8645</v>
      </c>
      <c r="G19" t="s">
        <v>770</v>
      </c>
      <c r="H19" s="75">
        <v>42208</v>
      </c>
      <c r="I19">
        <f t="shared" si="0"/>
        <v>0</v>
      </c>
      <c r="J19" s="75">
        <v>42209</v>
      </c>
      <c r="K19" t="s">
        <v>771</v>
      </c>
      <c r="P19" t="s">
        <v>772</v>
      </c>
    </row>
    <row r="20" spans="1:16" x14ac:dyDescent="0.25">
      <c r="A20" t="s">
        <v>773</v>
      </c>
      <c r="B20" s="75">
        <v>42206</v>
      </c>
      <c r="C20">
        <f>250+257</f>
        <v>507</v>
      </c>
      <c r="D20" s="2">
        <v>35</v>
      </c>
      <c r="E20">
        <v>500</v>
      </c>
      <c r="F20" s="2">
        <f>E20*D20</f>
        <v>17500</v>
      </c>
      <c r="G20" t="s">
        <v>774</v>
      </c>
      <c r="H20" s="75">
        <v>42215</v>
      </c>
      <c r="I20">
        <f t="shared" si="0"/>
        <v>7</v>
      </c>
      <c r="J20" s="75">
        <v>42216</v>
      </c>
      <c r="K20" t="s">
        <v>771</v>
      </c>
    </row>
    <row r="21" spans="1:16" x14ac:dyDescent="0.25">
      <c r="A21" t="s">
        <v>762</v>
      </c>
      <c r="B21" s="75">
        <v>42213</v>
      </c>
      <c r="C21">
        <v>235</v>
      </c>
      <c r="D21" s="2">
        <v>35</v>
      </c>
      <c r="E21">
        <v>230</v>
      </c>
      <c r="F21" s="2">
        <f t="shared" si="1"/>
        <v>8050</v>
      </c>
      <c r="G21" t="s">
        <v>775</v>
      </c>
      <c r="H21" s="75">
        <v>42223</v>
      </c>
      <c r="I21">
        <f t="shared" si="0"/>
        <v>5</v>
      </c>
      <c r="J21" s="75">
        <v>42229</v>
      </c>
      <c r="K21" t="s">
        <v>771</v>
      </c>
    </row>
    <row r="22" spans="1:16" x14ac:dyDescent="0.25">
      <c r="A22" t="s">
        <v>762</v>
      </c>
      <c r="B22" s="75">
        <v>42220</v>
      </c>
      <c r="C22">
        <v>222</v>
      </c>
      <c r="D22" s="2">
        <v>35</v>
      </c>
      <c r="E22">
        <v>217</v>
      </c>
      <c r="F22" s="2">
        <f t="shared" si="1"/>
        <v>7595</v>
      </c>
      <c r="G22" t="s">
        <v>776</v>
      </c>
      <c r="H22" s="75">
        <v>42229</v>
      </c>
      <c r="I22">
        <f t="shared" si="0"/>
        <v>5</v>
      </c>
      <c r="J22" s="75">
        <v>42234</v>
      </c>
      <c r="K22" t="s">
        <v>771</v>
      </c>
    </row>
    <row r="23" spans="1:16" x14ac:dyDescent="0.25">
      <c r="A23" t="s">
        <v>743</v>
      </c>
      <c r="B23" s="75">
        <v>42227</v>
      </c>
      <c r="D23" s="2">
        <v>35</v>
      </c>
      <c r="F23" s="2">
        <f t="shared" si="1"/>
        <v>0</v>
      </c>
      <c r="I23">
        <f t="shared" si="0"/>
        <v>0</v>
      </c>
    </row>
    <row r="24" spans="1:16" x14ac:dyDescent="0.25">
      <c r="A24" t="s">
        <v>68</v>
      </c>
      <c r="B24" s="75">
        <v>42234</v>
      </c>
      <c r="C24">
        <v>258</v>
      </c>
      <c r="D24" s="2">
        <v>35</v>
      </c>
      <c r="E24">
        <v>258</v>
      </c>
      <c r="F24" s="2">
        <f t="shared" si="1"/>
        <v>9030</v>
      </c>
      <c r="G24" t="s">
        <v>777</v>
      </c>
      <c r="H24" s="75">
        <v>42241</v>
      </c>
      <c r="I24">
        <f t="shared" si="0"/>
        <v>0</v>
      </c>
      <c r="J24" s="75">
        <v>42243</v>
      </c>
    </row>
    <row r="25" spans="1:16" x14ac:dyDescent="0.25">
      <c r="A25" t="s">
        <v>68</v>
      </c>
      <c r="B25" s="75">
        <v>42241</v>
      </c>
      <c r="C25">
        <v>247</v>
      </c>
      <c r="D25" s="2">
        <v>40</v>
      </c>
      <c r="E25">
        <v>245</v>
      </c>
      <c r="F25" s="2">
        <f t="shared" si="1"/>
        <v>9800</v>
      </c>
      <c r="G25" t="s">
        <v>778</v>
      </c>
      <c r="H25" s="75">
        <v>42248</v>
      </c>
      <c r="I25">
        <f t="shared" si="0"/>
        <v>2</v>
      </c>
      <c r="J25" s="58">
        <v>42250</v>
      </c>
      <c r="K25" t="s">
        <v>771</v>
      </c>
      <c r="L25" t="s">
        <v>779</v>
      </c>
    </row>
    <row r="26" spans="1:16" x14ac:dyDescent="0.25">
      <c r="A26" t="s">
        <v>68</v>
      </c>
      <c r="B26" s="75">
        <v>42248</v>
      </c>
      <c r="C26">
        <v>250</v>
      </c>
      <c r="D26" s="2">
        <v>40</v>
      </c>
      <c r="E26">
        <v>248</v>
      </c>
      <c r="F26" s="2">
        <f t="shared" si="1"/>
        <v>9920</v>
      </c>
      <c r="G26" t="s">
        <v>780</v>
      </c>
      <c r="H26" s="75">
        <v>42255</v>
      </c>
      <c r="I26">
        <f t="shared" si="0"/>
        <v>2</v>
      </c>
      <c r="J26" s="58">
        <v>42258</v>
      </c>
      <c r="K26" t="s">
        <v>771</v>
      </c>
    </row>
    <row r="27" spans="1:16" x14ac:dyDescent="0.25">
      <c r="A27" t="s">
        <v>68</v>
      </c>
      <c r="B27" s="75">
        <v>42255</v>
      </c>
      <c r="C27">
        <v>260</v>
      </c>
      <c r="D27" s="2">
        <v>40</v>
      </c>
      <c r="E27">
        <v>250</v>
      </c>
      <c r="F27" s="2">
        <f t="shared" si="1"/>
        <v>10000</v>
      </c>
      <c r="G27" t="s">
        <v>781</v>
      </c>
      <c r="H27" s="75">
        <v>42264</v>
      </c>
      <c r="I27">
        <f t="shared" si="0"/>
        <v>10</v>
      </c>
      <c r="J27" s="58">
        <v>42271</v>
      </c>
    </row>
    <row r="28" spans="1:16" x14ac:dyDescent="0.25">
      <c r="A28" t="s">
        <v>68</v>
      </c>
      <c r="B28" s="75">
        <v>42261</v>
      </c>
      <c r="C28">
        <v>260</v>
      </c>
      <c r="D28" s="2">
        <v>40</v>
      </c>
      <c r="E28">
        <v>257</v>
      </c>
      <c r="F28" s="2">
        <f t="shared" si="1"/>
        <v>10280</v>
      </c>
      <c r="G28" t="s">
        <v>782</v>
      </c>
      <c r="H28" s="75">
        <v>42270</v>
      </c>
      <c r="I28">
        <f t="shared" si="0"/>
        <v>3</v>
      </c>
      <c r="J28" s="58">
        <v>42271</v>
      </c>
      <c r="K28" t="s">
        <v>783</v>
      </c>
    </row>
    <row r="29" spans="1:16" x14ac:dyDescent="0.25">
      <c r="A29" t="s">
        <v>68</v>
      </c>
      <c r="B29" s="75">
        <v>42269</v>
      </c>
      <c r="C29">
        <v>257</v>
      </c>
      <c r="D29" s="2">
        <v>40</v>
      </c>
      <c r="E29">
        <v>257</v>
      </c>
      <c r="F29" s="2">
        <f t="shared" si="1"/>
        <v>10280</v>
      </c>
      <c r="I29">
        <f t="shared" si="0"/>
        <v>0</v>
      </c>
      <c r="J29" s="50"/>
    </row>
    <row r="30" spans="1:16" x14ac:dyDescent="0.25">
      <c r="A30" t="s">
        <v>68</v>
      </c>
      <c r="B30" s="75">
        <v>42272</v>
      </c>
      <c r="C30">
        <v>258</v>
      </c>
      <c r="D30" s="2">
        <v>40</v>
      </c>
      <c r="E30">
        <v>258</v>
      </c>
      <c r="F30" s="2">
        <f t="shared" si="1"/>
        <v>10320</v>
      </c>
      <c r="G30" t="s">
        <v>784</v>
      </c>
      <c r="H30" s="75">
        <v>42278</v>
      </c>
      <c r="I30">
        <f t="shared" si="0"/>
        <v>0</v>
      </c>
      <c r="J30" s="58">
        <v>42286</v>
      </c>
      <c r="K30" t="s">
        <v>785</v>
      </c>
      <c r="M30" t="s">
        <v>786</v>
      </c>
    </row>
    <row r="31" spans="1:16" x14ac:dyDescent="0.25">
      <c r="A31" t="s">
        <v>68</v>
      </c>
      <c r="B31" s="75">
        <v>42273</v>
      </c>
      <c r="C31">
        <v>259</v>
      </c>
      <c r="D31" s="2">
        <v>40</v>
      </c>
      <c r="E31">
        <v>257</v>
      </c>
      <c r="F31" s="2">
        <f t="shared" si="1"/>
        <v>10280</v>
      </c>
      <c r="I31">
        <f t="shared" si="0"/>
        <v>2</v>
      </c>
      <c r="J31" s="50"/>
    </row>
    <row r="32" spans="1:16" x14ac:dyDescent="0.25">
      <c r="A32" t="s">
        <v>68</v>
      </c>
      <c r="B32" s="75">
        <v>42276</v>
      </c>
      <c r="C32">
        <v>140</v>
      </c>
      <c r="D32" s="2">
        <v>40</v>
      </c>
      <c r="E32">
        <v>140</v>
      </c>
      <c r="F32" s="2">
        <f t="shared" si="1"/>
        <v>5600</v>
      </c>
      <c r="G32" t="s">
        <v>787</v>
      </c>
      <c r="H32" s="75">
        <v>42283</v>
      </c>
      <c r="I32">
        <f t="shared" si="0"/>
        <v>0</v>
      </c>
      <c r="J32" s="58">
        <v>42300</v>
      </c>
      <c r="K32" t="s">
        <v>788</v>
      </c>
      <c r="L32" t="s">
        <v>153</v>
      </c>
    </row>
    <row r="33" spans="1:14" x14ac:dyDescent="0.25">
      <c r="A33" t="s">
        <v>68</v>
      </c>
      <c r="B33" s="75">
        <v>42283</v>
      </c>
      <c r="C33">
        <v>259</v>
      </c>
      <c r="D33" s="2">
        <v>40</v>
      </c>
      <c r="E33">
        <v>258</v>
      </c>
      <c r="F33" s="2">
        <f t="shared" si="1"/>
        <v>10320</v>
      </c>
      <c r="G33" t="s">
        <v>789</v>
      </c>
      <c r="H33" s="75">
        <v>42291</v>
      </c>
      <c r="I33">
        <f t="shared" si="0"/>
        <v>1</v>
      </c>
      <c r="J33" s="58">
        <v>42303</v>
      </c>
      <c r="K33" t="s">
        <v>771</v>
      </c>
    </row>
    <row r="34" spans="1:14" x14ac:dyDescent="0.25">
      <c r="A34" t="s">
        <v>68</v>
      </c>
      <c r="B34" s="75">
        <v>42290</v>
      </c>
      <c r="C34">
        <v>259</v>
      </c>
      <c r="D34" s="2">
        <v>40</v>
      </c>
      <c r="E34">
        <v>259</v>
      </c>
      <c r="F34" s="2">
        <f t="shared" si="1"/>
        <v>10360</v>
      </c>
      <c r="G34" t="s">
        <v>790</v>
      </c>
      <c r="H34" s="75">
        <v>42298</v>
      </c>
      <c r="I34">
        <f t="shared" si="0"/>
        <v>0</v>
      </c>
      <c r="J34" s="58">
        <v>42311</v>
      </c>
      <c r="K34" t="s">
        <v>771</v>
      </c>
      <c r="M34" t="s">
        <v>791</v>
      </c>
    </row>
    <row r="35" spans="1:14" x14ac:dyDescent="0.25">
      <c r="A35" t="s">
        <v>762</v>
      </c>
      <c r="B35" s="75">
        <v>42297</v>
      </c>
      <c r="C35">
        <v>252</v>
      </c>
      <c r="D35" s="2">
        <v>40</v>
      </c>
      <c r="E35">
        <v>249</v>
      </c>
      <c r="F35" s="2">
        <f t="shared" si="1"/>
        <v>9960</v>
      </c>
      <c r="G35" t="s">
        <v>792</v>
      </c>
      <c r="H35" s="75">
        <v>42304</v>
      </c>
      <c r="I35">
        <f t="shared" si="0"/>
        <v>3</v>
      </c>
      <c r="J35" s="58">
        <v>42311</v>
      </c>
      <c r="K35" t="s">
        <v>771</v>
      </c>
      <c r="M35" t="s">
        <v>791</v>
      </c>
    </row>
    <row r="36" spans="1:14" x14ac:dyDescent="0.25">
      <c r="A36" t="s">
        <v>68</v>
      </c>
      <c r="B36" s="75">
        <v>42304</v>
      </c>
      <c r="C36">
        <v>260</v>
      </c>
      <c r="D36" s="2">
        <v>40</v>
      </c>
      <c r="E36">
        <v>260</v>
      </c>
      <c r="F36" s="2">
        <f t="shared" si="1"/>
        <v>10400</v>
      </c>
      <c r="I36">
        <f t="shared" si="0"/>
        <v>0</v>
      </c>
    </row>
    <row r="37" spans="1:14" x14ac:dyDescent="0.25">
      <c r="A37" t="s">
        <v>68</v>
      </c>
      <c r="B37" s="75">
        <v>42307</v>
      </c>
      <c r="C37">
        <v>130</v>
      </c>
      <c r="D37" s="2">
        <v>40</v>
      </c>
      <c r="E37">
        <v>130</v>
      </c>
      <c r="F37" s="2">
        <f t="shared" si="1"/>
        <v>5200</v>
      </c>
      <c r="G37" t="s">
        <v>793</v>
      </c>
      <c r="H37" s="75">
        <v>42304</v>
      </c>
      <c r="I37">
        <f t="shared" si="0"/>
        <v>0</v>
      </c>
      <c r="J37" s="58">
        <v>42321</v>
      </c>
      <c r="K37" t="s">
        <v>794</v>
      </c>
      <c r="N37" t="s">
        <v>795</v>
      </c>
    </row>
    <row r="38" spans="1:14" x14ac:dyDescent="0.25">
      <c r="A38" t="s">
        <v>68</v>
      </c>
      <c r="B38" s="75">
        <v>42311</v>
      </c>
      <c r="C38">
        <v>260</v>
      </c>
      <c r="D38" s="2">
        <v>40</v>
      </c>
      <c r="E38">
        <v>253</v>
      </c>
      <c r="F38" s="2">
        <f t="shared" si="1"/>
        <v>10120</v>
      </c>
      <c r="G38" t="s">
        <v>796</v>
      </c>
      <c r="H38" s="75">
        <v>42319</v>
      </c>
      <c r="I38">
        <f t="shared" si="0"/>
        <v>7</v>
      </c>
      <c r="J38" s="58">
        <v>42328</v>
      </c>
      <c r="K38" t="s">
        <v>771</v>
      </c>
    </row>
    <row r="39" spans="1:14" x14ac:dyDescent="0.25">
      <c r="A39" t="s">
        <v>68</v>
      </c>
      <c r="B39" s="75">
        <v>42318</v>
      </c>
      <c r="C39">
        <v>130</v>
      </c>
      <c r="D39" s="2">
        <v>40</v>
      </c>
      <c r="E39">
        <v>130</v>
      </c>
      <c r="F39" s="2">
        <f t="shared" si="1"/>
        <v>5200</v>
      </c>
      <c r="I39">
        <f t="shared" si="0"/>
        <v>0</v>
      </c>
    </row>
    <row r="40" spans="1:14" x14ac:dyDescent="0.25">
      <c r="A40" t="s">
        <v>797</v>
      </c>
      <c r="B40" s="75">
        <v>42318</v>
      </c>
      <c r="C40">
        <v>130</v>
      </c>
      <c r="D40" s="2">
        <v>40</v>
      </c>
      <c r="E40">
        <v>127</v>
      </c>
      <c r="F40" s="2">
        <f t="shared" si="1"/>
        <v>5080</v>
      </c>
      <c r="I40">
        <f t="shared" si="0"/>
        <v>3</v>
      </c>
    </row>
    <row r="41" spans="1:14" x14ac:dyDescent="0.25">
      <c r="A41" t="s">
        <v>68</v>
      </c>
      <c r="B41" s="75">
        <v>42321</v>
      </c>
      <c r="C41">
        <v>130</v>
      </c>
      <c r="D41" s="2">
        <v>40</v>
      </c>
      <c r="E41">
        <v>124</v>
      </c>
      <c r="F41" s="2">
        <f t="shared" si="1"/>
        <v>4960</v>
      </c>
      <c r="G41" t="s">
        <v>798</v>
      </c>
      <c r="H41" s="75">
        <v>42326</v>
      </c>
      <c r="I41">
        <f t="shared" si="0"/>
        <v>6</v>
      </c>
      <c r="J41" s="58">
        <v>42328</v>
      </c>
      <c r="K41" t="s">
        <v>799</v>
      </c>
      <c r="M41" t="s">
        <v>800</v>
      </c>
    </row>
    <row r="42" spans="1:14" x14ac:dyDescent="0.25">
      <c r="A42" t="s">
        <v>68</v>
      </c>
      <c r="B42" s="75">
        <v>42325</v>
      </c>
      <c r="C42">
        <v>260</v>
      </c>
      <c r="D42" s="2">
        <v>40</v>
      </c>
      <c r="E42">
        <v>260</v>
      </c>
      <c r="F42" s="2">
        <f t="shared" si="1"/>
        <v>10400</v>
      </c>
      <c r="G42" t="s">
        <v>801</v>
      </c>
      <c r="H42" s="75">
        <v>42333</v>
      </c>
      <c r="I42">
        <f t="shared" si="0"/>
        <v>0</v>
      </c>
      <c r="J42" s="58">
        <v>42335</v>
      </c>
      <c r="K42" t="s">
        <v>771</v>
      </c>
    </row>
    <row r="43" spans="1:14" x14ac:dyDescent="0.25">
      <c r="A43" t="s">
        <v>68</v>
      </c>
      <c r="B43" s="75">
        <v>42332</v>
      </c>
      <c r="C43">
        <v>259</v>
      </c>
      <c r="D43" s="2">
        <v>40</v>
      </c>
      <c r="E43">
        <v>257</v>
      </c>
      <c r="F43" s="2">
        <f t="shared" si="1"/>
        <v>10280</v>
      </c>
      <c r="G43" t="s">
        <v>802</v>
      </c>
      <c r="H43" s="75">
        <v>42339</v>
      </c>
      <c r="I43">
        <f t="shared" si="0"/>
        <v>2</v>
      </c>
      <c r="J43" s="58">
        <v>42346</v>
      </c>
      <c r="K43" t="s">
        <v>771</v>
      </c>
    </row>
    <row r="44" spans="1:14" x14ac:dyDescent="0.25">
      <c r="A44" t="s">
        <v>68</v>
      </c>
      <c r="B44" s="75">
        <v>42339</v>
      </c>
      <c r="C44">
        <v>258</v>
      </c>
      <c r="D44" s="2">
        <v>40</v>
      </c>
      <c r="E44">
        <v>257</v>
      </c>
      <c r="F44" s="2">
        <f t="shared" si="1"/>
        <v>10280</v>
      </c>
      <c r="G44" t="s">
        <v>803</v>
      </c>
      <c r="H44" s="75">
        <v>42346</v>
      </c>
      <c r="I44">
        <f t="shared" si="0"/>
        <v>1</v>
      </c>
      <c r="J44" s="58">
        <v>42349</v>
      </c>
      <c r="K44" t="s">
        <v>771</v>
      </c>
    </row>
    <row r="45" spans="1:14" x14ac:dyDescent="0.25">
      <c r="A45" t="s">
        <v>68</v>
      </c>
      <c r="B45" s="75">
        <v>42346</v>
      </c>
      <c r="C45">
        <v>257</v>
      </c>
      <c r="D45" s="2">
        <v>40</v>
      </c>
      <c r="E45">
        <v>257</v>
      </c>
      <c r="F45" s="2">
        <f t="shared" si="1"/>
        <v>10280</v>
      </c>
      <c r="G45" t="s">
        <v>804</v>
      </c>
      <c r="H45" s="75">
        <v>42353</v>
      </c>
      <c r="I45">
        <f t="shared" si="0"/>
        <v>0</v>
      </c>
      <c r="J45" s="58">
        <v>42362</v>
      </c>
      <c r="K45" t="s">
        <v>771</v>
      </c>
    </row>
    <row r="46" spans="1:14" x14ac:dyDescent="0.25">
      <c r="A46" t="s">
        <v>805</v>
      </c>
      <c r="B46" s="75">
        <v>42353</v>
      </c>
      <c r="D46" s="2">
        <v>40</v>
      </c>
      <c r="F46" s="2">
        <f t="shared" si="1"/>
        <v>0</v>
      </c>
      <c r="I46">
        <f t="shared" si="0"/>
        <v>0</v>
      </c>
    </row>
    <row r="47" spans="1:14" x14ac:dyDescent="0.25">
      <c r="A47" t="s">
        <v>68</v>
      </c>
      <c r="B47" s="75">
        <v>42359</v>
      </c>
      <c r="C47">
        <v>155</v>
      </c>
      <c r="D47" s="2">
        <v>35</v>
      </c>
      <c r="E47">
        <v>155</v>
      </c>
      <c r="F47" s="2">
        <f t="shared" si="1"/>
        <v>5425</v>
      </c>
      <c r="G47" t="s">
        <v>806</v>
      </c>
      <c r="H47" s="75">
        <v>42375</v>
      </c>
      <c r="I47">
        <f t="shared" si="0"/>
        <v>0</v>
      </c>
      <c r="J47" s="58">
        <v>42397</v>
      </c>
      <c r="K47" s="69" t="s">
        <v>807</v>
      </c>
      <c r="L47" s="69"/>
    </row>
    <row r="48" spans="1:14" x14ac:dyDescent="0.25">
      <c r="A48" t="s">
        <v>68</v>
      </c>
      <c r="B48" t="s">
        <v>808</v>
      </c>
      <c r="C48">
        <v>533</v>
      </c>
      <c r="D48" s="2">
        <v>35</v>
      </c>
      <c r="E48">
        <v>530</v>
      </c>
      <c r="F48" s="2">
        <f>E48*D48</f>
        <v>18550</v>
      </c>
      <c r="G48" t="s">
        <v>809</v>
      </c>
      <c r="H48" s="75">
        <v>42375</v>
      </c>
      <c r="I48">
        <f t="shared" si="0"/>
        <v>3</v>
      </c>
      <c r="J48" s="58">
        <v>42383</v>
      </c>
      <c r="K48" t="s">
        <v>771</v>
      </c>
    </row>
    <row r="49" spans="1:13" x14ac:dyDescent="0.25">
      <c r="A49" t="s">
        <v>68</v>
      </c>
      <c r="B49" s="75">
        <v>42373</v>
      </c>
      <c r="C49">
        <v>149</v>
      </c>
      <c r="D49" s="2">
        <v>35</v>
      </c>
      <c r="F49" s="2">
        <f t="shared" si="1"/>
        <v>0</v>
      </c>
      <c r="I49">
        <f t="shared" si="0"/>
        <v>149</v>
      </c>
      <c r="J49" s="50"/>
      <c r="K49" s="69" t="s">
        <v>807</v>
      </c>
      <c r="L49" s="69"/>
    </row>
    <row r="50" spans="1:13" x14ac:dyDescent="0.25">
      <c r="A50" t="s">
        <v>68</v>
      </c>
      <c r="B50" s="75">
        <v>42374</v>
      </c>
      <c r="C50">
        <v>260</v>
      </c>
      <c r="D50" s="2">
        <v>35</v>
      </c>
      <c r="E50">
        <v>409</v>
      </c>
      <c r="F50" s="2">
        <f t="shared" si="1"/>
        <v>14315</v>
      </c>
      <c r="G50" t="s">
        <v>830</v>
      </c>
      <c r="H50" s="75">
        <v>42381</v>
      </c>
      <c r="I50">
        <f t="shared" si="0"/>
        <v>-149</v>
      </c>
      <c r="J50" s="58">
        <v>42390</v>
      </c>
      <c r="K50" t="s">
        <v>771</v>
      </c>
      <c r="L50" t="s">
        <v>829</v>
      </c>
    </row>
    <row r="51" spans="1:13" x14ac:dyDescent="0.25">
      <c r="A51" t="s">
        <v>68</v>
      </c>
      <c r="B51" s="75">
        <v>42380</v>
      </c>
      <c r="C51">
        <v>149</v>
      </c>
      <c r="D51" s="2">
        <v>35</v>
      </c>
      <c r="F51" s="2">
        <f t="shared" si="1"/>
        <v>0</v>
      </c>
      <c r="I51">
        <f t="shared" si="0"/>
        <v>149</v>
      </c>
      <c r="K51" s="69" t="s">
        <v>807</v>
      </c>
      <c r="L51" s="69"/>
    </row>
    <row r="52" spans="1:13" x14ac:dyDescent="0.25">
      <c r="A52" t="s">
        <v>68</v>
      </c>
      <c r="B52" s="75">
        <v>42381</v>
      </c>
      <c r="C52">
        <v>256</v>
      </c>
      <c r="D52" s="2">
        <v>35</v>
      </c>
      <c r="E52">
        <v>402</v>
      </c>
      <c r="F52" s="2">
        <f t="shared" si="1"/>
        <v>14070</v>
      </c>
      <c r="G52" t="s">
        <v>976</v>
      </c>
      <c r="H52" s="75">
        <v>42390</v>
      </c>
      <c r="I52">
        <f t="shared" si="0"/>
        <v>-146</v>
      </c>
      <c r="J52" s="58">
        <v>42397</v>
      </c>
      <c r="K52" t="s">
        <v>977</v>
      </c>
      <c r="L52" t="s">
        <v>1243</v>
      </c>
    </row>
    <row r="53" spans="1:13" x14ac:dyDescent="0.25">
      <c r="A53" t="s">
        <v>68</v>
      </c>
      <c r="B53" s="75">
        <v>42388</v>
      </c>
      <c r="C53">
        <v>259</v>
      </c>
      <c r="D53" s="2">
        <v>38</v>
      </c>
      <c r="E53">
        <v>255</v>
      </c>
      <c r="F53" s="2">
        <f t="shared" si="1"/>
        <v>9690</v>
      </c>
      <c r="G53" t="s">
        <v>1068</v>
      </c>
      <c r="H53" s="75">
        <v>42395</v>
      </c>
      <c r="I53">
        <f t="shared" si="0"/>
        <v>4</v>
      </c>
      <c r="J53" s="58">
        <v>42373</v>
      </c>
      <c r="K53" t="s">
        <v>771</v>
      </c>
    </row>
    <row r="54" spans="1:13" x14ac:dyDescent="0.25">
      <c r="A54" t="s">
        <v>68</v>
      </c>
      <c r="B54" s="75">
        <v>42395</v>
      </c>
      <c r="C54">
        <v>260</v>
      </c>
      <c r="D54" s="2">
        <v>38</v>
      </c>
      <c r="F54" s="2">
        <f t="shared" si="1"/>
        <v>0</v>
      </c>
      <c r="I54">
        <f t="shared" si="0"/>
        <v>260</v>
      </c>
    </row>
    <row r="55" spans="1:13" x14ac:dyDescent="0.25">
      <c r="A55" t="s">
        <v>68</v>
      </c>
      <c r="B55" s="75">
        <v>42396</v>
      </c>
      <c r="C55">
        <v>140</v>
      </c>
      <c r="D55" s="2">
        <v>38</v>
      </c>
      <c r="E55">
        <v>396</v>
      </c>
      <c r="F55" s="2">
        <f t="shared" si="1"/>
        <v>15048</v>
      </c>
      <c r="G55" t="s">
        <v>1176</v>
      </c>
      <c r="H55" s="75">
        <v>42404</v>
      </c>
      <c r="I55">
        <f t="shared" si="0"/>
        <v>-256</v>
      </c>
      <c r="J55" s="58">
        <v>42411</v>
      </c>
      <c r="K55" t="s">
        <v>771</v>
      </c>
      <c r="L55" t="s">
        <v>1177</v>
      </c>
    </row>
    <row r="56" spans="1:13" x14ac:dyDescent="0.25">
      <c r="A56" t="s">
        <v>68</v>
      </c>
      <c r="B56" s="75">
        <v>42402</v>
      </c>
      <c r="C56">
        <v>260</v>
      </c>
      <c r="D56" s="2">
        <v>38</v>
      </c>
      <c r="E56">
        <v>260</v>
      </c>
      <c r="F56" s="2">
        <f t="shared" si="1"/>
        <v>9880</v>
      </c>
      <c r="G56" t="s">
        <v>1226</v>
      </c>
      <c r="H56" s="75">
        <v>42408</v>
      </c>
      <c r="I56">
        <f t="shared" si="0"/>
        <v>0</v>
      </c>
      <c r="J56" s="58">
        <v>42418</v>
      </c>
      <c r="K56" t="s">
        <v>771</v>
      </c>
    </row>
    <row r="57" spans="1:13" x14ac:dyDescent="0.25">
      <c r="A57" t="s">
        <v>68</v>
      </c>
      <c r="B57" s="75">
        <v>42409</v>
      </c>
      <c r="C57">
        <v>260</v>
      </c>
      <c r="D57" s="2">
        <v>38</v>
      </c>
      <c r="E57">
        <v>260</v>
      </c>
      <c r="F57" s="2">
        <f t="shared" si="1"/>
        <v>9880</v>
      </c>
      <c r="G57" t="s">
        <v>1356</v>
      </c>
      <c r="H57" s="75">
        <v>42417</v>
      </c>
      <c r="I57">
        <f t="shared" si="0"/>
        <v>0</v>
      </c>
      <c r="J57" s="58">
        <v>42425</v>
      </c>
      <c r="K57" t="s">
        <v>771</v>
      </c>
    </row>
    <row r="58" spans="1:13" x14ac:dyDescent="0.25">
      <c r="A58" t="s">
        <v>68</v>
      </c>
      <c r="B58" s="75">
        <v>42416</v>
      </c>
      <c r="C58">
        <v>259</v>
      </c>
      <c r="D58" s="2">
        <v>38</v>
      </c>
      <c r="E58">
        <v>258</v>
      </c>
      <c r="F58" s="2">
        <f t="shared" si="1"/>
        <v>9804</v>
      </c>
      <c r="G58" t="s">
        <v>1497</v>
      </c>
      <c r="H58" s="75">
        <v>42424</v>
      </c>
      <c r="I58">
        <f t="shared" si="0"/>
        <v>1</v>
      </c>
      <c r="J58" s="58">
        <v>42432</v>
      </c>
      <c r="K58" t="s">
        <v>771</v>
      </c>
    </row>
    <row r="59" spans="1:13" x14ac:dyDescent="0.25">
      <c r="A59" t="s">
        <v>68</v>
      </c>
      <c r="B59" s="75">
        <v>42423</v>
      </c>
      <c r="C59">
        <v>259</v>
      </c>
      <c r="D59" s="2">
        <v>38</v>
      </c>
      <c r="E59">
        <v>255</v>
      </c>
      <c r="F59" s="2">
        <f t="shared" si="1"/>
        <v>9690</v>
      </c>
      <c r="G59" t="s">
        <v>1533</v>
      </c>
      <c r="H59" s="75">
        <v>42432</v>
      </c>
      <c r="I59">
        <f t="shared" si="0"/>
        <v>4</v>
      </c>
      <c r="J59" s="58">
        <v>42439</v>
      </c>
      <c r="K59" t="s">
        <v>771</v>
      </c>
    </row>
    <row r="60" spans="1:13" x14ac:dyDescent="0.25">
      <c r="A60" t="s">
        <v>68</v>
      </c>
      <c r="B60" s="75">
        <v>42430</v>
      </c>
      <c r="C60">
        <v>258</v>
      </c>
      <c r="D60" s="2">
        <v>38</v>
      </c>
      <c r="E60">
        <v>257</v>
      </c>
      <c r="F60" s="2">
        <f t="shared" si="1"/>
        <v>9766</v>
      </c>
      <c r="G60" t="s">
        <v>1617</v>
      </c>
      <c r="H60" s="75">
        <v>42437</v>
      </c>
      <c r="I60">
        <f t="shared" si="0"/>
        <v>1</v>
      </c>
      <c r="J60" s="58">
        <v>42446</v>
      </c>
      <c r="K60" t="s">
        <v>771</v>
      </c>
    </row>
    <row r="61" spans="1:13" x14ac:dyDescent="0.25">
      <c r="A61" t="s">
        <v>68</v>
      </c>
      <c r="B61" s="75">
        <v>42437</v>
      </c>
      <c r="C61">
        <v>259</v>
      </c>
      <c r="D61" s="2">
        <v>38</v>
      </c>
      <c r="E61">
        <v>259</v>
      </c>
      <c r="F61" s="2">
        <f t="shared" si="1"/>
        <v>9842</v>
      </c>
      <c r="G61" t="s">
        <v>1691</v>
      </c>
      <c r="H61" s="75">
        <v>42445</v>
      </c>
      <c r="I61">
        <f t="shared" si="0"/>
        <v>0</v>
      </c>
      <c r="J61" s="58">
        <v>42452</v>
      </c>
      <c r="K61" t="s">
        <v>771</v>
      </c>
    </row>
    <row r="62" spans="1:13" x14ac:dyDescent="0.25">
      <c r="A62" t="s">
        <v>68</v>
      </c>
      <c r="B62" s="75">
        <v>42444</v>
      </c>
      <c r="C62">
        <v>257</v>
      </c>
      <c r="D62" s="2">
        <v>38</v>
      </c>
      <c r="E62">
        <v>257</v>
      </c>
      <c r="F62" s="2">
        <f t="shared" si="1"/>
        <v>9766</v>
      </c>
      <c r="G62" t="s">
        <v>1804</v>
      </c>
      <c r="H62" s="75">
        <v>42423</v>
      </c>
      <c r="I62">
        <f t="shared" si="0"/>
        <v>0</v>
      </c>
      <c r="J62" s="58">
        <v>42460</v>
      </c>
      <c r="K62" t="s">
        <v>771</v>
      </c>
      <c r="M62" s="2"/>
    </row>
    <row r="63" spans="1:13" x14ac:dyDescent="0.25">
      <c r="A63" t="s">
        <v>68</v>
      </c>
      <c r="B63" s="75">
        <v>42452</v>
      </c>
      <c r="C63">
        <v>389</v>
      </c>
      <c r="D63" s="2">
        <v>38</v>
      </c>
      <c r="F63" s="2">
        <f t="shared" si="1"/>
        <v>0</v>
      </c>
      <c r="I63">
        <f t="shared" si="0"/>
        <v>389</v>
      </c>
    </row>
    <row r="64" spans="1:13" x14ac:dyDescent="0.25">
      <c r="A64" t="s">
        <v>68</v>
      </c>
      <c r="B64" s="75">
        <v>42453</v>
      </c>
      <c r="C64">
        <v>518</v>
      </c>
      <c r="D64" s="2">
        <v>38</v>
      </c>
      <c r="E64">
        <v>906</v>
      </c>
      <c r="F64" s="2">
        <f t="shared" si="1"/>
        <v>34428</v>
      </c>
      <c r="G64" t="s">
        <v>1869</v>
      </c>
      <c r="H64" s="75">
        <v>42459</v>
      </c>
      <c r="I64">
        <f t="shared" si="0"/>
        <v>-388</v>
      </c>
      <c r="J64" s="58">
        <v>42467</v>
      </c>
      <c r="K64" t="s">
        <v>771</v>
      </c>
    </row>
    <row r="65" spans="1:11" x14ac:dyDescent="0.25">
      <c r="A65" t="s">
        <v>68</v>
      </c>
      <c r="B65" s="75">
        <v>42458</v>
      </c>
      <c r="C65">
        <v>256</v>
      </c>
      <c r="D65" s="2">
        <v>38</v>
      </c>
      <c r="E65">
        <v>256</v>
      </c>
      <c r="F65" s="2">
        <f t="shared" si="1"/>
        <v>9728</v>
      </c>
      <c r="G65" t="s">
        <v>1943</v>
      </c>
      <c r="H65" s="75">
        <v>42465</v>
      </c>
      <c r="I65">
        <f t="shared" si="0"/>
        <v>0</v>
      </c>
      <c r="J65" s="58">
        <v>42474</v>
      </c>
      <c r="K65" t="s">
        <v>771</v>
      </c>
    </row>
    <row r="66" spans="1:11" x14ac:dyDescent="0.25">
      <c r="A66" t="s">
        <v>68</v>
      </c>
      <c r="B66" s="75">
        <v>42465</v>
      </c>
      <c r="C66">
        <v>259</v>
      </c>
      <c r="D66" s="2">
        <v>40</v>
      </c>
      <c r="E66">
        <v>259</v>
      </c>
      <c r="F66" s="2">
        <f t="shared" si="1"/>
        <v>10360</v>
      </c>
      <c r="G66" t="s">
        <v>2012</v>
      </c>
      <c r="H66" s="75">
        <v>42472</v>
      </c>
      <c r="I66">
        <f t="shared" si="0"/>
        <v>0</v>
      </c>
      <c r="J66" s="58">
        <v>42481</v>
      </c>
      <c r="K66" t="s">
        <v>771</v>
      </c>
    </row>
    <row r="67" spans="1:11" x14ac:dyDescent="0.25">
      <c r="A67" t="s">
        <v>68</v>
      </c>
      <c r="B67" s="75">
        <v>42472</v>
      </c>
      <c r="C67">
        <v>259</v>
      </c>
      <c r="D67" s="2">
        <v>40</v>
      </c>
      <c r="E67">
        <v>256</v>
      </c>
      <c r="F67" s="2">
        <f t="shared" si="1"/>
        <v>10240</v>
      </c>
      <c r="G67" t="s">
        <v>2139</v>
      </c>
      <c r="H67" s="75">
        <v>42480</v>
      </c>
      <c r="I67">
        <f t="shared" si="0"/>
        <v>3</v>
      </c>
      <c r="J67" s="49"/>
    </row>
    <row r="68" spans="1:11" x14ac:dyDescent="0.25">
      <c r="A68" t="s">
        <v>68</v>
      </c>
      <c r="B68" s="75">
        <v>42479</v>
      </c>
      <c r="C68">
        <v>260</v>
      </c>
      <c r="D68" s="2">
        <v>40</v>
      </c>
      <c r="E68">
        <v>260</v>
      </c>
      <c r="F68" s="2">
        <f t="shared" si="1"/>
        <v>10400</v>
      </c>
      <c r="G68" t="s">
        <v>2200</v>
      </c>
      <c r="H68" s="75">
        <v>42486</v>
      </c>
      <c r="I68">
        <f t="shared" ref="I68:I69" si="2">C68-E68</f>
        <v>0</v>
      </c>
      <c r="J68" s="49"/>
    </row>
    <row r="69" spans="1:11" x14ac:dyDescent="0.25">
      <c r="B69" s="75">
        <v>42486</v>
      </c>
      <c r="C69">
        <v>0</v>
      </c>
      <c r="F69" s="2">
        <f t="shared" ref="F69" si="3">E69*D69</f>
        <v>0</v>
      </c>
      <c r="G69" t="s">
        <v>743</v>
      </c>
      <c r="I69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3" topLeftCell="A249" activePane="bottomLeft" state="frozen"/>
      <selection pane="bottomLeft" activeCell="I253" sqref="I253"/>
    </sheetView>
  </sheetViews>
  <sheetFormatPr baseColWidth="10" defaultRowHeight="15" x14ac:dyDescent="0.25"/>
  <cols>
    <col min="2" max="2" width="14.140625" style="2" customWidth="1"/>
    <col min="3" max="3" width="14.140625" style="2" bestFit="1" customWidth="1"/>
    <col min="4" max="4" width="12.5703125" bestFit="1" customWidth="1"/>
    <col min="5" max="5" width="13.140625" style="2" customWidth="1"/>
    <col min="6" max="6" width="12.28515625" customWidth="1"/>
    <col min="7" max="7" width="12.140625" customWidth="1"/>
  </cols>
  <sheetData>
    <row r="1" spans="1:7" x14ac:dyDescent="0.25">
      <c r="A1" t="s">
        <v>2527</v>
      </c>
    </row>
    <row r="3" spans="1:7" ht="45" x14ac:dyDescent="0.25">
      <c r="A3" s="71" t="s">
        <v>2531</v>
      </c>
      <c r="B3" s="85" t="s">
        <v>2532</v>
      </c>
      <c r="C3" s="85" t="s">
        <v>2533</v>
      </c>
      <c r="D3" s="151" t="s">
        <v>2535</v>
      </c>
      <c r="E3" s="85" t="s">
        <v>1403</v>
      </c>
      <c r="F3" s="151" t="s">
        <v>2536</v>
      </c>
      <c r="G3" s="151" t="s">
        <v>2534</v>
      </c>
    </row>
    <row r="4" spans="1:7" x14ac:dyDescent="0.25">
      <c r="A4" t="s">
        <v>2528</v>
      </c>
      <c r="B4" s="2">
        <v>29379.200000000001</v>
      </c>
      <c r="C4" s="2">
        <v>390940</v>
      </c>
      <c r="D4" s="75">
        <v>42506</v>
      </c>
    </row>
    <row r="5" spans="1:7" x14ac:dyDescent="0.25">
      <c r="A5" t="s">
        <v>2529</v>
      </c>
      <c r="B5" s="2">
        <v>212220</v>
      </c>
      <c r="C5" s="2">
        <v>383000</v>
      </c>
      <c r="D5" s="75">
        <v>42504</v>
      </c>
    </row>
    <row r="6" spans="1:7" x14ac:dyDescent="0.25">
      <c r="A6" t="s">
        <v>2530</v>
      </c>
      <c r="B6" s="2">
        <v>437450</v>
      </c>
    </row>
    <row r="7" spans="1:7" x14ac:dyDescent="0.25">
      <c r="B7" s="2">
        <f>SUM(B4:B6)</f>
        <v>679049.2</v>
      </c>
      <c r="C7" s="2">
        <f>SUM(C4:C6)</f>
        <v>773940</v>
      </c>
      <c r="E7" s="2">
        <f>C7-B7</f>
        <v>94890.800000000047</v>
      </c>
      <c r="F7" s="75">
        <v>42506</v>
      </c>
      <c r="G7" s="75">
        <v>42507</v>
      </c>
    </row>
    <row r="8" spans="1:7" x14ac:dyDescent="0.25">
      <c r="F8" s="75"/>
      <c r="G8" s="75"/>
    </row>
    <row r="9" spans="1:7" x14ac:dyDescent="0.25">
      <c r="A9" t="s">
        <v>2575</v>
      </c>
      <c r="B9" s="2">
        <v>390786</v>
      </c>
      <c r="C9" s="2">
        <v>32736</v>
      </c>
      <c r="D9" s="75">
        <v>42508</v>
      </c>
    </row>
    <row r="10" spans="1:7" x14ac:dyDescent="0.25">
      <c r="C10" s="2">
        <v>37450</v>
      </c>
      <c r="D10" s="75">
        <v>42507</v>
      </c>
    </row>
    <row r="11" spans="1:7" x14ac:dyDescent="0.25">
      <c r="C11" s="2">
        <v>310000</v>
      </c>
      <c r="D11" s="75">
        <v>42507</v>
      </c>
    </row>
    <row r="12" spans="1:7" x14ac:dyDescent="0.25">
      <c r="C12" s="2">
        <v>10600</v>
      </c>
      <c r="D12" s="75">
        <v>42506</v>
      </c>
    </row>
    <row r="13" spans="1:7" x14ac:dyDescent="0.25">
      <c r="B13" s="2">
        <f>SUM(B9:B12)</f>
        <v>390786</v>
      </c>
      <c r="C13" s="2">
        <f>SUM(C9:C12)</f>
        <v>390786</v>
      </c>
      <c r="E13" s="2">
        <f t="shared" ref="E13:E15" si="0">C13-B13</f>
        <v>0</v>
      </c>
      <c r="F13" s="75">
        <v>42508</v>
      </c>
      <c r="G13" s="75">
        <v>42509</v>
      </c>
    </row>
    <row r="14" spans="1:7" x14ac:dyDescent="0.25">
      <c r="F14" s="75"/>
      <c r="G14" s="75"/>
    </row>
    <row r="15" spans="1:7" x14ac:dyDescent="0.25">
      <c r="A15" t="s">
        <v>2576</v>
      </c>
      <c r="B15" s="2">
        <v>229503</v>
      </c>
      <c r="C15" s="2">
        <v>252000</v>
      </c>
      <c r="D15" s="75">
        <v>42508</v>
      </c>
      <c r="E15" s="2">
        <f t="shared" si="0"/>
        <v>22497</v>
      </c>
      <c r="F15" s="75">
        <v>42508</v>
      </c>
      <c r="G15" s="75">
        <v>42509</v>
      </c>
    </row>
    <row r="16" spans="1:7" x14ac:dyDescent="0.25">
      <c r="D16" s="75"/>
      <c r="F16" s="75"/>
      <c r="G16" s="75"/>
    </row>
    <row r="17" spans="1:7" x14ac:dyDescent="0.25">
      <c r="A17" t="s">
        <v>2639</v>
      </c>
      <c r="B17" s="2">
        <v>810855</v>
      </c>
      <c r="C17" s="2">
        <v>285000</v>
      </c>
      <c r="D17" s="75">
        <v>42510</v>
      </c>
      <c r="F17" s="75"/>
      <c r="G17" s="75"/>
    </row>
    <row r="18" spans="1:7" x14ac:dyDescent="0.25">
      <c r="C18" s="2">
        <v>40000</v>
      </c>
      <c r="D18" s="75">
        <v>42510</v>
      </c>
    </row>
    <row r="19" spans="1:7" x14ac:dyDescent="0.25">
      <c r="C19" s="2">
        <v>279800</v>
      </c>
      <c r="D19" s="75">
        <v>42509</v>
      </c>
    </row>
    <row r="20" spans="1:7" x14ac:dyDescent="0.25">
      <c r="C20" s="2">
        <v>33000</v>
      </c>
      <c r="D20" s="75">
        <v>42465</v>
      </c>
    </row>
    <row r="21" spans="1:7" x14ac:dyDescent="0.25">
      <c r="C21" s="2">
        <v>23500</v>
      </c>
      <c r="D21" s="75" t="s">
        <v>2643</v>
      </c>
    </row>
    <row r="22" spans="1:7" x14ac:dyDescent="0.25">
      <c r="C22" s="2">
        <v>22497</v>
      </c>
      <c r="D22" t="s">
        <v>2640</v>
      </c>
      <c r="E22" s="76">
        <v>42508</v>
      </c>
    </row>
    <row r="23" spans="1:7" x14ac:dyDescent="0.25">
      <c r="C23" s="2">
        <v>6439</v>
      </c>
      <c r="D23" t="s">
        <v>2640</v>
      </c>
      <c r="E23" s="76">
        <v>42473</v>
      </c>
    </row>
    <row r="24" spans="1:7" x14ac:dyDescent="0.25">
      <c r="C24" s="2">
        <v>38591</v>
      </c>
      <c r="D24" t="s">
        <v>2640</v>
      </c>
      <c r="E24" s="76">
        <v>42478</v>
      </c>
    </row>
    <row r="25" spans="1:7" x14ac:dyDescent="0.25">
      <c r="C25" s="2">
        <v>21799</v>
      </c>
      <c r="D25" t="s">
        <v>2640</v>
      </c>
      <c r="E25" s="76">
        <v>42440</v>
      </c>
    </row>
    <row r="26" spans="1:7" x14ac:dyDescent="0.25">
      <c r="C26" s="2">
        <v>27861</v>
      </c>
      <c r="D26" t="s">
        <v>2640</v>
      </c>
      <c r="E26" s="76">
        <v>42437</v>
      </c>
    </row>
    <row r="27" spans="1:7" x14ac:dyDescent="0.25">
      <c r="C27" s="2">
        <v>9861.5</v>
      </c>
      <c r="D27" t="s">
        <v>2640</v>
      </c>
      <c r="E27" s="76">
        <v>42455</v>
      </c>
    </row>
    <row r="28" spans="1:7" x14ac:dyDescent="0.25">
      <c r="C28" s="2">
        <v>2183.6</v>
      </c>
      <c r="D28" t="s">
        <v>2640</v>
      </c>
      <c r="E28" s="76">
        <v>42460</v>
      </c>
    </row>
    <row r="29" spans="1:7" x14ac:dyDescent="0.25">
      <c r="C29" s="2">
        <v>6007.4</v>
      </c>
      <c r="D29" t="s">
        <v>2640</v>
      </c>
      <c r="E29" s="76">
        <v>42485</v>
      </c>
    </row>
    <row r="30" spans="1:7" x14ac:dyDescent="0.25">
      <c r="C30" s="2">
        <v>1608.5</v>
      </c>
      <c r="D30" t="s">
        <v>2640</v>
      </c>
      <c r="E30" s="76">
        <v>42488</v>
      </c>
    </row>
    <row r="31" spans="1:7" x14ac:dyDescent="0.25">
      <c r="C31" s="2">
        <v>5788</v>
      </c>
      <c r="D31" s="75">
        <v>42503</v>
      </c>
      <c r="E31" s="76"/>
    </row>
    <row r="32" spans="1:7" x14ac:dyDescent="0.25">
      <c r="C32" s="2">
        <v>6919</v>
      </c>
      <c r="D32" t="s">
        <v>2644</v>
      </c>
    </row>
    <row r="33" spans="1:7" x14ac:dyDescent="0.25">
      <c r="B33" s="2">
        <f>SUM(B17:B31)</f>
        <v>810855</v>
      </c>
      <c r="C33" s="2">
        <f>SUM(C17:C32)</f>
        <v>810855</v>
      </c>
      <c r="E33" s="2">
        <f>C33-B33</f>
        <v>0</v>
      </c>
      <c r="F33" s="75">
        <v>42510</v>
      </c>
      <c r="G33" s="75">
        <v>42511</v>
      </c>
    </row>
    <row r="35" spans="1:7" x14ac:dyDescent="0.25">
      <c r="A35" t="s">
        <v>2690</v>
      </c>
      <c r="B35" s="2">
        <v>198787.5</v>
      </c>
      <c r="C35" s="2">
        <v>35000</v>
      </c>
      <c r="D35" s="75">
        <v>42513</v>
      </c>
    </row>
    <row r="36" spans="1:7" x14ac:dyDescent="0.25">
      <c r="A36" t="s">
        <v>2691</v>
      </c>
      <c r="B36" s="2">
        <v>238628</v>
      </c>
      <c r="C36" s="2">
        <v>55000</v>
      </c>
      <c r="D36" s="75">
        <v>42513</v>
      </c>
    </row>
    <row r="37" spans="1:7" x14ac:dyDescent="0.25">
      <c r="C37" s="2">
        <v>20870</v>
      </c>
      <c r="D37" s="75">
        <v>42513</v>
      </c>
    </row>
    <row r="38" spans="1:7" x14ac:dyDescent="0.25">
      <c r="C38" s="2">
        <v>290000</v>
      </c>
      <c r="D38" s="75">
        <v>42511</v>
      </c>
    </row>
    <row r="39" spans="1:7" x14ac:dyDescent="0.25">
      <c r="C39" s="2">
        <v>19500</v>
      </c>
      <c r="D39" s="75">
        <v>42514</v>
      </c>
    </row>
    <row r="40" spans="1:7" x14ac:dyDescent="0.25">
      <c r="C40" s="2">
        <v>17045.5</v>
      </c>
      <c r="D40" t="s">
        <v>2644</v>
      </c>
    </row>
    <row r="41" spans="1:7" x14ac:dyDescent="0.25">
      <c r="B41" s="2">
        <f>SUM(B35:B40)</f>
        <v>437415.5</v>
      </c>
      <c r="C41" s="2">
        <f>SUM(C35:C40)</f>
        <v>437415.5</v>
      </c>
      <c r="E41" s="2">
        <f>C41-B41</f>
        <v>0</v>
      </c>
      <c r="F41" s="75">
        <v>42514</v>
      </c>
      <c r="G41" s="75">
        <v>42516</v>
      </c>
    </row>
    <row r="43" spans="1:7" x14ac:dyDescent="0.25">
      <c r="A43" t="s">
        <v>2692</v>
      </c>
      <c r="B43" s="2">
        <v>398130</v>
      </c>
      <c r="C43" s="2">
        <v>260000</v>
      </c>
      <c r="D43" s="75">
        <v>42514</v>
      </c>
    </row>
    <row r="44" spans="1:7" x14ac:dyDescent="0.25">
      <c r="A44" t="s">
        <v>2693</v>
      </c>
      <c r="B44" s="2">
        <v>405262</v>
      </c>
      <c r="C44" s="2">
        <v>260000</v>
      </c>
      <c r="D44" s="75">
        <v>42513</v>
      </c>
    </row>
    <row r="45" spans="1:7" x14ac:dyDescent="0.25">
      <c r="C45" s="2">
        <v>113950</v>
      </c>
      <c r="D45" s="75">
        <v>42513</v>
      </c>
    </row>
    <row r="46" spans="1:7" x14ac:dyDescent="0.25">
      <c r="C46" s="2">
        <v>169442</v>
      </c>
      <c r="D46" s="75">
        <v>42515</v>
      </c>
    </row>
    <row r="47" spans="1:7" x14ac:dyDescent="0.25">
      <c r="B47" s="2">
        <f>SUM(B43:B46)</f>
        <v>803392</v>
      </c>
      <c r="C47" s="2">
        <f>SUM(C43:C46)</f>
        <v>803392</v>
      </c>
      <c r="E47" s="2">
        <f>C47-B47</f>
        <v>0</v>
      </c>
      <c r="F47" s="75">
        <v>42516</v>
      </c>
      <c r="G47" s="75">
        <v>42516</v>
      </c>
    </row>
    <row r="49" spans="1:7" x14ac:dyDescent="0.25">
      <c r="A49" t="s">
        <v>2694</v>
      </c>
      <c r="B49" s="2">
        <v>230061</v>
      </c>
      <c r="C49" s="2">
        <v>202500</v>
      </c>
      <c r="D49" s="75">
        <v>42516</v>
      </c>
    </row>
    <row r="50" spans="1:7" x14ac:dyDescent="0.25">
      <c r="C50" s="2">
        <v>45250</v>
      </c>
      <c r="D50" s="75">
        <v>42516</v>
      </c>
    </row>
    <row r="51" spans="1:7" x14ac:dyDescent="0.25">
      <c r="B51" s="2">
        <f>SUM(B49:B50)</f>
        <v>230061</v>
      </c>
      <c r="C51" s="2">
        <f>SUM(C49:C50)</f>
        <v>247750</v>
      </c>
      <c r="E51" s="170">
        <f>C51-B51</f>
        <v>17689</v>
      </c>
      <c r="F51" s="171">
        <v>42516</v>
      </c>
      <c r="G51" s="75">
        <v>42516</v>
      </c>
    </row>
    <row r="53" spans="1:7" x14ac:dyDescent="0.25">
      <c r="A53" t="s">
        <v>2700</v>
      </c>
      <c r="B53" s="2">
        <v>232512</v>
      </c>
      <c r="C53" s="2">
        <v>263012</v>
      </c>
      <c r="D53" s="75">
        <v>42517</v>
      </c>
      <c r="E53" s="2">
        <f>C53-B53</f>
        <v>30500</v>
      </c>
      <c r="F53" s="75">
        <v>42517</v>
      </c>
      <c r="G53" s="75">
        <v>42518</v>
      </c>
    </row>
    <row r="55" spans="1:7" x14ac:dyDescent="0.25">
      <c r="A55" t="s">
        <v>2706</v>
      </c>
      <c r="B55" s="2">
        <v>414050</v>
      </c>
      <c r="C55" s="2">
        <v>379450</v>
      </c>
      <c r="D55" s="75">
        <v>42520</v>
      </c>
    </row>
    <row r="56" spans="1:7" x14ac:dyDescent="0.25">
      <c r="A56" t="s">
        <v>2707</v>
      </c>
      <c r="B56" s="2">
        <v>3395</v>
      </c>
      <c r="C56" s="2">
        <v>30500</v>
      </c>
      <c r="D56" t="s">
        <v>2640</v>
      </c>
      <c r="E56" s="76">
        <v>42517</v>
      </c>
    </row>
    <row r="57" spans="1:7" x14ac:dyDescent="0.25">
      <c r="C57" s="2">
        <v>7495</v>
      </c>
      <c r="D57" t="s">
        <v>2644</v>
      </c>
    </row>
    <row r="58" spans="1:7" x14ac:dyDescent="0.25">
      <c r="B58" s="2">
        <f>SUM(B55:B57)</f>
        <v>417445</v>
      </c>
      <c r="C58" s="2">
        <f>SUM(C55:C57)</f>
        <v>417445</v>
      </c>
      <c r="E58" s="2">
        <f>C58-B58</f>
        <v>0</v>
      </c>
      <c r="F58" s="75">
        <v>42518</v>
      </c>
      <c r="G58" s="75">
        <v>42518</v>
      </c>
    </row>
    <row r="60" spans="1:7" x14ac:dyDescent="0.25">
      <c r="A60" t="s">
        <v>2746</v>
      </c>
      <c r="B60" s="2">
        <v>382624</v>
      </c>
      <c r="C60" s="2">
        <v>452400</v>
      </c>
      <c r="D60" s="75">
        <v>42520</v>
      </c>
      <c r="E60" s="137">
        <f>C60-B60</f>
        <v>69776</v>
      </c>
      <c r="F60" s="159">
        <v>42520</v>
      </c>
      <c r="G60" s="75">
        <v>42521</v>
      </c>
    </row>
    <row r="62" spans="1:7" x14ac:dyDescent="0.25">
      <c r="A62" t="s">
        <v>2762</v>
      </c>
      <c r="B62" s="2">
        <v>199988</v>
      </c>
      <c r="C62" s="2">
        <v>438300</v>
      </c>
      <c r="D62" s="75">
        <v>42522</v>
      </c>
    </row>
    <row r="63" spans="1:7" x14ac:dyDescent="0.25">
      <c r="A63" t="s">
        <v>2763</v>
      </c>
      <c r="B63" s="2">
        <v>189158</v>
      </c>
    </row>
    <row r="64" spans="1:7" x14ac:dyDescent="0.25">
      <c r="B64" s="2">
        <f>SUM(B62:B63)</f>
        <v>389146</v>
      </c>
      <c r="C64" s="2">
        <f>SUM(C62:C63)</f>
        <v>438300</v>
      </c>
      <c r="E64" s="162">
        <f>C64-B64</f>
        <v>49154</v>
      </c>
      <c r="F64" s="161">
        <v>42522</v>
      </c>
      <c r="G64" s="75">
        <v>42523</v>
      </c>
    </row>
    <row r="65" spans="1:7" x14ac:dyDescent="0.25">
      <c r="F65" s="75"/>
      <c r="G65" s="75"/>
    </row>
    <row r="66" spans="1:7" x14ac:dyDescent="0.25">
      <c r="A66" t="s">
        <v>2793</v>
      </c>
      <c r="B66" s="2">
        <v>392196</v>
      </c>
      <c r="C66" s="2">
        <v>155000</v>
      </c>
      <c r="D66" s="75">
        <v>42523</v>
      </c>
    </row>
    <row r="67" spans="1:7" x14ac:dyDescent="0.25">
      <c r="C67" s="2">
        <v>48000</v>
      </c>
      <c r="D67" s="75">
        <v>42522</v>
      </c>
    </row>
    <row r="68" spans="1:7" x14ac:dyDescent="0.25">
      <c r="C68" s="2">
        <v>66000</v>
      </c>
      <c r="D68" s="75">
        <v>42515</v>
      </c>
    </row>
    <row r="69" spans="1:7" x14ac:dyDescent="0.25">
      <c r="C69" s="2">
        <v>17350</v>
      </c>
      <c r="D69" s="75">
        <v>42515</v>
      </c>
    </row>
    <row r="70" spans="1:7" x14ac:dyDescent="0.25">
      <c r="C70" s="162">
        <v>49154</v>
      </c>
      <c r="D70" t="s">
        <v>2640</v>
      </c>
      <c r="E70" s="160">
        <v>42522</v>
      </c>
    </row>
    <row r="71" spans="1:7" x14ac:dyDescent="0.25">
      <c r="C71" s="137">
        <v>69776</v>
      </c>
      <c r="D71" t="s">
        <v>2640</v>
      </c>
      <c r="E71" s="158">
        <v>42520</v>
      </c>
    </row>
    <row r="72" spans="1:7" x14ac:dyDescent="0.25">
      <c r="C72" s="170">
        <v>17689</v>
      </c>
      <c r="D72" t="s">
        <v>2640</v>
      </c>
      <c r="E72" s="172">
        <v>42516</v>
      </c>
    </row>
    <row r="73" spans="1:7" x14ac:dyDescent="0.25">
      <c r="B73" s="2">
        <f>SUM(B66:B72)</f>
        <v>392196</v>
      </c>
      <c r="C73" s="2">
        <f>SUM(C66:C72)</f>
        <v>422969</v>
      </c>
      <c r="E73" s="51">
        <f>C73-B73</f>
        <v>30773</v>
      </c>
      <c r="F73" s="53">
        <v>42523</v>
      </c>
      <c r="G73" s="75">
        <v>42523</v>
      </c>
    </row>
    <row r="75" spans="1:7" x14ac:dyDescent="0.25">
      <c r="A75" t="s">
        <v>2801</v>
      </c>
      <c r="B75" s="2">
        <v>424473</v>
      </c>
      <c r="C75" s="2">
        <v>307850</v>
      </c>
      <c r="D75" s="75">
        <v>42524</v>
      </c>
    </row>
    <row r="76" spans="1:7" x14ac:dyDescent="0.25">
      <c r="C76" s="2">
        <v>55000</v>
      </c>
      <c r="D76" s="75">
        <v>42492</v>
      </c>
    </row>
    <row r="77" spans="1:7" x14ac:dyDescent="0.25">
      <c r="C77" s="51">
        <v>30773</v>
      </c>
      <c r="D77" t="s">
        <v>2802</v>
      </c>
      <c r="E77" s="57">
        <v>42523</v>
      </c>
    </row>
    <row r="78" spans="1:7" x14ac:dyDescent="0.25">
      <c r="C78" s="2">
        <v>30850</v>
      </c>
      <c r="D78" t="s">
        <v>2808</v>
      </c>
    </row>
    <row r="79" spans="1:7" x14ac:dyDescent="0.25">
      <c r="B79" s="2">
        <f>SUM(B75:B78)</f>
        <v>424473</v>
      </c>
      <c r="C79" s="2">
        <f>SUM(C75:C78)</f>
        <v>424473</v>
      </c>
      <c r="E79" s="37">
        <f>C79-B79</f>
        <v>0</v>
      </c>
      <c r="F79" s="75">
        <v>42524</v>
      </c>
      <c r="G79" s="75">
        <v>42528</v>
      </c>
    </row>
    <row r="81" spans="1:7" x14ac:dyDescent="0.25">
      <c r="A81" t="s">
        <v>2809</v>
      </c>
      <c r="B81" s="2">
        <v>179214</v>
      </c>
      <c r="C81" s="2">
        <v>233150</v>
      </c>
      <c r="D81" s="75">
        <v>42525</v>
      </c>
      <c r="E81" s="166">
        <f>C81-B81</f>
        <v>53936</v>
      </c>
      <c r="F81" s="167">
        <v>42525</v>
      </c>
      <c r="G81" s="75">
        <v>42528</v>
      </c>
    </row>
    <row r="83" spans="1:7" x14ac:dyDescent="0.25">
      <c r="A83" t="s">
        <v>2897</v>
      </c>
      <c r="B83" s="2">
        <v>438608</v>
      </c>
      <c r="C83" s="2">
        <v>225206</v>
      </c>
      <c r="D83" s="75">
        <v>42529</v>
      </c>
    </row>
    <row r="84" spans="1:7" x14ac:dyDescent="0.25">
      <c r="A84" t="s">
        <v>2898</v>
      </c>
      <c r="B84" s="2">
        <v>4107.6000000000004</v>
      </c>
      <c r="C84" s="2">
        <v>120300</v>
      </c>
      <c r="D84" s="75">
        <v>42528</v>
      </c>
    </row>
    <row r="85" spans="1:7" x14ac:dyDescent="0.25">
      <c r="A85" t="s">
        <v>2899</v>
      </c>
      <c r="B85" s="2">
        <v>5122.8</v>
      </c>
      <c r="C85" s="166">
        <v>53936</v>
      </c>
      <c r="D85" t="s">
        <v>2900</v>
      </c>
      <c r="E85" s="168">
        <v>42525</v>
      </c>
    </row>
    <row r="86" spans="1:7" x14ac:dyDescent="0.25">
      <c r="C86" s="2">
        <v>5780</v>
      </c>
      <c r="D86" t="s">
        <v>2901</v>
      </c>
    </row>
    <row r="87" spans="1:7" x14ac:dyDescent="0.25">
      <c r="C87" s="2">
        <v>23445</v>
      </c>
      <c r="D87" t="s">
        <v>2902</v>
      </c>
    </row>
    <row r="88" spans="1:7" x14ac:dyDescent="0.25">
      <c r="C88" s="2">
        <v>27882</v>
      </c>
      <c r="D88" t="s">
        <v>2903</v>
      </c>
    </row>
    <row r="89" spans="1:7" x14ac:dyDescent="0.25">
      <c r="C89" s="2">
        <v>5580</v>
      </c>
      <c r="D89" t="s">
        <v>2904</v>
      </c>
    </row>
    <row r="90" spans="1:7" x14ac:dyDescent="0.25">
      <c r="C90" s="2">
        <v>6310</v>
      </c>
      <c r="D90" t="s">
        <v>2905</v>
      </c>
    </row>
    <row r="91" spans="1:7" x14ac:dyDescent="0.25">
      <c r="B91" s="2">
        <f>SUM(B83:B90)</f>
        <v>447838.39999999997</v>
      </c>
      <c r="C91" s="2">
        <f>SUM(C83:C90)</f>
        <v>468439</v>
      </c>
      <c r="E91" s="170">
        <f>C91-B91</f>
        <v>20600.600000000035</v>
      </c>
      <c r="F91" s="171">
        <v>42529</v>
      </c>
      <c r="G91" s="75">
        <v>42530</v>
      </c>
    </row>
    <row r="93" spans="1:7" x14ac:dyDescent="0.25">
      <c r="A93" t="s">
        <v>2906</v>
      </c>
      <c r="B93" s="2">
        <v>407981</v>
      </c>
      <c r="C93" s="2">
        <v>200000</v>
      </c>
      <c r="D93" s="75">
        <v>42528</v>
      </c>
    </row>
    <row r="94" spans="1:7" x14ac:dyDescent="0.25">
      <c r="C94" s="2">
        <v>264650</v>
      </c>
      <c r="D94" s="75">
        <v>42527</v>
      </c>
    </row>
    <row r="95" spans="1:7" x14ac:dyDescent="0.25">
      <c r="B95" s="2">
        <f>SUM(B93:B94)</f>
        <v>407981</v>
      </c>
      <c r="C95" s="2">
        <f>SUM(C93:C94)</f>
        <v>464650</v>
      </c>
      <c r="E95" s="60">
        <f>C95-B95</f>
        <v>56669</v>
      </c>
      <c r="F95" s="63">
        <v>42528</v>
      </c>
      <c r="G95" s="75">
        <v>42530</v>
      </c>
    </row>
    <row r="97" spans="1:7" x14ac:dyDescent="0.25">
      <c r="A97" t="s">
        <v>2958</v>
      </c>
      <c r="B97" s="2">
        <v>454890</v>
      </c>
      <c r="C97" s="2">
        <v>127000</v>
      </c>
      <c r="D97" s="75">
        <v>42534</v>
      </c>
    </row>
    <row r="98" spans="1:7" x14ac:dyDescent="0.25">
      <c r="A98" t="s">
        <v>2959</v>
      </c>
      <c r="B98" s="2">
        <v>231102</v>
      </c>
      <c r="C98" s="2">
        <v>39550</v>
      </c>
      <c r="D98" s="75">
        <v>42534</v>
      </c>
    </row>
    <row r="99" spans="1:7" x14ac:dyDescent="0.25">
      <c r="A99" t="s">
        <v>2960</v>
      </c>
      <c r="B99" s="2">
        <v>408213</v>
      </c>
      <c r="C99" s="2">
        <v>234000</v>
      </c>
      <c r="D99" s="75">
        <v>42534</v>
      </c>
    </row>
    <row r="100" spans="1:7" x14ac:dyDescent="0.25">
      <c r="A100" t="s">
        <v>2961</v>
      </c>
      <c r="B100" s="2">
        <v>228673</v>
      </c>
      <c r="C100" s="2">
        <v>312000</v>
      </c>
      <c r="D100" s="75">
        <v>42534</v>
      </c>
    </row>
    <row r="101" spans="1:7" x14ac:dyDescent="0.25">
      <c r="C101" s="2">
        <v>117250</v>
      </c>
      <c r="D101" s="75">
        <v>42534</v>
      </c>
    </row>
    <row r="102" spans="1:7" x14ac:dyDescent="0.25">
      <c r="C102" s="2">
        <v>52000</v>
      </c>
      <c r="D102" s="75">
        <v>42531</v>
      </c>
    </row>
    <row r="103" spans="1:7" x14ac:dyDescent="0.25">
      <c r="C103" s="2">
        <v>206000</v>
      </c>
      <c r="D103" s="75">
        <v>42531</v>
      </c>
    </row>
    <row r="104" spans="1:7" x14ac:dyDescent="0.25">
      <c r="C104" s="2">
        <v>66650</v>
      </c>
      <c r="D104" s="75">
        <v>42531</v>
      </c>
    </row>
    <row r="105" spans="1:7" x14ac:dyDescent="0.25">
      <c r="C105" s="2">
        <v>152386</v>
      </c>
      <c r="D105" s="75">
        <v>42535</v>
      </c>
    </row>
    <row r="106" spans="1:7" x14ac:dyDescent="0.25">
      <c r="C106" s="2">
        <v>16041.4</v>
      </c>
      <c r="D106" s="75">
        <v>42532</v>
      </c>
      <c r="E106" s="2" t="s">
        <v>2962</v>
      </c>
    </row>
    <row r="107" spans="1:7" x14ac:dyDescent="0.25">
      <c r="B107" s="2">
        <f>SUM(B97:B105)</f>
        <v>1322878</v>
      </c>
      <c r="C107" s="2">
        <f>SUM(C97:C106)</f>
        <v>1322877.3999999999</v>
      </c>
      <c r="E107" s="37">
        <f>C107-B107</f>
        <v>-0.60000000009313226</v>
      </c>
      <c r="F107" s="75">
        <v>42535</v>
      </c>
      <c r="G107" s="75">
        <v>42536</v>
      </c>
    </row>
    <row r="109" spans="1:7" x14ac:dyDescent="0.25">
      <c r="A109" t="s">
        <v>2974</v>
      </c>
      <c r="B109" s="2">
        <v>237039</v>
      </c>
      <c r="C109" s="2">
        <v>219480</v>
      </c>
      <c r="D109" s="75">
        <v>42537</v>
      </c>
    </row>
    <row r="110" spans="1:7" x14ac:dyDescent="0.25">
      <c r="A110" t="s">
        <v>2975</v>
      </c>
      <c r="B110" s="2">
        <v>32546.5</v>
      </c>
      <c r="C110" s="2">
        <v>283700</v>
      </c>
      <c r="D110" s="75">
        <v>42536</v>
      </c>
    </row>
    <row r="111" spans="1:7" x14ac:dyDescent="0.25">
      <c r="A111" t="s">
        <v>2976</v>
      </c>
      <c r="B111" s="2">
        <v>422988</v>
      </c>
      <c r="C111" s="2">
        <v>83000</v>
      </c>
      <c r="D111" s="75">
        <v>42535</v>
      </c>
    </row>
    <row r="112" spans="1:7" x14ac:dyDescent="0.25">
      <c r="A112" t="s">
        <v>2977</v>
      </c>
      <c r="B112" s="2">
        <v>14800</v>
      </c>
      <c r="C112" s="2">
        <v>131950</v>
      </c>
      <c r="D112" s="75">
        <v>42530</v>
      </c>
    </row>
    <row r="113" spans="1:7" x14ac:dyDescent="0.25">
      <c r="C113" s="2">
        <v>3273</v>
      </c>
      <c r="D113" s="75">
        <v>42533</v>
      </c>
      <c r="E113" s="2" t="s">
        <v>2978</v>
      </c>
    </row>
    <row r="114" spans="1:7" x14ac:dyDescent="0.25">
      <c r="C114" s="2">
        <v>6886</v>
      </c>
      <c r="D114" s="75">
        <v>42530</v>
      </c>
      <c r="E114" s="2" t="s">
        <v>2979</v>
      </c>
    </row>
    <row r="115" spans="1:7" x14ac:dyDescent="0.25">
      <c r="C115" s="2">
        <v>9344</v>
      </c>
      <c r="D115" s="75">
        <v>42529</v>
      </c>
      <c r="E115" s="2" t="s">
        <v>2980</v>
      </c>
    </row>
    <row r="116" spans="1:7" x14ac:dyDescent="0.25">
      <c r="C116" s="2">
        <v>16854.400000000001</v>
      </c>
      <c r="D116" s="75">
        <v>42528</v>
      </c>
      <c r="E116" s="2" t="s">
        <v>2981</v>
      </c>
    </row>
    <row r="117" spans="1:7" x14ac:dyDescent="0.25">
      <c r="C117" s="60">
        <v>56669</v>
      </c>
      <c r="D117" s="63">
        <v>42528</v>
      </c>
      <c r="E117" s="76" t="s">
        <v>2900</v>
      </c>
    </row>
    <row r="118" spans="1:7" x14ac:dyDescent="0.25">
      <c r="C118" s="170">
        <v>20600.599999999999</v>
      </c>
      <c r="D118" s="171">
        <v>42529</v>
      </c>
      <c r="E118" s="2" t="s">
        <v>2900</v>
      </c>
    </row>
    <row r="119" spans="1:7" x14ac:dyDescent="0.25">
      <c r="B119" s="2">
        <f>SUM(B109:B116)</f>
        <v>707373.5</v>
      </c>
      <c r="C119" s="2">
        <f>SUM(C109:C118)</f>
        <v>831757</v>
      </c>
      <c r="E119" s="173">
        <f>C119-B119</f>
        <v>124383.5</v>
      </c>
      <c r="F119" s="174">
        <v>42537</v>
      </c>
      <c r="G119" s="75">
        <v>42538</v>
      </c>
    </row>
    <row r="121" spans="1:7" x14ac:dyDescent="0.25">
      <c r="A121" t="s">
        <v>2982</v>
      </c>
      <c r="B121" s="2">
        <v>233142</v>
      </c>
      <c r="C121" s="2">
        <v>378150</v>
      </c>
      <c r="D121" s="75">
        <v>42538</v>
      </c>
    </row>
    <row r="122" spans="1:7" x14ac:dyDescent="0.25">
      <c r="A122" t="s">
        <v>2983</v>
      </c>
      <c r="B122" s="2">
        <v>244122</v>
      </c>
      <c r="C122" s="173">
        <v>124383.5</v>
      </c>
      <c r="D122" s="174">
        <v>42537</v>
      </c>
      <c r="E122" s="2" t="s">
        <v>2900</v>
      </c>
    </row>
    <row r="123" spans="1:7" x14ac:dyDescent="0.25">
      <c r="B123" s="2">
        <f>SUM(B121:B122)</f>
        <v>477264</v>
      </c>
      <c r="C123" s="2">
        <f>SUM(C121:C122)</f>
        <v>502533.5</v>
      </c>
      <c r="D123" s="129"/>
      <c r="E123" s="35">
        <f>C123-B123</f>
        <v>25269.5</v>
      </c>
      <c r="F123" s="79">
        <v>42538</v>
      </c>
      <c r="G123" s="75">
        <v>42538</v>
      </c>
    </row>
    <row r="124" spans="1:7" x14ac:dyDescent="0.25">
      <c r="D124" s="129"/>
      <c r="E124" s="37"/>
      <c r="F124" s="75"/>
      <c r="G124" s="75"/>
    </row>
    <row r="125" spans="1:7" x14ac:dyDescent="0.25">
      <c r="A125" t="s">
        <v>3057</v>
      </c>
      <c r="B125" s="2">
        <v>432836.5</v>
      </c>
      <c r="C125" s="2">
        <v>39000</v>
      </c>
      <c r="D125" s="75">
        <v>42539</v>
      </c>
    </row>
    <row r="126" spans="1:7" x14ac:dyDescent="0.25">
      <c r="A126" t="s">
        <v>3058</v>
      </c>
      <c r="B126" s="2">
        <v>16750.400000000001</v>
      </c>
      <c r="C126" s="2">
        <v>30000</v>
      </c>
      <c r="D126" s="75">
        <v>42537</v>
      </c>
    </row>
    <row r="127" spans="1:7" x14ac:dyDescent="0.25">
      <c r="C127" s="2">
        <v>381800</v>
      </c>
      <c r="D127" s="75">
        <v>42539</v>
      </c>
    </row>
    <row r="128" spans="1:7" x14ac:dyDescent="0.25">
      <c r="B128" s="2">
        <f>SUM(B125:B127)</f>
        <v>449586.9</v>
      </c>
      <c r="C128" s="2">
        <f>SUM(C125:C127)</f>
        <v>450800</v>
      </c>
      <c r="E128" s="178">
        <f>C128-B128</f>
        <v>1213.0999999999767</v>
      </c>
      <c r="F128" s="179">
        <v>42539</v>
      </c>
      <c r="G128" s="75">
        <v>42546</v>
      </c>
    </row>
    <row r="130" spans="1:7" x14ac:dyDescent="0.25">
      <c r="A130" t="s">
        <v>3052</v>
      </c>
      <c r="B130" s="2">
        <v>10528.4</v>
      </c>
      <c r="C130" s="2">
        <v>50000</v>
      </c>
      <c r="D130" s="75">
        <v>42542</v>
      </c>
    </row>
    <row r="131" spans="1:7" x14ac:dyDescent="0.25">
      <c r="A131" t="s">
        <v>3053</v>
      </c>
      <c r="B131" s="2">
        <v>423336</v>
      </c>
      <c r="C131" s="2">
        <v>394500</v>
      </c>
      <c r="D131" s="75">
        <v>42541</v>
      </c>
    </row>
    <row r="132" spans="1:7" x14ac:dyDescent="0.25">
      <c r="A132" t="s">
        <v>3054</v>
      </c>
      <c r="B132" s="2">
        <v>7562.5</v>
      </c>
      <c r="C132" s="178">
        <v>1213.0999999999999</v>
      </c>
      <c r="D132" s="179">
        <v>42539</v>
      </c>
      <c r="E132" s="2" t="s">
        <v>2900</v>
      </c>
    </row>
    <row r="133" spans="1:7" x14ac:dyDescent="0.25">
      <c r="A133" t="s">
        <v>3055</v>
      </c>
      <c r="B133" s="2">
        <v>36498</v>
      </c>
      <c r="C133" s="35">
        <v>25269.5</v>
      </c>
      <c r="D133" s="79">
        <v>42538</v>
      </c>
      <c r="E133" s="2" t="s">
        <v>2900</v>
      </c>
    </row>
    <row r="134" spans="1:7" x14ac:dyDescent="0.25">
      <c r="A134" t="s">
        <v>3056</v>
      </c>
      <c r="B134" s="2">
        <v>4802.3999999999996</v>
      </c>
      <c r="C134" s="37">
        <v>23045</v>
      </c>
      <c r="D134" s="58">
        <v>42538</v>
      </c>
      <c r="E134" s="2" t="s">
        <v>3059</v>
      </c>
    </row>
    <row r="135" spans="1:7" x14ac:dyDescent="0.25">
      <c r="B135" s="2">
        <f>SUM(B130:B134)</f>
        <v>482727.30000000005</v>
      </c>
      <c r="C135" s="2">
        <f>SUM(C130:C134)</f>
        <v>494027.6</v>
      </c>
      <c r="E135" s="170">
        <f>C135-B135</f>
        <v>11300.29999999993</v>
      </c>
      <c r="F135" s="171">
        <v>42542</v>
      </c>
      <c r="G135" s="75">
        <v>42546</v>
      </c>
    </row>
    <row r="137" spans="1:7" x14ac:dyDescent="0.25">
      <c r="A137" t="s">
        <v>3060</v>
      </c>
      <c r="B137" s="2">
        <v>396180</v>
      </c>
      <c r="C137" s="2">
        <v>100000</v>
      </c>
      <c r="D137" s="75">
        <v>42543</v>
      </c>
    </row>
    <row r="138" spans="1:7" x14ac:dyDescent="0.25">
      <c r="A138" t="s">
        <v>3061</v>
      </c>
      <c r="B138" s="2">
        <v>6391.6</v>
      </c>
      <c r="C138" s="2">
        <v>23250</v>
      </c>
      <c r="D138" s="75">
        <v>42543</v>
      </c>
    </row>
    <row r="139" spans="1:7" x14ac:dyDescent="0.25">
      <c r="C139" s="2">
        <v>46000</v>
      </c>
      <c r="D139" s="75">
        <v>42542</v>
      </c>
    </row>
    <row r="140" spans="1:7" x14ac:dyDescent="0.25">
      <c r="C140" s="2">
        <v>30900</v>
      </c>
      <c r="D140" s="75">
        <v>42542</v>
      </c>
      <c r="F140" s="75">
        <v>42483</v>
      </c>
    </row>
    <row r="141" spans="1:7" x14ac:dyDescent="0.25">
      <c r="C141" s="2">
        <v>22334</v>
      </c>
      <c r="D141" s="75">
        <v>42542</v>
      </c>
    </row>
    <row r="142" spans="1:7" x14ac:dyDescent="0.25">
      <c r="C142" s="2">
        <v>74500</v>
      </c>
      <c r="D142" s="75">
        <v>42542</v>
      </c>
    </row>
    <row r="143" spans="1:7" x14ac:dyDescent="0.25">
      <c r="C143" s="2">
        <v>50000</v>
      </c>
      <c r="D143" s="75">
        <v>42542</v>
      </c>
    </row>
    <row r="144" spans="1:7" x14ac:dyDescent="0.25">
      <c r="C144" s="2">
        <v>50000</v>
      </c>
      <c r="D144" s="75">
        <v>42542</v>
      </c>
    </row>
    <row r="145" spans="1:7" x14ac:dyDescent="0.25">
      <c r="C145" s="2">
        <v>5587</v>
      </c>
      <c r="D145" s="75">
        <v>42544</v>
      </c>
      <c r="E145" s="2" t="s">
        <v>2644</v>
      </c>
    </row>
    <row r="146" spans="1:7" x14ac:dyDescent="0.25">
      <c r="B146" s="2">
        <f>SUM(B137:B145)</f>
        <v>402571.6</v>
      </c>
      <c r="C146" s="2">
        <f>SUM(C137:C145)</f>
        <v>402571</v>
      </c>
      <c r="E146" s="37">
        <f>C146-B146</f>
        <v>-0.59999999997671694</v>
      </c>
      <c r="F146" s="75">
        <v>42483</v>
      </c>
      <c r="G146" s="75">
        <v>42546</v>
      </c>
    </row>
    <row r="148" spans="1:7" x14ac:dyDescent="0.25">
      <c r="A148" t="s">
        <v>3109</v>
      </c>
      <c r="B148" s="2">
        <v>432100</v>
      </c>
      <c r="C148" s="2">
        <v>97000</v>
      </c>
      <c r="D148" s="75">
        <v>42544</v>
      </c>
    </row>
    <row r="149" spans="1:7" x14ac:dyDescent="0.25">
      <c r="A149" t="s">
        <v>3110</v>
      </c>
      <c r="B149" s="2">
        <v>13197.4</v>
      </c>
      <c r="C149" s="2">
        <v>50000</v>
      </c>
      <c r="D149" s="75">
        <v>42544</v>
      </c>
    </row>
    <row r="150" spans="1:7" x14ac:dyDescent="0.25">
      <c r="A150" t="s">
        <v>3111</v>
      </c>
      <c r="B150" s="2">
        <v>246861</v>
      </c>
      <c r="C150" s="2">
        <v>100000</v>
      </c>
      <c r="D150" s="75">
        <v>42543</v>
      </c>
    </row>
    <row r="151" spans="1:7" x14ac:dyDescent="0.25">
      <c r="A151" t="s">
        <v>3112</v>
      </c>
      <c r="B151" s="2">
        <v>222456</v>
      </c>
      <c r="C151" s="2">
        <v>47500</v>
      </c>
      <c r="D151" s="75">
        <v>42544</v>
      </c>
    </row>
    <row r="152" spans="1:7" x14ac:dyDescent="0.25">
      <c r="A152" t="s">
        <v>3113</v>
      </c>
      <c r="B152" s="2">
        <v>210745</v>
      </c>
      <c r="C152" s="2">
        <v>50000</v>
      </c>
      <c r="D152" s="75">
        <v>42544</v>
      </c>
    </row>
    <row r="153" spans="1:7" x14ac:dyDescent="0.25">
      <c r="C153" s="2">
        <v>122500</v>
      </c>
      <c r="D153" s="75">
        <v>42544</v>
      </c>
    </row>
    <row r="154" spans="1:7" x14ac:dyDescent="0.25">
      <c r="C154" s="2">
        <v>344200</v>
      </c>
      <c r="D154" s="75">
        <v>42545</v>
      </c>
    </row>
    <row r="155" spans="1:7" x14ac:dyDescent="0.25">
      <c r="C155" s="2">
        <v>291000</v>
      </c>
      <c r="D155" s="75">
        <v>42546</v>
      </c>
    </row>
    <row r="156" spans="1:7" x14ac:dyDescent="0.25">
      <c r="C156" s="2">
        <v>6864</v>
      </c>
      <c r="D156" s="75">
        <v>42544</v>
      </c>
      <c r="E156" s="2" t="s">
        <v>3114</v>
      </c>
    </row>
    <row r="157" spans="1:7" x14ac:dyDescent="0.25">
      <c r="C157" s="2">
        <v>9523</v>
      </c>
      <c r="D157" s="75">
        <v>42543</v>
      </c>
      <c r="E157" s="2" t="s">
        <v>3115</v>
      </c>
    </row>
    <row r="158" spans="1:7" x14ac:dyDescent="0.25">
      <c r="C158" s="2">
        <v>3619</v>
      </c>
      <c r="D158" s="75">
        <v>42539</v>
      </c>
      <c r="E158" s="2" t="s">
        <v>3116</v>
      </c>
    </row>
    <row r="159" spans="1:7" x14ac:dyDescent="0.25">
      <c r="C159" s="170">
        <v>11300.3</v>
      </c>
      <c r="D159" s="171">
        <v>42542</v>
      </c>
      <c r="E159" s="2" t="s">
        <v>2900</v>
      </c>
    </row>
    <row r="160" spans="1:7" x14ac:dyDescent="0.25">
      <c r="B160" s="2">
        <f>SUM(B148:B159)</f>
        <v>1125359.3999999999</v>
      </c>
      <c r="C160" s="2">
        <f>SUM(C148:C159)</f>
        <v>1133506.3</v>
      </c>
      <c r="E160" s="35">
        <f>C160-B160</f>
        <v>8146.9000000001397</v>
      </c>
      <c r="F160" s="79">
        <v>42546</v>
      </c>
      <c r="G160" s="75">
        <v>42548</v>
      </c>
    </row>
    <row r="162" spans="1:7" x14ac:dyDescent="0.25">
      <c r="A162" t="s">
        <v>3147</v>
      </c>
      <c r="B162" s="2">
        <v>443630</v>
      </c>
      <c r="C162" s="2">
        <v>264000</v>
      </c>
      <c r="D162" s="75">
        <v>42549</v>
      </c>
    </row>
    <row r="163" spans="1:7" x14ac:dyDescent="0.25">
      <c r="B163" s="2">
        <v>34507.4</v>
      </c>
      <c r="C163" s="2">
        <v>220000</v>
      </c>
      <c r="D163" s="75">
        <v>42548</v>
      </c>
    </row>
    <row r="164" spans="1:7" x14ac:dyDescent="0.25">
      <c r="B164" s="2">
        <f>SUM(B162:B163)</f>
        <v>478137.4</v>
      </c>
      <c r="C164" s="2">
        <f>SUM(C162:C163)</f>
        <v>484000</v>
      </c>
      <c r="E164" s="182">
        <f>C164-B164</f>
        <v>5862.5999999999767</v>
      </c>
      <c r="F164" s="183">
        <v>42549</v>
      </c>
      <c r="G164" s="75">
        <v>42550</v>
      </c>
    </row>
    <row r="166" spans="1:7" x14ac:dyDescent="0.25">
      <c r="A166" t="s">
        <v>3162</v>
      </c>
      <c r="B166" s="2">
        <v>465830</v>
      </c>
      <c r="C166" s="2">
        <v>210000</v>
      </c>
      <c r="D166" s="75">
        <v>42551</v>
      </c>
    </row>
    <row r="167" spans="1:7" x14ac:dyDescent="0.25">
      <c r="A167" t="s">
        <v>3163</v>
      </c>
      <c r="B167" s="2">
        <v>217740</v>
      </c>
      <c r="C167" s="2">
        <v>30000</v>
      </c>
      <c r="D167" s="75">
        <v>42549</v>
      </c>
    </row>
    <row r="168" spans="1:7" x14ac:dyDescent="0.25">
      <c r="A168" t="s">
        <v>3164</v>
      </c>
      <c r="B168" s="2">
        <v>2786.4</v>
      </c>
      <c r="C168" s="2">
        <v>50000</v>
      </c>
      <c r="D168" s="75">
        <v>42549</v>
      </c>
    </row>
    <row r="169" spans="1:7" x14ac:dyDescent="0.25">
      <c r="C169" s="2">
        <v>46000</v>
      </c>
      <c r="D169" s="75">
        <v>42546</v>
      </c>
    </row>
    <row r="170" spans="1:7" x14ac:dyDescent="0.25">
      <c r="C170" s="2">
        <v>265550</v>
      </c>
      <c r="D170" s="75">
        <v>42550</v>
      </c>
    </row>
    <row r="171" spans="1:7" x14ac:dyDescent="0.25">
      <c r="C171" s="2">
        <v>100000</v>
      </c>
      <c r="D171" s="75">
        <v>42548</v>
      </c>
    </row>
    <row r="172" spans="1:7" x14ac:dyDescent="0.25">
      <c r="C172" s="182">
        <v>5862.6</v>
      </c>
      <c r="D172" s="183">
        <v>42549</v>
      </c>
      <c r="E172" s="2" t="s">
        <v>2900</v>
      </c>
    </row>
    <row r="173" spans="1:7" x14ac:dyDescent="0.25">
      <c r="C173" s="35">
        <v>8146.9</v>
      </c>
      <c r="D173" s="79">
        <v>42546</v>
      </c>
      <c r="E173" s="2" t="s">
        <v>2900</v>
      </c>
    </row>
    <row r="174" spans="1:7" x14ac:dyDescent="0.25">
      <c r="B174" s="2">
        <f>SUM(B166:B173)</f>
        <v>686356.4</v>
      </c>
      <c r="C174" s="2">
        <f>SUM(C166:C173)</f>
        <v>715559.5</v>
      </c>
      <c r="E174" s="184">
        <f>C174-B174</f>
        <v>29203.099999999977</v>
      </c>
      <c r="F174" s="185">
        <v>42551</v>
      </c>
      <c r="G174" s="75">
        <v>42552</v>
      </c>
    </row>
    <row r="176" spans="1:7" x14ac:dyDescent="0.25">
      <c r="A176" t="s">
        <v>3165</v>
      </c>
      <c r="B176" s="2">
        <v>224625</v>
      </c>
      <c r="C176" s="2">
        <v>195421</v>
      </c>
      <c r="D176" s="75">
        <v>42552</v>
      </c>
    </row>
    <row r="177" spans="1:7" x14ac:dyDescent="0.25">
      <c r="C177" s="184">
        <v>29204</v>
      </c>
      <c r="D177" s="185">
        <v>42551</v>
      </c>
      <c r="E177" s="2" t="s">
        <v>3166</v>
      </c>
    </row>
    <row r="178" spans="1:7" x14ac:dyDescent="0.25">
      <c r="B178" s="2">
        <f>SUM(B176:B177)</f>
        <v>224625</v>
      </c>
      <c r="C178" s="2">
        <f>SUM(C176:C177)</f>
        <v>224625</v>
      </c>
      <c r="E178" s="37">
        <f>C178-B178</f>
        <v>0</v>
      </c>
      <c r="F178" s="75">
        <v>42552</v>
      </c>
      <c r="G178" s="75">
        <v>42553</v>
      </c>
    </row>
    <row r="180" spans="1:7" x14ac:dyDescent="0.25">
      <c r="A180" t="s">
        <v>3227</v>
      </c>
      <c r="B180" s="2">
        <v>462672</v>
      </c>
      <c r="C180" s="2">
        <v>238000</v>
      </c>
      <c r="D180" s="75">
        <v>42553</v>
      </c>
    </row>
    <row r="181" spans="1:7" x14ac:dyDescent="0.25">
      <c r="A181" t="s">
        <v>3228</v>
      </c>
      <c r="B181" s="2">
        <v>45720</v>
      </c>
      <c r="C181" s="2">
        <v>16000</v>
      </c>
      <c r="D181" s="75">
        <v>42552</v>
      </c>
    </row>
    <row r="182" spans="1:7" x14ac:dyDescent="0.25">
      <c r="A182" t="s">
        <v>3229</v>
      </c>
      <c r="B182" s="2">
        <v>33462.1</v>
      </c>
      <c r="C182" s="2">
        <v>30000</v>
      </c>
      <c r="D182" s="75">
        <v>42552</v>
      </c>
    </row>
    <row r="183" spans="1:7" x14ac:dyDescent="0.25">
      <c r="C183" s="2">
        <v>45000</v>
      </c>
      <c r="D183" s="75">
        <v>42552</v>
      </c>
    </row>
    <row r="184" spans="1:7" x14ac:dyDescent="0.25">
      <c r="C184" s="2">
        <v>121500</v>
      </c>
      <c r="D184" s="75">
        <v>42555</v>
      </c>
    </row>
    <row r="185" spans="1:7" x14ac:dyDescent="0.25">
      <c r="C185" s="2">
        <v>69150</v>
      </c>
      <c r="D185" s="75">
        <v>42555</v>
      </c>
    </row>
    <row r="186" spans="1:7" x14ac:dyDescent="0.25">
      <c r="C186" s="2">
        <v>22204</v>
      </c>
      <c r="D186" s="75">
        <v>42555</v>
      </c>
      <c r="E186" s="2" t="s">
        <v>2644</v>
      </c>
    </row>
    <row r="187" spans="1:7" x14ac:dyDescent="0.25">
      <c r="B187" s="2">
        <f>SUM(B180:B186)</f>
        <v>541854.1</v>
      </c>
      <c r="C187" s="2">
        <f>SUM(C180:C186)</f>
        <v>541854</v>
      </c>
      <c r="E187" s="37">
        <f>C187-B187</f>
        <v>-9.9999999976716936E-2</v>
      </c>
      <c r="F187" s="75">
        <v>42464</v>
      </c>
      <c r="G187" s="75">
        <v>42557</v>
      </c>
    </row>
    <row r="189" spans="1:7" x14ac:dyDescent="0.25">
      <c r="A189" t="s">
        <v>3264</v>
      </c>
      <c r="B189" s="2">
        <v>5188.8</v>
      </c>
      <c r="C189" s="2">
        <v>33700</v>
      </c>
      <c r="D189" s="75">
        <v>42557</v>
      </c>
    </row>
    <row r="190" spans="1:7" x14ac:dyDescent="0.25">
      <c r="A190" t="s">
        <v>3265</v>
      </c>
      <c r="B190" s="2">
        <v>415452</v>
      </c>
      <c r="C190" s="2">
        <v>33400</v>
      </c>
      <c r="D190" s="75">
        <v>42556</v>
      </c>
    </row>
    <row r="191" spans="1:7" x14ac:dyDescent="0.25">
      <c r="C191" s="2">
        <v>337000</v>
      </c>
      <c r="D191" s="75">
        <v>42556</v>
      </c>
    </row>
    <row r="192" spans="1:7" x14ac:dyDescent="0.25">
      <c r="C192" s="2">
        <v>16080</v>
      </c>
      <c r="D192" t="s">
        <v>3266</v>
      </c>
      <c r="E192" s="76">
        <v>42552</v>
      </c>
    </row>
    <row r="193" spans="1:7" x14ac:dyDescent="0.25">
      <c r="C193" s="2">
        <v>460</v>
      </c>
      <c r="D193" s="75">
        <v>42557</v>
      </c>
      <c r="E193" s="2" t="s">
        <v>2644</v>
      </c>
    </row>
    <row r="194" spans="1:7" x14ac:dyDescent="0.25">
      <c r="B194" s="2">
        <f>SUM(B189:B193)</f>
        <v>420640.8</v>
      </c>
      <c r="C194" s="2">
        <f>SUM(C189:C193)</f>
        <v>420640</v>
      </c>
      <c r="E194" s="37">
        <f>C194-B194</f>
        <v>-0.79999999998835847</v>
      </c>
      <c r="F194" s="75">
        <v>42557</v>
      </c>
      <c r="G194" s="75">
        <v>42557</v>
      </c>
    </row>
    <row r="196" spans="1:7" x14ac:dyDescent="0.25">
      <c r="A196" t="s">
        <v>3389</v>
      </c>
      <c r="B196" s="2">
        <v>241673</v>
      </c>
      <c r="C196" s="2">
        <v>178000</v>
      </c>
      <c r="D196" s="75">
        <v>42557</v>
      </c>
    </row>
    <row r="197" spans="1:7" x14ac:dyDescent="0.25">
      <c r="A197" t="s">
        <v>3390</v>
      </c>
      <c r="B197" s="2">
        <v>241290</v>
      </c>
      <c r="C197" s="2">
        <v>210000</v>
      </c>
      <c r="D197" s="75">
        <v>42558</v>
      </c>
    </row>
    <row r="198" spans="1:7" x14ac:dyDescent="0.25">
      <c r="A198" t="s">
        <v>3391</v>
      </c>
      <c r="B198" s="2">
        <v>438918</v>
      </c>
      <c r="C198" s="2">
        <v>124000</v>
      </c>
      <c r="D198" s="75">
        <v>42557</v>
      </c>
    </row>
    <row r="199" spans="1:7" x14ac:dyDescent="0.25">
      <c r="A199" t="s">
        <v>3392</v>
      </c>
      <c r="B199" s="2">
        <v>4108</v>
      </c>
      <c r="C199" s="2">
        <v>76300</v>
      </c>
      <c r="D199" s="75">
        <v>42559</v>
      </c>
    </row>
    <row r="200" spans="1:7" x14ac:dyDescent="0.25">
      <c r="C200" s="2">
        <v>356000</v>
      </c>
      <c r="D200" s="75">
        <v>42559</v>
      </c>
    </row>
    <row r="201" spans="1:7" x14ac:dyDescent="0.25">
      <c r="B201" s="2">
        <f>SUM(B196:B200)</f>
        <v>925989</v>
      </c>
      <c r="C201" s="2">
        <f>SUM(C196:C200)</f>
        <v>944300</v>
      </c>
      <c r="E201" s="205">
        <f>C201-B201</f>
        <v>18311</v>
      </c>
      <c r="F201" s="206">
        <v>42559</v>
      </c>
      <c r="G201" s="75">
        <v>42560</v>
      </c>
    </row>
    <row r="203" spans="1:7" x14ac:dyDescent="0.25">
      <c r="A203" t="s">
        <v>3437</v>
      </c>
      <c r="B203" s="2">
        <v>12685.2</v>
      </c>
      <c r="C203" s="2">
        <v>30000</v>
      </c>
      <c r="D203" s="75">
        <v>42563</v>
      </c>
    </row>
    <row r="204" spans="1:7" x14ac:dyDescent="0.25">
      <c r="A204" t="s">
        <v>3438</v>
      </c>
      <c r="B204" s="2">
        <v>446796</v>
      </c>
      <c r="C204" s="2">
        <v>262000</v>
      </c>
      <c r="D204" s="75">
        <v>42563</v>
      </c>
    </row>
    <row r="205" spans="1:7" x14ac:dyDescent="0.25">
      <c r="A205" t="s">
        <v>3439</v>
      </c>
      <c r="B205" s="2">
        <v>444276</v>
      </c>
      <c r="C205" s="2">
        <v>128291</v>
      </c>
      <c r="D205" s="75">
        <v>42562</v>
      </c>
    </row>
    <row r="206" spans="1:7" x14ac:dyDescent="0.25">
      <c r="A206" t="s">
        <v>3440</v>
      </c>
      <c r="B206" s="2">
        <v>240278</v>
      </c>
      <c r="C206" s="2">
        <v>50750</v>
      </c>
      <c r="D206" s="75">
        <v>42562</v>
      </c>
    </row>
    <row r="207" spans="1:7" x14ac:dyDescent="0.25">
      <c r="A207" t="s">
        <v>3441</v>
      </c>
      <c r="B207" s="2">
        <v>1352.8</v>
      </c>
      <c r="C207" s="2">
        <v>250500</v>
      </c>
      <c r="D207" s="75">
        <v>42562</v>
      </c>
    </row>
    <row r="208" spans="1:7" x14ac:dyDescent="0.25">
      <c r="A208" t="s">
        <v>3442</v>
      </c>
      <c r="B208" s="2">
        <v>37957.800000000003</v>
      </c>
      <c r="C208" s="2">
        <v>11600</v>
      </c>
      <c r="D208" s="75">
        <v>42562</v>
      </c>
    </row>
    <row r="209" spans="1:7" x14ac:dyDescent="0.25">
      <c r="C209" s="2">
        <v>50600</v>
      </c>
      <c r="D209" s="75">
        <v>42562</v>
      </c>
    </row>
    <row r="210" spans="1:7" x14ac:dyDescent="0.25">
      <c r="C210" s="2">
        <v>320000</v>
      </c>
      <c r="D210" s="75">
        <v>42560</v>
      </c>
    </row>
    <row r="211" spans="1:7" x14ac:dyDescent="0.25">
      <c r="C211" s="205">
        <v>18311</v>
      </c>
      <c r="D211" s="206">
        <v>42559</v>
      </c>
      <c r="E211" s="2" t="s">
        <v>2900</v>
      </c>
    </row>
    <row r="212" spans="1:7" x14ac:dyDescent="0.25">
      <c r="C212" s="2">
        <v>32800</v>
      </c>
      <c r="D212" s="75">
        <v>42558</v>
      </c>
    </row>
    <row r="213" spans="1:7" x14ac:dyDescent="0.25">
      <c r="C213" s="2">
        <v>18005</v>
      </c>
      <c r="D213" s="75">
        <v>42558</v>
      </c>
      <c r="E213" s="2" t="s">
        <v>3443</v>
      </c>
    </row>
    <row r="214" spans="1:7" x14ac:dyDescent="0.25">
      <c r="C214" s="2">
        <v>10489</v>
      </c>
      <c r="D214" s="75">
        <v>42563</v>
      </c>
      <c r="E214" s="2" t="s">
        <v>2644</v>
      </c>
    </row>
    <row r="215" spans="1:7" x14ac:dyDescent="0.25">
      <c r="B215" s="2">
        <f>SUM(B203:B212)</f>
        <v>1183345.8</v>
      </c>
      <c r="C215" s="2">
        <f>SUM(C203:C214)</f>
        <v>1183346</v>
      </c>
      <c r="E215" s="37">
        <f>C215-B215</f>
        <v>0.19999999995343387</v>
      </c>
      <c r="F215" s="75">
        <v>42563</v>
      </c>
      <c r="G215" s="75">
        <v>42563</v>
      </c>
    </row>
    <row r="217" spans="1:7" x14ac:dyDescent="0.25">
      <c r="A217" t="s">
        <v>3481</v>
      </c>
      <c r="B217" s="2">
        <v>430728</v>
      </c>
      <c r="C217" s="2">
        <v>124300</v>
      </c>
      <c r="D217" s="75">
        <v>42564</v>
      </c>
    </row>
    <row r="218" spans="1:7" x14ac:dyDescent="0.25">
      <c r="A218" t="s">
        <v>3482</v>
      </c>
      <c r="B218" s="2">
        <v>37642.1</v>
      </c>
      <c r="C218" s="2">
        <v>142500</v>
      </c>
      <c r="D218" s="75">
        <v>42565</v>
      </c>
    </row>
    <row r="219" spans="1:7" x14ac:dyDescent="0.25">
      <c r="A219" t="s">
        <v>3483</v>
      </c>
      <c r="B219" s="2">
        <v>244920</v>
      </c>
      <c r="C219" s="2">
        <v>270000</v>
      </c>
      <c r="D219" s="75">
        <v>42564</v>
      </c>
    </row>
    <row r="220" spans="1:7" x14ac:dyDescent="0.25">
      <c r="C220" s="2">
        <v>124200</v>
      </c>
      <c r="D220" s="75">
        <v>42565</v>
      </c>
    </row>
    <row r="221" spans="1:7" x14ac:dyDescent="0.25">
      <c r="C221" s="2">
        <v>28157</v>
      </c>
      <c r="D221" s="75">
        <v>42560</v>
      </c>
      <c r="E221" s="2" t="s">
        <v>3484</v>
      </c>
    </row>
    <row r="222" spans="1:7" x14ac:dyDescent="0.25">
      <c r="C222" s="2">
        <v>23919</v>
      </c>
      <c r="D222" s="75">
        <v>42564</v>
      </c>
      <c r="E222" s="2" t="s">
        <v>3485</v>
      </c>
    </row>
    <row r="223" spans="1:7" x14ac:dyDescent="0.25">
      <c r="C223" s="2">
        <v>214</v>
      </c>
      <c r="D223" s="75">
        <v>42565</v>
      </c>
      <c r="E223" s="2" t="s">
        <v>2644</v>
      </c>
    </row>
    <row r="224" spans="1:7" x14ac:dyDescent="0.25">
      <c r="B224" s="2">
        <f>SUM(B217:B223)</f>
        <v>713290.1</v>
      </c>
      <c r="C224" s="2">
        <f>SUM(C217:C223)</f>
        <v>713290</v>
      </c>
      <c r="E224" s="37">
        <f>C224-B224</f>
        <v>-9.9999999976716936E-2</v>
      </c>
      <c r="F224" s="75">
        <v>42565</v>
      </c>
      <c r="G224" s="75">
        <v>42566</v>
      </c>
    </row>
    <row r="226" spans="1:7" x14ac:dyDescent="0.25">
      <c r="A226" t="s">
        <v>3531</v>
      </c>
      <c r="B226" s="2">
        <v>57836.2</v>
      </c>
    </row>
    <row r="227" spans="1:7" x14ac:dyDescent="0.25">
      <c r="A227" t="s">
        <v>3532</v>
      </c>
      <c r="B227" s="2">
        <v>240560</v>
      </c>
    </row>
    <row r="228" spans="1:7" x14ac:dyDescent="0.25">
      <c r="A228" t="s">
        <v>3533</v>
      </c>
      <c r="B228" s="2">
        <v>10892.8</v>
      </c>
    </row>
    <row r="229" spans="1:7" x14ac:dyDescent="0.25">
      <c r="A229" t="s">
        <v>3534</v>
      </c>
      <c r="B229" s="2">
        <v>37416.6</v>
      </c>
    </row>
    <row r="230" spans="1:7" x14ac:dyDescent="0.25">
      <c r="A230" t="s">
        <v>3535</v>
      </c>
      <c r="B230" s="2">
        <v>38310.400000000001</v>
      </c>
    </row>
    <row r="231" spans="1:7" x14ac:dyDescent="0.25">
      <c r="A231" t="s">
        <v>3536</v>
      </c>
      <c r="B231" s="2">
        <v>234956</v>
      </c>
    </row>
    <row r="232" spans="1:7" x14ac:dyDescent="0.25">
      <c r="A232" t="s">
        <v>3537</v>
      </c>
      <c r="B232" s="2">
        <v>9248</v>
      </c>
    </row>
    <row r="234" spans="1:7" x14ac:dyDescent="0.25">
      <c r="E234" s="80">
        <v>33176</v>
      </c>
      <c r="F234" s="81">
        <v>42567</v>
      </c>
      <c r="G234" s="75">
        <v>42567</v>
      </c>
    </row>
    <row r="235" spans="1:7" x14ac:dyDescent="0.25">
      <c r="B235" s="2">
        <f>SUM(B226:B234)</f>
        <v>629220</v>
      </c>
      <c r="E235" s="60">
        <v>26603.8</v>
      </c>
      <c r="F235" s="63">
        <v>42566</v>
      </c>
      <c r="G235" s="75">
        <v>42567</v>
      </c>
    </row>
    <row r="237" spans="1:7" x14ac:dyDescent="0.25">
      <c r="A237" t="s">
        <v>3538</v>
      </c>
      <c r="B237" s="2">
        <v>455359</v>
      </c>
      <c r="C237" s="2">
        <v>180000</v>
      </c>
      <c r="D237" s="75">
        <v>42569</v>
      </c>
    </row>
    <row r="238" spans="1:7" x14ac:dyDescent="0.25">
      <c r="A238" t="s">
        <v>3539</v>
      </c>
      <c r="B238" s="2">
        <v>37937.300000000003</v>
      </c>
      <c r="C238" s="2">
        <v>283050</v>
      </c>
      <c r="D238" s="75">
        <v>42569</v>
      </c>
    </row>
    <row r="239" spans="1:7" x14ac:dyDescent="0.25">
      <c r="A239" t="s">
        <v>3540</v>
      </c>
      <c r="B239" s="2">
        <v>10140.9</v>
      </c>
      <c r="C239" s="60">
        <v>26603.8</v>
      </c>
      <c r="D239" s="63">
        <v>42566</v>
      </c>
      <c r="E239" s="2" t="s">
        <v>2900</v>
      </c>
    </row>
    <row r="240" spans="1:7" x14ac:dyDescent="0.25">
      <c r="A240" t="s">
        <v>3541</v>
      </c>
      <c r="B240" s="2">
        <v>37863.5</v>
      </c>
      <c r="C240" s="80">
        <v>33176</v>
      </c>
      <c r="D240" s="81">
        <v>42567</v>
      </c>
      <c r="E240" s="2" t="s">
        <v>2900</v>
      </c>
    </row>
    <row r="241" spans="1:7" x14ac:dyDescent="0.25">
      <c r="A241" t="s">
        <v>3542</v>
      </c>
      <c r="B241" s="2">
        <v>1824</v>
      </c>
      <c r="C241" s="2">
        <v>20294.900000000001</v>
      </c>
      <c r="D241" s="75">
        <v>42569</v>
      </c>
      <c r="E241" s="2" t="s">
        <v>2644</v>
      </c>
    </row>
    <row r="242" spans="1:7" x14ac:dyDescent="0.25">
      <c r="B242" s="2">
        <f>SUM(B237:B241)</f>
        <v>543124.69999999995</v>
      </c>
      <c r="C242" s="2">
        <f>SUM(C237:C241)</f>
        <v>543124.69999999995</v>
      </c>
      <c r="E242" s="37">
        <f>C242-B242</f>
        <v>0</v>
      </c>
      <c r="F242" s="75">
        <v>42569</v>
      </c>
      <c r="G242" s="75">
        <v>42569</v>
      </c>
    </row>
    <row r="244" spans="1:7" x14ac:dyDescent="0.25">
      <c r="A244" t="s">
        <v>3613</v>
      </c>
      <c r="B244" s="2">
        <v>446292</v>
      </c>
      <c r="C244" s="2">
        <v>154000</v>
      </c>
      <c r="D244" s="75">
        <v>42570</v>
      </c>
    </row>
    <row r="245" spans="1:7" x14ac:dyDescent="0.25">
      <c r="C245" s="2">
        <v>33000</v>
      </c>
      <c r="D245" s="75">
        <v>42570</v>
      </c>
    </row>
    <row r="246" spans="1:7" x14ac:dyDescent="0.25">
      <c r="C246" s="2">
        <v>221000</v>
      </c>
      <c r="D246" s="75">
        <v>42571</v>
      </c>
    </row>
    <row r="247" spans="1:7" x14ac:dyDescent="0.25">
      <c r="C247" s="2">
        <v>38292</v>
      </c>
      <c r="D247" s="75">
        <v>42572</v>
      </c>
      <c r="E247" s="2" t="s">
        <v>3625</v>
      </c>
    </row>
    <row r="248" spans="1:7" x14ac:dyDescent="0.25">
      <c r="B248" s="2">
        <f>SUM(B244:B247)</f>
        <v>446292</v>
      </c>
      <c r="C248" s="2">
        <f>SUM(C244:C247)</f>
        <v>446292</v>
      </c>
      <c r="E248" s="37">
        <f>C248-B248</f>
        <v>0</v>
      </c>
      <c r="F248" s="75">
        <v>42571</v>
      </c>
      <c r="G248" s="75">
        <v>42572</v>
      </c>
    </row>
    <row r="250" spans="1:7" x14ac:dyDescent="0.25">
      <c r="A250" t="s">
        <v>3623</v>
      </c>
      <c r="B250" s="2">
        <v>283416</v>
      </c>
      <c r="C250" s="2">
        <v>187500</v>
      </c>
      <c r="D250" s="75">
        <v>42572</v>
      </c>
    </row>
    <row r="251" spans="1:7" x14ac:dyDescent="0.25">
      <c r="A251" t="s">
        <v>3624</v>
      </c>
      <c r="B251" s="2">
        <v>37160</v>
      </c>
      <c r="C251" s="2">
        <v>77200</v>
      </c>
      <c r="D251" s="75">
        <v>42572</v>
      </c>
    </row>
    <row r="252" spans="1:7" x14ac:dyDescent="0.25">
      <c r="C252" s="2">
        <v>55876</v>
      </c>
      <c r="D252" s="75">
        <v>42573</v>
      </c>
      <c r="E252" s="2" t="s">
        <v>3625</v>
      </c>
    </row>
    <row r="253" spans="1:7" x14ac:dyDescent="0.25">
      <c r="B253" s="2">
        <f>SUM(B250:B252)</f>
        <v>320576</v>
      </c>
      <c r="C253" s="2">
        <f>SUM(C250:C252)</f>
        <v>320576</v>
      </c>
      <c r="E253" s="37">
        <f>C253-B253</f>
        <v>0</v>
      </c>
      <c r="F253" s="75">
        <v>42572</v>
      </c>
      <c r="G253" s="75">
        <v>42573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topLeftCell="A19" workbookViewId="0">
      <selection activeCell="C40" sqref="C40"/>
    </sheetView>
  </sheetViews>
  <sheetFormatPr baseColWidth="10" defaultRowHeight="15" x14ac:dyDescent="0.25"/>
  <cols>
    <col min="1" max="1" width="3.5703125" customWidth="1"/>
    <col min="3" max="3" width="12.5703125" style="2" bestFit="1" customWidth="1"/>
    <col min="4" max="4" width="12.5703125" bestFit="1" customWidth="1"/>
    <col min="6" max="6" width="11.42578125" style="2"/>
    <col min="9" max="9" width="12.140625" customWidth="1"/>
    <col min="10" max="10" width="12.5703125" bestFit="1" customWidth="1"/>
  </cols>
  <sheetData>
    <row r="2" spans="1:7" x14ac:dyDescent="0.25">
      <c r="B2" t="s">
        <v>810</v>
      </c>
    </row>
    <row r="4" spans="1:7" x14ac:dyDescent="0.25">
      <c r="A4">
        <v>1</v>
      </c>
      <c r="B4" s="75">
        <v>42282</v>
      </c>
      <c r="C4" s="2">
        <v>50000</v>
      </c>
      <c r="E4" t="s">
        <v>812</v>
      </c>
    </row>
    <row r="5" spans="1:7" x14ac:dyDescent="0.25">
      <c r="A5">
        <v>2</v>
      </c>
      <c r="B5" s="75">
        <v>42293</v>
      </c>
      <c r="C5" s="2">
        <v>20000</v>
      </c>
      <c r="E5" t="s">
        <v>814</v>
      </c>
    </row>
    <row r="6" spans="1:7" x14ac:dyDescent="0.25">
      <c r="A6">
        <v>3</v>
      </c>
      <c r="B6" s="75">
        <v>42300</v>
      </c>
      <c r="C6" s="2">
        <v>20000</v>
      </c>
    </row>
    <row r="7" spans="1:7" x14ac:dyDescent="0.25">
      <c r="A7">
        <v>4</v>
      </c>
      <c r="B7" s="75">
        <v>42307</v>
      </c>
      <c r="C7" s="2">
        <v>20000</v>
      </c>
    </row>
    <row r="8" spans="1:7" x14ac:dyDescent="0.25">
      <c r="A8">
        <v>5</v>
      </c>
      <c r="B8" s="75">
        <v>42314</v>
      </c>
      <c r="C8" s="2">
        <v>20000</v>
      </c>
    </row>
    <row r="9" spans="1:7" x14ac:dyDescent="0.25">
      <c r="A9">
        <v>6</v>
      </c>
      <c r="B9" s="75">
        <v>42321</v>
      </c>
      <c r="C9" s="2">
        <v>20000</v>
      </c>
    </row>
    <row r="10" spans="1:7" x14ac:dyDescent="0.25">
      <c r="A10">
        <v>7</v>
      </c>
      <c r="B10" s="75">
        <v>42328</v>
      </c>
      <c r="C10" s="2">
        <v>20000</v>
      </c>
    </row>
    <row r="11" spans="1:7" x14ac:dyDescent="0.25">
      <c r="A11">
        <v>8</v>
      </c>
      <c r="B11" s="75">
        <v>42335</v>
      </c>
      <c r="C11" s="2">
        <v>20000</v>
      </c>
    </row>
    <row r="12" spans="1:7" x14ac:dyDescent="0.25">
      <c r="A12">
        <v>9</v>
      </c>
      <c r="B12" s="75">
        <v>42342</v>
      </c>
      <c r="C12" s="2">
        <v>20000</v>
      </c>
    </row>
    <row r="13" spans="1:7" x14ac:dyDescent="0.25">
      <c r="A13">
        <v>10</v>
      </c>
      <c r="B13" s="75">
        <v>42349</v>
      </c>
      <c r="C13" s="2">
        <v>20000</v>
      </c>
      <c r="E13" s="75">
        <v>42350</v>
      </c>
      <c r="F13" s="2">
        <v>10600</v>
      </c>
    </row>
    <row r="14" spans="1:7" x14ac:dyDescent="0.25">
      <c r="A14">
        <v>11</v>
      </c>
      <c r="B14" s="75">
        <v>42356</v>
      </c>
      <c r="C14" s="2">
        <v>20000</v>
      </c>
      <c r="E14" s="75">
        <v>42354</v>
      </c>
      <c r="F14" s="2">
        <v>5000</v>
      </c>
    </row>
    <row r="15" spans="1:7" x14ac:dyDescent="0.25">
      <c r="A15">
        <v>12</v>
      </c>
      <c r="B15" s="75">
        <v>42362</v>
      </c>
      <c r="C15" s="2">
        <v>20000</v>
      </c>
    </row>
    <row r="16" spans="1:7" x14ac:dyDescent="0.25">
      <c r="A16">
        <v>13</v>
      </c>
      <c r="B16" s="75">
        <v>42369</v>
      </c>
      <c r="C16" s="2">
        <v>20000</v>
      </c>
      <c r="E16" s="71" t="s">
        <v>754</v>
      </c>
      <c r="F16" s="85">
        <f>SUM(F13:F15)</f>
        <v>15600</v>
      </c>
      <c r="G16" t="s">
        <v>811</v>
      </c>
    </row>
    <row r="17" spans="1:10" x14ac:dyDescent="0.25">
      <c r="A17">
        <v>14</v>
      </c>
      <c r="B17" s="75">
        <v>42377</v>
      </c>
      <c r="C17" s="2">
        <v>20000</v>
      </c>
      <c r="G17" t="s">
        <v>813</v>
      </c>
    </row>
    <row r="18" spans="1:10" x14ac:dyDescent="0.25">
      <c r="A18">
        <v>15</v>
      </c>
      <c r="B18" s="75">
        <v>42380</v>
      </c>
      <c r="C18" s="2">
        <v>20000</v>
      </c>
      <c r="G18" t="s">
        <v>815</v>
      </c>
    </row>
    <row r="19" spans="1:10" x14ac:dyDescent="0.25">
      <c r="A19">
        <v>16</v>
      </c>
      <c r="B19" s="75">
        <v>42385</v>
      </c>
      <c r="C19" s="2">
        <v>20000</v>
      </c>
    </row>
    <row r="20" spans="1:10" x14ac:dyDescent="0.25">
      <c r="A20">
        <v>17</v>
      </c>
      <c r="B20" s="75">
        <v>42391</v>
      </c>
      <c r="C20" s="2">
        <v>20000</v>
      </c>
    </row>
    <row r="21" spans="1:10" x14ac:dyDescent="0.25">
      <c r="A21">
        <v>18</v>
      </c>
      <c r="B21" s="75">
        <v>42398</v>
      </c>
      <c r="C21" s="2">
        <v>20000</v>
      </c>
    </row>
    <row r="22" spans="1:10" x14ac:dyDescent="0.25">
      <c r="A22">
        <v>19</v>
      </c>
      <c r="B22" s="75">
        <v>42405</v>
      </c>
      <c r="C22" s="2">
        <v>20000</v>
      </c>
    </row>
    <row r="23" spans="1:10" x14ac:dyDescent="0.25">
      <c r="A23">
        <v>20</v>
      </c>
      <c r="B23" s="75">
        <v>42412</v>
      </c>
      <c r="C23" s="2">
        <v>20000</v>
      </c>
    </row>
    <row r="24" spans="1:10" x14ac:dyDescent="0.25">
      <c r="A24">
        <v>21</v>
      </c>
      <c r="B24" s="75">
        <v>42419</v>
      </c>
      <c r="C24" s="2">
        <v>20000</v>
      </c>
    </row>
    <row r="25" spans="1:10" x14ac:dyDescent="0.25">
      <c r="A25">
        <v>22</v>
      </c>
      <c r="B25" s="75">
        <v>42425</v>
      </c>
      <c r="C25" s="2">
        <v>23200</v>
      </c>
      <c r="D25" t="s">
        <v>1501</v>
      </c>
    </row>
    <row r="26" spans="1:10" x14ac:dyDescent="0.25">
      <c r="A26">
        <v>23</v>
      </c>
      <c r="B26" s="75">
        <v>42426</v>
      </c>
      <c r="C26" s="2">
        <v>20000</v>
      </c>
    </row>
    <row r="27" spans="1:10" x14ac:dyDescent="0.25">
      <c r="A27">
        <v>24</v>
      </c>
      <c r="B27" s="75">
        <v>42433</v>
      </c>
      <c r="C27" s="2">
        <v>20000</v>
      </c>
    </row>
    <row r="28" spans="1:10" x14ac:dyDescent="0.25">
      <c r="A28">
        <v>25</v>
      </c>
      <c r="B28" s="75">
        <v>42440</v>
      </c>
      <c r="C28" s="2">
        <v>20000</v>
      </c>
      <c r="D28" s="114">
        <f>SUM(C4:C28)</f>
        <v>533200</v>
      </c>
      <c r="E28" s="71" t="s">
        <v>1875</v>
      </c>
      <c r="F28" s="85"/>
      <c r="G28" s="71"/>
      <c r="H28" s="71" t="s">
        <v>1876</v>
      </c>
      <c r="I28" s="71"/>
      <c r="J28" s="85">
        <v>482436.5</v>
      </c>
    </row>
    <row r="29" spans="1:10" x14ac:dyDescent="0.25">
      <c r="A29">
        <v>26</v>
      </c>
      <c r="B29" s="75">
        <v>42447</v>
      </c>
      <c r="C29" s="2">
        <v>20000</v>
      </c>
      <c r="D29" s="71"/>
      <c r="E29" s="71"/>
      <c r="F29" s="85"/>
      <c r="G29" s="71"/>
      <c r="H29" s="71" t="s">
        <v>1877</v>
      </c>
      <c r="I29" s="71"/>
      <c r="J29" s="85">
        <v>50763.5</v>
      </c>
    </row>
    <row r="30" spans="1:10" x14ac:dyDescent="0.25">
      <c r="A30">
        <v>27</v>
      </c>
      <c r="B30" s="75">
        <v>42455</v>
      </c>
      <c r="C30" s="2">
        <v>20000</v>
      </c>
    </row>
    <row r="31" spans="1:10" x14ac:dyDescent="0.25">
      <c r="A31">
        <v>28</v>
      </c>
      <c r="B31" s="75">
        <v>42461</v>
      </c>
      <c r="C31" s="2">
        <v>20000</v>
      </c>
    </row>
    <row r="32" spans="1:10" x14ac:dyDescent="0.25">
      <c r="A32">
        <v>29</v>
      </c>
      <c r="B32" s="75">
        <v>42468</v>
      </c>
      <c r="C32" s="2">
        <v>20000</v>
      </c>
    </row>
    <row r="33" spans="1:15" x14ac:dyDescent="0.25">
      <c r="A33">
        <v>30</v>
      </c>
      <c r="B33" s="75">
        <v>42475</v>
      </c>
      <c r="C33" s="2">
        <v>20000</v>
      </c>
    </row>
    <row r="34" spans="1:15" x14ac:dyDescent="0.25">
      <c r="A34">
        <v>31</v>
      </c>
      <c r="B34" s="75">
        <v>42481</v>
      </c>
      <c r="C34" s="2">
        <v>23200</v>
      </c>
      <c r="D34" t="s">
        <v>2482</v>
      </c>
    </row>
    <row r="35" spans="1:15" x14ac:dyDescent="0.25">
      <c r="A35">
        <v>32</v>
      </c>
      <c r="B35" s="75">
        <v>42489</v>
      </c>
      <c r="C35" s="2">
        <v>20000</v>
      </c>
      <c r="D35" s="129"/>
    </row>
    <row r="36" spans="1:15" x14ac:dyDescent="0.25">
      <c r="A36">
        <v>33</v>
      </c>
      <c r="B36" s="75">
        <v>42496</v>
      </c>
      <c r="C36" s="2">
        <v>20000</v>
      </c>
    </row>
    <row r="37" spans="1:15" x14ac:dyDescent="0.25">
      <c r="A37">
        <v>34</v>
      </c>
      <c r="B37" s="75">
        <v>42502</v>
      </c>
      <c r="C37" s="2">
        <v>23200</v>
      </c>
      <c r="D37" t="s">
        <v>2483</v>
      </c>
    </row>
    <row r="38" spans="1:15" x14ac:dyDescent="0.25">
      <c r="A38">
        <v>35</v>
      </c>
      <c r="B38" s="75">
        <v>42504</v>
      </c>
      <c r="C38" s="2">
        <v>20000</v>
      </c>
      <c r="D38" s="114">
        <f>SUM(C4:C38)</f>
        <v>739600</v>
      </c>
      <c r="E38" s="71" t="s">
        <v>2484</v>
      </c>
      <c r="F38" s="85"/>
      <c r="G38" s="71"/>
      <c r="H38" s="71" t="s">
        <v>2485</v>
      </c>
      <c r="I38" s="71"/>
      <c r="J38" s="85">
        <v>603775.68999999994</v>
      </c>
      <c r="K38" s="71" t="s">
        <v>2488</v>
      </c>
      <c r="L38" s="71"/>
      <c r="M38" s="71"/>
      <c r="N38" s="71"/>
      <c r="O38" s="85">
        <v>0</v>
      </c>
    </row>
    <row r="39" spans="1:15" x14ac:dyDescent="0.25">
      <c r="A39">
        <v>36</v>
      </c>
      <c r="B39" s="75">
        <v>42510</v>
      </c>
      <c r="C39" s="2">
        <v>20000</v>
      </c>
      <c r="D39" s="71"/>
      <c r="E39" s="71"/>
      <c r="F39" s="85"/>
      <c r="G39" s="71"/>
      <c r="H39" s="71" t="s">
        <v>2486</v>
      </c>
      <c r="I39" s="71"/>
      <c r="J39" s="85">
        <v>739600</v>
      </c>
      <c r="L39" t="s">
        <v>2489</v>
      </c>
    </row>
    <row r="40" spans="1:15" x14ac:dyDescent="0.25">
      <c r="A40">
        <v>37</v>
      </c>
      <c r="B40" s="75">
        <v>42517</v>
      </c>
      <c r="C40" s="2">
        <v>20000</v>
      </c>
      <c r="H40" s="71" t="s">
        <v>1877</v>
      </c>
      <c r="I40" s="71"/>
      <c r="J40" s="114">
        <f>J39-J38</f>
        <v>135824.31000000006</v>
      </c>
      <c r="L40" s="149" t="s">
        <v>2490</v>
      </c>
      <c r="M40" s="149"/>
      <c r="N40" s="149"/>
      <c r="O40" s="137">
        <v>0</v>
      </c>
    </row>
    <row r="41" spans="1:15" x14ac:dyDescent="0.25">
      <c r="A41">
        <v>38</v>
      </c>
      <c r="B41" s="75">
        <v>42524</v>
      </c>
      <c r="C41" s="2">
        <v>20000</v>
      </c>
    </row>
    <row r="42" spans="1:15" x14ac:dyDescent="0.25">
      <c r="A42">
        <v>39</v>
      </c>
      <c r="B42" s="75">
        <v>42531</v>
      </c>
      <c r="C42" s="2">
        <v>20000</v>
      </c>
    </row>
    <row r="43" spans="1:15" x14ac:dyDescent="0.25">
      <c r="A43">
        <v>40</v>
      </c>
    </row>
    <row r="44" spans="1:15" x14ac:dyDescent="0.25">
      <c r="A44">
        <v>41</v>
      </c>
    </row>
    <row r="45" spans="1:15" x14ac:dyDescent="0.25">
      <c r="A45">
        <v>42</v>
      </c>
    </row>
    <row r="46" spans="1:15" x14ac:dyDescent="0.25">
      <c r="A46">
        <v>43</v>
      </c>
      <c r="D46" s="114">
        <v>162000</v>
      </c>
      <c r="E46" s="71" t="s">
        <v>2487</v>
      </c>
      <c r="F46" s="85"/>
    </row>
    <row r="48" spans="1:15" x14ac:dyDescent="0.25">
      <c r="B48" s="71" t="s">
        <v>754</v>
      </c>
      <c r="C48" s="85">
        <f>SUM(C4:C47)</f>
        <v>819600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85" zoomScaleNormal="85" workbookViewId="0">
      <selection activeCell="I2" sqref="I2"/>
    </sheetView>
  </sheetViews>
  <sheetFormatPr baseColWidth="10" defaultRowHeight="15" x14ac:dyDescent="0.25"/>
  <cols>
    <col min="1" max="1" width="12" customWidth="1"/>
    <col min="4" max="4" width="11.42578125" style="2"/>
    <col min="5" max="5" width="15" style="2" customWidth="1"/>
    <col min="6" max="6" width="12.7109375" style="2" customWidth="1"/>
    <col min="7" max="7" width="13.42578125" customWidth="1"/>
    <col min="10" max="10" width="12.140625" style="2" customWidth="1"/>
    <col min="11" max="11" width="11.42578125" style="2"/>
    <col min="12" max="12" width="14.5703125" style="2" customWidth="1"/>
    <col min="13" max="13" width="13.140625" style="2" customWidth="1"/>
    <col min="15" max="15" width="11.42578125" style="2"/>
    <col min="18" max="18" width="11.42578125" style="2"/>
    <col min="19" max="19" width="14" style="2" customWidth="1"/>
    <col min="20" max="20" width="13" customWidth="1"/>
    <col min="21" max="21" width="13.7109375" customWidth="1"/>
  </cols>
  <sheetData>
    <row r="1" spans="1:20" x14ac:dyDescent="0.25">
      <c r="A1" t="s">
        <v>1289</v>
      </c>
    </row>
    <row r="2" spans="1:20" x14ac:dyDescent="0.25">
      <c r="F2" s="117" t="s">
        <v>1405</v>
      </c>
      <c r="G2" s="85">
        <f>E9+L10+S7</f>
        <v>321305.03999999992</v>
      </c>
      <c r="M2" s="85"/>
    </row>
    <row r="4" spans="1:20" x14ac:dyDescent="0.25">
      <c r="A4" t="s">
        <v>1291</v>
      </c>
      <c r="B4" t="s">
        <v>1292</v>
      </c>
      <c r="C4" t="s">
        <v>1293</v>
      </c>
      <c r="D4" s="2" t="s">
        <v>1295</v>
      </c>
      <c r="E4" s="2" t="s">
        <v>1294</v>
      </c>
      <c r="F4" s="115" t="s">
        <v>317</v>
      </c>
      <c r="H4" t="s">
        <v>1291</v>
      </c>
      <c r="I4" t="s">
        <v>1292</v>
      </c>
      <c r="J4" t="s">
        <v>1293</v>
      </c>
      <c r="K4" s="2" t="s">
        <v>1295</v>
      </c>
      <c r="L4" s="2" t="s">
        <v>1294</v>
      </c>
      <c r="M4" s="115" t="s">
        <v>317</v>
      </c>
      <c r="O4" t="s">
        <v>1291</v>
      </c>
      <c r="P4" t="s">
        <v>1292</v>
      </c>
      <c r="Q4" t="s">
        <v>1293</v>
      </c>
      <c r="R4" s="2" t="s">
        <v>1295</v>
      </c>
      <c r="S4" s="2" t="s">
        <v>1294</v>
      </c>
      <c r="T4" s="115" t="s">
        <v>317</v>
      </c>
    </row>
    <row r="5" spans="1:20" x14ac:dyDescent="0.25">
      <c r="A5" t="s">
        <v>1290</v>
      </c>
      <c r="B5" t="s">
        <v>1098</v>
      </c>
      <c r="C5">
        <v>95222543</v>
      </c>
      <c r="D5" s="2" t="s">
        <v>1123</v>
      </c>
      <c r="E5" s="2">
        <v>28096.720000000001</v>
      </c>
      <c r="H5" t="s">
        <v>1300</v>
      </c>
      <c r="I5" t="s">
        <v>1093</v>
      </c>
      <c r="J5">
        <v>1223221</v>
      </c>
      <c r="K5" s="2" t="s">
        <v>1301</v>
      </c>
      <c r="L5" s="2">
        <v>29611.200000000001</v>
      </c>
      <c r="O5" t="s">
        <v>1299</v>
      </c>
      <c r="P5" t="s">
        <v>1100</v>
      </c>
      <c r="Q5">
        <v>741181</v>
      </c>
      <c r="R5" s="2" t="s">
        <v>26</v>
      </c>
      <c r="S5" s="2">
        <v>28691.57</v>
      </c>
    </row>
    <row r="6" spans="1:20" x14ac:dyDescent="0.25">
      <c r="A6" t="s">
        <v>1290</v>
      </c>
      <c r="B6" t="s">
        <v>1099</v>
      </c>
      <c r="C6">
        <v>95222692</v>
      </c>
      <c r="D6" s="2" t="s">
        <v>1123</v>
      </c>
      <c r="E6" s="2">
        <v>27722.89</v>
      </c>
      <c r="H6" t="s">
        <v>1300</v>
      </c>
      <c r="I6" t="s">
        <v>1094</v>
      </c>
      <c r="J6">
        <v>1223220</v>
      </c>
      <c r="K6" s="2" t="s">
        <v>1301</v>
      </c>
      <c r="L6" s="2">
        <v>29826.61</v>
      </c>
      <c r="O6" t="s">
        <v>1298</v>
      </c>
      <c r="P6" t="s">
        <v>1210</v>
      </c>
      <c r="Q6">
        <v>741622</v>
      </c>
      <c r="R6" s="2" t="s">
        <v>26</v>
      </c>
      <c r="S6" s="2">
        <v>29850.65</v>
      </c>
    </row>
    <row r="7" spans="1:20" x14ac:dyDescent="0.25">
      <c r="A7" t="s">
        <v>1299</v>
      </c>
      <c r="B7" t="s">
        <v>1296</v>
      </c>
      <c r="C7">
        <v>95225692</v>
      </c>
      <c r="D7" s="2" t="s">
        <v>1123</v>
      </c>
      <c r="E7" s="2">
        <v>28413.09</v>
      </c>
      <c r="H7" t="s">
        <v>1302</v>
      </c>
      <c r="I7" t="s">
        <v>1095</v>
      </c>
      <c r="J7">
        <v>1223453</v>
      </c>
      <c r="K7" s="2" t="s">
        <v>1301</v>
      </c>
      <c r="L7" s="2">
        <v>29686.560000000001</v>
      </c>
      <c r="O7"/>
      <c r="S7" s="85">
        <f>SUM(S5:S6)</f>
        <v>58542.22</v>
      </c>
      <c r="T7" s="116">
        <f>S7-T21</f>
        <v>1.7700000000040745</v>
      </c>
    </row>
    <row r="8" spans="1:20" x14ac:dyDescent="0.25">
      <c r="A8" t="s">
        <v>1298</v>
      </c>
      <c r="B8" t="s">
        <v>1297</v>
      </c>
      <c r="C8">
        <v>95228860</v>
      </c>
      <c r="D8" s="2" t="s">
        <v>1123</v>
      </c>
      <c r="E8" s="2">
        <v>28657.82</v>
      </c>
      <c r="H8" t="s">
        <v>1302</v>
      </c>
      <c r="I8" t="s">
        <v>1096</v>
      </c>
      <c r="J8">
        <v>1223454</v>
      </c>
      <c r="K8" s="2" t="s">
        <v>1301</v>
      </c>
      <c r="L8" s="2">
        <v>29903.06</v>
      </c>
    </row>
    <row r="9" spans="1:20" x14ac:dyDescent="0.25">
      <c r="E9" s="85">
        <f>SUM(E5:E8)</f>
        <v>112890.51999999999</v>
      </c>
      <c r="F9" s="115">
        <f>E9-F30</f>
        <v>3.7199999999720603</v>
      </c>
      <c r="H9" t="s">
        <v>1299</v>
      </c>
      <c r="I9" t="s">
        <v>1097</v>
      </c>
      <c r="J9">
        <v>1223570</v>
      </c>
      <c r="K9" s="2" t="s">
        <v>1301</v>
      </c>
      <c r="L9" s="2">
        <v>30844.87</v>
      </c>
    </row>
    <row r="10" spans="1:20" x14ac:dyDescent="0.25">
      <c r="J10"/>
      <c r="L10" s="85">
        <f>SUM(L5:L9)</f>
        <v>149872.29999999999</v>
      </c>
      <c r="M10" s="115">
        <f>L10-M33</f>
        <v>-3.0800000000162981</v>
      </c>
    </row>
    <row r="12" spans="1:20" x14ac:dyDescent="0.25">
      <c r="F12" s="2" t="s">
        <v>1403</v>
      </c>
      <c r="M12" s="2" t="s">
        <v>1403</v>
      </c>
      <c r="T12" s="2" t="s">
        <v>1403</v>
      </c>
    </row>
    <row r="13" spans="1:20" x14ac:dyDescent="0.25">
      <c r="A13" t="s">
        <v>1397</v>
      </c>
      <c r="B13" t="s">
        <v>1399</v>
      </c>
      <c r="C13">
        <v>95232944</v>
      </c>
      <c r="D13" s="2">
        <v>27774.33</v>
      </c>
      <c r="E13" s="2">
        <v>35668.14</v>
      </c>
      <c r="F13" s="2">
        <f>E13-D13</f>
        <v>7893.8099999999977</v>
      </c>
      <c r="H13" t="s">
        <v>1397</v>
      </c>
      <c r="I13" t="s">
        <v>1398</v>
      </c>
      <c r="J13">
        <v>1225815</v>
      </c>
      <c r="K13" s="2">
        <v>29630.51</v>
      </c>
      <c r="L13" s="2">
        <v>38138.9</v>
      </c>
      <c r="M13" s="2">
        <f t="shared" ref="M13:M30" si="0">L13-K13</f>
        <v>8508.3900000000031</v>
      </c>
      <c r="O13" t="s">
        <v>1397</v>
      </c>
      <c r="P13" t="s">
        <v>1216</v>
      </c>
      <c r="Q13">
        <v>741841</v>
      </c>
      <c r="R13" s="2">
        <v>28744.69</v>
      </c>
      <c r="S13" s="2">
        <v>37023.69</v>
      </c>
      <c r="T13" s="2">
        <f t="shared" ref="T13:T19" si="1">S13-R13</f>
        <v>8279.0000000000036</v>
      </c>
    </row>
    <row r="14" spans="1:20" x14ac:dyDescent="0.25">
      <c r="A14" t="s">
        <v>1401</v>
      </c>
      <c r="B14" t="s">
        <v>1262</v>
      </c>
      <c r="C14">
        <v>95237832</v>
      </c>
      <c r="D14" s="2">
        <v>27071.040000000001</v>
      </c>
      <c r="E14" s="2">
        <v>35348.04</v>
      </c>
      <c r="F14" s="2">
        <f t="shared" ref="F14:F26" si="2">E14-D14</f>
        <v>8277</v>
      </c>
      <c r="H14" t="s">
        <v>1396</v>
      </c>
      <c r="I14" t="s">
        <v>1263</v>
      </c>
      <c r="J14">
        <v>1227551</v>
      </c>
      <c r="K14" s="2">
        <v>29441.38</v>
      </c>
      <c r="L14" s="2">
        <v>37983.78</v>
      </c>
      <c r="M14" s="2">
        <f t="shared" si="0"/>
        <v>8542.3999999999978</v>
      </c>
      <c r="O14" s="2" t="s">
        <v>1400</v>
      </c>
      <c r="P14" t="s">
        <v>1247</v>
      </c>
      <c r="Q14">
        <v>742464</v>
      </c>
      <c r="R14" s="2">
        <v>29106.54</v>
      </c>
      <c r="S14" s="2">
        <v>37486.14</v>
      </c>
      <c r="T14" s="2">
        <f t="shared" si="1"/>
        <v>8379.5999999999985</v>
      </c>
    </row>
    <row r="15" spans="1:20" x14ac:dyDescent="0.25">
      <c r="A15" t="s">
        <v>1404</v>
      </c>
      <c r="B15" t="s">
        <v>1349</v>
      </c>
      <c r="C15">
        <v>95242088</v>
      </c>
      <c r="D15" s="2">
        <v>26753.96</v>
      </c>
      <c r="E15" s="2">
        <v>34628.550000000003</v>
      </c>
      <c r="F15" s="2">
        <f t="shared" si="2"/>
        <v>7874.5900000000038</v>
      </c>
      <c r="H15" t="s">
        <v>1396</v>
      </c>
      <c r="I15" t="s">
        <v>1264</v>
      </c>
      <c r="J15">
        <v>1227552</v>
      </c>
      <c r="K15" s="2">
        <v>29375.21</v>
      </c>
      <c r="L15" s="2">
        <v>37898.410000000003</v>
      </c>
      <c r="M15" s="2">
        <f t="shared" si="0"/>
        <v>8523.2000000000044</v>
      </c>
      <c r="O15" s="2" t="s">
        <v>1402</v>
      </c>
      <c r="P15" t="s">
        <v>1353</v>
      </c>
      <c r="Q15">
        <v>742697</v>
      </c>
      <c r="R15" s="2">
        <v>28592.09</v>
      </c>
      <c r="S15" s="2">
        <v>36858.089999999997</v>
      </c>
      <c r="T15" s="2">
        <f t="shared" si="1"/>
        <v>8265.9999999999964</v>
      </c>
    </row>
    <row r="16" spans="1:20" x14ac:dyDescent="0.25">
      <c r="A16" t="s">
        <v>1447</v>
      </c>
      <c r="B16" t="s">
        <v>1350</v>
      </c>
      <c r="C16">
        <v>95244503</v>
      </c>
      <c r="D16" s="2">
        <v>26507.1</v>
      </c>
      <c r="E16" s="2">
        <v>34929.49</v>
      </c>
      <c r="F16" s="2">
        <f t="shared" si="2"/>
        <v>8422.39</v>
      </c>
      <c r="H16" s="2" t="s">
        <v>1402</v>
      </c>
      <c r="I16" t="s">
        <v>1265</v>
      </c>
      <c r="J16">
        <v>1227553</v>
      </c>
      <c r="K16" s="2">
        <v>29667.47</v>
      </c>
      <c r="L16" s="2">
        <v>38275.47</v>
      </c>
      <c r="M16" s="2">
        <f t="shared" si="0"/>
        <v>8608</v>
      </c>
      <c r="O16" s="2" t="s">
        <v>1481</v>
      </c>
      <c r="P16" t="s">
        <v>1358</v>
      </c>
      <c r="Q16">
        <v>743306</v>
      </c>
      <c r="R16" s="2">
        <v>27769.58</v>
      </c>
      <c r="S16" s="2">
        <v>36159.18</v>
      </c>
      <c r="T16" s="2">
        <f t="shared" si="1"/>
        <v>8389.5999999999985</v>
      </c>
    </row>
    <row r="17" spans="1:20" x14ac:dyDescent="0.25">
      <c r="A17" t="s">
        <v>1447</v>
      </c>
      <c r="B17" t="s">
        <v>1351</v>
      </c>
      <c r="C17">
        <v>95246908</v>
      </c>
      <c r="D17" s="2">
        <v>25393.919999999998</v>
      </c>
      <c r="E17" s="2">
        <v>33547.519999999997</v>
      </c>
      <c r="F17" s="2">
        <f t="shared" si="2"/>
        <v>8153.5999999999985</v>
      </c>
      <c r="H17" s="2" t="s">
        <v>1402</v>
      </c>
      <c r="I17" t="s">
        <v>1266</v>
      </c>
      <c r="J17">
        <v>1227554</v>
      </c>
      <c r="K17" s="2">
        <v>29630.25</v>
      </c>
      <c r="L17" s="2">
        <v>38227.449999999997</v>
      </c>
      <c r="M17" s="2">
        <f t="shared" si="0"/>
        <v>8597.1999999999971</v>
      </c>
      <c r="O17" s="2" t="s">
        <v>1452</v>
      </c>
      <c r="P17" t="s">
        <v>1468</v>
      </c>
      <c r="Q17">
        <v>743534</v>
      </c>
      <c r="R17" s="2">
        <v>27438.77</v>
      </c>
      <c r="S17" s="2">
        <v>35749.769999999997</v>
      </c>
      <c r="T17" s="2">
        <f t="shared" si="1"/>
        <v>8310.9999999999964</v>
      </c>
    </row>
    <row r="18" spans="1:20" x14ac:dyDescent="0.25">
      <c r="A18" t="s">
        <v>1452</v>
      </c>
      <c r="B18" t="s">
        <v>1448</v>
      </c>
      <c r="C18">
        <v>95249080</v>
      </c>
      <c r="D18" s="2">
        <v>26686.62</v>
      </c>
      <c r="E18" s="2">
        <v>34724.660000000003</v>
      </c>
      <c r="F18" s="2">
        <f t="shared" si="2"/>
        <v>8038.0400000000045</v>
      </c>
      <c r="H18" t="s">
        <v>1404</v>
      </c>
      <c r="I18" t="s">
        <v>1267</v>
      </c>
      <c r="J18">
        <v>1228061</v>
      </c>
      <c r="K18" s="2">
        <v>27852.34</v>
      </c>
      <c r="L18" s="2">
        <v>35991.54</v>
      </c>
      <c r="M18" s="2">
        <f t="shared" si="0"/>
        <v>8139.2000000000007</v>
      </c>
      <c r="O18" s="2" t="s">
        <v>1453</v>
      </c>
      <c r="P18" t="s">
        <v>1469</v>
      </c>
      <c r="Q18">
        <v>744090</v>
      </c>
      <c r="R18" s="2">
        <v>27606.33</v>
      </c>
      <c r="S18" s="2">
        <v>35885.33</v>
      </c>
      <c r="T18" s="2">
        <f t="shared" si="1"/>
        <v>8279</v>
      </c>
    </row>
    <row r="19" spans="1:20" x14ac:dyDescent="0.25">
      <c r="A19" t="s">
        <v>1453</v>
      </c>
      <c r="B19" t="s">
        <v>1449</v>
      </c>
      <c r="C19">
        <v>95253018</v>
      </c>
      <c r="D19" s="2">
        <v>25276.86</v>
      </c>
      <c r="E19" s="2">
        <v>32562.25</v>
      </c>
      <c r="F19" s="2">
        <f t="shared" si="2"/>
        <v>7285.3899999999994</v>
      </c>
      <c r="H19" t="s">
        <v>1498</v>
      </c>
      <c r="I19" t="s">
        <v>1367</v>
      </c>
      <c r="J19">
        <v>1229781</v>
      </c>
      <c r="K19" s="2">
        <v>28082.799999999999</v>
      </c>
      <c r="L19" s="2">
        <v>36621.199999999997</v>
      </c>
      <c r="M19" s="2">
        <f t="shared" si="0"/>
        <v>8538.3999999999978</v>
      </c>
      <c r="O19" s="2" t="s">
        <v>1522</v>
      </c>
      <c r="P19" t="s">
        <v>1470</v>
      </c>
      <c r="Q19">
        <v>744342</v>
      </c>
      <c r="R19" s="2">
        <v>27094.11</v>
      </c>
      <c r="S19" s="37">
        <v>35730.36</v>
      </c>
      <c r="T19" s="2">
        <f t="shared" si="1"/>
        <v>8636.25</v>
      </c>
    </row>
    <row r="20" spans="1:20" x14ac:dyDescent="0.25">
      <c r="A20" t="s">
        <v>1454</v>
      </c>
      <c r="B20" t="s">
        <v>1450</v>
      </c>
      <c r="C20">
        <v>98253964</v>
      </c>
      <c r="D20" s="2">
        <v>25532.79</v>
      </c>
      <c r="E20" s="2">
        <v>32845.99</v>
      </c>
      <c r="F20" s="2">
        <f t="shared" si="2"/>
        <v>7313.1999999999971</v>
      </c>
      <c r="H20" t="s">
        <v>1499</v>
      </c>
      <c r="I20" t="s">
        <v>1368</v>
      </c>
      <c r="J20">
        <v>1229782</v>
      </c>
      <c r="K20" s="2">
        <v>28064.37</v>
      </c>
      <c r="L20" s="2">
        <v>36597.18</v>
      </c>
      <c r="M20" s="2">
        <f t="shared" si="0"/>
        <v>8532.8100000000013</v>
      </c>
      <c r="T20" s="2"/>
    </row>
    <row r="21" spans="1:20" x14ac:dyDescent="0.25">
      <c r="A21" t="s">
        <v>1455</v>
      </c>
      <c r="B21" t="s">
        <v>1451</v>
      </c>
      <c r="C21" s="82"/>
      <c r="F21" s="2">
        <f t="shared" si="2"/>
        <v>0</v>
      </c>
      <c r="H21" t="s">
        <v>1499</v>
      </c>
      <c r="I21" t="s">
        <v>1369</v>
      </c>
      <c r="J21">
        <v>1230299</v>
      </c>
      <c r="K21" s="2">
        <v>28528.240000000002</v>
      </c>
      <c r="L21" s="2">
        <v>37031.440000000002</v>
      </c>
      <c r="M21" s="2">
        <f t="shared" si="0"/>
        <v>8503.2000000000007</v>
      </c>
      <c r="T21" s="114">
        <f>SUM(T13:T19)</f>
        <v>58540.45</v>
      </c>
    </row>
    <row r="22" spans="1:20" x14ac:dyDescent="0.25">
      <c r="A22" t="s">
        <v>1610</v>
      </c>
      <c r="B22" t="s">
        <v>1463</v>
      </c>
      <c r="C22">
        <v>95263150</v>
      </c>
      <c r="D22" s="2">
        <v>26469.51</v>
      </c>
      <c r="E22" s="2">
        <v>34701.32</v>
      </c>
      <c r="F22" s="2">
        <f t="shared" si="2"/>
        <v>8231.8100000000013</v>
      </c>
      <c r="H22" t="s">
        <v>1499</v>
      </c>
      <c r="I22" t="s">
        <v>1370</v>
      </c>
      <c r="J22">
        <v>1230134</v>
      </c>
      <c r="K22" s="2">
        <v>28622.85</v>
      </c>
      <c r="L22" s="2">
        <v>37154.25</v>
      </c>
      <c r="M22" s="2">
        <f t="shared" si="0"/>
        <v>8531.4000000000015</v>
      </c>
      <c r="T22" s="2"/>
    </row>
    <row r="23" spans="1:20" x14ac:dyDescent="0.25">
      <c r="A23" t="s">
        <v>1618</v>
      </c>
      <c r="B23" t="s">
        <v>1464</v>
      </c>
      <c r="C23">
        <v>95264811</v>
      </c>
      <c r="D23" s="2">
        <v>26780.29</v>
      </c>
      <c r="E23" s="2">
        <v>34376.29</v>
      </c>
      <c r="F23" s="2">
        <f t="shared" si="2"/>
        <v>7596</v>
      </c>
      <c r="H23" t="s">
        <v>1452</v>
      </c>
      <c r="I23" t="s">
        <v>1371</v>
      </c>
      <c r="J23">
        <v>1230300</v>
      </c>
      <c r="K23" s="2">
        <v>28913.599999999999</v>
      </c>
      <c r="L23" s="2">
        <v>37498.410000000003</v>
      </c>
      <c r="M23" s="2">
        <f t="shared" si="0"/>
        <v>8584.8100000000049</v>
      </c>
      <c r="T23" s="2"/>
    </row>
    <row r="24" spans="1:20" x14ac:dyDescent="0.25">
      <c r="A24" t="s">
        <v>1635</v>
      </c>
      <c r="B24" t="s">
        <v>1465</v>
      </c>
      <c r="C24">
        <v>95268727</v>
      </c>
      <c r="D24" s="110">
        <v>26773.84</v>
      </c>
      <c r="E24" s="2">
        <v>34815.24</v>
      </c>
      <c r="F24" s="2">
        <f t="shared" si="2"/>
        <v>8041.3999999999978</v>
      </c>
      <c r="H24" t="s">
        <v>1537</v>
      </c>
      <c r="I24" t="s">
        <v>1456</v>
      </c>
      <c r="J24">
        <v>1232037</v>
      </c>
      <c r="K24" s="2">
        <v>27805.119999999999</v>
      </c>
      <c r="L24" s="2">
        <v>36314.720000000001</v>
      </c>
      <c r="M24" s="2">
        <f t="shared" si="0"/>
        <v>8509.6000000000022</v>
      </c>
      <c r="T24" s="2"/>
    </row>
    <row r="25" spans="1:20" x14ac:dyDescent="0.25">
      <c r="A25" t="s">
        <v>1672</v>
      </c>
      <c r="B25" t="s">
        <v>1466</v>
      </c>
      <c r="C25">
        <v>95273388</v>
      </c>
      <c r="D25" s="2">
        <v>27471.84</v>
      </c>
      <c r="E25" s="2">
        <v>35186.44</v>
      </c>
      <c r="F25" s="2">
        <f t="shared" si="2"/>
        <v>7714.6000000000022</v>
      </c>
      <c r="H25" t="s">
        <v>1537</v>
      </c>
      <c r="I25" t="s">
        <v>1457</v>
      </c>
      <c r="J25">
        <v>1232038</v>
      </c>
      <c r="K25" s="2">
        <v>27942.36</v>
      </c>
      <c r="L25" s="2">
        <v>36493.949999999997</v>
      </c>
      <c r="M25" s="2">
        <f t="shared" si="0"/>
        <v>8551.5899999999965</v>
      </c>
    </row>
    <row r="26" spans="1:20" x14ac:dyDescent="0.25">
      <c r="A26" t="s">
        <v>1682</v>
      </c>
      <c r="B26" t="s">
        <v>1467</v>
      </c>
      <c r="C26">
        <v>95272538</v>
      </c>
      <c r="D26" s="2">
        <v>26074.35</v>
      </c>
      <c r="E26" s="2">
        <v>34112.15</v>
      </c>
      <c r="F26" s="2">
        <f t="shared" si="2"/>
        <v>8037.8000000000029</v>
      </c>
      <c r="H26" t="s">
        <v>1538</v>
      </c>
      <c r="I26" t="s">
        <v>1458</v>
      </c>
      <c r="J26">
        <v>1232039</v>
      </c>
      <c r="K26" s="2">
        <v>27990.54</v>
      </c>
      <c r="L26" s="2">
        <v>36517.730000000003</v>
      </c>
      <c r="M26" s="2">
        <f t="shared" si="0"/>
        <v>8527.1900000000023</v>
      </c>
    </row>
    <row r="27" spans="1:20" x14ac:dyDescent="0.25">
      <c r="A27" t="s">
        <v>1692</v>
      </c>
      <c r="B27" t="s">
        <v>1591</v>
      </c>
      <c r="C27">
        <v>95278520</v>
      </c>
      <c r="D27" s="2">
        <v>27431.439999999999</v>
      </c>
      <c r="E27" s="2">
        <v>32735.1</v>
      </c>
      <c r="F27" s="2">
        <f>E27-D27</f>
        <v>5303.66</v>
      </c>
      <c r="H27" t="s">
        <v>1538</v>
      </c>
      <c r="I27" t="s">
        <v>1459</v>
      </c>
      <c r="J27">
        <v>1232040</v>
      </c>
      <c r="K27" s="2">
        <v>27903.88</v>
      </c>
      <c r="L27" s="2">
        <v>36404.68</v>
      </c>
      <c r="M27" s="2">
        <f t="shared" si="0"/>
        <v>8500.7999999999993</v>
      </c>
    </row>
    <row r="28" spans="1:20" x14ac:dyDescent="0.25">
      <c r="A28" t="s">
        <v>1692</v>
      </c>
      <c r="B28" t="s">
        <v>1680</v>
      </c>
      <c r="C28">
        <v>95278519</v>
      </c>
      <c r="D28" s="2">
        <v>25741.07</v>
      </c>
      <c r="E28" s="37">
        <v>30444.58</v>
      </c>
      <c r="F28" s="2">
        <f>E28-D28</f>
        <v>4703.510000000002</v>
      </c>
      <c r="H28" t="s">
        <v>1522</v>
      </c>
      <c r="I28" t="s">
        <v>1460</v>
      </c>
      <c r="J28">
        <v>1232468</v>
      </c>
      <c r="K28" s="2">
        <v>27905.11</v>
      </c>
      <c r="L28" s="2">
        <v>36401.11</v>
      </c>
      <c r="M28" s="2">
        <f t="shared" si="0"/>
        <v>8496</v>
      </c>
    </row>
    <row r="29" spans="1:20" x14ac:dyDescent="0.25">
      <c r="H29" t="s">
        <v>1609</v>
      </c>
      <c r="I29" t="s">
        <v>1461</v>
      </c>
      <c r="J29">
        <v>1234130</v>
      </c>
      <c r="K29" s="2">
        <v>28728.36</v>
      </c>
      <c r="L29" s="2">
        <v>35579</v>
      </c>
      <c r="M29" s="2">
        <f t="shared" si="0"/>
        <v>6850.6399999999994</v>
      </c>
    </row>
    <row r="30" spans="1:20" x14ac:dyDescent="0.25">
      <c r="F30" s="85">
        <f>SUM(F13:F28)</f>
        <v>112886.80000000002</v>
      </c>
      <c r="H30" t="s">
        <v>1609</v>
      </c>
      <c r="I30" t="s">
        <v>1462</v>
      </c>
      <c r="J30">
        <v>1234131</v>
      </c>
      <c r="K30" s="2">
        <v>28644.12</v>
      </c>
      <c r="L30" s="37">
        <v>35474.67</v>
      </c>
      <c r="M30" s="2">
        <f t="shared" si="0"/>
        <v>6830.5499999999993</v>
      </c>
    </row>
    <row r="31" spans="1:20" x14ac:dyDescent="0.25">
      <c r="J31"/>
    </row>
    <row r="32" spans="1:20" x14ac:dyDescent="0.25">
      <c r="J32"/>
    </row>
    <row r="33" spans="13:13" x14ac:dyDescent="0.25">
      <c r="M33" s="85">
        <f>SUM(M13:M30)</f>
        <v>149875.38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3" workbookViewId="0">
      <selection activeCell="F27" sqref="F27"/>
    </sheetView>
  </sheetViews>
  <sheetFormatPr baseColWidth="10" defaultRowHeight="15" x14ac:dyDescent="0.25"/>
  <cols>
    <col min="3" max="3" width="15" customWidth="1"/>
    <col min="4" max="4" width="14.85546875" customWidth="1"/>
    <col min="6" max="6" width="14.85546875" style="2" customWidth="1"/>
    <col min="7" max="8" width="14.28515625" style="2" customWidth="1"/>
    <col min="9" max="9" width="13.42578125" style="2" customWidth="1"/>
  </cols>
  <sheetData>
    <row r="1" spans="1:10" x14ac:dyDescent="0.25">
      <c r="A1" t="s">
        <v>2294</v>
      </c>
    </row>
    <row r="3" spans="1:10" x14ac:dyDescent="0.25">
      <c r="A3" t="s">
        <v>2295</v>
      </c>
    </row>
    <row r="5" spans="1:10" x14ac:dyDescent="0.25">
      <c r="F5" s="2" t="s">
        <v>2282</v>
      </c>
      <c r="G5" s="2" t="s">
        <v>2283</v>
      </c>
      <c r="H5" s="2" t="s">
        <v>2284</v>
      </c>
      <c r="I5" s="2" t="s">
        <v>754</v>
      </c>
    </row>
    <row r="6" spans="1:10" x14ac:dyDescent="0.25">
      <c r="A6" t="s">
        <v>2277</v>
      </c>
    </row>
    <row r="7" spans="1:10" x14ac:dyDescent="0.25">
      <c r="A7" t="s">
        <v>2279</v>
      </c>
      <c r="D7" t="s">
        <v>2278</v>
      </c>
      <c r="F7" s="2">
        <v>752040</v>
      </c>
      <c r="I7" s="2">
        <f t="shared" ref="I7" si="0">F7+G7-H7</f>
        <v>752040</v>
      </c>
    </row>
    <row r="8" spans="1:10" x14ac:dyDescent="0.25">
      <c r="A8" t="s">
        <v>16</v>
      </c>
    </row>
    <row r="9" spans="1:10" x14ac:dyDescent="0.25">
      <c r="A9" t="s">
        <v>2280</v>
      </c>
      <c r="D9" t="s">
        <v>2281</v>
      </c>
      <c r="F9" s="2">
        <v>17300</v>
      </c>
      <c r="G9" s="2">
        <v>2768</v>
      </c>
      <c r="H9" s="2">
        <v>692</v>
      </c>
      <c r="I9" s="2">
        <f>F9+G9-H9</f>
        <v>19376</v>
      </c>
      <c r="J9" s="47" t="s">
        <v>2305</v>
      </c>
    </row>
    <row r="10" spans="1:10" x14ac:dyDescent="0.25">
      <c r="A10" t="s">
        <v>2285</v>
      </c>
    </row>
    <row r="11" spans="1:10" x14ac:dyDescent="0.25">
      <c r="A11" t="s">
        <v>2279</v>
      </c>
      <c r="D11" t="s">
        <v>2286</v>
      </c>
      <c r="E11">
        <v>257</v>
      </c>
      <c r="F11" s="2">
        <f>E11*135</f>
        <v>34695</v>
      </c>
      <c r="I11" s="2">
        <f t="shared" ref="I11" si="1">F11+G11-H11</f>
        <v>34695</v>
      </c>
      <c r="J11" s="47" t="s">
        <v>2306</v>
      </c>
    </row>
    <row r="14" spans="1:10" x14ac:dyDescent="0.25">
      <c r="I14" s="2">
        <f>SUM(I7:I11)</f>
        <v>806111</v>
      </c>
    </row>
    <row r="15" spans="1:10" x14ac:dyDescent="0.25">
      <c r="A15" t="s">
        <v>2287</v>
      </c>
    </row>
    <row r="16" spans="1:10" x14ac:dyDescent="0.25">
      <c r="A16" t="s">
        <v>2293</v>
      </c>
    </row>
    <row r="17" spans="1:9" x14ac:dyDescent="0.25">
      <c r="A17" t="s">
        <v>2292</v>
      </c>
    </row>
    <row r="19" spans="1:9" x14ac:dyDescent="0.25">
      <c r="D19" s="47" t="s">
        <v>2299</v>
      </c>
      <c r="E19" s="47" t="s">
        <v>2300</v>
      </c>
      <c r="F19" s="142" t="s">
        <v>2301</v>
      </c>
    </row>
    <row r="20" spans="1:9" ht="45" x14ac:dyDescent="0.25">
      <c r="B20" t="s">
        <v>2289</v>
      </c>
      <c r="C20" t="s">
        <v>2297</v>
      </c>
      <c r="D20" s="83" t="s">
        <v>2296</v>
      </c>
      <c r="E20" t="s">
        <v>2290</v>
      </c>
      <c r="F20" s="84" t="s">
        <v>2298</v>
      </c>
      <c r="G20" s="143" t="s">
        <v>2302</v>
      </c>
    </row>
    <row r="21" spans="1:9" x14ac:dyDescent="0.25">
      <c r="B21" t="s">
        <v>2288</v>
      </c>
      <c r="C21" s="141">
        <v>31335</v>
      </c>
      <c r="D21" s="141">
        <v>25100</v>
      </c>
      <c r="E21" s="140">
        <v>0.80100000000000005</v>
      </c>
      <c r="F21" s="2">
        <v>35</v>
      </c>
      <c r="G21" s="2">
        <f>F21*D21</f>
        <v>878500</v>
      </c>
    </row>
    <row r="22" spans="1:9" x14ac:dyDescent="0.25">
      <c r="I22"/>
    </row>
    <row r="23" spans="1:9" x14ac:dyDescent="0.25">
      <c r="C23" s="47" t="s">
        <v>2304</v>
      </c>
    </row>
    <row r="24" spans="1:9" ht="60" x14ac:dyDescent="0.25">
      <c r="C24" s="84" t="s">
        <v>2291</v>
      </c>
      <c r="D24" s="84" t="s">
        <v>2303</v>
      </c>
    </row>
    <row r="25" spans="1:9" x14ac:dyDescent="0.25">
      <c r="C25" s="2">
        <f>I14</f>
        <v>806111</v>
      </c>
      <c r="D25" s="78">
        <f>C25/25100*31335</f>
        <v>1006354.1109561754</v>
      </c>
      <c r="E25" s="129">
        <f>D25/C21</f>
        <v>32.115976095617533</v>
      </c>
    </row>
    <row r="26" spans="1:9" x14ac:dyDescent="0.25">
      <c r="C26" s="2"/>
      <c r="D26" s="2"/>
      <c r="I26"/>
    </row>
    <row r="27" spans="1:9" x14ac:dyDescent="0.25">
      <c r="C27" s="141">
        <v>25100</v>
      </c>
      <c r="D27" s="129">
        <v>32.119999999999997</v>
      </c>
      <c r="F27" s="2">
        <f>D27*C27+F9+F11</f>
        <v>858206.99999999988</v>
      </c>
      <c r="I2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F29" sqref="F29"/>
    </sheetView>
  </sheetViews>
  <sheetFormatPr baseColWidth="10" defaultRowHeight="15" x14ac:dyDescent="0.25"/>
  <cols>
    <col min="3" max="3" width="14.7109375" customWidth="1"/>
    <col min="4" max="4" width="14.140625" style="2" bestFit="1" customWidth="1"/>
    <col min="5" max="5" width="14.140625" bestFit="1" customWidth="1"/>
    <col min="6" max="6" width="14.5703125" customWidth="1"/>
    <col min="9" max="9" width="23.7109375" customWidth="1"/>
    <col min="10" max="10" width="12.5703125" style="2" bestFit="1" customWidth="1"/>
  </cols>
  <sheetData>
    <row r="2" spans="1:10" x14ac:dyDescent="0.25">
      <c r="A2" t="s">
        <v>2883</v>
      </c>
    </row>
    <row r="4" spans="1:10" x14ac:dyDescent="0.25">
      <c r="A4" t="s">
        <v>2884</v>
      </c>
      <c r="D4" s="2" t="s">
        <v>2885</v>
      </c>
      <c r="G4" t="s">
        <v>2886</v>
      </c>
    </row>
    <row r="6" spans="1:10" x14ac:dyDescent="0.25">
      <c r="D6" s="2" t="s">
        <v>2890</v>
      </c>
      <c r="E6" t="s">
        <v>2283</v>
      </c>
      <c r="F6" t="s">
        <v>2891</v>
      </c>
    </row>
    <row r="7" spans="1:10" x14ac:dyDescent="0.25">
      <c r="A7" t="s">
        <v>2887</v>
      </c>
      <c r="D7" s="2">
        <v>20000</v>
      </c>
      <c r="E7" s="2">
        <f>D7*0.16</f>
        <v>3200</v>
      </c>
      <c r="F7" s="2">
        <f>E7+D7</f>
        <v>23200</v>
      </c>
      <c r="H7" t="s">
        <v>2533</v>
      </c>
    </row>
    <row r="8" spans="1:10" x14ac:dyDescent="0.25">
      <c r="A8" t="s">
        <v>2888</v>
      </c>
      <c r="E8" s="2"/>
      <c r="F8" s="2"/>
    </row>
    <row r="9" spans="1:10" x14ac:dyDescent="0.25">
      <c r="A9" t="s">
        <v>2889</v>
      </c>
      <c r="D9" s="2">
        <v>350100</v>
      </c>
      <c r="E9" s="2">
        <f t="shared" ref="E9:E11" si="0">D9*0.16</f>
        <v>56016</v>
      </c>
      <c r="F9" s="2">
        <f t="shared" ref="F9:F11" si="1">E9+D9</f>
        <v>406116</v>
      </c>
      <c r="H9" s="75">
        <v>42472</v>
      </c>
      <c r="I9" t="s">
        <v>2894</v>
      </c>
      <c r="J9" s="2">
        <v>342026</v>
      </c>
    </row>
    <row r="10" spans="1:10" x14ac:dyDescent="0.25">
      <c r="A10" t="s">
        <v>2892</v>
      </c>
      <c r="E10" s="2"/>
      <c r="F10" s="2"/>
      <c r="H10" s="75">
        <v>42506</v>
      </c>
      <c r="I10" t="s">
        <v>2895</v>
      </c>
      <c r="J10" s="2">
        <v>273620.8</v>
      </c>
    </row>
    <row r="11" spans="1:10" x14ac:dyDescent="0.25">
      <c r="A11" t="s">
        <v>2893</v>
      </c>
      <c r="D11" s="2">
        <v>201000</v>
      </c>
      <c r="E11" s="2">
        <f t="shared" si="0"/>
        <v>32160</v>
      </c>
      <c r="F11" s="2">
        <f t="shared" si="1"/>
        <v>233160</v>
      </c>
      <c r="H11" s="75">
        <v>42529</v>
      </c>
      <c r="I11" t="s">
        <v>2896</v>
      </c>
      <c r="J11" s="2">
        <v>46829.2</v>
      </c>
    </row>
    <row r="12" spans="1:10" x14ac:dyDescent="0.25">
      <c r="E12" s="2"/>
      <c r="F12" s="2"/>
    </row>
    <row r="13" spans="1:10" x14ac:dyDescent="0.25">
      <c r="D13" s="2">
        <f>SUM(D7:D12)</f>
        <v>571100</v>
      </c>
      <c r="E13" s="2"/>
      <c r="F13" s="51">
        <f>SUM(F7:F12)</f>
        <v>662476</v>
      </c>
      <c r="J13" s="51">
        <f>SUM(J9:J12)</f>
        <v>662476</v>
      </c>
    </row>
    <row r="14" spans="1:10" x14ac:dyDescent="0.25">
      <c r="E14" s="2"/>
      <c r="F14" s="2"/>
    </row>
    <row r="15" spans="1:10" x14ac:dyDescent="0.25">
      <c r="E15" s="2"/>
      <c r="F15" s="2"/>
    </row>
    <row r="16" spans="1:10" x14ac:dyDescent="0.25">
      <c r="E16" s="2"/>
      <c r="F16" s="2"/>
    </row>
    <row r="17" spans="4:6" x14ac:dyDescent="0.25">
      <c r="D17" s="2">
        <v>100000</v>
      </c>
      <c r="E17" s="2"/>
      <c r="F17" s="2"/>
    </row>
    <row r="18" spans="4:6" x14ac:dyDescent="0.25">
      <c r="D18" s="2">
        <v>200000</v>
      </c>
      <c r="E18" s="2"/>
      <c r="F18" s="2"/>
    </row>
    <row r="19" spans="4:6" x14ac:dyDescent="0.25">
      <c r="D19" s="2">
        <v>250000</v>
      </c>
      <c r="E19" s="2"/>
      <c r="F19" s="2"/>
    </row>
    <row r="20" spans="4:6" x14ac:dyDescent="0.25">
      <c r="D20" s="2">
        <v>60000</v>
      </c>
      <c r="E20" s="2"/>
      <c r="F20" s="2"/>
    </row>
    <row r="21" spans="4:6" x14ac:dyDescent="0.25">
      <c r="D21" s="2">
        <v>250000</v>
      </c>
      <c r="E21" s="2"/>
      <c r="F21" s="2"/>
    </row>
    <row r="22" spans="4:6" x14ac:dyDescent="0.25">
      <c r="D22" s="2">
        <v>40000</v>
      </c>
    </row>
    <row r="23" spans="4:6" x14ac:dyDescent="0.25">
      <c r="D23" s="2">
        <v>300000</v>
      </c>
    </row>
    <row r="24" spans="4:6" x14ac:dyDescent="0.25">
      <c r="D24" s="2">
        <v>500000</v>
      </c>
    </row>
    <row r="25" spans="4:6" x14ac:dyDescent="0.25">
      <c r="D25" s="2">
        <v>300000</v>
      </c>
    </row>
    <row r="26" spans="4:6" x14ac:dyDescent="0.25">
      <c r="D26" s="2">
        <v>300000</v>
      </c>
    </row>
    <row r="27" spans="4:6" x14ac:dyDescent="0.25">
      <c r="D27" s="2">
        <v>500000</v>
      </c>
    </row>
    <row r="28" spans="4:6" x14ac:dyDescent="0.25">
      <c r="D28" s="2">
        <f>SUM(D17:D27)</f>
        <v>2800000</v>
      </c>
      <c r="E28" s="2">
        <v>2351852.12</v>
      </c>
      <c r="F28" s="129">
        <f>D28-E28</f>
        <v>448147.87999999989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9"/>
  <sheetViews>
    <sheetView topLeftCell="A32" zoomScale="75" zoomScaleNormal="75" workbookViewId="0">
      <selection activeCell="Q51" sqref="Q51:R52"/>
    </sheetView>
  </sheetViews>
  <sheetFormatPr baseColWidth="10" defaultRowHeight="15" x14ac:dyDescent="0.25"/>
  <cols>
    <col min="1" max="1" width="3.28515625" customWidth="1"/>
    <col min="2" max="2" width="14.5703125" bestFit="1" customWidth="1"/>
    <col min="3" max="3" width="11.7109375" customWidth="1"/>
    <col min="4" max="4" width="19.140625" customWidth="1"/>
    <col min="5" max="5" width="11" bestFit="1" customWidth="1"/>
    <col min="8" max="8" width="10.5703125" customWidth="1"/>
    <col min="9" max="9" width="12.85546875" customWidth="1"/>
    <col min="13" max="13" width="3.28515625" customWidth="1"/>
    <col min="14" max="14" width="6.42578125" customWidth="1"/>
    <col min="16" max="16" width="10.7109375" customWidth="1"/>
    <col min="17" max="17" width="11.85546875" bestFit="1" customWidth="1"/>
    <col min="19" max="19" width="13.42578125" customWidth="1"/>
    <col min="23" max="23" width="0" hidden="1" customWidth="1"/>
    <col min="25" max="25" width="15.85546875" customWidth="1"/>
    <col min="26" max="26" width="13.5703125" customWidth="1"/>
  </cols>
  <sheetData>
    <row r="1" spans="1:28" x14ac:dyDescent="0.25">
      <c r="A1" s="1" t="s">
        <v>854</v>
      </c>
      <c r="AA1" s="2"/>
      <c r="AB1" s="2"/>
    </row>
    <row r="2" spans="1:28" s="12" customFormat="1" ht="30.7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1268</v>
      </c>
      <c r="H2" s="5" t="s">
        <v>7</v>
      </c>
      <c r="I2" s="6" t="s">
        <v>8</v>
      </c>
      <c r="J2" s="4" t="s">
        <v>9</v>
      </c>
      <c r="K2" s="7" t="s">
        <v>10</v>
      </c>
      <c r="L2" s="7" t="s">
        <v>11</v>
      </c>
      <c r="M2" s="4" t="s">
        <v>12</v>
      </c>
      <c r="N2" s="4" t="s">
        <v>13</v>
      </c>
      <c r="O2" s="8" t="s">
        <v>14</v>
      </c>
      <c r="P2" s="9" t="s">
        <v>15</v>
      </c>
      <c r="Q2" s="8" t="s">
        <v>16</v>
      </c>
      <c r="R2" s="10" t="s">
        <v>17</v>
      </c>
      <c r="S2" s="10" t="s">
        <v>18</v>
      </c>
      <c r="T2" s="10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1" t="s">
        <v>24</v>
      </c>
      <c r="Z2" s="8"/>
      <c r="AA2" s="2"/>
      <c r="AB2" s="2"/>
    </row>
    <row r="3" spans="1:28" s="12" customFormat="1" x14ac:dyDescent="0.25">
      <c r="A3" s="90"/>
      <c r="B3" s="24" t="s">
        <v>32</v>
      </c>
      <c r="C3" s="14" t="s">
        <v>33</v>
      </c>
      <c r="D3" s="25" t="s">
        <v>34</v>
      </c>
      <c r="E3" s="14">
        <v>250</v>
      </c>
      <c r="F3" s="26">
        <v>23955</v>
      </c>
      <c r="G3" s="27">
        <f>13630+5360</f>
        <v>18990</v>
      </c>
      <c r="H3" s="27">
        <f t="shared" ref="H3:H4" si="0">G3-F3</f>
        <v>-4965</v>
      </c>
      <c r="I3" s="25" t="s">
        <v>1141</v>
      </c>
      <c r="J3" s="14"/>
      <c r="K3" s="17"/>
      <c r="L3" s="17">
        <v>42401</v>
      </c>
      <c r="M3" s="25" t="s">
        <v>39</v>
      </c>
      <c r="N3" s="14"/>
      <c r="O3" s="18">
        <v>22</v>
      </c>
      <c r="P3" s="19"/>
      <c r="Q3" s="29">
        <v>16500</v>
      </c>
      <c r="R3" s="18">
        <f>59.25*E3</f>
        <v>14812.5</v>
      </c>
      <c r="S3" s="102">
        <f t="shared" ref="S3" si="1">-35*E3</f>
        <v>-8750</v>
      </c>
      <c r="T3" s="101">
        <f>W3*F3*0.0045</f>
        <v>3126.7661107819904</v>
      </c>
      <c r="U3" s="18">
        <f>E3*5</f>
        <v>1250</v>
      </c>
      <c r="V3" s="14"/>
      <c r="W3" s="18">
        <f>((O3*F3)+Q3+R3+S3+U3)/G3</f>
        <v>29.005924170616115</v>
      </c>
      <c r="X3" s="18">
        <f>((O3*F3)+Q3+R3+S3+T3+U3)/G3</f>
        <v>29.170577467655715</v>
      </c>
      <c r="Y3" s="21">
        <f t="shared" ref="Y3:Y11" si="2">X3*F3</f>
        <v>698781.18323769269</v>
      </c>
      <c r="Z3" s="32">
        <v>42415</v>
      </c>
      <c r="AA3" s="2">
        <v>31.5</v>
      </c>
      <c r="AB3" s="2" t="s">
        <v>1172</v>
      </c>
    </row>
    <row r="4" spans="1:28" s="12" customFormat="1" x14ac:dyDescent="0.25">
      <c r="A4" s="90"/>
      <c r="B4" s="24" t="s">
        <v>25</v>
      </c>
      <c r="C4" s="14" t="s">
        <v>26</v>
      </c>
      <c r="D4" s="25" t="s">
        <v>931</v>
      </c>
      <c r="E4" s="14" t="s">
        <v>27</v>
      </c>
      <c r="F4" s="26">
        <v>18597.599999999999</v>
      </c>
      <c r="G4" s="27">
        <v>18629.060000000001</v>
      </c>
      <c r="H4" s="27">
        <f t="shared" si="0"/>
        <v>31.460000000002765</v>
      </c>
      <c r="I4" s="25" t="s">
        <v>1199</v>
      </c>
      <c r="J4" s="14"/>
      <c r="K4" s="17"/>
      <c r="L4" s="17">
        <v>42401</v>
      </c>
      <c r="M4" s="25" t="s">
        <v>39</v>
      </c>
      <c r="N4" s="14"/>
      <c r="O4" s="18">
        <v>30</v>
      </c>
      <c r="P4" s="19"/>
      <c r="Q4" s="18"/>
      <c r="R4" s="18"/>
      <c r="S4" s="30"/>
      <c r="T4" s="31"/>
      <c r="U4" s="18"/>
      <c r="V4" s="18"/>
      <c r="W4" s="18">
        <f>IF(O4&gt;0,O4,((P4*2.2046*S4)+(Q4+R4)/G4)+V4)</f>
        <v>30</v>
      </c>
      <c r="X4" s="18">
        <f>IF(O4&gt;0,O4,((P4*2.2046*S4)+(Q4+R4+T4)/G4)+V4)</f>
        <v>30</v>
      </c>
      <c r="Y4" s="21">
        <f>X4*F4</f>
        <v>557928</v>
      </c>
      <c r="Z4" s="32">
        <v>42408</v>
      </c>
      <c r="AA4" s="2">
        <v>31</v>
      </c>
      <c r="AB4" s="2"/>
    </row>
    <row r="5" spans="1:28" s="12" customFormat="1" x14ac:dyDescent="0.25">
      <c r="A5" s="90"/>
      <c r="B5" s="24" t="s">
        <v>32</v>
      </c>
      <c r="C5" s="14" t="s">
        <v>33</v>
      </c>
      <c r="D5" s="25" t="s">
        <v>1102</v>
      </c>
      <c r="E5" s="14">
        <v>250</v>
      </c>
      <c r="F5" s="26">
        <v>25285</v>
      </c>
      <c r="G5" s="27">
        <f>6490+13830</f>
        <v>20320</v>
      </c>
      <c r="H5" s="27">
        <f>G5-F5</f>
        <v>-4965</v>
      </c>
      <c r="I5" s="12" t="s">
        <v>1174</v>
      </c>
      <c r="J5" s="14"/>
      <c r="K5" s="17"/>
      <c r="L5" s="17">
        <v>42402</v>
      </c>
      <c r="M5" s="25" t="s">
        <v>45</v>
      </c>
      <c r="N5" s="14"/>
      <c r="O5" s="18">
        <v>22</v>
      </c>
      <c r="P5" s="19"/>
      <c r="Q5" s="29">
        <v>16500</v>
      </c>
      <c r="R5" s="18">
        <f>59.25*E5</f>
        <v>14812.5</v>
      </c>
      <c r="S5" s="30">
        <f t="shared" ref="S5" si="3">-35*E5</f>
        <v>-8750</v>
      </c>
      <c r="T5" s="101">
        <f>W5*F5*0.0045</f>
        <v>3248.1908000123026</v>
      </c>
      <c r="U5" s="18">
        <f>E5*5</f>
        <v>1250</v>
      </c>
      <c r="V5" s="14"/>
      <c r="W5" s="18">
        <f>((O5*F5)+Q5+R5+S5+U5)/G5</f>
        <v>28.547367125984252</v>
      </c>
      <c r="X5" s="18">
        <f>((O5*F5)+Q5+R5+S5+T5+U5)/G5</f>
        <v>28.707219035433678</v>
      </c>
      <c r="Y5" s="21">
        <f t="shared" si="2"/>
        <v>725862.03331094049</v>
      </c>
      <c r="Z5" s="32">
        <v>42415</v>
      </c>
      <c r="AA5" s="37">
        <v>31.5</v>
      </c>
      <c r="AB5" s="37" t="s">
        <v>1186</v>
      </c>
    </row>
    <row r="6" spans="1:28" s="12" customFormat="1" x14ac:dyDescent="0.25">
      <c r="A6" s="90"/>
      <c r="B6" s="24" t="s">
        <v>25</v>
      </c>
      <c r="C6" s="14" t="s">
        <v>40</v>
      </c>
      <c r="D6" s="14" t="s">
        <v>41</v>
      </c>
      <c r="E6" s="14" t="s">
        <v>27</v>
      </c>
      <c r="F6" s="26">
        <f>38706*0.4536</f>
        <v>17557.0416</v>
      </c>
      <c r="G6" s="27">
        <f>19380.15-1835.5</f>
        <v>17544.650000000001</v>
      </c>
      <c r="H6" s="27">
        <f>G6-F6</f>
        <v>-12.391599999999016</v>
      </c>
      <c r="I6" s="25" t="s">
        <v>1098</v>
      </c>
      <c r="J6" s="93" t="s">
        <v>44</v>
      </c>
      <c r="K6" s="17">
        <v>42403</v>
      </c>
      <c r="L6" s="17">
        <v>42404</v>
      </c>
      <c r="M6" s="25" t="s">
        <v>65</v>
      </c>
      <c r="N6" s="25" t="s">
        <v>1086</v>
      </c>
      <c r="O6" s="18"/>
      <c r="P6" s="28">
        <f>0.5871+0.1</f>
        <v>0.68709999999999993</v>
      </c>
      <c r="Q6" s="29">
        <f>(18500*G6)/(G6+G7)</f>
        <v>16747.859278694952</v>
      </c>
      <c r="R6" s="125">
        <f>(13897*G6)/(G6+G7)</f>
        <v>12580.810832217501</v>
      </c>
      <c r="S6" s="30">
        <v>18.170000000000002</v>
      </c>
      <c r="T6" s="101">
        <f t="shared" ref="T6:T7" si="4">W6*F6*0.005</f>
        <v>2571.6872866236631</v>
      </c>
      <c r="V6" s="18">
        <v>0.1</v>
      </c>
      <c r="W6" s="18">
        <f>IF(O6&gt;0,O6,((P6*2.2046*S6)+(Q6+R6)/G6)+V6)</f>
        <v>29.295223480289106</v>
      </c>
      <c r="X6" s="18">
        <f>IF(O6&gt;0,O6,((P6*2.2046*S6)+(Q6+R6+T6)/G6)+V6)</f>
        <v>29.44180305221694</v>
      </c>
      <c r="Y6" s="21">
        <f>X6*F6</f>
        <v>516910.96096677979</v>
      </c>
      <c r="Z6" s="32">
        <v>42412</v>
      </c>
      <c r="AA6" s="37">
        <v>31</v>
      </c>
      <c r="AB6" s="37"/>
    </row>
    <row r="7" spans="1:28" s="12" customFormat="1" x14ac:dyDescent="0.25">
      <c r="A7" s="90"/>
      <c r="B7" s="24" t="s">
        <v>66</v>
      </c>
      <c r="C7" s="14" t="s">
        <v>40</v>
      </c>
      <c r="D7" s="25" t="s">
        <v>41</v>
      </c>
      <c r="E7" s="14" t="s">
        <v>832</v>
      </c>
      <c r="F7" s="26">
        <f>4059*0.4536</f>
        <v>1841.1623999999999</v>
      </c>
      <c r="G7" s="27">
        <f>912.5+923</f>
        <v>1835.5</v>
      </c>
      <c r="H7" s="27">
        <f>G7-F7</f>
        <v>-5.6623999999999342</v>
      </c>
      <c r="I7" s="25"/>
      <c r="J7" s="14"/>
      <c r="K7" s="17">
        <v>42403</v>
      </c>
      <c r="L7" s="17">
        <v>42404</v>
      </c>
      <c r="M7" s="25" t="s">
        <v>65</v>
      </c>
      <c r="N7" s="25"/>
      <c r="O7" s="18"/>
      <c r="P7" s="28">
        <v>0.37</v>
      </c>
      <c r="Q7" s="29">
        <f>(18500*G7)/(G7+G6)</f>
        <v>1752.1407213050466</v>
      </c>
      <c r="R7" s="125">
        <f>(13897*G7)/(G7+G6)</f>
        <v>1316.189167782499</v>
      </c>
      <c r="S7" s="30">
        <v>18.170000000000002</v>
      </c>
      <c r="T7" s="101">
        <f t="shared" si="4"/>
        <v>152.75170920651342</v>
      </c>
      <c r="V7" s="18">
        <v>0.1</v>
      </c>
      <c r="W7" s="18">
        <f>IF(O7&gt;0,O7,((P7*2.2046*S7)+(Q7+R7)/G7)+V7)</f>
        <v>16.592964228089105</v>
      </c>
      <c r="X7" s="18">
        <f>IF(O7&gt;0,O7,((P7*2.2046*S7)+(Q7+R7+T7)/G7)+V7)</f>
        <v>16.676184990391754</v>
      </c>
      <c r="Y7" s="21">
        <f>X7*F7</f>
        <v>30703.564779753659</v>
      </c>
      <c r="Z7" s="32">
        <v>42412</v>
      </c>
      <c r="AA7" s="37"/>
      <c r="AB7" s="37"/>
    </row>
    <row r="8" spans="1:28" s="12" customFormat="1" x14ac:dyDescent="0.25">
      <c r="A8" s="90"/>
      <c r="B8" s="24" t="s">
        <v>25</v>
      </c>
      <c r="C8" s="14" t="s">
        <v>40</v>
      </c>
      <c r="D8" s="14" t="s">
        <v>41</v>
      </c>
      <c r="E8" s="14" t="s">
        <v>27</v>
      </c>
      <c r="F8" s="26">
        <f>38212*0.4536</f>
        <v>17332.963199999998</v>
      </c>
      <c r="G8" s="27">
        <f>19146.07-1795</f>
        <v>17351.07</v>
      </c>
      <c r="H8" s="27">
        <f>G8-F8</f>
        <v>18.106800000001385</v>
      </c>
      <c r="I8" s="25" t="s">
        <v>1099</v>
      </c>
      <c r="J8" s="93" t="s">
        <v>49</v>
      </c>
      <c r="K8" s="17">
        <v>42403</v>
      </c>
      <c r="L8" s="17">
        <v>42404</v>
      </c>
      <c r="M8" s="25" t="s">
        <v>65</v>
      </c>
      <c r="N8" s="25" t="s">
        <v>1086</v>
      </c>
      <c r="O8" s="18"/>
      <c r="P8" s="28">
        <f>0.5871+0.1</f>
        <v>0.68709999999999993</v>
      </c>
      <c r="Q8" s="29">
        <f>(18500*G8)/(G8+G9)</f>
        <v>16765.57095006965</v>
      </c>
      <c r="R8" s="125">
        <f>(13897*G8)/(G8+G9)</f>
        <v>12594.115648276644</v>
      </c>
      <c r="S8" s="30">
        <v>18.170000000000002</v>
      </c>
      <c r="T8" s="101">
        <f t="shared" ref="T8:T9" si="5">W8*F8*0.005</f>
        <v>2540.6363833650407</v>
      </c>
      <c r="V8" s="18">
        <v>0.1</v>
      </c>
      <c r="W8" s="18">
        <f>IF(O8&gt;0,O8,((P8*2.2046*S8)+(Q8+R8)/G8)+V8)</f>
        <v>29.3156611947926</v>
      </c>
      <c r="X8" s="18">
        <f>IF(O8&gt;0,O8,((P8*2.2046*S8)+(Q8+R8+T8)/G8)+V8)</f>
        <v>29.462086538207444</v>
      </c>
      <c r="Y8" s="21">
        <f t="shared" si="2"/>
        <v>510665.261761965</v>
      </c>
      <c r="Z8" s="32">
        <v>42412</v>
      </c>
      <c r="AA8" s="37"/>
      <c r="AB8" s="37"/>
    </row>
    <row r="9" spans="1:28" s="12" customFormat="1" x14ac:dyDescent="0.25">
      <c r="A9" s="90"/>
      <c r="B9" s="24" t="s">
        <v>66</v>
      </c>
      <c r="C9" s="14" t="s">
        <v>40</v>
      </c>
      <c r="D9" s="25" t="s">
        <v>41</v>
      </c>
      <c r="E9" s="14" t="s">
        <v>832</v>
      </c>
      <c r="F9" s="26">
        <f>3966*0.4536</f>
        <v>1798.9775999999999</v>
      </c>
      <c r="G9" s="27">
        <f>888+907</f>
        <v>1795</v>
      </c>
      <c r="H9" s="27">
        <f>G9-F9</f>
        <v>-3.9775999999999385</v>
      </c>
      <c r="I9" s="25"/>
      <c r="J9" s="14"/>
      <c r="K9" s="17">
        <v>42403</v>
      </c>
      <c r="L9" s="17">
        <v>42404</v>
      </c>
      <c r="M9" s="25" t="s">
        <v>65</v>
      </c>
      <c r="N9" s="25"/>
      <c r="O9" s="18"/>
      <c r="P9" s="28">
        <v>0.37</v>
      </c>
      <c r="Q9" s="29">
        <f>(18500*G9)/(G9+G8)</f>
        <v>1734.4290499303513</v>
      </c>
      <c r="R9" s="125">
        <f>(13897*G9)/(G9+G8)</f>
        <v>1302.8843517233563</v>
      </c>
      <c r="S9" s="30">
        <v>18.170000000000002</v>
      </c>
      <c r="T9" s="101">
        <f t="shared" si="5"/>
        <v>149.43568977260287</v>
      </c>
      <c r="V9" s="18">
        <v>0.1</v>
      </c>
      <c r="W9" s="18">
        <f>IF(O9&gt;0,O9,((P9*2.2046*S9)+(Q9+R9)/G9)+V9)</f>
        <v>16.613401942592599</v>
      </c>
      <c r="X9" s="18">
        <f>IF(O9&gt;0,O9,((P9*2.2046*S9)+(Q9+R9+T9)/G9)+V9)</f>
        <v>16.696653023245858</v>
      </c>
      <c r="Y9" s="21">
        <f t="shared" si="2"/>
        <v>30036.904783791579</v>
      </c>
      <c r="Z9" s="32">
        <v>42412</v>
      </c>
      <c r="AA9" s="37"/>
      <c r="AB9" s="37"/>
    </row>
    <row r="10" spans="1:28" s="12" customFormat="1" x14ac:dyDescent="0.25">
      <c r="A10" s="90"/>
      <c r="B10" s="24" t="s">
        <v>32</v>
      </c>
      <c r="C10" s="14" t="s">
        <v>68</v>
      </c>
      <c r="D10" s="25" t="s">
        <v>68</v>
      </c>
      <c r="E10" s="14">
        <v>260</v>
      </c>
      <c r="F10" s="26">
        <f>12920+13690</f>
        <v>26610</v>
      </c>
      <c r="G10" s="27">
        <f>1930+3270+3990+3520+3460+4570</f>
        <v>20740</v>
      </c>
      <c r="H10" s="27">
        <f t="shared" ref="H10" si="6">G10-F10</f>
        <v>-5870</v>
      </c>
      <c r="I10" s="25" t="s">
        <v>1175</v>
      </c>
      <c r="J10" s="14"/>
      <c r="K10" s="17">
        <v>42402</v>
      </c>
      <c r="L10" s="17">
        <v>42403</v>
      </c>
      <c r="M10" s="25" t="s">
        <v>50</v>
      </c>
      <c r="N10" s="14"/>
      <c r="O10" s="18">
        <v>21.5</v>
      </c>
      <c r="P10" s="19"/>
      <c r="Q10" s="29">
        <v>22000</v>
      </c>
      <c r="R10" s="99">
        <f>98*E10</f>
        <v>25480</v>
      </c>
      <c r="S10" s="30">
        <f>-35*E10</f>
        <v>-9100</v>
      </c>
      <c r="T10" s="31"/>
      <c r="U10" s="18">
        <f>E10*10</f>
        <v>2600</v>
      </c>
      <c r="V10" s="14"/>
      <c r="W10" s="18">
        <f>((O10*F10)+Q10+R10+S10+U10)/G10</f>
        <v>29.560993249758919</v>
      </c>
      <c r="X10" s="18">
        <f>((O10*F10)+Q10+R10+S10+T10+U10)/G10</f>
        <v>29.560993249758919</v>
      </c>
      <c r="Y10" s="21">
        <f t="shared" si="2"/>
        <v>786618.03037608485</v>
      </c>
      <c r="Z10" s="32">
        <v>42403</v>
      </c>
      <c r="AA10" s="37"/>
      <c r="AB10" s="37" t="s">
        <v>1187</v>
      </c>
    </row>
    <row r="11" spans="1:28" s="12" customFormat="1" x14ac:dyDescent="0.25">
      <c r="A11" s="90"/>
      <c r="B11" s="24" t="s">
        <v>25</v>
      </c>
      <c r="C11" s="25" t="s">
        <v>72</v>
      </c>
      <c r="D11" s="25" t="s">
        <v>72</v>
      </c>
      <c r="E11" s="14" t="s">
        <v>42</v>
      </c>
      <c r="F11" s="26">
        <f>42338*0.4536</f>
        <v>19204.516800000001</v>
      </c>
      <c r="G11" s="27">
        <v>19104.3</v>
      </c>
      <c r="H11" s="27">
        <f>G11-F11</f>
        <v>-100.21680000000197</v>
      </c>
      <c r="I11" s="12" t="s">
        <v>1093</v>
      </c>
      <c r="J11" s="93" t="s">
        <v>74</v>
      </c>
      <c r="K11" s="17">
        <v>42403</v>
      </c>
      <c r="L11" s="17">
        <v>42404</v>
      </c>
      <c r="M11" s="25" t="s">
        <v>65</v>
      </c>
      <c r="N11" s="25" t="s">
        <v>1088</v>
      </c>
      <c r="O11" s="18"/>
      <c r="P11" s="28">
        <f>0.5944+0.105</f>
        <v>0.69940000000000002</v>
      </c>
      <c r="Q11" s="29">
        <v>18500</v>
      </c>
      <c r="R11" s="125">
        <v>13897</v>
      </c>
      <c r="S11" s="30">
        <v>18.46</v>
      </c>
      <c r="T11" s="101">
        <f>W11*F11*0.005</f>
        <v>2905.5684255448664</v>
      </c>
      <c r="V11" s="18">
        <v>0.1</v>
      </c>
      <c r="W11" s="18">
        <f t="shared" ref="W11" si="7">IF(O11&gt;0,O11,((P11*2.2046*S11)+(Q11+R11)/G11)+V11)</f>
        <v>30.25921928475562</v>
      </c>
      <c r="X11" s="18">
        <f t="shared" ref="X11" si="8">IF(O11&gt;0,O11,((P11*2.2046*S11)+(Q11+R11+T11)/G11)+V11)</f>
        <v>30.411309045989732</v>
      </c>
      <c r="Y11" s="21">
        <f t="shared" si="2"/>
        <v>584034.49548370182</v>
      </c>
      <c r="Z11" s="32">
        <v>42397</v>
      </c>
      <c r="AA11" s="37"/>
      <c r="AB11" s="37"/>
    </row>
    <row r="12" spans="1:28" s="12" customFormat="1" x14ac:dyDescent="0.25">
      <c r="A12" s="90"/>
      <c r="B12" s="24" t="s">
        <v>25</v>
      </c>
      <c r="C12" s="25" t="s">
        <v>72</v>
      </c>
      <c r="D12" s="25" t="s">
        <v>72</v>
      </c>
      <c r="E12" s="14" t="s">
        <v>42</v>
      </c>
      <c r="F12" s="26">
        <f>42646*0.4536</f>
        <v>19344.225600000002</v>
      </c>
      <c r="G12" s="27">
        <v>19273.8</v>
      </c>
      <c r="H12" s="27">
        <f>G12-F12</f>
        <v>-70.425600000002305</v>
      </c>
      <c r="I12" s="25" t="s">
        <v>1094</v>
      </c>
      <c r="J12" s="93" t="s">
        <v>74</v>
      </c>
      <c r="K12" s="17">
        <v>42403</v>
      </c>
      <c r="L12" s="17">
        <v>42404</v>
      </c>
      <c r="M12" s="25" t="s">
        <v>65</v>
      </c>
      <c r="N12" s="25" t="s">
        <v>1088</v>
      </c>
      <c r="O12" s="18"/>
      <c r="P12" s="28">
        <f>0.5944+0.105</f>
        <v>0.69940000000000002</v>
      </c>
      <c r="Q12" s="29">
        <v>18500</v>
      </c>
      <c r="R12" s="125">
        <v>13897</v>
      </c>
      <c r="S12" s="30">
        <v>18.46</v>
      </c>
      <c r="T12" s="101">
        <f t="shared" ref="T12" si="9">W12*F12*0.005</f>
        <v>2925.2633828943904</v>
      </c>
      <c r="V12" s="18">
        <v>0.1</v>
      </c>
      <c r="W12" s="18">
        <f>IF(O12&gt;0,O12,((P12*2.2046*S12)+(Q12+R12)/G12)+V12)</f>
        <v>30.244305906920253</v>
      </c>
      <c r="X12" s="18">
        <f>IF(O12&gt;0,O12,((P12*2.2046*S12)+(Q12+R12+T12)/G12)+V12)</f>
        <v>30.396079993135448</v>
      </c>
      <c r="Y12" s="21">
        <f>X12*F12</f>
        <v>587988.62874285865</v>
      </c>
      <c r="Z12" s="32">
        <v>42397</v>
      </c>
      <c r="AA12" s="37"/>
      <c r="AB12" s="37"/>
    </row>
    <row r="13" spans="1:28" s="12" customFormat="1" x14ac:dyDescent="0.25">
      <c r="A13" s="90"/>
      <c r="B13" s="24" t="s">
        <v>32</v>
      </c>
      <c r="C13" s="14" t="s">
        <v>33</v>
      </c>
      <c r="D13" s="25" t="s">
        <v>34</v>
      </c>
      <c r="E13" s="14">
        <f>165+165</f>
        <v>330</v>
      </c>
      <c r="F13" s="26">
        <f>19735+19730</f>
        <v>39465</v>
      </c>
      <c r="G13" s="27">
        <f>12610+19380</f>
        <v>31990</v>
      </c>
      <c r="H13" s="27">
        <f t="shared" ref="H13:H19" si="10">G13-F13</f>
        <v>-7475</v>
      </c>
      <c r="I13" s="25" t="s">
        <v>1191</v>
      </c>
      <c r="J13" s="14"/>
      <c r="K13" s="17"/>
      <c r="L13" s="17">
        <v>42404</v>
      </c>
      <c r="M13" s="25" t="s">
        <v>65</v>
      </c>
      <c r="N13" s="14"/>
      <c r="O13" s="18">
        <v>22</v>
      </c>
      <c r="P13" s="19"/>
      <c r="Q13" s="29">
        <f t="shared" ref="Q13" si="11">16500+13000</f>
        <v>29500</v>
      </c>
      <c r="R13" s="18">
        <f t="shared" ref="R13" si="12">59.25*E13</f>
        <v>19552.5</v>
      </c>
      <c r="S13" s="30">
        <f t="shared" ref="S13" si="13">-35*E13</f>
        <v>-11550</v>
      </c>
      <c r="T13" s="101">
        <f t="shared" ref="T13" si="14">W13*F13*0.0045</f>
        <v>5037.3343742185052</v>
      </c>
      <c r="U13" s="18">
        <f t="shared" ref="U13" si="15">E13*5</f>
        <v>1650</v>
      </c>
      <c r="V13" s="14"/>
      <c r="W13" s="18">
        <f t="shared" ref="W13" si="16">((O13*F13)+Q13+R13+S13+U13)/G13</f>
        <v>28.364567052203814</v>
      </c>
      <c r="X13" s="18">
        <f t="shared" ref="X13" si="17">((O13*F13)+Q13+R13+S13+T13+U13)/G13</f>
        <v>28.522032959494169</v>
      </c>
      <c r="Y13" s="21">
        <f t="shared" ref="Y13:Y19" si="18">X13*F13</f>
        <v>1125622.0307464374</v>
      </c>
      <c r="Z13" s="32">
        <v>42417</v>
      </c>
      <c r="AA13" s="37">
        <v>31.5</v>
      </c>
      <c r="AB13" s="37" t="s">
        <v>1198</v>
      </c>
    </row>
    <row r="14" spans="1:28" s="12" customFormat="1" x14ac:dyDescent="0.25">
      <c r="A14" s="90"/>
      <c r="B14" s="24" t="s">
        <v>25</v>
      </c>
      <c r="C14" s="25" t="s">
        <v>72</v>
      </c>
      <c r="D14" s="25" t="s">
        <v>72</v>
      </c>
      <c r="E14" s="14" t="s">
        <v>42</v>
      </c>
      <c r="F14" s="26">
        <f>42363*0.4536</f>
        <v>19215.856800000001</v>
      </c>
      <c r="G14" s="27">
        <v>19037.95</v>
      </c>
      <c r="H14" s="27">
        <f t="shared" si="10"/>
        <v>-177.90680000000066</v>
      </c>
      <c r="I14" s="25" t="s">
        <v>1095</v>
      </c>
      <c r="J14" s="93" t="s">
        <v>991</v>
      </c>
      <c r="K14" s="17">
        <v>42404</v>
      </c>
      <c r="L14" s="17">
        <v>42406</v>
      </c>
      <c r="M14" s="25" t="s">
        <v>30</v>
      </c>
      <c r="N14" s="25" t="s">
        <v>1089</v>
      </c>
      <c r="O14" s="18"/>
      <c r="P14" s="28">
        <f>0.5957+0.105</f>
        <v>0.70069999999999999</v>
      </c>
      <c r="Q14" s="29">
        <v>20953</v>
      </c>
      <c r="R14" s="125">
        <v>13840</v>
      </c>
      <c r="S14" s="30">
        <v>18.297999999999998</v>
      </c>
      <c r="T14" s="101">
        <f t="shared" ref="T14:T15" si="19">W14*F14*0.005</f>
        <v>2900.9830833868236</v>
      </c>
      <c r="V14" s="18">
        <v>0.1</v>
      </c>
      <c r="W14" s="18">
        <f>IF(O14&gt;0,O14,((P14*2.2046*S14)+(Q14+R14)/G14)+V14)</f>
        <v>30.193637614814271</v>
      </c>
      <c r="X14" s="18">
        <f>IF(O14&gt;0,O14,((P14*2.2046*S14)+(Q14+R14+T14)/G14)+V14)</f>
        <v>30.346016578063299</v>
      </c>
      <c r="Y14" s="21">
        <f t="shared" si="18"/>
        <v>583124.70901449036</v>
      </c>
      <c r="Z14" s="32">
        <v>42398</v>
      </c>
      <c r="AA14" s="2"/>
      <c r="AB14" s="2"/>
    </row>
    <row r="15" spans="1:28" s="12" customFormat="1" x14ac:dyDescent="0.25">
      <c r="A15" s="90"/>
      <c r="B15" s="24" t="s">
        <v>25</v>
      </c>
      <c r="C15" s="25" t="s">
        <v>72</v>
      </c>
      <c r="D15" s="25" t="s">
        <v>72</v>
      </c>
      <c r="E15" s="14" t="s">
        <v>42</v>
      </c>
      <c r="F15" s="26">
        <f>42676*0.4536</f>
        <v>19357.833600000002</v>
      </c>
      <c r="G15" s="27">
        <v>19200.689999999999</v>
      </c>
      <c r="H15" s="27">
        <f t="shared" si="10"/>
        <v>-157.14360000000306</v>
      </c>
      <c r="I15" s="25" t="s">
        <v>1096</v>
      </c>
      <c r="J15" s="93" t="s">
        <v>44</v>
      </c>
      <c r="K15" s="17">
        <v>42404</v>
      </c>
      <c r="L15" s="17">
        <v>42406</v>
      </c>
      <c r="M15" s="25" t="s">
        <v>30</v>
      </c>
      <c r="N15" s="25" t="s">
        <v>1089</v>
      </c>
      <c r="O15" s="18"/>
      <c r="P15" s="28">
        <f>0.5957+0.105</f>
        <v>0.70069999999999999</v>
      </c>
      <c r="Q15" s="29">
        <v>18500</v>
      </c>
      <c r="R15" s="125">
        <v>13840</v>
      </c>
      <c r="S15" s="30">
        <v>18.297999999999998</v>
      </c>
      <c r="T15" s="101">
        <f t="shared" si="19"/>
        <v>2908.552427123715</v>
      </c>
      <c r="V15" s="18">
        <v>0.1</v>
      </c>
      <c r="W15" s="18">
        <f>IF(O15&gt;0,O15,((P15*2.2046*S15)+(Q15+R15)/G15)+V15)</f>
        <v>30.050391869508736</v>
      </c>
      <c r="X15" s="18">
        <f>IF(O15&gt;0,O15,((P15*2.2046*S15)+(Q15+R15+T15)/G15)+V15)</f>
        <v>30.201873531215881</v>
      </c>
      <c r="Y15" s="21">
        <f t="shared" si="18"/>
        <v>584642.84222552145</v>
      </c>
      <c r="Z15" s="32">
        <v>42398</v>
      </c>
      <c r="AA15" s="2"/>
      <c r="AB15" s="2"/>
    </row>
    <row r="16" spans="1:28" s="12" customFormat="1" x14ac:dyDescent="0.25">
      <c r="A16" s="90"/>
      <c r="B16" s="24" t="s">
        <v>32</v>
      </c>
      <c r="C16" s="14" t="s">
        <v>33</v>
      </c>
      <c r="D16" s="25" t="s">
        <v>34</v>
      </c>
      <c r="E16" s="14">
        <f>165+163</f>
        <v>328</v>
      </c>
      <c r="F16" s="26">
        <f>17890+18370</f>
        <v>36260</v>
      </c>
      <c r="G16" s="27">
        <f>11070+17720</f>
        <v>28790</v>
      </c>
      <c r="H16" s="27">
        <f t="shared" si="10"/>
        <v>-7470</v>
      </c>
      <c r="I16" s="25" t="s">
        <v>1195</v>
      </c>
      <c r="J16" s="14"/>
      <c r="K16" s="17"/>
      <c r="L16" s="17">
        <v>42405</v>
      </c>
      <c r="M16" s="25" t="s">
        <v>84</v>
      </c>
      <c r="N16" s="14"/>
      <c r="O16" s="18">
        <v>22</v>
      </c>
      <c r="P16" s="19"/>
      <c r="Q16" s="29">
        <f>16500+13000</f>
        <v>29500</v>
      </c>
      <c r="R16" s="18">
        <f>59.25*E16</f>
        <v>19434</v>
      </c>
      <c r="S16" s="30">
        <f>-35*E16</f>
        <v>-11480</v>
      </c>
      <c r="T16" s="101">
        <f>W16*F16*0.0045</f>
        <v>4742.7210969086482</v>
      </c>
      <c r="U16" s="18">
        <f>E16*5</f>
        <v>1640</v>
      </c>
      <c r="V16" s="14"/>
      <c r="W16" s="18">
        <f>((O16*F16)+Q16+R16+S16+U16)/G16</f>
        <v>29.066134074331366</v>
      </c>
      <c r="X16" s="18">
        <f>((O16*F16)+Q16+R16+S16+T16+U16)/G16</f>
        <v>29.230869089854416</v>
      </c>
      <c r="Y16" s="21">
        <f t="shared" si="18"/>
        <v>1059911.313198121</v>
      </c>
      <c r="Z16" s="32">
        <v>42418</v>
      </c>
      <c r="AA16" s="2">
        <v>31.5</v>
      </c>
      <c r="AB16" s="2" t="s">
        <v>1197</v>
      </c>
    </row>
    <row r="17" spans="1:28" s="12" customFormat="1" x14ac:dyDescent="0.25">
      <c r="A17" s="90"/>
      <c r="B17" s="24" t="s">
        <v>25</v>
      </c>
      <c r="C17" s="25" t="s">
        <v>26</v>
      </c>
      <c r="D17" s="25" t="s">
        <v>26</v>
      </c>
      <c r="E17" s="14" t="s">
        <v>27</v>
      </c>
      <c r="F17" s="26">
        <f>40877*0.4536</f>
        <v>18541.807199999999</v>
      </c>
      <c r="G17" s="27">
        <v>18480.13</v>
      </c>
      <c r="H17" s="27">
        <f t="shared" si="10"/>
        <v>-61.677199999998265</v>
      </c>
      <c r="I17" s="12" t="s">
        <v>1100</v>
      </c>
      <c r="J17" s="93" t="s">
        <v>44</v>
      </c>
      <c r="K17" s="17">
        <v>42405</v>
      </c>
      <c r="L17" s="17">
        <v>42406</v>
      </c>
      <c r="M17" s="25" t="s">
        <v>30</v>
      </c>
      <c r="N17" s="25" t="s">
        <v>1090</v>
      </c>
      <c r="O17" s="18"/>
      <c r="P17" s="28">
        <f>0.5957+0.1075</f>
        <v>0.70320000000000005</v>
      </c>
      <c r="Q17" s="29">
        <v>18500</v>
      </c>
      <c r="R17" s="125">
        <v>13840</v>
      </c>
      <c r="S17" s="30">
        <v>18.285</v>
      </c>
      <c r="T17" s="101">
        <f t="shared" ref="T17:T19" si="20">W17*F17*0.005</f>
        <v>2799.5125975037827</v>
      </c>
      <c r="V17" s="18">
        <v>0.1</v>
      </c>
      <c r="W17" s="18">
        <f>IF(O17&gt;0,O17,((P17*2.2046*S17)+(Q17+R17)/G17)+V17)</f>
        <v>30.196760944680548</v>
      </c>
      <c r="X17" s="18">
        <f>IF(O17&gt;0,O17,((P17*2.2046*S17)+(Q17+R17+T17)/G17)+V17)</f>
        <v>30.34824865594144</v>
      </c>
      <c r="Y17" s="21">
        <f t="shared" si="18"/>
        <v>562711.37543612532</v>
      </c>
      <c r="Z17" s="32">
        <v>42398</v>
      </c>
      <c r="AA17" s="2"/>
      <c r="AB17" s="2"/>
    </row>
    <row r="18" spans="1:28" s="12" customFormat="1" x14ac:dyDescent="0.25">
      <c r="A18" s="90"/>
      <c r="B18" s="24" t="s">
        <v>25</v>
      </c>
      <c r="C18" s="25" t="s">
        <v>72</v>
      </c>
      <c r="D18" s="25" t="s">
        <v>72</v>
      </c>
      <c r="E18" s="14" t="s">
        <v>42</v>
      </c>
      <c r="F18" s="26">
        <f>42852*0.4536</f>
        <v>19437.6672</v>
      </c>
      <c r="G18" s="27">
        <v>19319.37</v>
      </c>
      <c r="H18" s="27">
        <f t="shared" si="10"/>
        <v>-118.29720000000088</v>
      </c>
      <c r="I18" s="25" t="s">
        <v>1097</v>
      </c>
      <c r="J18" s="93" t="s">
        <v>29</v>
      </c>
      <c r="K18" s="17">
        <v>42405</v>
      </c>
      <c r="L18" s="17">
        <v>42406</v>
      </c>
      <c r="M18" s="25" t="s">
        <v>30</v>
      </c>
      <c r="N18" s="25" t="s">
        <v>1091</v>
      </c>
      <c r="O18" s="18"/>
      <c r="P18" s="28">
        <f>0.6148+0.105</f>
        <v>0.7198</v>
      </c>
      <c r="Q18" s="29">
        <v>18500</v>
      </c>
      <c r="R18" s="125">
        <v>13840</v>
      </c>
      <c r="S18" s="30">
        <v>18.55</v>
      </c>
      <c r="T18" s="101">
        <f t="shared" si="20"/>
        <v>3033.2893846696911</v>
      </c>
      <c r="V18" s="18">
        <v>0.1</v>
      </c>
      <c r="W18" s="18">
        <f>IF(O18&gt;0,O18,((P18*2.2046*S18)+(Q18+R18)/G18)+V18)</f>
        <v>31.210426163379225</v>
      </c>
      <c r="X18" s="18">
        <f>IF(O18&gt;0,O18,((P18*2.2046*S18)+(Q18+R18+T18)/G18)+V18)</f>
        <v>31.367433839337068</v>
      </c>
      <c r="Y18" s="21">
        <f t="shared" si="18"/>
        <v>609709.73988705222</v>
      </c>
      <c r="Z18" s="32">
        <v>42402</v>
      </c>
      <c r="AA18" s="2"/>
      <c r="AB18" s="2"/>
    </row>
    <row r="19" spans="1:28" s="12" customFormat="1" x14ac:dyDescent="0.25">
      <c r="A19" s="90"/>
      <c r="B19" s="24" t="s">
        <v>25</v>
      </c>
      <c r="C19" s="25" t="s">
        <v>40</v>
      </c>
      <c r="D19" s="25" t="s">
        <v>41</v>
      </c>
      <c r="E19" s="14" t="s">
        <v>831</v>
      </c>
      <c r="F19" s="26">
        <f>40841*0.4536</f>
        <v>18525.477599999998</v>
      </c>
      <c r="G19" s="27">
        <v>18463.29</v>
      </c>
      <c r="H19" s="27">
        <f t="shared" si="10"/>
        <v>-62.187599999997474</v>
      </c>
      <c r="I19" s="97" t="s">
        <v>1185</v>
      </c>
      <c r="J19" s="93" t="s">
        <v>44</v>
      </c>
      <c r="K19" s="17">
        <v>42405</v>
      </c>
      <c r="L19" s="17">
        <v>42406</v>
      </c>
      <c r="M19" s="25" t="s">
        <v>30</v>
      </c>
      <c r="N19" s="25" t="s">
        <v>1092</v>
      </c>
      <c r="O19" s="18"/>
      <c r="P19" s="28">
        <f>0.5957+0.1</f>
        <v>0.69569999999999999</v>
      </c>
      <c r="Q19" s="29">
        <v>18500</v>
      </c>
      <c r="R19" s="125">
        <v>9000</v>
      </c>
      <c r="S19" s="30">
        <v>18.957999999999998</v>
      </c>
      <c r="T19" s="101">
        <f t="shared" si="20"/>
        <v>2840.5197347384965</v>
      </c>
      <c r="V19" s="18">
        <v>0.1</v>
      </c>
      <c r="W19" s="18">
        <f t="shared" ref="W19" si="21">IF(O19&gt;0,O19,((P19*2.2046*S19)+(Q19+R19)/G19)+V19)</f>
        <v>30.666089113281448</v>
      </c>
      <c r="X19" s="18">
        <f t="shared" ref="X19" si="22">IF(O19&gt;0,O19,((P19*2.2046*S19)+(Q19+R19+T19)/G19)+V19)</f>
        <v>30.819936002689481</v>
      </c>
      <c r="Y19" s="21">
        <f t="shared" si="18"/>
        <v>570954.03405125742</v>
      </c>
      <c r="Z19" s="32">
        <v>42417</v>
      </c>
      <c r="AA19" s="37"/>
      <c r="AB19" s="37" t="s">
        <v>1312</v>
      </c>
    </row>
    <row r="20" spans="1:28" s="12" customFormat="1" ht="15.75" thickBot="1" x14ac:dyDescent="0.3">
      <c r="A20" s="90"/>
      <c r="B20" s="41"/>
      <c r="C20" s="4"/>
      <c r="D20" s="4"/>
      <c r="E20" s="4"/>
      <c r="F20" s="42"/>
      <c r="G20" s="42"/>
      <c r="H20" s="42"/>
      <c r="I20" s="6"/>
      <c r="J20" s="4"/>
      <c r="K20" s="7"/>
      <c r="L20" s="7"/>
      <c r="M20" s="4"/>
      <c r="N20" s="4"/>
      <c r="O20" s="8"/>
      <c r="P20" s="9"/>
      <c r="Q20" s="8"/>
      <c r="R20" s="8"/>
      <c r="S20" s="8"/>
      <c r="T20" s="8"/>
      <c r="U20" s="8"/>
      <c r="V20" s="8"/>
      <c r="W20" s="8"/>
      <c r="X20" s="8"/>
      <c r="Y20" s="8"/>
      <c r="Z20" s="43"/>
      <c r="AA20" s="2"/>
      <c r="AB20" s="2"/>
    </row>
    <row r="21" spans="1:28" s="12" customFormat="1" x14ac:dyDescent="0.25">
      <c r="A21" s="100"/>
      <c r="B21" s="14" t="s">
        <v>32</v>
      </c>
      <c r="C21" s="14" t="s">
        <v>33</v>
      </c>
      <c r="D21" s="25" t="s">
        <v>34</v>
      </c>
      <c r="E21" s="14">
        <v>249</v>
      </c>
      <c r="F21" s="26">
        <v>26250</v>
      </c>
      <c r="G21" s="27">
        <f>6750+14340</f>
        <v>21090</v>
      </c>
      <c r="H21" s="27">
        <f t="shared" ref="H21:H22" si="23">G21-F21</f>
        <v>-5160</v>
      </c>
      <c r="I21" s="25" t="s">
        <v>1227</v>
      </c>
      <c r="J21" s="14"/>
      <c r="K21" s="17"/>
      <c r="L21" s="17">
        <v>42407</v>
      </c>
      <c r="M21" s="25" t="s">
        <v>36</v>
      </c>
      <c r="N21" s="14"/>
      <c r="O21" s="18">
        <v>22</v>
      </c>
      <c r="P21" s="19"/>
      <c r="Q21" s="29">
        <f>16500</f>
        <v>16500</v>
      </c>
      <c r="R21" s="18">
        <f>59.25*E21</f>
        <v>14753.25</v>
      </c>
      <c r="S21" s="30">
        <f>-35*E21</f>
        <v>-8715</v>
      </c>
      <c r="T21" s="101">
        <f>W21*F21*0.0045</f>
        <v>3367.7849173186341</v>
      </c>
      <c r="U21" s="18">
        <f>E21*5</f>
        <v>1245</v>
      </c>
      <c r="V21" s="14"/>
      <c r="W21" s="18">
        <f>((O21*F21)+Q21+R21+S21+U21)/G21</f>
        <v>28.510348506401137</v>
      </c>
      <c r="X21" s="18">
        <f>((O21*F21)+Q21+R21+S21+T21+U21)/G21</f>
        <v>28.670034846719705</v>
      </c>
      <c r="Y21" s="21">
        <f t="shared" ref="Y21:Y30" si="24">X21*F21</f>
        <v>752588.41472639225</v>
      </c>
      <c r="Z21" s="32">
        <v>42422</v>
      </c>
      <c r="AA21" s="2">
        <v>31.5</v>
      </c>
      <c r="AB21" s="2" t="s">
        <v>1282</v>
      </c>
    </row>
    <row r="22" spans="1:28" s="12" customFormat="1" x14ac:dyDescent="0.25">
      <c r="A22" s="100"/>
      <c r="B22" s="24" t="s">
        <v>32</v>
      </c>
      <c r="C22" s="14" t="s">
        <v>33</v>
      </c>
      <c r="D22" s="25" t="s">
        <v>1228</v>
      </c>
      <c r="E22" s="14">
        <v>250</v>
      </c>
      <c r="F22" s="26">
        <v>27445</v>
      </c>
      <c r="G22" s="27">
        <f>15720+6130</f>
        <v>21850</v>
      </c>
      <c r="H22" s="27">
        <f t="shared" si="23"/>
        <v>-5595</v>
      </c>
      <c r="I22" s="25" t="s">
        <v>1229</v>
      </c>
      <c r="J22" s="14"/>
      <c r="K22" s="17"/>
      <c r="L22" s="17">
        <v>42408</v>
      </c>
      <c r="M22" s="25" t="s">
        <v>39</v>
      </c>
      <c r="N22" s="14"/>
      <c r="O22" s="18">
        <v>22</v>
      </c>
      <c r="P22" s="19"/>
      <c r="Q22" s="29">
        <v>16500</v>
      </c>
      <c r="R22" s="18">
        <f>59.25*E22</f>
        <v>14812.5</v>
      </c>
      <c r="S22" s="30">
        <f t="shared" ref="S22" si="25">-35*E22</f>
        <v>-8750</v>
      </c>
      <c r="T22" s="101">
        <f>W22*F22*0.0045</f>
        <v>3547.3902863272306</v>
      </c>
      <c r="U22" s="18">
        <f>E22*5</f>
        <v>1250</v>
      </c>
      <c r="V22" s="14"/>
      <c r="W22" s="18">
        <f>((O22*F22)+Q22+R22+S22+U22)/G22</f>
        <v>28.723226544622424</v>
      </c>
      <c r="X22" s="18">
        <f>((O22*F22)+Q22+R22+S22+T22+U22)/G22</f>
        <v>28.885578502806737</v>
      </c>
      <c r="Y22" s="21">
        <f t="shared" si="24"/>
        <v>792764.70200953085</v>
      </c>
      <c r="Z22" s="32">
        <v>42422</v>
      </c>
      <c r="AA22" s="2">
        <v>31.5</v>
      </c>
      <c r="AB22" s="2" t="s">
        <v>1283</v>
      </c>
    </row>
    <row r="23" spans="1:28" s="12" customFormat="1" x14ac:dyDescent="0.25">
      <c r="A23" s="100"/>
      <c r="B23" s="24" t="s">
        <v>25</v>
      </c>
      <c r="C23" s="14" t="s">
        <v>40</v>
      </c>
      <c r="D23" s="14" t="s">
        <v>41</v>
      </c>
      <c r="E23" s="14" t="s">
        <v>27</v>
      </c>
      <c r="F23" s="26">
        <f>38730*0.4536</f>
        <v>17567.928</v>
      </c>
      <c r="G23" s="27">
        <f>18912.44-1546</f>
        <v>17366.439999999999</v>
      </c>
      <c r="H23" s="27">
        <f>G23-F23</f>
        <v>-201.48800000000119</v>
      </c>
      <c r="I23" s="25" t="s">
        <v>1209</v>
      </c>
      <c r="J23" s="93" t="s">
        <v>29</v>
      </c>
      <c r="K23" s="17">
        <v>42408</v>
      </c>
      <c r="L23" s="17">
        <v>42409</v>
      </c>
      <c r="M23" s="25" t="s">
        <v>45</v>
      </c>
      <c r="N23" s="25" t="s">
        <v>1201</v>
      </c>
      <c r="O23" s="18"/>
      <c r="P23" s="28">
        <f>0.6074+0.1</f>
        <v>0.70740000000000003</v>
      </c>
      <c r="Q23" s="29">
        <f>(18500*G23)/(G23+G24)</f>
        <v>16987.714964330356</v>
      </c>
      <c r="R23" s="125">
        <f>(14000*G23)/(G23+G24)</f>
        <v>12855.568081114863</v>
      </c>
      <c r="S23" s="30">
        <v>18.815000000000001</v>
      </c>
      <c r="T23" s="101">
        <f t="shared" ref="T23:T25" si="26">W23*F23*0.005</f>
        <v>2737.1779261865222</v>
      </c>
      <c r="V23" s="18">
        <v>0.1</v>
      </c>
      <c r="W23" s="18">
        <f>IF(O23&gt;0,O23,((P23*2.2046*S23)+(Q23+R23)/G23)+V23)</f>
        <v>31.161078599440099</v>
      </c>
      <c r="X23" s="18">
        <f>IF(O23&gt;0,O23,((P23*2.2046*S23)+(Q23+R23+T23)/G23)+V23)</f>
        <v>31.318691669602234</v>
      </c>
      <c r="Y23" s="21">
        <f t="shared" si="24"/>
        <v>550204.52030577185</v>
      </c>
      <c r="Z23" s="32">
        <v>42417</v>
      </c>
      <c r="AA23" s="37">
        <v>31.5</v>
      </c>
      <c r="AB23" s="37"/>
    </row>
    <row r="24" spans="1:28" s="12" customFormat="1" x14ac:dyDescent="0.25">
      <c r="A24" s="100"/>
      <c r="B24" s="24" t="s">
        <v>66</v>
      </c>
      <c r="C24" s="14" t="s">
        <v>40</v>
      </c>
      <c r="D24" s="25" t="s">
        <v>41</v>
      </c>
      <c r="E24" s="14"/>
      <c r="F24" s="26">
        <f>3406*0.4536</f>
        <v>1544.9616000000001</v>
      </c>
      <c r="G24" s="27">
        <f>751.5+794.5</f>
        <v>1546</v>
      </c>
      <c r="H24" s="27">
        <f>G24-F24</f>
        <v>1.0383999999999105</v>
      </c>
      <c r="I24" s="25"/>
      <c r="J24" s="14"/>
      <c r="K24" s="17">
        <v>42408</v>
      </c>
      <c r="L24" s="17">
        <v>42409</v>
      </c>
      <c r="M24" s="25" t="s">
        <v>45</v>
      </c>
      <c r="N24" s="25"/>
      <c r="O24" s="18"/>
      <c r="P24" s="28">
        <v>0.37</v>
      </c>
      <c r="Q24" s="29">
        <f>(18500*G24)/(G24+G23)</f>
        <v>1512.285035669644</v>
      </c>
      <c r="R24" s="125">
        <f>(14000*G24)/(G24+G23)</f>
        <v>1144.4319188851359</v>
      </c>
      <c r="S24" s="30">
        <v>18.815000000000001</v>
      </c>
      <c r="T24" s="101">
        <f t="shared" si="26"/>
        <v>132.60311762511651</v>
      </c>
      <c r="V24" s="18">
        <v>0.1</v>
      </c>
      <c r="W24" s="18">
        <f>IF(O24&gt;0,O24,((P24*2.2046*S24)+(Q24+R24)/G24)+V24)</f>
        <v>17.165878766840095</v>
      </c>
      <c r="X24" s="18">
        <f>IF(O24&gt;0,O24,((P24*2.2046*S24)+(Q24+R24+T24)/G24)+V24)</f>
        <v>17.25165051174638</v>
      </c>
      <c r="Y24" s="21">
        <f t="shared" si="24"/>
        <v>26653.137577268506</v>
      </c>
      <c r="Z24" s="32">
        <v>42417</v>
      </c>
      <c r="AA24" s="37"/>
      <c r="AB24" s="37"/>
    </row>
    <row r="25" spans="1:28" s="12" customFormat="1" x14ac:dyDescent="0.25">
      <c r="A25" s="100"/>
      <c r="B25" s="24" t="s">
        <v>25</v>
      </c>
      <c r="C25" s="25" t="s">
        <v>26</v>
      </c>
      <c r="D25" s="25" t="s">
        <v>26</v>
      </c>
      <c r="E25" s="14" t="s">
        <v>27</v>
      </c>
      <c r="F25" s="26">
        <f>41755*0.4536</f>
        <v>18940.067999999999</v>
      </c>
      <c r="G25" s="27">
        <v>18890.13</v>
      </c>
      <c r="H25" s="27">
        <f t="shared" ref="H25" si="27">G25-F25</f>
        <v>-49.937999999998283</v>
      </c>
      <c r="I25" s="12" t="s">
        <v>1210</v>
      </c>
      <c r="J25" s="93" t="s">
        <v>49</v>
      </c>
      <c r="K25" s="17">
        <v>42408</v>
      </c>
      <c r="L25" s="17">
        <v>42409</v>
      </c>
      <c r="M25" s="25" t="s">
        <v>45</v>
      </c>
      <c r="N25" s="25" t="s">
        <v>1202</v>
      </c>
      <c r="O25" s="18"/>
      <c r="P25" s="28">
        <f>0.6074+0.1075</f>
        <v>0.71490000000000009</v>
      </c>
      <c r="Q25" s="29">
        <v>18500</v>
      </c>
      <c r="R25" s="125">
        <v>13820</v>
      </c>
      <c r="S25" s="30">
        <v>18.420000000000002</v>
      </c>
      <c r="T25" s="101">
        <f t="shared" si="26"/>
        <v>2920.7600942036993</v>
      </c>
      <c r="V25" s="18">
        <v>0.1</v>
      </c>
      <c r="W25" s="18">
        <f t="shared" ref="W25" si="28">IF(O25&gt;0,O25,((P25*2.2046*S25)+(Q25+R25)/G25)+V25)</f>
        <v>30.84212891108627</v>
      </c>
      <c r="X25" s="18">
        <f t="shared" ref="X25" si="29">IF(O25&gt;0,O25,((P25*2.2046*S25)+(Q25+R25+T25)/G25)+V25)</f>
        <v>30.996747227328861</v>
      </c>
      <c r="Y25" s="21">
        <f t="shared" si="24"/>
        <v>587080.50026442006</v>
      </c>
      <c r="Z25" s="32">
        <v>42403</v>
      </c>
      <c r="AA25" s="37">
        <v>31</v>
      </c>
      <c r="AB25" s="37"/>
    </row>
    <row r="26" spans="1:28" s="12" customFormat="1" x14ac:dyDescent="0.25">
      <c r="A26" s="100"/>
      <c r="B26" s="24" t="s">
        <v>32</v>
      </c>
      <c r="C26" s="14" t="s">
        <v>33</v>
      </c>
      <c r="D26" s="25" t="s">
        <v>87</v>
      </c>
      <c r="E26" s="14">
        <v>250</v>
      </c>
      <c r="F26" s="26">
        <v>27830</v>
      </c>
      <c r="G26" s="27">
        <f>15890+6490</f>
        <v>22380</v>
      </c>
      <c r="H26" s="27">
        <f>G26-F26</f>
        <v>-5450</v>
      </c>
      <c r="I26" s="25" t="s">
        <v>1240</v>
      </c>
      <c r="J26" s="14"/>
      <c r="K26" s="17"/>
      <c r="L26" s="17">
        <v>42409</v>
      </c>
      <c r="M26" s="25" t="s">
        <v>45</v>
      </c>
      <c r="N26" s="14"/>
      <c r="O26" s="18">
        <v>22</v>
      </c>
      <c r="P26" s="19"/>
      <c r="Q26" s="29">
        <v>16500</v>
      </c>
      <c r="R26" s="18">
        <f>59.25*E26</f>
        <v>14812.5</v>
      </c>
      <c r="S26" s="30">
        <f t="shared" ref="S26" si="30">-35*E26</f>
        <v>-8750</v>
      </c>
      <c r="T26" s="101">
        <f>W26*F26*0.0045</f>
        <v>3559.3628032841821</v>
      </c>
      <c r="U26" s="18">
        <f>E26*5</f>
        <v>1250</v>
      </c>
      <c r="V26" s="14"/>
      <c r="W26" s="18">
        <f>((O26*F26)+Q26+R26+S26+U26)/G26</f>
        <v>28.421470062555855</v>
      </c>
      <c r="X26" s="18">
        <f>((O26*F26)+Q26+R26+S26+T26+U26)/G26</f>
        <v>28.580512189601617</v>
      </c>
      <c r="Y26" s="21">
        <f t="shared" si="24"/>
        <v>795395.65423661296</v>
      </c>
      <c r="Z26" s="32">
        <v>42422</v>
      </c>
      <c r="AA26" s="37">
        <v>31</v>
      </c>
      <c r="AB26" s="37" t="s">
        <v>1310</v>
      </c>
    </row>
    <row r="27" spans="1:28" s="12" customFormat="1" x14ac:dyDescent="0.25">
      <c r="A27" s="100"/>
      <c r="B27" s="24" t="s">
        <v>25</v>
      </c>
      <c r="C27" s="14" t="s">
        <v>40</v>
      </c>
      <c r="D27" s="14" t="s">
        <v>41</v>
      </c>
      <c r="E27" s="14" t="s">
        <v>27</v>
      </c>
      <c r="F27" s="26">
        <f>37638*0.4536</f>
        <v>17072.596799999999</v>
      </c>
      <c r="G27" s="27">
        <f>18686-1735.5</f>
        <v>16950.5</v>
      </c>
      <c r="H27" s="27">
        <f>G27-F27</f>
        <v>-122.09679999999935</v>
      </c>
      <c r="I27" s="25" t="s">
        <v>1217</v>
      </c>
      <c r="J27" s="93" t="s">
        <v>44</v>
      </c>
      <c r="K27" s="17">
        <v>42409</v>
      </c>
      <c r="L27" s="17">
        <v>42411</v>
      </c>
      <c r="M27" s="25" t="s">
        <v>65</v>
      </c>
      <c r="N27" s="25" t="s">
        <v>1203</v>
      </c>
      <c r="O27" s="18"/>
      <c r="P27" s="28">
        <f>0.6074+0.1</f>
        <v>0.70740000000000003</v>
      </c>
      <c r="Q27" s="29">
        <f>(18500*G27)/(G27+G28)</f>
        <v>16781.775125762604</v>
      </c>
      <c r="R27" s="18">
        <f>(9095*G27)/(G27+G28)</f>
        <v>8250.2835010168037</v>
      </c>
      <c r="S27" s="30">
        <v>18.507000000000001</v>
      </c>
      <c r="T27" s="101">
        <f t="shared" ref="T27:T28" si="31">W27*F27*0.005</f>
        <v>2598.3698909450322</v>
      </c>
      <c r="V27" s="18">
        <v>0.1</v>
      </c>
      <c r="W27" s="18">
        <f>IF(O27&gt;0,O27,((P27*2.2046*S27)+(Q27+R27)/G27)+V27)</f>
        <v>30.439070533722582</v>
      </c>
      <c r="X27" s="18">
        <f>IF(O27&gt;0,O27,((P27*2.2046*S27)+(Q27+R27+T27)/G27)+V27)</f>
        <v>30.592362170603209</v>
      </c>
      <c r="Y27" s="21">
        <f t="shared" si="24"/>
        <v>522291.0644982814</v>
      </c>
      <c r="Z27" s="32">
        <v>42417</v>
      </c>
      <c r="AA27" s="37">
        <v>31</v>
      </c>
      <c r="AB27" s="37"/>
    </row>
    <row r="28" spans="1:28" s="12" customFormat="1" x14ac:dyDescent="0.25">
      <c r="A28" s="100"/>
      <c r="B28" s="24" t="s">
        <v>66</v>
      </c>
      <c r="C28" s="14" t="s">
        <v>40</v>
      </c>
      <c r="D28" s="25" t="s">
        <v>41</v>
      </c>
      <c r="E28" s="14" t="s">
        <v>832</v>
      </c>
      <c r="F28" s="26">
        <f>3825*0.4536</f>
        <v>1735.02</v>
      </c>
      <c r="G28" s="27">
        <f>885.5+850</f>
        <v>1735.5</v>
      </c>
      <c r="H28" s="27">
        <f>G28-F28</f>
        <v>0.48000000000001819</v>
      </c>
      <c r="I28" s="25"/>
      <c r="J28" s="14"/>
      <c r="K28" s="17">
        <v>42409</v>
      </c>
      <c r="L28" s="17">
        <v>42411</v>
      </c>
      <c r="M28" s="25" t="s">
        <v>65</v>
      </c>
      <c r="N28" s="25"/>
      <c r="O28" s="18"/>
      <c r="P28" s="28">
        <v>0.37</v>
      </c>
      <c r="Q28" s="29">
        <f>(18500*G28)/(G28+G27)</f>
        <v>1718.224874237397</v>
      </c>
      <c r="R28" s="18">
        <f>(9095*G28)/(G28+G27)</f>
        <v>844.71649898319595</v>
      </c>
      <c r="S28" s="30">
        <v>18.507000000000001</v>
      </c>
      <c r="T28" s="101">
        <f t="shared" si="31"/>
        <v>144.63969045701134</v>
      </c>
      <c r="V28" s="18">
        <v>0.1</v>
      </c>
      <c r="W28" s="18">
        <f>IF(O28&gt;0,O28,((P28*2.2046*S28)+(Q28+R28)/G28)+V28)</f>
        <v>16.672970969442581</v>
      </c>
      <c r="X28" s="18">
        <f>IF(O28&gt;0,O28,((P28*2.2046*S28)+(Q28+R28+T28)/G28)+V28)</f>
        <v>16.75631276745872</v>
      </c>
      <c r="Y28" s="21">
        <f t="shared" si="24"/>
        <v>29072.537777796228</v>
      </c>
      <c r="Z28" s="32">
        <v>42417</v>
      </c>
      <c r="AA28" s="37"/>
      <c r="AB28" s="37"/>
    </row>
    <row r="29" spans="1:28" s="12" customFormat="1" x14ac:dyDescent="0.25">
      <c r="A29" s="100"/>
      <c r="B29" s="24" t="s">
        <v>32</v>
      </c>
      <c r="C29" s="14" t="s">
        <v>68</v>
      </c>
      <c r="D29" s="25" t="s">
        <v>68</v>
      </c>
      <c r="E29" s="14">
        <v>260</v>
      </c>
      <c r="F29" s="26">
        <f>12550+12570</f>
        <v>25120</v>
      </c>
      <c r="G29" s="27">
        <f>9880+9830</f>
        <v>19710</v>
      </c>
      <c r="H29" s="27">
        <f t="shared" ref="H29" si="32">G29-F29</f>
        <v>-5410</v>
      </c>
      <c r="I29" s="25" t="s">
        <v>1284</v>
      </c>
      <c r="J29" s="14"/>
      <c r="K29" s="17">
        <v>42409</v>
      </c>
      <c r="L29" s="17">
        <v>42410</v>
      </c>
      <c r="M29" s="25" t="s">
        <v>50</v>
      </c>
      <c r="N29" s="14"/>
      <c r="O29" s="18">
        <v>21</v>
      </c>
      <c r="P29" s="19"/>
      <c r="Q29" s="29">
        <v>22000</v>
      </c>
      <c r="R29" s="99">
        <f>98*E29</f>
        <v>25480</v>
      </c>
      <c r="S29" s="30">
        <f>-38*E29</f>
        <v>-9880</v>
      </c>
      <c r="T29" s="31"/>
      <c r="U29" s="18">
        <f>E29*10</f>
        <v>2600</v>
      </c>
      <c r="V29" s="14"/>
      <c r="W29" s="18">
        <f>((O29*F29)+Q29+R29+S29+U29)/G29</f>
        <v>28.803652968036531</v>
      </c>
      <c r="X29" s="18">
        <f>((O29*F29)+Q29+R29+S29+T29+U29)/G29</f>
        <v>28.803652968036531</v>
      </c>
      <c r="Y29" s="21">
        <f t="shared" si="24"/>
        <v>723547.76255707769</v>
      </c>
      <c r="Z29" s="32">
        <v>42410</v>
      </c>
      <c r="AA29" s="37"/>
      <c r="AB29" s="37" t="s">
        <v>1311</v>
      </c>
    </row>
    <row r="30" spans="1:28" s="12" customFormat="1" x14ac:dyDescent="0.25">
      <c r="A30" s="100"/>
      <c r="B30" s="24" t="s">
        <v>25</v>
      </c>
      <c r="C30" s="25" t="s">
        <v>72</v>
      </c>
      <c r="D30" s="25" t="s">
        <v>72</v>
      </c>
      <c r="E30" s="14" t="s">
        <v>42</v>
      </c>
      <c r="F30" s="26">
        <f>42598*0.4536</f>
        <v>19322.452799999999</v>
      </c>
      <c r="G30" s="27">
        <v>19331.990000000002</v>
      </c>
      <c r="H30" s="27">
        <f>G30-F30</f>
        <v>9.5372000000024855</v>
      </c>
      <c r="I30" s="12" t="s">
        <v>1211</v>
      </c>
      <c r="J30" s="93" t="s">
        <v>74</v>
      </c>
      <c r="K30" s="17">
        <v>42410</v>
      </c>
      <c r="L30" s="17">
        <v>42411</v>
      </c>
      <c r="M30" s="25" t="s">
        <v>65</v>
      </c>
      <c r="N30" s="25" t="s">
        <v>1204</v>
      </c>
      <c r="O30" s="18"/>
      <c r="P30" s="28">
        <f>0.5869+0.105</f>
        <v>0.69189999999999996</v>
      </c>
      <c r="Q30" s="29">
        <v>18500</v>
      </c>
      <c r="R30" s="18">
        <v>9095</v>
      </c>
      <c r="S30" s="30">
        <v>18.420000000000002</v>
      </c>
      <c r="T30" s="101">
        <f>W30*F30*0.005</f>
        <v>2862.1004913624442</v>
      </c>
      <c r="V30" s="18">
        <v>0.1</v>
      </c>
      <c r="W30" s="18">
        <f t="shared" ref="W30" si="33">IF(O30&gt;0,O30,((P30*2.2046*S30)+(Q30+R30)/G30)+V30)</f>
        <v>29.624608438556457</v>
      </c>
      <c r="X30" s="18">
        <f t="shared" ref="X30" si="34">IF(O30&gt;0,O30,((P30*2.2046*S30)+(Q30+R30+T30)/G30)+V30)</f>
        <v>29.772658406064323</v>
      </c>
      <c r="Y30" s="21">
        <f t="shared" si="24"/>
        <v>575280.78678170114</v>
      </c>
      <c r="Z30" s="32">
        <v>42404</v>
      </c>
      <c r="AA30" s="37">
        <v>31</v>
      </c>
      <c r="AB30" s="37"/>
    </row>
    <row r="31" spans="1:28" s="12" customFormat="1" x14ac:dyDescent="0.25">
      <c r="A31" s="100"/>
      <c r="B31" s="24" t="s">
        <v>25</v>
      </c>
      <c r="C31" s="25" t="s">
        <v>72</v>
      </c>
      <c r="D31" s="25" t="s">
        <v>72</v>
      </c>
      <c r="E31" s="14" t="s">
        <v>42</v>
      </c>
      <c r="F31" s="26">
        <f>42632*0.4536</f>
        <v>19337.875199999999</v>
      </c>
      <c r="G31" s="27">
        <v>19325.68</v>
      </c>
      <c r="H31" s="27">
        <f>G31-F31</f>
        <v>-12.195199999998295</v>
      </c>
      <c r="I31" s="12" t="s">
        <v>1212</v>
      </c>
      <c r="J31" s="93" t="s">
        <v>44</v>
      </c>
      <c r="K31" s="17">
        <v>42410</v>
      </c>
      <c r="L31" s="17">
        <v>42411</v>
      </c>
      <c r="M31" s="25" t="s">
        <v>65</v>
      </c>
      <c r="N31" s="25" t="s">
        <v>1204</v>
      </c>
      <c r="O31" s="18"/>
      <c r="P31" s="28">
        <f>0.5869+0.105</f>
        <v>0.69189999999999996</v>
      </c>
      <c r="Q31" s="29">
        <v>18500</v>
      </c>
      <c r="R31" s="18">
        <v>9095</v>
      </c>
      <c r="S31" s="30">
        <v>18.420000000000002</v>
      </c>
      <c r="T31" s="101">
        <f t="shared" ref="T31" si="35">W31*F31*0.005</f>
        <v>2864.4299679017859</v>
      </c>
      <c r="V31" s="18">
        <v>0.1</v>
      </c>
      <c r="W31" s="18">
        <f>IF(O31&gt;0,O31,((P31*2.2046*S31)+(Q31+R31)/G31)+V31)</f>
        <v>29.625074505618755</v>
      </c>
      <c r="X31" s="18">
        <f>IF(O31&gt;0,O31,((P31*2.2046*S31)+(Q31+R31+T31)/G31)+V31)</f>
        <v>29.773293350590926</v>
      </c>
      <c r="Y31" s="21">
        <f>X31*F31</f>
        <v>575752.23110671714</v>
      </c>
      <c r="Z31" s="32">
        <v>42403</v>
      </c>
      <c r="AA31" s="37"/>
      <c r="AB31" s="37"/>
    </row>
    <row r="32" spans="1:28" s="12" customFormat="1" x14ac:dyDescent="0.25">
      <c r="A32" s="100"/>
      <c r="B32" s="24" t="s">
        <v>32</v>
      </c>
      <c r="C32" s="14" t="s">
        <v>33</v>
      </c>
      <c r="D32" s="25" t="s">
        <v>1102</v>
      </c>
      <c r="E32" s="14">
        <v>251</v>
      </c>
      <c r="F32" s="26">
        <v>28755</v>
      </c>
      <c r="G32" s="27">
        <f>22770+400</f>
        <v>23170</v>
      </c>
      <c r="H32" s="27">
        <f t="shared" ref="H32:H43" si="36">G32-F32</f>
        <v>-5585</v>
      </c>
      <c r="I32" s="25" t="s">
        <v>1309</v>
      </c>
      <c r="J32" s="14"/>
      <c r="K32" s="17"/>
      <c r="L32" s="17">
        <v>42411</v>
      </c>
      <c r="M32" s="25" t="s">
        <v>65</v>
      </c>
      <c r="N32" s="14"/>
      <c r="O32" s="18">
        <v>22</v>
      </c>
      <c r="P32" s="19"/>
      <c r="Q32" s="29">
        <f>16500</f>
        <v>16500</v>
      </c>
      <c r="R32" s="18">
        <f t="shared" ref="R32:R33" si="37">59.25*E32</f>
        <v>14871.75</v>
      </c>
      <c r="S32" s="30">
        <f t="shared" ref="S32:S33" si="38">-35*E32</f>
        <v>-8785</v>
      </c>
      <c r="T32" s="101">
        <f t="shared" ref="T32:T33" si="39">W32*F32*0.0045</f>
        <v>3666.0861165569704</v>
      </c>
      <c r="U32" s="18">
        <f t="shared" ref="U32:U33" si="40">E32*5</f>
        <v>1255</v>
      </c>
      <c r="V32" s="14"/>
      <c r="W32" s="18">
        <f t="shared" ref="W32:W33" si="41">((O32*F32)+Q32+R32+S32+U32)/G32</f>
        <v>28.331970220112215</v>
      </c>
      <c r="X32" s="18">
        <f t="shared" ref="X32:X33" si="42">((O32*F32)+Q32+R32+S32+T32+U32)/G32</f>
        <v>28.490195775423263</v>
      </c>
      <c r="Y32" s="21">
        <f t="shared" ref="Y32:Y43" si="43">X32*F32</f>
        <v>819235.57952229597</v>
      </c>
      <c r="Z32" s="32">
        <v>42424</v>
      </c>
      <c r="AA32" s="37">
        <v>31</v>
      </c>
      <c r="AB32" s="37"/>
    </row>
    <row r="33" spans="1:28" s="12" customFormat="1" x14ac:dyDescent="0.25">
      <c r="A33" s="100"/>
      <c r="B33" s="24" t="s">
        <v>32</v>
      </c>
      <c r="C33" s="14" t="s">
        <v>33</v>
      </c>
      <c r="D33" s="25" t="s">
        <v>1102</v>
      </c>
      <c r="E33" s="14">
        <v>130</v>
      </c>
      <c r="F33" s="26">
        <v>14485</v>
      </c>
      <c r="G33" s="27">
        <f>12020-400</f>
        <v>11620</v>
      </c>
      <c r="H33" s="27">
        <f t="shared" si="36"/>
        <v>-2865</v>
      </c>
      <c r="I33" s="12" t="s">
        <v>1308</v>
      </c>
      <c r="J33" s="14"/>
      <c r="K33" s="17"/>
      <c r="L33" s="17">
        <v>42411</v>
      </c>
      <c r="M33" s="25" t="s">
        <v>65</v>
      </c>
      <c r="N33" s="14"/>
      <c r="O33" s="18">
        <v>22</v>
      </c>
      <c r="P33" s="19"/>
      <c r="Q33" s="29">
        <f>13000</f>
        <v>13000</v>
      </c>
      <c r="R33" s="18">
        <f t="shared" si="37"/>
        <v>7702.5</v>
      </c>
      <c r="S33" s="30">
        <f t="shared" si="38"/>
        <v>-4550</v>
      </c>
      <c r="T33" s="101">
        <f t="shared" si="39"/>
        <v>1881.8361644793458</v>
      </c>
      <c r="U33" s="18">
        <f t="shared" si="40"/>
        <v>650</v>
      </c>
      <c r="V33" s="14"/>
      <c r="W33" s="18">
        <f t="shared" si="41"/>
        <v>28.87026678141136</v>
      </c>
      <c r="X33" s="18">
        <f t="shared" si="42"/>
        <v>29.03221481622025</v>
      </c>
      <c r="Y33" s="21">
        <f t="shared" si="43"/>
        <v>420531.6316129503</v>
      </c>
      <c r="Z33" s="32">
        <v>42424</v>
      </c>
      <c r="AA33" s="37">
        <v>31</v>
      </c>
      <c r="AB33" s="37" t="s">
        <v>1314</v>
      </c>
    </row>
    <row r="34" spans="1:28" s="12" customFormat="1" x14ac:dyDescent="0.25">
      <c r="A34" s="100"/>
      <c r="B34" s="24" t="s">
        <v>25</v>
      </c>
      <c r="C34" s="25" t="s">
        <v>72</v>
      </c>
      <c r="D34" s="25" t="s">
        <v>72</v>
      </c>
      <c r="E34" s="14" t="s">
        <v>42</v>
      </c>
      <c r="F34" s="26">
        <f>42466*0.4536</f>
        <v>19262.577600000001</v>
      </c>
      <c r="G34" s="27">
        <v>19228.38</v>
      </c>
      <c r="H34" s="27">
        <f t="shared" si="36"/>
        <v>-34.197599999999511</v>
      </c>
      <c r="I34" s="12" t="s">
        <v>1213</v>
      </c>
      <c r="J34" s="93" t="s">
        <v>29</v>
      </c>
      <c r="K34" s="17">
        <v>42411</v>
      </c>
      <c r="L34" s="17">
        <v>42412</v>
      </c>
      <c r="M34" s="25" t="s">
        <v>84</v>
      </c>
      <c r="N34" s="25" t="s">
        <v>1205</v>
      </c>
      <c r="O34" s="18"/>
      <c r="P34" s="28">
        <f>0.6037+0.105</f>
        <v>0.7087</v>
      </c>
      <c r="Q34" s="29">
        <v>18500</v>
      </c>
      <c r="R34" s="18">
        <v>9108</v>
      </c>
      <c r="S34" s="30">
        <v>18.170000000000002</v>
      </c>
      <c r="T34" s="101">
        <f t="shared" ref="T34:T39" si="44">W34*F34*0.005</f>
        <v>2882.1249127675851</v>
      </c>
      <c r="V34" s="18">
        <v>0.1</v>
      </c>
      <c r="W34" s="18">
        <f>IF(O34&gt;0,O34,((P34*2.2046*S34)+(Q34+R34)/G34)+V34)</f>
        <v>29.924602746494163</v>
      </c>
      <c r="X34" s="18">
        <f>IF(O34&gt;0,O34,((P34*2.2046*S34)+(Q34+R34+T34)/G34)+V34)</f>
        <v>30.074491864182058</v>
      </c>
      <c r="Y34" s="21">
        <f t="shared" si="43"/>
        <v>579312.23331437551</v>
      </c>
      <c r="Z34" s="32">
        <v>42405</v>
      </c>
      <c r="AA34" s="2"/>
      <c r="AB34" s="2"/>
    </row>
    <row r="35" spans="1:28" s="12" customFormat="1" x14ac:dyDescent="0.25">
      <c r="A35" s="100"/>
      <c r="B35" s="24" t="s">
        <v>25</v>
      </c>
      <c r="C35" s="25" t="s">
        <v>72</v>
      </c>
      <c r="D35" s="25" t="s">
        <v>72</v>
      </c>
      <c r="E35" s="14" t="s">
        <v>42</v>
      </c>
      <c r="F35" s="26">
        <f>42687*0.4536</f>
        <v>19362.823199999999</v>
      </c>
      <c r="G35" s="27">
        <v>19272.53</v>
      </c>
      <c r="H35" s="27">
        <f t="shared" si="36"/>
        <v>-90.29320000000007</v>
      </c>
      <c r="I35" s="12" t="s">
        <v>1214</v>
      </c>
      <c r="J35" s="93" t="s">
        <v>1307</v>
      </c>
      <c r="K35" s="17">
        <v>42411</v>
      </c>
      <c r="L35" s="17">
        <v>42412</v>
      </c>
      <c r="M35" s="25" t="s">
        <v>84</v>
      </c>
      <c r="N35" s="25" t="s">
        <v>1205</v>
      </c>
      <c r="O35" s="18"/>
      <c r="P35" s="28">
        <f>0.6037+0.105</f>
        <v>0.7087</v>
      </c>
      <c r="Q35" s="29">
        <v>18500</v>
      </c>
      <c r="R35" s="18">
        <v>9108</v>
      </c>
      <c r="S35" s="30">
        <v>18.170000000000002</v>
      </c>
      <c r="T35" s="101">
        <f t="shared" si="44"/>
        <v>2896.8055250016691</v>
      </c>
      <c r="V35" s="18">
        <v>0.1</v>
      </c>
      <c r="W35" s="18">
        <f>IF(O35&gt;0,O35,((P35*2.2046*S35)+(Q35+R35)/G35)+V35)</f>
        <v>29.92131359234504</v>
      </c>
      <c r="X35" s="18">
        <f>IF(O35&gt;0,O35,((P35*2.2046*S35)+(Q35+R35+T35)/G35)+V35)</f>
        <v>30.071621077921748</v>
      </c>
      <c r="Y35" s="21">
        <f t="shared" si="43"/>
        <v>582271.48226919223</v>
      </c>
      <c r="Z35" s="32">
        <v>42405</v>
      </c>
      <c r="AA35" s="2"/>
      <c r="AB35" s="2"/>
    </row>
    <row r="36" spans="1:28" s="12" customFormat="1" x14ac:dyDescent="0.25">
      <c r="A36" s="100"/>
      <c r="B36" s="24" t="s">
        <v>1285</v>
      </c>
      <c r="C36" s="25" t="s">
        <v>72</v>
      </c>
      <c r="D36" s="25" t="s">
        <v>72</v>
      </c>
      <c r="E36" s="14" t="s">
        <v>1306</v>
      </c>
      <c r="F36" s="26">
        <f>21816*0.4536</f>
        <v>9895.7376000000004</v>
      </c>
      <c r="G36" s="27">
        <v>9895.74</v>
      </c>
      <c r="H36" s="27">
        <f t="shared" si="36"/>
        <v>2.3999999993975507E-3</v>
      </c>
      <c r="I36" s="12" t="s">
        <v>1288</v>
      </c>
      <c r="J36" s="93" t="s">
        <v>837</v>
      </c>
      <c r="K36" s="17">
        <v>42411</v>
      </c>
      <c r="L36" s="17">
        <v>42412</v>
      </c>
      <c r="M36" s="25" t="s">
        <v>84</v>
      </c>
      <c r="N36" s="25"/>
      <c r="O36" s="18"/>
      <c r="P36" s="28">
        <v>1.2</v>
      </c>
      <c r="Q36" s="29">
        <f>(18500*G36)/(G36+G37+G38+G39)</f>
        <v>10364.564550147306</v>
      </c>
      <c r="R36" s="18">
        <f>(9108*G36)/(G36+G37+G38+G39)</f>
        <v>5102.7272390671169</v>
      </c>
      <c r="S36" s="30">
        <v>18.835000000000001</v>
      </c>
      <c r="T36" s="101">
        <f t="shared" si="44"/>
        <v>2547.7266421853783</v>
      </c>
      <c r="V36" s="18">
        <v>0.1</v>
      </c>
      <c r="W36" s="18">
        <f t="shared" ref="W36:W38" si="45">IF(O36&gt;0,O36,((P36*2.2046*S36)+(Q36+R36)/G36)+V36)</f>
        <v>51.491394480495892</v>
      </c>
      <c r="X36" s="18">
        <f t="shared" ref="X36:X38" si="46">IF(O36&gt;0,O36,((P36*2.2046*S36)+(Q36+R36+T36)/G36)+V36)</f>
        <v>51.748851390457688</v>
      </c>
      <c r="Y36" s="21">
        <f t="shared" ref="Y36:Y39" si="47">X36*F36</f>
        <v>512093.05446136446</v>
      </c>
      <c r="Z36" s="32">
        <v>42409</v>
      </c>
      <c r="AA36" s="2"/>
      <c r="AB36" s="2"/>
    </row>
    <row r="37" spans="1:28" s="12" customFormat="1" x14ac:dyDescent="0.25">
      <c r="A37" s="100"/>
      <c r="B37" s="24" t="s">
        <v>1000</v>
      </c>
      <c r="C37" s="25" t="s">
        <v>72</v>
      </c>
      <c r="D37" s="25" t="s">
        <v>72</v>
      </c>
      <c r="E37" s="14" t="s">
        <v>1303</v>
      </c>
      <c r="F37" s="26">
        <f>9000*0.4536</f>
        <v>4082.4</v>
      </c>
      <c r="G37" s="27">
        <f>299*30*0.4536</f>
        <v>4068.7919999999999</v>
      </c>
      <c r="H37" s="27">
        <f t="shared" si="36"/>
        <v>-13.608000000000175</v>
      </c>
      <c r="J37" s="14"/>
      <c r="K37" s="17">
        <v>42411</v>
      </c>
      <c r="L37" s="17">
        <v>42412</v>
      </c>
      <c r="M37" s="25" t="s">
        <v>84</v>
      </c>
      <c r="N37" s="25"/>
      <c r="O37" s="18"/>
      <c r="P37" s="28">
        <v>0.56999999999999995</v>
      </c>
      <c r="Q37" s="29">
        <f>(18500*G37)/(G37+G38+G39+G36)</f>
        <v>4261.5567229053067</v>
      </c>
      <c r="R37" s="18">
        <f>(9108*G37)/(G37+G38+G39+G36)</f>
        <v>2098.0680341741368</v>
      </c>
      <c r="S37" s="30">
        <v>18.835000000000001</v>
      </c>
      <c r="T37" s="101">
        <f t="shared" si="44"/>
        <v>517.06659127792216</v>
      </c>
      <c r="V37" s="18">
        <v>0.1</v>
      </c>
      <c r="W37" s="18">
        <f t="shared" si="45"/>
        <v>25.331500650495894</v>
      </c>
      <c r="X37" s="18">
        <f t="shared" si="46"/>
        <v>25.458581757438182</v>
      </c>
      <c r="Y37" s="21">
        <f t="shared" si="47"/>
        <v>103932.11416656563</v>
      </c>
      <c r="Z37" s="32">
        <v>42409</v>
      </c>
      <c r="AA37" s="2"/>
      <c r="AB37" s="2"/>
    </row>
    <row r="38" spans="1:28" s="12" customFormat="1" x14ac:dyDescent="0.25">
      <c r="A38" s="100"/>
      <c r="B38" s="24" t="s">
        <v>1286</v>
      </c>
      <c r="C38" s="25" t="s">
        <v>72</v>
      </c>
      <c r="D38" s="25" t="s">
        <v>72</v>
      </c>
      <c r="E38" s="14" t="s">
        <v>1304</v>
      </c>
      <c r="F38" s="26">
        <f>4380*0.4536</f>
        <v>1986.768</v>
      </c>
      <c r="G38" s="27">
        <f>145*30*0.4536</f>
        <v>1973.16</v>
      </c>
      <c r="H38" s="27">
        <f t="shared" si="36"/>
        <v>-13.607999999999947</v>
      </c>
      <c r="J38" s="14"/>
      <c r="K38" s="17">
        <v>42411</v>
      </c>
      <c r="L38" s="17">
        <v>42412</v>
      </c>
      <c r="M38" s="25" t="s">
        <v>84</v>
      </c>
      <c r="N38" s="25"/>
      <c r="O38" s="18"/>
      <c r="P38" s="28">
        <v>0.87</v>
      </c>
      <c r="Q38" s="29">
        <f>(18500*G38)/(G38+G39+G37+G36)</f>
        <v>2066.6412201380249</v>
      </c>
      <c r="R38" s="18">
        <f>(9108*G38)/(G38+G39+G36+G37)</f>
        <v>1017.4577423252504</v>
      </c>
      <c r="S38" s="30">
        <v>18.835000000000001</v>
      </c>
      <c r="T38" s="101">
        <f t="shared" si="44"/>
        <v>375.38583619535416</v>
      </c>
      <c r="V38" s="18">
        <v>0.1</v>
      </c>
      <c r="W38" s="18">
        <f t="shared" si="45"/>
        <v>37.788592950495897</v>
      </c>
      <c r="X38" s="18">
        <f t="shared" si="46"/>
        <v>37.978838970177705</v>
      </c>
      <c r="Y38" s="21">
        <f t="shared" si="47"/>
        <v>75455.141943102019</v>
      </c>
      <c r="Z38" s="32">
        <v>42409</v>
      </c>
      <c r="AA38" s="2"/>
      <c r="AB38" s="2"/>
    </row>
    <row r="39" spans="1:28" s="12" customFormat="1" x14ac:dyDescent="0.25">
      <c r="A39" s="100"/>
      <c r="B39" s="24" t="s">
        <v>1287</v>
      </c>
      <c r="C39" s="25" t="s">
        <v>72</v>
      </c>
      <c r="D39" s="25" t="s">
        <v>72</v>
      </c>
      <c r="E39" s="14" t="s">
        <v>1305</v>
      </c>
      <c r="F39" s="26">
        <f>3804*0.4536</f>
        <v>1725.4944</v>
      </c>
      <c r="G39" s="27">
        <v>1725.49</v>
      </c>
      <c r="H39" s="27">
        <f t="shared" si="36"/>
        <v>-4.400000000032378E-3</v>
      </c>
      <c r="J39" s="14"/>
      <c r="K39" s="17">
        <v>42411</v>
      </c>
      <c r="L39" s="17">
        <v>42412</v>
      </c>
      <c r="M39" s="25" t="s">
        <v>84</v>
      </c>
      <c r="N39" s="25"/>
      <c r="O39" s="18"/>
      <c r="P39" s="28">
        <v>0.78</v>
      </c>
      <c r="Q39" s="29">
        <f>(18500*G39)/(G39+G38+G37+G36)</f>
        <v>1807.237506809362</v>
      </c>
      <c r="R39" s="18">
        <f>(9108*G39)/(G39+G38+G37+G36)</f>
        <v>889.74698443349553</v>
      </c>
      <c r="S39" s="30">
        <v>18.835000000000001</v>
      </c>
      <c r="T39" s="101">
        <f t="shared" si="44"/>
        <v>293.77806309390104</v>
      </c>
      <c r="V39" s="18">
        <v>0.1</v>
      </c>
      <c r="W39" s="18">
        <f>IF(O39&gt;0,O39,((P39*2.2046*S39)+(Q39+R39)/G39)+V39)</f>
        <v>34.051465260495895</v>
      </c>
      <c r="X39" s="18">
        <f>IF(O39&gt;0,O39,((P39*2.2046*S39)+(Q39+R39+T39)/G39)+V39)</f>
        <v>34.221723020954606</v>
      </c>
      <c r="Y39" s="21">
        <f t="shared" si="47"/>
        <v>59049.391431008255</v>
      </c>
      <c r="Z39" s="32">
        <v>42409</v>
      </c>
      <c r="AA39" s="2"/>
      <c r="AB39" s="2"/>
    </row>
    <row r="40" spans="1:28" s="12" customFormat="1" x14ac:dyDescent="0.25">
      <c r="A40" s="100"/>
      <c r="B40" s="24" t="s">
        <v>32</v>
      </c>
      <c r="C40" s="14" t="s">
        <v>33</v>
      </c>
      <c r="D40" s="25" t="s">
        <v>38</v>
      </c>
      <c r="E40" s="14">
        <f>189+189</f>
        <v>378</v>
      </c>
      <c r="F40" s="26">
        <f>23710+22535</f>
        <v>46245</v>
      </c>
      <c r="G40" s="27">
        <f>12710+24170</f>
        <v>36880</v>
      </c>
      <c r="H40" s="27">
        <f t="shared" si="36"/>
        <v>-9365</v>
      </c>
      <c r="I40" s="25" t="s">
        <v>1313</v>
      </c>
      <c r="J40" s="14"/>
      <c r="K40" s="17"/>
      <c r="L40" s="17">
        <v>42412</v>
      </c>
      <c r="M40" s="25" t="s">
        <v>84</v>
      </c>
      <c r="N40" s="14"/>
      <c r="O40" s="18">
        <v>22</v>
      </c>
      <c r="P40" s="19"/>
      <c r="Q40" s="29">
        <f>16500+13000</f>
        <v>29500</v>
      </c>
      <c r="R40" s="18">
        <f>59.25*E40</f>
        <v>22396.5</v>
      </c>
      <c r="S40" s="30">
        <f>-35*E40</f>
        <v>-13230</v>
      </c>
      <c r="T40" s="101">
        <f>W40*F40*0.0045</f>
        <v>5969.6667981629607</v>
      </c>
      <c r="U40" s="18">
        <f>E40*5</f>
        <v>1890</v>
      </c>
      <c r="V40" s="14"/>
      <c r="W40" s="18">
        <f>((O40*F40)+Q40+R40+S40+U40)/G40</f>
        <v>28.686184924078091</v>
      </c>
      <c r="X40" s="18">
        <f>((O40*F40)+Q40+R40+S40+T40+U40)/G40</f>
        <v>28.848052245069496</v>
      </c>
      <c r="Y40" s="21">
        <f t="shared" si="43"/>
        <v>1334078.176073239</v>
      </c>
      <c r="Z40" s="32">
        <v>42425</v>
      </c>
      <c r="AA40" s="2">
        <v>31</v>
      </c>
      <c r="AB40" s="2" t="s">
        <v>1336</v>
      </c>
    </row>
    <row r="41" spans="1:28" s="12" customFormat="1" x14ac:dyDescent="0.25">
      <c r="A41" s="100"/>
      <c r="B41" s="24" t="s">
        <v>25</v>
      </c>
      <c r="C41" s="25" t="s">
        <v>26</v>
      </c>
      <c r="D41" s="25" t="s">
        <v>26</v>
      </c>
      <c r="E41" s="14" t="s">
        <v>27</v>
      </c>
      <c r="F41" s="26">
        <f>41395*0.4536</f>
        <v>18776.772000000001</v>
      </c>
      <c r="G41" s="27">
        <v>18700.13</v>
      </c>
      <c r="H41" s="27">
        <f t="shared" si="36"/>
        <v>-76.641999999999825</v>
      </c>
      <c r="I41" s="12" t="s">
        <v>1216</v>
      </c>
      <c r="J41" s="93" t="s">
        <v>991</v>
      </c>
      <c r="K41" s="17">
        <v>42412</v>
      </c>
      <c r="L41" s="17">
        <v>42414</v>
      </c>
      <c r="M41" s="25" t="s">
        <v>36</v>
      </c>
      <c r="N41" s="25" t="s">
        <v>1206</v>
      </c>
      <c r="O41" s="18"/>
      <c r="P41" s="28">
        <f>0.6037+0.1075</f>
        <v>0.71120000000000005</v>
      </c>
      <c r="Q41" s="29">
        <v>18500</v>
      </c>
      <c r="R41" s="18">
        <v>9134</v>
      </c>
      <c r="S41" s="30">
        <v>18.170000000000002</v>
      </c>
      <c r="T41" s="101">
        <f t="shared" ref="T41:T43" si="48">W41*F41*0.005</f>
        <v>2822.7774831850315</v>
      </c>
      <c r="V41" s="18">
        <v>0.1</v>
      </c>
      <c r="W41" s="18">
        <f>IF(O41&gt;0,O41,((P41*2.2046*S41)+(Q41+R41)/G41)+V41)</f>
        <v>30.066696056010386</v>
      </c>
      <c r="X41" s="18">
        <f>IF(O41&gt;0,O41,((P41*2.2046*S41)+(Q41+R41+T41)/G41)+V41)</f>
        <v>30.217645674178016</v>
      </c>
      <c r="Y41" s="21">
        <f t="shared" si="43"/>
        <v>567389.8432008269</v>
      </c>
      <c r="Z41" s="32">
        <v>42405</v>
      </c>
      <c r="AA41" s="2">
        <v>31.5</v>
      </c>
      <c r="AB41" s="2"/>
    </row>
    <row r="42" spans="1:28" s="12" customFormat="1" x14ac:dyDescent="0.25">
      <c r="A42" s="100"/>
      <c r="B42" s="24" t="s">
        <v>25</v>
      </c>
      <c r="C42" s="25" t="s">
        <v>72</v>
      </c>
      <c r="D42" s="25" t="s">
        <v>72</v>
      </c>
      <c r="E42" s="14" t="s">
        <v>42</v>
      </c>
      <c r="F42" s="26">
        <f>42542*0.4536</f>
        <v>19297.051200000002</v>
      </c>
      <c r="G42" s="27">
        <v>19236.57</v>
      </c>
      <c r="H42" s="27">
        <f t="shared" si="36"/>
        <v>-60.481200000001991</v>
      </c>
      <c r="I42" s="12" t="s">
        <v>1215</v>
      </c>
      <c r="J42" s="93" t="s">
        <v>44</v>
      </c>
      <c r="K42" s="17">
        <v>42412</v>
      </c>
      <c r="L42" s="17">
        <v>42413</v>
      </c>
      <c r="M42" s="25" t="s">
        <v>30</v>
      </c>
      <c r="N42" s="25" t="s">
        <v>1207</v>
      </c>
      <c r="O42" s="18"/>
      <c r="P42" s="28">
        <f>0.5915+0.105</f>
        <v>0.69650000000000001</v>
      </c>
      <c r="Q42" s="29">
        <v>18500</v>
      </c>
      <c r="R42" s="18">
        <v>9134</v>
      </c>
      <c r="S42" s="30">
        <v>18.18</v>
      </c>
      <c r="T42" s="101">
        <f t="shared" si="48"/>
        <v>2841.6833337950143</v>
      </c>
      <c r="V42" s="18">
        <v>0.1</v>
      </c>
      <c r="W42" s="18">
        <f>IF(O42&gt;0,O42,((P42*2.2046*S42)+(Q42+R42)/G42)+V42)</f>
        <v>29.45199558567802</v>
      </c>
      <c r="X42" s="18">
        <f>IF(O42&gt;0,O42,((P42*2.2046*S42)+(Q42+R42+T42)/G42)+V42)</f>
        <v>29.599718559877424</v>
      </c>
      <c r="Y42" s="21">
        <f t="shared" si="43"/>
        <v>571187.28455554496</v>
      </c>
      <c r="Z42" s="32">
        <v>42408</v>
      </c>
      <c r="AA42" s="2">
        <v>32</v>
      </c>
      <c r="AB42" s="2"/>
    </row>
    <row r="43" spans="1:28" s="12" customFormat="1" x14ac:dyDescent="0.25">
      <c r="A43" s="100"/>
      <c r="B43" s="24" t="s">
        <v>25</v>
      </c>
      <c r="C43" s="25" t="s">
        <v>40</v>
      </c>
      <c r="D43" s="25" t="s">
        <v>41</v>
      </c>
      <c r="E43" s="14" t="s">
        <v>831</v>
      </c>
      <c r="F43" s="26">
        <f>39469*0.4536</f>
        <v>17903.1384</v>
      </c>
      <c r="G43" s="27">
        <v>17891.12</v>
      </c>
      <c r="H43" s="27">
        <f t="shared" si="36"/>
        <v>-12.018400000000838</v>
      </c>
      <c r="I43" s="39" t="s">
        <v>1335</v>
      </c>
      <c r="J43" s="93" t="s">
        <v>44</v>
      </c>
      <c r="K43" s="17">
        <v>42412</v>
      </c>
      <c r="L43" s="17">
        <v>42413</v>
      </c>
      <c r="M43" s="25" t="s">
        <v>30</v>
      </c>
      <c r="N43" s="25" t="s">
        <v>1208</v>
      </c>
      <c r="O43" s="18"/>
      <c r="P43" s="28">
        <f>0.6037+0.1</f>
        <v>0.70369999999999999</v>
      </c>
      <c r="Q43" s="29">
        <v>18500</v>
      </c>
      <c r="R43" s="18">
        <v>9134</v>
      </c>
      <c r="S43" s="30">
        <v>18.507000000000001</v>
      </c>
      <c r="T43" s="101">
        <f t="shared" si="48"/>
        <v>2717.3293620366421</v>
      </c>
      <c r="V43" s="18">
        <v>0.1</v>
      </c>
      <c r="W43" s="18">
        <f t="shared" ref="W43" si="49">IF(O43&gt;0,O43,((P43*2.2046*S43)+(Q43+R43)/G43)+V43)</f>
        <v>30.355899634185281</v>
      </c>
      <c r="X43" s="18">
        <f t="shared" ref="X43" si="50">IF(O43&gt;0,O43,((P43*2.2046*S43)+(Q43+R43+T43)/G43)+V43)</f>
        <v>30.507781090574632</v>
      </c>
      <c r="Y43" s="21">
        <f t="shared" si="43"/>
        <v>546185.02714146057</v>
      </c>
      <c r="Z43" s="32">
        <v>42424</v>
      </c>
      <c r="AA43" s="37"/>
      <c r="AB43" s="37" t="s">
        <v>1354</v>
      </c>
    </row>
    <row r="44" spans="1:28" s="12" customFormat="1" ht="15.75" thickBot="1" x14ac:dyDescent="0.3">
      <c r="A44" s="100"/>
      <c r="B44" s="41"/>
      <c r="C44" s="4"/>
      <c r="D44" s="4"/>
      <c r="E44" s="4"/>
      <c r="F44" s="42"/>
      <c r="G44" s="42"/>
      <c r="H44" s="42"/>
      <c r="I44" s="6"/>
      <c r="J44" s="4"/>
      <c r="K44" s="7"/>
      <c r="L44" s="7"/>
      <c r="M44" s="4"/>
      <c r="N44" s="4"/>
      <c r="O44" s="8"/>
      <c r="P44" s="9"/>
      <c r="Q44" s="8"/>
      <c r="R44" s="8"/>
      <c r="S44" s="8"/>
      <c r="T44" s="8"/>
      <c r="U44" s="8"/>
      <c r="V44" s="8"/>
      <c r="W44" s="8"/>
      <c r="X44" s="8"/>
      <c r="Y44" s="8"/>
      <c r="Z44" s="43"/>
      <c r="AA44" s="2"/>
      <c r="AB44" s="2"/>
    </row>
    <row r="45" spans="1:28" s="12" customFormat="1" x14ac:dyDescent="0.25">
      <c r="A45" s="103"/>
      <c r="B45" s="14" t="s">
        <v>32</v>
      </c>
      <c r="C45" s="14" t="s">
        <v>33</v>
      </c>
      <c r="D45" s="25" t="s">
        <v>1363</v>
      </c>
      <c r="E45" s="14">
        <v>260</v>
      </c>
      <c r="F45" s="26">
        <f>1065+29000</f>
        <v>30065</v>
      </c>
      <c r="G45" s="27">
        <f>12180+12040</f>
        <v>24220</v>
      </c>
      <c r="H45" s="27">
        <f t="shared" ref="H45:H46" si="51">G45-F45</f>
        <v>-5845</v>
      </c>
      <c r="I45" s="25" t="s">
        <v>1364</v>
      </c>
      <c r="J45" s="14"/>
      <c r="K45" s="17"/>
      <c r="L45" s="17">
        <v>42414</v>
      </c>
      <c r="M45" s="25" t="s">
        <v>36</v>
      </c>
      <c r="N45" s="14"/>
      <c r="O45" s="18">
        <v>21.5</v>
      </c>
      <c r="P45" s="19"/>
      <c r="Q45" s="29">
        <f>16500</f>
        <v>16500</v>
      </c>
      <c r="R45" s="18">
        <f>59.25*E45</f>
        <v>15405</v>
      </c>
      <c r="S45" s="30">
        <f>-35*E45</f>
        <v>-9100</v>
      </c>
      <c r="T45" s="101">
        <f>W45*F45*0.0045</f>
        <v>3745.4153377890166</v>
      </c>
      <c r="U45" s="18">
        <f>E45*5</f>
        <v>1300</v>
      </c>
      <c r="V45" s="14"/>
      <c r="W45" s="18">
        <f>((O45*F45)+Q45+R45+S45+U45)/G45</f>
        <v>27.683835672997521</v>
      </c>
      <c r="X45" s="18">
        <f>((O45*F45)+Q45+R45+S45+T45+U45)/G45</f>
        <v>27.838477099000372</v>
      </c>
      <c r="Y45" s="21">
        <f t="shared" ref="Y45:Y54" si="52">X45*F45</f>
        <v>836963.8139814462</v>
      </c>
      <c r="Z45" s="32">
        <v>42429</v>
      </c>
      <c r="AA45" s="2">
        <v>30.5</v>
      </c>
      <c r="AB45" s="2" t="s">
        <v>1348</v>
      </c>
    </row>
    <row r="46" spans="1:28" s="12" customFormat="1" x14ac:dyDescent="0.25">
      <c r="A46" s="103"/>
      <c r="B46" s="24" t="s">
        <v>32</v>
      </c>
      <c r="C46" s="14" t="s">
        <v>33</v>
      </c>
      <c r="D46" s="25" t="s">
        <v>87</v>
      </c>
      <c r="E46" s="14">
        <f>179+70</f>
        <v>249</v>
      </c>
      <c r="F46" s="26">
        <v>28520</v>
      </c>
      <c r="G46" s="27">
        <f>16530+6600</f>
        <v>23130</v>
      </c>
      <c r="H46" s="27">
        <f t="shared" si="51"/>
        <v>-5390</v>
      </c>
      <c r="I46" s="25" t="s">
        <v>1365</v>
      </c>
      <c r="J46" s="14"/>
      <c r="K46" s="17"/>
      <c r="L46" s="17">
        <v>42415</v>
      </c>
      <c r="M46" s="25" t="s">
        <v>39</v>
      </c>
      <c r="N46" s="14"/>
      <c r="O46" s="18">
        <v>21.5</v>
      </c>
      <c r="P46" s="19"/>
      <c r="Q46" s="29">
        <v>16500</v>
      </c>
      <c r="R46" s="18">
        <f>59.25*E46</f>
        <v>14753.25</v>
      </c>
      <c r="S46" s="30">
        <f t="shared" ref="S46" si="53">-35*E46</f>
        <v>-8715</v>
      </c>
      <c r="T46" s="101">
        <f>W46*F46*0.0045</f>
        <v>3534.2785778210114</v>
      </c>
      <c r="U46" s="18">
        <f>E46*5</f>
        <v>1245</v>
      </c>
      <c r="V46" s="14"/>
      <c r="W46" s="18">
        <f>((O46*F46)+Q46+R46+S46+U46)/G46</f>
        <v>27.53840250756593</v>
      </c>
      <c r="X46" s="18">
        <f>((O46*F46)+Q46+R46+S46+T46+U46)/G46</f>
        <v>27.691203137821919</v>
      </c>
      <c r="Y46" s="21">
        <f t="shared" si="52"/>
        <v>789753.11349068116</v>
      </c>
      <c r="Z46" s="32">
        <v>42429</v>
      </c>
      <c r="AA46" s="2">
        <v>30.5</v>
      </c>
      <c r="AB46" s="2" t="s">
        <v>1376</v>
      </c>
    </row>
    <row r="47" spans="1:28" s="12" customFormat="1" x14ac:dyDescent="0.25">
      <c r="A47" s="103"/>
      <c r="B47" s="24" t="s">
        <v>25</v>
      </c>
      <c r="C47" s="14" t="s">
        <v>40</v>
      </c>
      <c r="D47" s="14" t="s">
        <v>41</v>
      </c>
      <c r="E47" s="105"/>
      <c r="F47" s="107">
        <v>17000</v>
      </c>
      <c r="G47" s="108">
        <v>17000</v>
      </c>
      <c r="H47" s="27">
        <f>G47-F47</f>
        <v>0</v>
      </c>
      <c r="I47" s="25" t="s">
        <v>1261</v>
      </c>
      <c r="J47" s="105" t="s">
        <v>487</v>
      </c>
      <c r="K47" s="17">
        <v>42415</v>
      </c>
      <c r="L47" s="17">
        <v>42416</v>
      </c>
      <c r="M47" s="25" t="s">
        <v>45</v>
      </c>
      <c r="N47" s="25" t="s">
        <v>1245</v>
      </c>
      <c r="O47" s="18"/>
      <c r="P47" s="28"/>
      <c r="Q47" s="18">
        <f>(18500*G47)/(G47+G48)</f>
        <v>16818.18181818182</v>
      </c>
      <c r="R47" s="18">
        <f>(9000*G47)/(G47+G48)</f>
        <v>8181.818181818182</v>
      </c>
      <c r="S47" s="30"/>
      <c r="T47" s="31">
        <f t="shared" ref="T47:T49" si="54">W47*F47*0.005</f>
        <v>133.50000000000003</v>
      </c>
      <c r="V47" s="18">
        <v>0.1</v>
      </c>
      <c r="W47" s="18">
        <f>IF(O47&gt;0,O47,((P47*2.2046*S47)+(Q47+R47)/G47)+V47)</f>
        <v>1.5705882352941178</v>
      </c>
      <c r="X47" s="18">
        <f>IF(O47&gt;0,O47,((P47*2.2046*S47)+(Q47+R47+T47)/G47)+V47)</f>
        <v>1.5784411764705883</v>
      </c>
      <c r="Y47" s="21">
        <f t="shared" si="52"/>
        <v>26833.500000000004</v>
      </c>
      <c r="Z47" s="106"/>
      <c r="AA47" s="37"/>
      <c r="AB47" s="37"/>
    </row>
    <row r="48" spans="1:28" s="12" customFormat="1" x14ac:dyDescent="0.25">
      <c r="A48" s="103"/>
      <c r="B48" s="24" t="s">
        <v>66</v>
      </c>
      <c r="C48" s="14" t="s">
        <v>40</v>
      </c>
      <c r="D48" s="25" t="s">
        <v>41</v>
      </c>
      <c r="E48" s="105"/>
      <c r="F48" s="107">
        <v>1700</v>
      </c>
      <c r="G48" s="108">
        <v>1700</v>
      </c>
      <c r="H48" s="27">
        <f>G48-F48</f>
        <v>0</v>
      </c>
      <c r="I48" s="25"/>
      <c r="J48" s="14"/>
      <c r="K48" s="17">
        <v>42415</v>
      </c>
      <c r="L48" s="17">
        <v>42416</v>
      </c>
      <c r="M48" s="25" t="s">
        <v>45</v>
      </c>
      <c r="N48" s="25"/>
      <c r="O48" s="18"/>
      <c r="P48" s="28"/>
      <c r="Q48" s="18">
        <f>(18500*G48)/(G48+G47)</f>
        <v>1681.8181818181818</v>
      </c>
      <c r="R48" s="18">
        <f>(9000*G48)/(G48+G47)</f>
        <v>818.18181818181813</v>
      </c>
      <c r="S48" s="30"/>
      <c r="T48" s="31">
        <f t="shared" si="54"/>
        <v>13.350000000000003</v>
      </c>
      <c r="V48" s="18">
        <v>0.1</v>
      </c>
      <c r="W48" s="18">
        <f>IF(O48&gt;0,O48,((P48*2.2046*S48)+(Q48+R48)/G48)+V48)</f>
        <v>1.5705882352941178</v>
      </c>
      <c r="X48" s="18">
        <f>IF(O48&gt;0,O48,((P48*2.2046*S48)+(Q48+R48+T48)/G48)+V48)</f>
        <v>1.5784411764705883</v>
      </c>
      <c r="Y48" s="21">
        <f t="shared" si="52"/>
        <v>2683.3500000000004</v>
      </c>
      <c r="Z48" s="106"/>
      <c r="AA48" s="37"/>
      <c r="AB48" s="37"/>
    </row>
    <row r="49" spans="1:28" s="12" customFormat="1" x14ac:dyDescent="0.25">
      <c r="A49" s="103"/>
      <c r="B49" s="24" t="s">
        <v>25</v>
      </c>
      <c r="C49" s="25" t="s">
        <v>26</v>
      </c>
      <c r="D49" s="25" t="s">
        <v>26</v>
      </c>
      <c r="E49" s="14" t="s">
        <v>27</v>
      </c>
      <c r="F49" s="26">
        <f>41898*0.4536</f>
        <v>19004.932799999999</v>
      </c>
      <c r="G49" s="27">
        <v>18990.13</v>
      </c>
      <c r="H49" s="27">
        <f t="shared" ref="H49" si="55">G49-F49</f>
        <v>-14.80279999999766</v>
      </c>
      <c r="I49" s="12" t="s">
        <v>1247</v>
      </c>
      <c r="J49" s="93" t="s">
        <v>1315</v>
      </c>
      <c r="K49" s="17">
        <v>42415</v>
      </c>
      <c r="L49" s="17">
        <v>42416</v>
      </c>
      <c r="M49" s="25" t="s">
        <v>45</v>
      </c>
      <c r="N49" s="25" t="s">
        <v>1246</v>
      </c>
      <c r="O49" s="18"/>
      <c r="P49" s="28">
        <f>0.5872+0.1075</f>
        <v>0.6947000000000001</v>
      </c>
      <c r="Q49" s="29">
        <v>18500</v>
      </c>
      <c r="R49" s="18">
        <v>9121</v>
      </c>
      <c r="S49" s="30">
        <v>18.86</v>
      </c>
      <c r="T49" s="101">
        <f t="shared" si="54"/>
        <v>2892.4799033202971</v>
      </c>
      <c r="V49" s="18">
        <v>0.1</v>
      </c>
      <c r="W49" s="18">
        <f t="shared" ref="W49" si="56">IF(O49&gt;0,O49,((P49*2.2046*S49)+(Q49+R49)/G49)+V49)</f>
        <v>30.439254205837521</v>
      </c>
      <c r="X49" s="18">
        <f t="shared" ref="X49" si="57">IF(O49&gt;0,O49,((P49*2.2046*S49)+(Q49+R49+T49)/G49)+V49)</f>
        <v>30.591569113809204</v>
      </c>
      <c r="Y49" s="21">
        <f t="shared" si="52"/>
        <v>581390.71525449946</v>
      </c>
      <c r="Z49" s="32">
        <v>42410</v>
      </c>
      <c r="AA49" s="37">
        <v>32</v>
      </c>
      <c r="AB49" s="37"/>
    </row>
    <row r="50" spans="1:28" s="12" customFormat="1" x14ac:dyDescent="0.25">
      <c r="A50" s="103"/>
      <c r="B50" s="24" t="s">
        <v>32</v>
      </c>
      <c r="C50" s="14" t="s">
        <v>33</v>
      </c>
      <c r="D50" s="25" t="s">
        <v>34</v>
      </c>
      <c r="E50" s="14">
        <f>177+70</f>
        <v>247</v>
      </c>
      <c r="F50" s="26">
        <f>26555</f>
        <v>26555</v>
      </c>
      <c r="G50" s="27">
        <f>15200+5990</f>
        <v>21190</v>
      </c>
      <c r="H50" s="27">
        <f>G50-F50</f>
        <v>-5365</v>
      </c>
      <c r="I50" s="25" t="s">
        <v>1366</v>
      </c>
      <c r="J50" s="14"/>
      <c r="K50" s="17"/>
      <c r="L50" s="17">
        <v>42416</v>
      </c>
      <c r="M50" s="25" t="s">
        <v>45</v>
      </c>
      <c r="N50" s="14"/>
      <c r="O50" s="18">
        <v>21.5</v>
      </c>
      <c r="P50" s="19"/>
      <c r="Q50" s="29">
        <v>16500</v>
      </c>
      <c r="R50" s="18">
        <f>59.25*E50</f>
        <v>14634.75</v>
      </c>
      <c r="S50" s="30">
        <f t="shared" ref="S50" si="58">-35*E50</f>
        <v>-8645</v>
      </c>
      <c r="T50" s="101">
        <f>W50*F50*0.0045</f>
        <v>3353.4712001828689</v>
      </c>
      <c r="U50" s="18">
        <f>E50*5</f>
        <v>1235</v>
      </c>
      <c r="V50" s="14"/>
      <c r="W50" s="18">
        <f>((O50*F50)+Q50+R50+S50+U50)/G50</f>
        <v>28.063107597923548</v>
      </c>
      <c r="X50" s="18">
        <f>((O50*F50)+Q50+R50+S50+T50+U50)/G50</f>
        <v>28.221364851353606</v>
      </c>
      <c r="Y50" s="21">
        <f t="shared" si="52"/>
        <v>749418.34362769499</v>
      </c>
      <c r="Z50" s="32">
        <v>42429</v>
      </c>
      <c r="AA50" s="37">
        <v>30.5</v>
      </c>
      <c r="AB50" s="37" t="s">
        <v>1377</v>
      </c>
    </row>
    <row r="51" spans="1:28" s="12" customFormat="1" x14ac:dyDescent="0.25">
      <c r="A51" s="103"/>
      <c r="B51" s="24" t="s">
        <v>25</v>
      </c>
      <c r="C51" s="14" t="s">
        <v>40</v>
      </c>
      <c r="D51" s="14" t="s">
        <v>41</v>
      </c>
      <c r="E51" s="14" t="s">
        <v>27</v>
      </c>
      <c r="F51" s="26">
        <f>37412*0.4536</f>
        <v>16970.083200000001</v>
      </c>
      <c r="G51" s="27">
        <f>18804.28-1802</f>
        <v>17002.28</v>
      </c>
      <c r="H51" s="27">
        <f>G51-F51</f>
        <v>32.196799999997893</v>
      </c>
      <c r="I51" s="25" t="s">
        <v>1262</v>
      </c>
      <c r="J51" s="93" t="s">
        <v>49</v>
      </c>
      <c r="K51" s="17">
        <v>42416</v>
      </c>
      <c r="L51" s="17">
        <v>42418</v>
      </c>
      <c r="M51" s="25" t="s">
        <v>65</v>
      </c>
      <c r="N51" s="25" t="s">
        <v>1281</v>
      </c>
      <c r="O51" s="18"/>
      <c r="P51" s="28">
        <f>0.5843+0.1</f>
        <v>0.68430000000000002</v>
      </c>
      <c r="Q51" s="29">
        <f>(18500*G51)/(G51+G52)</f>
        <v>16727.158923394036</v>
      </c>
      <c r="R51" s="18">
        <f>(9121*G51)/(G51+G52)</f>
        <v>8246.9414346095673</v>
      </c>
      <c r="S51" s="30">
        <v>18.149999999999999</v>
      </c>
      <c r="T51" s="101">
        <f t="shared" ref="T51:T52" si="59">W51*F51*0.005</f>
        <v>2456.4279376941713</v>
      </c>
      <c r="V51" s="18">
        <v>0.1</v>
      </c>
      <c r="W51" s="18">
        <f>IF(O51&gt;0,O51,((P51*2.2046*S51)+(Q51+R51)/G51)+V51)</f>
        <v>28.950098932858161</v>
      </c>
      <c r="X51" s="18">
        <f>IF(O51&gt;0,O51,((P51*2.2046*S51)+(Q51+R51+T51)/G51)+V51)</f>
        <v>29.094575317066287</v>
      </c>
      <c r="Y51" s="21">
        <f t="shared" si="52"/>
        <v>493737.3637992813</v>
      </c>
      <c r="Z51" s="32">
        <v>42426</v>
      </c>
      <c r="AA51" s="37">
        <v>30.5</v>
      </c>
      <c r="AB51" s="37"/>
    </row>
    <row r="52" spans="1:28" s="12" customFormat="1" x14ac:dyDescent="0.25">
      <c r="A52" s="103"/>
      <c r="B52" s="24" t="s">
        <v>66</v>
      </c>
      <c r="C52" s="14" t="s">
        <v>40</v>
      </c>
      <c r="D52" s="25" t="s">
        <v>41</v>
      </c>
      <c r="E52" s="14" t="s">
        <v>832</v>
      </c>
      <c r="F52" s="26">
        <f>3973*0.4536</f>
        <v>1802.1528000000001</v>
      </c>
      <c r="G52" s="27">
        <v>1802</v>
      </c>
      <c r="H52" s="27">
        <f>G52-F52</f>
        <v>-0.15280000000007021</v>
      </c>
      <c r="I52" s="25"/>
      <c r="J52" s="14"/>
      <c r="K52" s="17">
        <v>42416</v>
      </c>
      <c r="L52" s="17">
        <v>42418</v>
      </c>
      <c r="M52" s="25" t="s">
        <v>65</v>
      </c>
      <c r="N52" s="25"/>
      <c r="O52" s="18"/>
      <c r="P52" s="28">
        <v>0.37</v>
      </c>
      <c r="Q52" s="29">
        <f>(18500*G52)/(G52+G51)</f>
        <v>1772.8410766059642</v>
      </c>
      <c r="R52" s="18">
        <f>(9121*G52)/(G52+G51)</f>
        <v>874.05856539043248</v>
      </c>
      <c r="S52" s="30">
        <v>18.149999999999999</v>
      </c>
      <c r="T52" s="101">
        <f t="shared" si="59"/>
        <v>147.54097945127774</v>
      </c>
      <c r="V52" s="18">
        <v>0.1</v>
      </c>
      <c r="W52" s="18">
        <f>IF(O52&gt;0,O52,((P52*2.2046*S52)+(Q52+R52)/G52)+V52)</f>
        <v>16.373859025858156</v>
      </c>
      <c r="X52" s="18">
        <f>IF(O52&gt;0,O52,((P52*2.2046*S52)+(Q52+R52+T52)/G52)+V52)</f>
        <v>16.455735263067524</v>
      </c>
      <c r="Y52" s="21">
        <f t="shared" si="52"/>
        <v>29655.749380395875</v>
      </c>
      <c r="Z52" s="32">
        <v>42426</v>
      </c>
      <c r="AA52" s="37"/>
      <c r="AB52" s="37"/>
    </row>
    <row r="53" spans="1:28" s="12" customFormat="1" x14ac:dyDescent="0.25">
      <c r="A53" s="103"/>
      <c r="B53" s="24" t="s">
        <v>32</v>
      </c>
      <c r="C53" s="14" t="s">
        <v>68</v>
      </c>
      <c r="D53" s="25" t="s">
        <v>68</v>
      </c>
      <c r="E53" s="14">
        <v>259</v>
      </c>
      <c r="F53" s="26">
        <f>11810+12930</f>
        <v>24740</v>
      </c>
      <c r="G53" s="27">
        <f>9390+9870</f>
        <v>19260</v>
      </c>
      <c r="H53" s="27">
        <f t="shared" ref="H53" si="60">G53-F53</f>
        <v>-5480</v>
      </c>
      <c r="I53" s="25" t="s">
        <v>1357</v>
      </c>
      <c r="J53" s="14"/>
      <c r="K53" s="17">
        <v>42416</v>
      </c>
      <c r="L53" s="17">
        <v>42417</v>
      </c>
      <c r="M53" s="25" t="s">
        <v>50</v>
      </c>
      <c r="N53" s="14"/>
      <c r="O53" s="18">
        <v>21</v>
      </c>
      <c r="P53" s="19"/>
      <c r="Q53" s="29">
        <v>22000</v>
      </c>
      <c r="R53" s="99">
        <f>98*E53</f>
        <v>25382</v>
      </c>
      <c r="S53" s="30">
        <f>-38*E53</f>
        <v>-9842</v>
      </c>
      <c r="T53" s="31"/>
      <c r="U53" s="18">
        <f>E53*10</f>
        <v>2590</v>
      </c>
      <c r="V53" s="14"/>
      <c r="W53" s="18">
        <f>((O53*F53)+Q53+R53+S53+U53)/G53</f>
        <v>29.058670820353065</v>
      </c>
      <c r="X53" s="18">
        <f>((O53*F53)+Q53+R53+S53+T53+U53)/G53</f>
        <v>29.058670820353065</v>
      </c>
      <c r="Y53" s="21">
        <f t="shared" si="52"/>
        <v>718911.51609553478</v>
      </c>
      <c r="Z53" s="32">
        <v>42417</v>
      </c>
      <c r="AA53" s="37">
        <v>30.5</v>
      </c>
      <c r="AB53" s="37" t="s">
        <v>1378</v>
      </c>
    </row>
    <row r="54" spans="1:28" s="12" customFormat="1" x14ac:dyDescent="0.25">
      <c r="A54" s="103"/>
      <c r="B54" s="24" t="s">
        <v>25</v>
      </c>
      <c r="C54" s="25" t="s">
        <v>72</v>
      </c>
      <c r="D54" s="25" t="s">
        <v>72</v>
      </c>
      <c r="E54" s="14" t="s">
        <v>42</v>
      </c>
      <c r="F54" s="26">
        <f>42712*0.4536</f>
        <v>19374.163199999999</v>
      </c>
      <c r="G54" s="27">
        <v>19266.55</v>
      </c>
      <c r="H54" s="27">
        <f>G54-F54</f>
        <v>-107.61319999999978</v>
      </c>
      <c r="I54" s="12" t="s">
        <v>1263</v>
      </c>
      <c r="J54" s="93" t="s">
        <v>1315</v>
      </c>
      <c r="K54" s="17">
        <v>42417</v>
      </c>
      <c r="L54" s="17">
        <v>42418</v>
      </c>
      <c r="M54" s="25" t="s">
        <v>65</v>
      </c>
      <c r="N54" s="25" t="s">
        <v>1248</v>
      </c>
      <c r="O54" s="18"/>
      <c r="P54" s="28">
        <f>0.5843+0.105</f>
        <v>0.68930000000000002</v>
      </c>
      <c r="Q54" s="29">
        <v>18500</v>
      </c>
      <c r="R54" s="18">
        <v>9108</v>
      </c>
      <c r="S54" s="30">
        <v>19.14</v>
      </c>
      <c r="T54" s="101">
        <f>W54*F54*0.005</f>
        <v>2966.0568053797128</v>
      </c>
      <c r="V54" s="18">
        <v>0.1</v>
      </c>
      <c r="W54" s="18">
        <f t="shared" ref="W54" si="61">IF(O54&gt;0,O54,((P54*2.2046*S54)+(Q54+R54)/G54)+V54)</f>
        <v>30.61868298270258</v>
      </c>
      <c r="X54" s="18">
        <f t="shared" ref="X54" si="62">IF(O54&gt;0,O54,((P54*2.2046*S54)+(Q54+R54+T54)/G54)+V54)</f>
        <v>30.772631499971094</v>
      </c>
      <c r="Y54" s="21">
        <f t="shared" si="52"/>
        <v>596193.98477390071</v>
      </c>
      <c r="Z54" s="32">
        <v>42412</v>
      </c>
      <c r="AA54" s="37">
        <v>31.5</v>
      </c>
      <c r="AB54" s="37"/>
    </row>
    <row r="55" spans="1:28" s="12" customFormat="1" x14ac:dyDescent="0.25">
      <c r="A55" s="103"/>
      <c r="B55" s="24" t="s">
        <v>25</v>
      </c>
      <c r="C55" s="25" t="s">
        <v>72</v>
      </c>
      <c r="D55" s="25" t="s">
        <v>72</v>
      </c>
      <c r="E55" s="14" t="s">
        <v>42</v>
      </c>
      <c r="F55" s="26">
        <f>42616*0.4536</f>
        <v>19330.617600000001</v>
      </c>
      <c r="G55" s="27">
        <v>19268.36</v>
      </c>
      <c r="H55" s="27">
        <f>G55-F55</f>
        <v>-62.257600000000821</v>
      </c>
      <c r="I55" s="12" t="s">
        <v>1264</v>
      </c>
      <c r="J55" s="93" t="s">
        <v>991</v>
      </c>
      <c r="K55" s="17">
        <v>42417</v>
      </c>
      <c r="L55" s="17">
        <v>42418</v>
      </c>
      <c r="M55" s="25" t="s">
        <v>65</v>
      </c>
      <c r="N55" s="25" t="s">
        <v>1248</v>
      </c>
      <c r="O55" s="18"/>
      <c r="P55" s="28">
        <v>0.68930000000000002</v>
      </c>
      <c r="Q55" s="29">
        <v>21278</v>
      </c>
      <c r="R55" s="18">
        <v>9108</v>
      </c>
      <c r="S55" s="30">
        <v>19.14</v>
      </c>
      <c r="T55" s="101">
        <f t="shared" ref="T55" si="63">W55*F55*0.005</f>
        <v>2973.3121303659059</v>
      </c>
      <c r="V55" s="18">
        <v>0.1</v>
      </c>
      <c r="W55" s="18">
        <f>IF(O55&gt;0,O55,((P55*2.2046*S55)+(Q55+R55)/G55)+V55)</f>
        <v>30.762722556426816</v>
      </c>
      <c r="X55" s="18">
        <f>IF(O55&gt;0,O55,((P55*2.2046*S55)+(Q55+R55+T55)/G55)+V55)</f>
        <v>30.917033153196126</v>
      </c>
      <c r="Y55" s="21">
        <f>X55*F55</f>
        <v>597645.34521095653</v>
      </c>
      <c r="Z55" s="32">
        <v>42412</v>
      </c>
      <c r="AA55" s="37">
        <v>31.5</v>
      </c>
      <c r="AB55" s="37"/>
    </row>
    <row r="56" spans="1:28" s="12" customFormat="1" x14ac:dyDescent="0.25">
      <c r="A56" s="103"/>
      <c r="B56" s="24" t="s">
        <v>32</v>
      </c>
      <c r="C56" s="14" t="s">
        <v>33</v>
      </c>
      <c r="D56" s="25" t="s">
        <v>1102</v>
      </c>
      <c r="E56" s="14">
        <v>250</v>
      </c>
      <c r="F56" s="26">
        <v>28465</v>
      </c>
      <c r="G56" s="27">
        <v>22620</v>
      </c>
      <c r="H56" s="27">
        <f t="shared" ref="H56:H64" si="64">G56-F56</f>
        <v>-5845</v>
      </c>
      <c r="I56" s="25" t="s">
        <v>1373</v>
      </c>
      <c r="J56" s="14"/>
      <c r="K56" s="17"/>
      <c r="L56" s="17">
        <v>42418</v>
      </c>
      <c r="M56" s="25" t="s">
        <v>65</v>
      </c>
      <c r="N56" s="14"/>
      <c r="O56" s="18">
        <v>21.5</v>
      </c>
      <c r="P56" s="19"/>
      <c r="Q56" s="29">
        <v>16500</v>
      </c>
      <c r="R56" s="18">
        <f t="shared" ref="R56:R57" si="65">59.25*E56</f>
        <v>14812.5</v>
      </c>
      <c r="S56" s="30">
        <f t="shared" ref="S56:S57" si="66">-35*E56</f>
        <v>-8750</v>
      </c>
      <c r="T56" s="101">
        <f t="shared" ref="T56:T57" si="67">W56*F56*0.0045</f>
        <v>3600.4638561007955</v>
      </c>
      <c r="U56" s="18">
        <f t="shared" ref="U56:U57" si="68">E56*5</f>
        <v>1250</v>
      </c>
      <c r="V56" s="14"/>
      <c r="W56" s="18">
        <f t="shared" ref="W56:W57" si="69">((O56*F56)+Q56+R56+S56+U56)/G56</f>
        <v>28.108311229000883</v>
      </c>
      <c r="X56" s="18">
        <f t="shared" ref="X56:X57" si="70">((O56*F56)+Q56+R56+S56+T56+U56)/G56</f>
        <v>28.267482929093759</v>
      </c>
      <c r="Y56" s="21">
        <f t="shared" ref="Y56:Y64" si="71">X56*F56</f>
        <v>804633.90157665382</v>
      </c>
      <c r="Z56" s="32">
        <v>42431</v>
      </c>
      <c r="AA56" s="37">
        <v>30</v>
      </c>
      <c r="AB56" s="37"/>
    </row>
    <row r="57" spans="1:28" s="12" customFormat="1" x14ac:dyDescent="0.25">
      <c r="A57" s="103"/>
      <c r="B57" s="24" t="s">
        <v>32</v>
      </c>
      <c r="C57" s="14" t="s">
        <v>33</v>
      </c>
      <c r="D57" s="25" t="s">
        <v>87</v>
      </c>
      <c r="E57" s="14">
        <v>128</v>
      </c>
      <c r="F57" s="26">
        <v>13755</v>
      </c>
      <c r="G57" s="27">
        <v>10930</v>
      </c>
      <c r="H57" s="27">
        <f t="shared" si="64"/>
        <v>-2825</v>
      </c>
      <c r="I57" s="12" t="s">
        <v>1372</v>
      </c>
      <c r="J57" s="14"/>
      <c r="K57" s="17"/>
      <c r="L57" s="17">
        <v>42418</v>
      </c>
      <c r="M57" s="25" t="s">
        <v>65</v>
      </c>
      <c r="N57" s="14"/>
      <c r="O57" s="18">
        <v>21.5</v>
      </c>
      <c r="P57" s="19"/>
      <c r="Q57" s="29">
        <v>13000</v>
      </c>
      <c r="R57" s="18">
        <f t="shared" si="65"/>
        <v>7584</v>
      </c>
      <c r="S57" s="30">
        <f t="shared" si="66"/>
        <v>-4480</v>
      </c>
      <c r="T57" s="101">
        <f t="shared" si="67"/>
        <v>1769.5804353842636</v>
      </c>
      <c r="U57" s="18">
        <f t="shared" si="68"/>
        <v>640</v>
      </c>
      <c r="V57" s="14"/>
      <c r="W57" s="18">
        <f t="shared" si="69"/>
        <v>28.588883806038428</v>
      </c>
      <c r="X57" s="18">
        <f t="shared" si="70"/>
        <v>28.750785035259309</v>
      </c>
      <c r="Y57" s="21">
        <f t="shared" si="71"/>
        <v>395467.0481599918</v>
      </c>
      <c r="Z57" s="32">
        <v>42431</v>
      </c>
      <c r="AA57" s="37">
        <v>30</v>
      </c>
      <c r="AB57" s="37" t="s">
        <v>1406</v>
      </c>
    </row>
    <row r="58" spans="1:28" s="12" customFormat="1" x14ac:dyDescent="0.25">
      <c r="A58" s="103"/>
      <c r="B58" s="24" t="s">
        <v>25</v>
      </c>
      <c r="C58" s="25" t="s">
        <v>72</v>
      </c>
      <c r="D58" s="25" t="s">
        <v>72</v>
      </c>
      <c r="E58" s="14" t="s">
        <v>42</v>
      </c>
      <c r="F58" s="26">
        <f>43040*0.4536</f>
        <v>19522.944</v>
      </c>
      <c r="G58" s="27">
        <v>19445.68</v>
      </c>
      <c r="H58" s="27">
        <f t="shared" si="64"/>
        <v>-77.263999999999214</v>
      </c>
      <c r="I58" s="12" t="s">
        <v>1265</v>
      </c>
      <c r="J58" s="93" t="s">
        <v>29</v>
      </c>
      <c r="K58" s="17">
        <v>42418</v>
      </c>
      <c r="L58" s="17">
        <v>42419</v>
      </c>
      <c r="M58" s="25" t="s">
        <v>84</v>
      </c>
      <c r="N58" s="25" t="s">
        <v>1248</v>
      </c>
      <c r="O58" s="18"/>
      <c r="P58" s="28">
        <v>0.68930000000000002</v>
      </c>
      <c r="Q58" s="29">
        <v>18500</v>
      </c>
      <c r="R58" s="18">
        <v>9030</v>
      </c>
      <c r="S58" s="30">
        <v>19.14</v>
      </c>
      <c r="T58" s="101">
        <f t="shared" ref="T58:T59" si="72">W58*F58*0.005</f>
        <v>2987.15409554192</v>
      </c>
      <c r="V58" s="18">
        <v>0.1</v>
      </c>
      <c r="W58" s="18">
        <f>IF(O58&gt;0,O58,((P58*2.2046*S58)+(Q58+R58)/G58)+V58)</f>
        <v>30.601471740552245</v>
      </c>
      <c r="X58" s="18">
        <f>IF(O58&gt;0,O58,((P58*2.2046*S58)+(Q58+R58+T58)/G58)+V58)</f>
        <v>30.755087047167489</v>
      </c>
      <c r="Y58" s="21">
        <f t="shared" si="71"/>
        <v>600429.84213697619</v>
      </c>
      <c r="Z58" s="32">
        <v>42412</v>
      </c>
      <c r="AA58" s="2">
        <v>31.5</v>
      </c>
      <c r="AB58" s="2"/>
    </row>
    <row r="59" spans="1:28" s="12" customFormat="1" x14ac:dyDescent="0.25">
      <c r="A59" s="103"/>
      <c r="B59" s="24" t="s">
        <v>25</v>
      </c>
      <c r="C59" s="25" t="s">
        <v>72</v>
      </c>
      <c r="D59" s="25" t="s">
        <v>72</v>
      </c>
      <c r="E59" s="14" t="s">
        <v>42</v>
      </c>
      <c r="F59" s="26">
        <f>42986*0.4536</f>
        <v>19498.4496</v>
      </c>
      <c r="G59" s="27">
        <v>19436.52</v>
      </c>
      <c r="H59" s="27">
        <f t="shared" si="64"/>
        <v>-61.929599999999482</v>
      </c>
      <c r="I59" s="12" t="s">
        <v>1266</v>
      </c>
      <c r="J59" s="93" t="s">
        <v>1315</v>
      </c>
      <c r="K59" s="17">
        <v>42418</v>
      </c>
      <c r="L59" s="17">
        <v>42419</v>
      </c>
      <c r="M59" s="25" t="s">
        <v>84</v>
      </c>
      <c r="N59" s="25" t="s">
        <v>1248</v>
      </c>
      <c r="O59" s="18"/>
      <c r="P59" s="28">
        <v>0.68930000000000002</v>
      </c>
      <c r="Q59" s="29">
        <v>18500</v>
      </c>
      <c r="R59" s="18">
        <v>9030</v>
      </c>
      <c r="S59" s="30">
        <v>19.14</v>
      </c>
      <c r="T59" s="101">
        <f t="shared" si="72"/>
        <v>2983.4713195223608</v>
      </c>
      <c r="V59" s="18">
        <v>0.1</v>
      </c>
      <c r="W59" s="18">
        <f>IF(O59&gt;0,O59,((P59*2.2046*S59)+(Q59+R59)/G59)+V59)</f>
        <v>30.602138946702315</v>
      </c>
      <c r="X59" s="18">
        <f>IF(O59&gt;0,O59,((P59*2.2046*S59)+(Q59+R59+T59)/G59)+V59)</f>
        <v>30.755637171668635</v>
      </c>
      <c r="Y59" s="21">
        <f t="shared" si="71"/>
        <v>599687.24130766746</v>
      </c>
      <c r="Z59" s="32">
        <v>42412</v>
      </c>
      <c r="AA59" s="2">
        <v>31.5</v>
      </c>
      <c r="AB59" s="2"/>
    </row>
    <row r="60" spans="1:28" s="12" customFormat="1" x14ac:dyDescent="0.25">
      <c r="A60" s="103"/>
      <c r="B60" s="24" t="s">
        <v>32</v>
      </c>
      <c r="C60" s="14" t="s">
        <v>33</v>
      </c>
      <c r="D60" s="25" t="s">
        <v>1102</v>
      </c>
      <c r="E60" s="14">
        <v>250</v>
      </c>
      <c r="F60" s="26">
        <v>28990</v>
      </c>
      <c r="G60" s="27">
        <v>23510</v>
      </c>
      <c r="H60" s="27">
        <f t="shared" si="64"/>
        <v>-5480</v>
      </c>
      <c r="I60" s="25" t="s">
        <v>1374</v>
      </c>
      <c r="J60" s="14"/>
      <c r="K60" s="17"/>
      <c r="L60" s="17">
        <v>42419</v>
      </c>
      <c r="M60" s="25" t="s">
        <v>84</v>
      </c>
      <c r="N60" s="14"/>
      <c r="O60" s="18">
        <v>21.5</v>
      </c>
      <c r="P60" s="19"/>
      <c r="Q60" s="18">
        <v>16500</v>
      </c>
      <c r="R60" s="18">
        <f>59.25*E60</f>
        <v>14812.5</v>
      </c>
      <c r="S60" s="30">
        <f>-35*E60</f>
        <v>-8750</v>
      </c>
      <c r="T60" s="101">
        <f>W60*F60*0.0045</f>
        <v>3590.6892540408339</v>
      </c>
      <c r="U60" s="18">
        <f>E60*5</f>
        <v>1250</v>
      </c>
      <c r="V60" s="14"/>
      <c r="W60" s="18">
        <f>((O60*F60)+Q60+R60+S60+U60)/G60</f>
        <v>27.524351339855382</v>
      </c>
      <c r="X60" s="18">
        <f>((O60*F60)+Q60+R60+S60+T60+U60)/G60</f>
        <v>27.677081635646143</v>
      </c>
      <c r="Y60" s="21">
        <f t="shared" si="71"/>
        <v>802358.59661738167</v>
      </c>
      <c r="Z60" s="32">
        <v>42432</v>
      </c>
      <c r="AA60" s="2">
        <v>30</v>
      </c>
      <c r="AB60" s="2"/>
    </row>
    <row r="61" spans="1:28" s="12" customFormat="1" x14ac:dyDescent="0.25">
      <c r="A61" s="103"/>
      <c r="B61" s="24" t="s">
        <v>32</v>
      </c>
      <c r="C61" s="14" t="s">
        <v>33</v>
      </c>
      <c r="D61" s="25" t="s">
        <v>1102</v>
      </c>
      <c r="E61" s="14">
        <v>130</v>
      </c>
      <c r="F61" s="26">
        <v>15060</v>
      </c>
      <c r="G61" s="27">
        <v>12170</v>
      </c>
      <c r="H61" s="27">
        <f t="shared" si="64"/>
        <v>-2890</v>
      </c>
      <c r="I61" s="25" t="s">
        <v>1375</v>
      </c>
      <c r="J61" s="14"/>
      <c r="K61" s="17"/>
      <c r="L61" s="17">
        <v>42419</v>
      </c>
      <c r="M61" s="25" t="s">
        <v>84</v>
      </c>
      <c r="N61" s="14"/>
      <c r="O61" s="18">
        <v>21.5</v>
      </c>
      <c r="P61" s="19"/>
      <c r="Q61" s="18">
        <v>13000</v>
      </c>
      <c r="R61" s="18">
        <f>59.25*E61</f>
        <v>7702.5</v>
      </c>
      <c r="S61" s="30">
        <f>-35*E61</f>
        <v>-4550</v>
      </c>
      <c r="T61" s="101">
        <f>W61*F61*0.0045</f>
        <v>1896.6272576006572</v>
      </c>
      <c r="U61" s="18">
        <f>E61*5</f>
        <v>650</v>
      </c>
      <c r="V61" s="14"/>
      <c r="W61" s="18">
        <f>((O61*F61)+Q61+R61+S61+U61)/G61</f>
        <v>27.986236647493836</v>
      </c>
      <c r="X61" s="18">
        <f>((O61*F61)+Q61+R61+S61+T61+U61)/G61</f>
        <v>28.142081122235059</v>
      </c>
      <c r="Y61" s="21">
        <f t="shared" si="71"/>
        <v>423819.74170085997</v>
      </c>
      <c r="Z61" s="32">
        <v>42432</v>
      </c>
      <c r="AA61" s="2">
        <v>30</v>
      </c>
      <c r="AB61" s="2" t="s">
        <v>1407</v>
      </c>
    </row>
    <row r="62" spans="1:28" s="12" customFormat="1" x14ac:dyDescent="0.25">
      <c r="A62" s="103"/>
      <c r="B62" s="24" t="s">
        <v>25</v>
      </c>
      <c r="C62" s="25" t="s">
        <v>26</v>
      </c>
      <c r="D62" s="25" t="s">
        <v>26</v>
      </c>
      <c r="E62" s="14" t="s">
        <v>27</v>
      </c>
      <c r="F62" s="26">
        <f>41330*0.4536</f>
        <v>18747.288</v>
      </c>
      <c r="G62" s="27">
        <v>18690.13</v>
      </c>
      <c r="H62" s="27">
        <f t="shared" si="64"/>
        <v>-57.157999999999447</v>
      </c>
      <c r="I62" s="12" t="s">
        <v>1353</v>
      </c>
      <c r="J62" s="93" t="s">
        <v>1315</v>
      </c>
      <c r="K62" s="17">
        <v>42418</v>
      </c>
      <c r="L62" s="17">
        <v>42419</v>
      </c>
      <c r="M62" s="25" t="s">
        <v>84</v>
      </c>
      <c r="N62" s="25" t="s">
        <v>1249</v>
      </c>
      <c r="O62" s="18"/>
      <c r="P62" s="28">
        <f>0.5795+0.1075</f>
        <v>0.68700000000000006</v>
      </c>
      <c r="Q62" s="29">
        <v>18500</v>
      </c>
      <c r="R62" s="18">
        <v>9030</v>
      </c>
      <c r="S62" s="30">
        <v>19.14</v>
      </c>
      <c r="T62" s="101">
        <f t="shared" ref="T62:T64" si="73">W62*F62*0.005</f>
        <v>2864.7404764282687</v>
      </c>
      <c r="V62" s="18">
        <v>0.1</v>
      </c>
      <c r="W62" s="18">
        <f>IF(O62&gt;0,O62,((P62*2.2046*S62)+(Q62+R62)/G62)+V62)</f>
        <v>30.561652185940375</v>
      </c>
      <c r="X62" s="18">
        <f>IF(O62&gt;0,O62,((P62*2.2046*S62)+(Q62+R62+T62)/G62)+V62)</f>
        <v>30.714927763821763</v>
      </c>
      <c r="Y62" s="21">
        <f t="shared" si="71"/>
        <v>575821.59668756253</v>
      </c>
      <c r="Z62" s="32">
        <v>42412</v>
      </c>
      <c r="AA62" s="2">
        <v>31.5</v>
      </c>
      <c r="AB62" s="2"/>
    </row>
    <row r="63" spans="1:28" s="12" customFormat="1" x14ac:dyDescent="0.25">
      <c r="A63" s="103"/>
      <c r="B63" s="24" t="s">
        <v>25</v>
      </c>
      <c r="C63" s="25" t="s">
        <v>72</v>
      </c>
      <c r="D63" s="25" t="s">
        <v>72</v>
      </c>
      <c r="E63" s="14" t="s">
        <v>831</v>
      </c>
      <c r="F63" s="26">
        <f>40696*0.4536</f>
        <v>18459.705600000001</v>
      </c>
      <c r="G63" s="27">
        <v>18417.39</v>
      </c>
      <c r="H63" s="27">
        <f t="shared" si="64"/>
        <v>-42.315600000001723</v>
      </c>
      <c r="I63" s="12" t="s">
        <v>1267</v>
      </c>
      <c r="J63" s="93" t="s">
        <v>74</v>
      </c>
      <c r="K63" s="17">
        <v>42419</v>
      </c>
      <c r="L63" s="17">
        <v>42420</v>
      </c>
      <c r="M63" s="25" t="s">
        <v>30</v>
      </c>
      <c r="N63" s="25" t="s">
        <v>1250</v>
      </c>
      <c r="O63" s="18"/>
      <c r="P63" s="28">
        <f>0.5796+0.105</f>
        <v>0.68459999999999999</v>
      </c>
      <c r="Q63" s="29">
        <v>18500</v>
      </c>
      <c r="R63" s="18">
        <v>9056</v>
      </c>
      <c r="S63" s="30">
        <v>18.91</v>
      </c>
      <c r="T63" s="101">
        <f t="shared" si="73"/>
        <v>2781.5522303552275</v>
      </c>
      <c r="V63" s="18">
        <v>0.1</v>
      </c>
      <c r="W63" s="18">
        <f>IF(O63&gt;0,O63,((P63*2.2046*S63)+(Q63+R63)/G63)+V63)</f>
        <v>30.136474444697829</v>
      </c>
      <c r="X63" s="18">
        <f>IF(O63&gt;0,O63,((P63*2.2046*S63)+(Q63+R63+T63)/G63)+V63)</f>
        <v>30.287503023142182</v>
      </c>
      <c r="Y63" s="21">
        <f t="shared" si="71"/>
        <v>559098.38916631474</v>
      </c>
      <c r="Z63" s="32">
        <v>42412</v>
      </c>
      <c r="AA63" s="2">
        <v>31.5</v>
      </c>
      <c r="AB63" s="2"/>
    </row>
    <row r="64" spans="1:28" s="12" customFormat="1" x14ac:dyDescent="0.25">
      <c r="A64" s="103"/>
      <c r="B64" s="24" t="s">
        <v>25</v>
      </c>
      <c r="C64" s="25" t="s">
        <v>40</v>
      </c>
      <c r="D64" s="25" t="s">
        <v>41</v>
      </c>
      <c r="E64" s="14" t="s">
        <v>831</v>
      </c>
      <c r="F64" s="26">
        <f>39373*0.4536</f>
        <v>17859.592799999999</v>
      </c>
      <c r="G64" s="27">
        <v>17923.310000000001</v>
      </c>
      <c r="H64" s="27">
        <f t="shared" si="64"/>
        <v>63.717200000002777</v>
      </c>
      <c r="I64" s="39" t="s">
        <v>1426</v>
      </c>
      <c r="J64" s="93" t="s">
        <v>1315</v>
      </c>
      <c r="K64" s="17">
        <v>42419</v>
      </c>
      <c r="L64" s="17">
        <v>42420</v>
      </c>
      <c r="M64" s="25" t="s">
        <v>30</v>
      </c>
      <c r="N64" s="25" t="s">
        <v>1251</v>
      </c>
      <c r="O64" s="18"/>
      <c r="P64" s="28">
        <f>0.5795+0.1</f>
        <v>0.67949999999999999</v>
      </c>
      <c r="Q64" s="29">
        <v>18500</v>
      </c>
      <c r="R64" s="18">
        <v>9056</v>
      </c>
      <c r="S64" s="30">
        <v>18.149999999999999</v>
      </c>
      <c r="T64" s="101">
        <f t="shared" si="73"/>
        <v>2574.1571970727437</v>
      </c>
      <c r="V64" s="18">
        <v>0.1</v>
      </c>
      <c r="W64" s="18">
        <f t="shared" ref="W64" si="74">IF(O64&gt;0,O64,((P64*2.2046*S64)+(Q64+R64)/G64)+V64)</f>
        <v>28.826605689159315</v>
      </c>
      <c r="X64" s="18">
        <f t="shared" ref="X64" si="75">IF(O64&gt;0,O64,((P64*2.2046*S64)+(Q64+R64+T64)/G64)+V64)</f>
        <v>28.970226326032346</v>
      </c>
      <c r="Y64" s="21">
        <f t="shared" si="71"/>
        <v>517396.44550677767</v>
      </c>
      <c r="Z64" s="32">
        <v>42431</v>
      </c>
      <c r="AA64" s="37"/>
      <c r="AB64" s="37" t="s">
        <v>1434</v>
      </c>
    </row>
    <row r="65" spans="1:28" s="12" customFormat="1" ht="15.75" thickBot="1" x14ac:dyDescent="0.3">
      <c r="A65" s="103"/>
      <c r="B65" s="41"/>
      <c r="C65" s="4"/>
      <c r="D65" s="4"/>
      <c r="E65" s="4"/>
      <c r="F65" s="42"/>
      <c r="G65" s="42"/>
      <c r="H65" s="42"/>
      <c r="I65" s="6"/>
      <c r="J65" s="4"/>
      <c r="K65" s="7"/>
      <c r="L65" s="7"/>
      <c r="M65" s="4"/>
      <c r="N65" s="4"/>
      <c r="O65" s="8"/>
      <c r="P65" s="9"/>
      <c r="Q65" s="8"/>
      <c r="R65" s="8"/>
      <c r="S65" s="8"/>
      <c r="T65" s="8"/>
      <c r="U65" s="8"/>
      <c r="V65" s="8"/>
      <c r="W65" s="8"/>
      <c r="X65" s="8"/>
      <c r="Y65" s="8"/>
      <c r="Z65" s="43"/>
      <c r="AA65" s="2"/>
      <c r="AB65" s="2"/>
    </row>
    <row r="66" spans="1:28" s="12" customFormat="1" x14ac:dyDescent="0.25">
      <c r="A66" s="104"/>
      <c r="B66" s="14" t="s">
        <v>32</v>
      </c>
      <c r="C66" s="14" t="s">
        <v>33</v>
      </c>
      <c r="D66" s="25" t="s">
        <v>1472</v>
      </c>
      <c r="E66" s="14">
        <f>129+130</f>
        <v>259</v>
      </c>
      <c r="F66" s="26">
        <f>28005+1255</f>
        <v>29260</v>
      </c>
      <c r="G66" s="27">
        <f>11400+11730</f>
        <v>23130</v>
      </c>
      <c r="H66" s="27">
        <f t="shared" ref="H66:H67" si="76">G66-F66</f>
        <v>-6130</v>
      </c>
      <c r="I66" s="25" t="s">
        <v>1473</v>
      </c>
      <c r="J66" s="14"/>
      <c r="K66" s="17"/>
      <c r="L66" s="17">
        <v>42421</v>
      </c>
      <c r="M66" s="25" t="s">
        <v>36</v>
      </c>
      <c r="N66" s="14"/>
      <c r="O66" s="18">
        <v>21.5</v>
      </c>
      <c r="P66" s="19"/>
      <c r="Q66" s="29">
        <f>16500</f>
        <v>16500</v>
      </c>
      <c r="R66" s="18">
        <f>59.25*E66</f>
        <v>15345.75</v>
      </c>
      <c r="S66" s="30">
        <f>-35*E66</f>
        <v>-9065</v>
      </c>
      <c r="T66" s="101">
        <f>W66*F66*0.0045</f>
        <v>3718.2159231517508</v>
      </c>
      <c r="U66" s="18">
        <f>E66*5</f>
        <v>1295</v>
      </c>
      <c r="V66" s="14"/>
      <c r="W66" s="18">
        <f>((O66*F66)+Q66+R66+S66+U66)/G66</f>
        <v>28.238899697362733</v>
      </c>
      <c r="X66" s="18">
        <f>((O66*F66)+Q66+R66+S66+T66+U66)/G66</f>
        <v>28.399652655562114</v>
      </c>
      <c r="Y66" s="21">
        <f t="shared" ref="Y66:Y75" si="77">X66*F66</f>
        <v>830973.8367017475</v>
      </c>
      <c r="Z66" s="32">
        <v>42436</v>
      </c>
      <c r="AA66" s="2">
        <v>30</v>
      </c>
      <c r="AB66" s="2" t="s">
        <v>1474</v>
      </c>
    </row>
    <row r="67" spans="1:28" s="12" customFormat="1" x14ac:dyDescent="0.25">
      <c r="A67" s="104"/>
      <c r="B67" s="24" t="s">
        <v>32</v>
      </c>
      <c r="C67" s="14" t="s">
        <v>33</v>
      </c>
      <c r="D67" s="25" t="s">
        <v>1228</v>
      </c>
      <c r="E67" s="14">
        <f>125+125</f>
        <v>250</v>
      </c>
      <c r="F67" s="26">
        <f>13885+13510</f>
        <v>27395</v>
      </c>
      <c r="G67" s="27">
        <f>7050+14610</f>
        <v>21660</v>
      </c>
      <c r="H67" s="27">
        <f t="shared" si="76"/>
        <v>-5735</v>
      </c>
      <c r="I67" s="25" t="s">
        <v>1471</v>
      </c>
      <c r="J67" s="14"/>
      <c r="K67" s="17"/>
      <c r="L67" s="17">
        <v>42422</v>
      </c>
      <c r="M67" s="25" t="s">
        <v>39</v>
      </c>
      <c r="N67" s="14"/>
      <c r="O67" s="18">
        <v>21.5</v>
      </c>
      <c r="P67" s="19"/>
      <c r="Q67" s="29">
        <v>16500</v>
      </c>
      <c r="R67" s="18">
        <f>59.25*E67</f>
        <v>14812.5</v>
      </c>
      <c r="S67" s="30">
        <f t="shared" ref="S67" si="78">-35*E67</f>
        <v>-8750</v>
      </c>
      <c r="T67" s="101">
        <f>W67*F67*0.0045</f>
        <v>3487.768623614958</v>
      </c>
      <c r="U67" s="18">
        <f>E67*5</f>
        <v>1250</v>
      </c>
      <c r="V67" s="14"/>
      <c r="W67" s="18">
        <f>((O67*F67)+Q67+R67+S67+U67)/G67</f>
        <v>28.292012927054479</v>
      </c>
      <c r="X67" s="18">
        <f>((O67*F67)+Q67+R67+S67+T67+U67)/G67</f>
        <v>28.45303640921583</v>
      </c>
      <c r="Y67" s="21">
        <f t="shared" si="77"/>
        <v>779470.93243046768</v>
      </c>
      <c r="Z67" s="32">
        <v>42436</v>
      </c>
      <c r="AA67" s="2">
        <v>30</v>
      </c>
      <c r="AB67" s="2" t="s">
        <v>1479</v>
      </c>
    </row>
    <row r="68" spans="1:28" s="12" customFormat="1" x14ac:dyDescent="0.25">
      <c r="A68" s="104"/>
      <c r="B68" s="24" t="s">
        <v>25</v>
      </c>
      <c r="C68" s="14" t="s">
        <v>40</v>
      </c>
      <c r="D68" s="14" t="s">
        <v>41</v>
      </c>
      <c r="E68" s="14" t="s">
        <v>27</v>
      </c>
      <c r="F68" s="26">
        <f>38403*0.4536</f>
        <v>17419.6008</v>
      </c>
      <c r="G68" s="27">
        <f>19100.17-1681</f>
        <v>17419.169999999998</v>
      </c>
      <c r="H68" s="27">
        <f>G68-F68</f>
        <v>-0.43080000000190921</v>
      </c>
      <c r="I68" s="25" t="s">
        <v>1350</v>
      </c>
      <c r="J68" s="93" t="s">
        <v>44</v>
      </c>
      <c r="K68" s="17">
        <v>42422</v>
      </c>
      <c r="L68" s="17">
        <v>42423</v>
      </c>
      <c r="M68" s="25" t="s">
        <v>45</v>
      </c>
      <c r="N68" s="25" t="s">
        <v>1253</v>
      </c>
      <c r="O68" s="18"/>
      <c r="P68" s="28">
        <f>0.5545+0.1</f>
        <v>0.65449999999999997</v>
      </c>
      <c r="Q68" s="29">
        <f>(18500*G68)/(G68+G69)</f>
        <v>16871.82077437007</v>
      </c>
      <c r="R68" s="18">
        <f>(9030*G68)/(G68+G69)</f>
        <v>8235.2725185168511</v>
      </c>
      <c r="S68" s="30">
        <v>18.135000000000002</v>
      </c>
      <c r="T68" s="101">
        <f t="shared" ref="T68:T70" si="79">W68*F68*0.005</f>
        <v>2413.3580027525518</v>
      </c>
      <c r="V68" s="18">
        <v>0.1</v>
      </c>
      <c r="W68" s="18">
        <f>IF(O68&gt;0,O68,((P68*2.2046*S68)+(Q68+R68)/G68)+V68)</f>
        <v>27.708533972288869</v>
      </c>
      <c r="X68" s="18">
        <f>IF(O68&gt;0,O68,((P68*2.2046*S68)+(Q68+R68+T68)/G68)+V68)</f>
        <v>27.847080068500834</v>
      </c>
      <c r="Y68" s="21">
        <f t="shared" si="77"/>
        <v>485085.01823892118</v>
      </c>
      <c r="Z68" s="32">
        <v>42433</v>
      </c>
      <c r="AA68" s="37">
        <v>30</v>
      </c>
      <c r="AB68" s="37"/>
    </row>
    <row r="69" spans="1:28" s="12" customFormat="1" x14ac:dyDescent="0.25">
      <c r="A69" s="104"/>
      <c r="B69" s="24" t="s">
        <v>66</v>
      </c>
      <c r="C69" s="14" t="s">
        <v>40</v>
      </c>
      <c r="D69" s="25" t="s">
        <v>41</v>
      </c>
      <c r="E69" s="14" t="s">
        <v>832</v>
      </c>
      <c r="F69" s="26">
        <f>3709*0.4536</f>
        <v>1682.4023999999999</v>
      </c>
      <c r="G69" s="27">
        <f>861+820</f>
        <v>1681</v>
      </c>
      <c r="H69" s="27">
        <f>G69-F69</f>
        <v>-1.4023999999999432</v>
      </c>
      <c r="I69" s="25"/>
      <c r="J69" s="14"/>
      <c r="K69" s="17">
        <v>42422</v>
      </c>
      <c r="L69" s="17">
        <v>42423</v>
      </c>
      <c r="M69" s="25" t="s">
        <v>45</v>
      </c>
      <c r="N69" s="25"/>
      <c r="O69" s="18"/>
      <c r="P69" s="28">
        <v>0.37</v>
      </c>
      <c r="Q69" s="29">
        <f>(18500*G69)/(G69+G68)</f>
        <v>1628.1792256299291</v>
      </c>
      <c r="R69" s="18">
        <f>(9030*G69)/(G69+G68)</f>
        <v>794.72748148314918</v>
      </c>
      <c r="S69" s="30">
        <v>18.135000000000002</v>
      </c>
      <c r="T69" s="101">
        <f t="shared" si="79"/>
        <v>137.40268052105031</v>
      </c>
      <c r="V69" s="18">
        <v>0.1</v>
      </c>
      <c r="W69" s="18">
        <f>IF(O69&gt;0,O69,((P69*2.2046*S69)+(Q69+R69)/G69)+V69)</f>
        <v>16.334104197788864</v>
      </c>
      <c r="X69" s="18">
        <f>IF(O69&gt;0,O69,((P69*2.2046*S69)+(Q69+R69+T69)/G69)+V69)</f>
        <v>16.415842853660994</v>
      </c>
      <c r="Y69" s="21">
        <f t="shared" si="77"/>
        <v>27618.053415022103</v>
      </c>
      <c r="Z69" s="32">
        <v>42433</v>
      </c>
      <c r="AA69" s="37">
        <v>30</v>
      </c>
      <c r="AB69" s="37"/>
    </row>
    <row r="70" spans="1:28" s="12" customFormat="1" x14ac:dyDescent="0.25">
      <c r="A70" s="104"/>
      <c r="B70" s="24" t="s">
        <v>25</v>
      </c>
      <c r="C70" s="25" t="s">
        <v>26</v>
      </c>
      <c r="D70" s="25" t="s">
        <v>26</v>
      </c>
      <c r="E70" s="14" t="s">
        <v>27</v>
      </c>
      <c r="F70" s="26">
        <f>41948*0.4536</f>
        <v>19027.612799999999</v>
      </c>
      <c r="G70" s="27">
        <v>19020.13</v>
      </c>
      <c r="H70" s="27">
        <f t="shared" ref="H70" si="80">G70-F70</f>
        <v>-7.4827999999979511</v>
      </c>
      <c r="I70" s="12" t="s">
        <v>1358</v>
      </c>
      <c r="J70" s="93" t="s">
        <v>49</v>
      </c>
      <c r="K70" s="17">
        <v>42422</v>
      </c>
      <c r="L70" s="17">
        <v>42424</v>
      </c>
      <c r="M70" s="25" t="s">
        <v>50</v>
      </c>
      <c r="N70" s="25" t="s">
        <v>1254</v>
      </c>
      <c r="O70" s="18"/>
      <c r="P70" s="28">
        <f>0.5545+0.1075</f>
        <v>0.66200000000000003</v>
      </c>
      <c r="Q70" s="29">
        <v>18500</v>
      </c>
      <c r="R70" s="18">
        <v>9030</v>
      </c>
      <c r="S70" s="30">
        <v>18.815000000000001</v>
      </c>
      <c r="T70" s="101">
        <f t="shared" si="79"/>
        <v>2759.6579596365659</v>
      </c>
      <c r="V70" s="18">
        <v>0.1</v>
      </c>
      <c r="W70" s="18">
        <f t="shared" ref="W70" si="81">IF(O70&gt;0,O70,((P70*2.2046*S70)+(Q70+R70)/G70)+V70)</f>
        <v>29.006875309514029</v>
      </c>
      <c r="X70" s="18">
        <f t="shared" ref="X70" si="82">IF(O70&gt;0,O70,((P70*2.2046*S70)+(Q70+R70+T70)/G70)+V70)</f>
        <v>29.151966744726963</v>
      </c>
      <c r="Y70" s="21">
        <f t="shared" si="77"/>
        <v>554692.33557714103</v>
      </c>
      <c r="Z70" s="32">
        <v>42417</v>
      </c>
      <c r="AA70" s="37">
        <v>30</v>
      </c>
      <c r="AB70" s="37"/>
    </row>
    <row r="71" spans="1:28" s="12" customFormat="1" x14ac:dyDescent="0.25">
      <c r="A71" s="104"/>
      <c r="B71" s="24" t="s">
        <v>32</v>
      </c>
      <c r="C71" s="14" t="s">
        <v>33</v>
      </c>
      <c r="D71" s="25" t="s">
        <v>1475</v>
      </c>
      <c r="E71" s="14">
        <v>249</v>
      </c>
      <c r="F71" s="26">
        <v>26605</v>
      </c>
      <c r="G71" s="27">
        <f>14210+6680</f>
        <v>20890</v>
      </c>
      <c r="H71" s="27">
        <f>G71-F71</f>
        <v>-5715</v>
      </c>
      <c r="I71" s="25" t="s">
        <v>1476</v>
      </c>
      <c r="J71" s="14"/>
      <c r="K71" s="17"/>
      <c r="L71" s="17">
        <v>42423</v>
      </c>
      <c r="M71" s="25" t="s">
        <v>45</v>
      </c>
      <c r="N71" s="14"/>
      <c r="O71" s="18">
        <v>21.5</v>
      </c>
      <c r="P71" s="19"/>
      <c r="Q71" s="29">
        <v>16500</v>
      </c>
      <c r="R71" s="18">
        <f>59.25*E71</f>
        <v>14753.25</v>
      </c>
      <c r="S71" s="30">
        <f t="shared" ref="S71" si="83">-35*E71</f>
        <v>-8715</v>
      </c>
      <c r="T71" s="101">
        <f>W71*F71*0.0045</f>
        <v>3414.531262176879</v>
      </c>
      <c r="U71" s="18">
        <f>E71*5</f>
        <v>1245</v>
      </c>
      <c r="V71" s="14"/>
      <c r="W71" s="18">
        <f>((O71*F71)+Q71+R71+S71+U71)/G71</f>
        <v>28.520380564863572</v>
      </c>
      <c r="X71" s="18">
        <f>((O71*F71)+Q71+R71+S71+T71+U71)/G71</f>
        <v>28.683833473536474</v>
      </c>
      <c r="Y71" s="21">
        <f t="shared" si="77"/>
        <v>763133.3895634379</v>
      </c>
      <c r="Z71" s="32">
        <v>42437</v>
      </c>
      <c r="AA71" s="37">
        <v>30</v>
      </c>
      <c r="AB71" s="37" t="s">
        <v>1507</v>
      </c>
    </row>
    <row r="72" spans="1:28" s="12" customFormat="1" x14ac:dyDescent="0.25">
      <c r="A72" s="104"/>
      <c r="B72" s="24" t="s">
        <v>25</v>
      </c>
      <c r="C72" s="14" t="s">
        <v>40</v>
      </c>
      <c r="D72" s="14" t="s">
        <v>41</v>
      </c>
      <c r="E72" s="14" t="s">
        <v>63</v>
      </c>
      <c r="F72" s="26">
        <f>36456*0.4536</f>
        <v>16536.441600000002</v>
      </c>
      <c r="G72" s="27">
        <f>18402.42-1951</f>
        <v>16451.419999999998</v>
      </c>
      <c r="H72" s="27">
        <f>G72-F72</f>
        <v>-85.021600000003673</v>
      </c>
      <c r="I72" s="25" t="s">
        <v>1351</v>
      </c>
      <c r="J72" s="93" t="s">
        <v>29</v>
      </c>
      <c r="K72" s="17">
        <v>42422</v>
      </c>
      <c r="L72" s="17">
        <v>42423</v>
      </c>
      <c r="M72" s="25" t="s">
        <v>45</v>
      </c>
      <c r="N72" s="25" t="s">
        <v>1352</v>
      </c>
      <c r="O72" s="18"/>
      <c r="P72" s="28">
        <f>0.5528+0.1</f>
        <v>0.65279999999999994</v>
      </c>
      <c r="Q72" s="29">
        <f>(18500*G72)/(G72+G73)</f>
        <v>16538.654698675498</v>
      </c>
      <c r="R72" s="18">
        <f>(9030*G72)/(G72+G73)</f>
        <v>8072.6514556237717</v>
      </c>
      <c r="S72" s="30">
        <v>18.135000000000002</v>
      </c>
      <c r="T72" s="101">
        <f t="shared" ref="T72:T73" si="84">W72*F72*0.005</f>
        <v>2289.9017525104496</v>
      </c>
      <c r="V72" s="18">
        <v>0.1</v>
      </c>
      <c r="W72" s="18">
        <f>IF(O72&gt;0,O72,((P72*2.2046*S72)+(Q72+R72)/G72)+V72)</f>
        <v>27.695217724597402</v>
      </c>
      <c r="X72" s="18">
        <f>IF(O72&gt;0,O72,((P72*2.2046*S72)+(Q72+R72+T72)/G72)+V72)</f>
        <v>27.834409463213916</v>
      </c>
      <c r="Y72" s="21">
        <f t="shared" si="77"/>
        <v>460282.08655892435</v>
      </c>
      <c r="Z72" s="32">
        <v>42433</v>
      </c>
      <c r="AA72" s="37">
        <v>30</v>
      </c>
      <c r="AB72" s="37"/>
    </row>
    <row r="73" spans="1:28" s="12" customFormat="1" x14ac:dyDescent="0.25">
      <c r="A73" s="104"/>
      <c r="B73" s="24" t="s">
        <v>66</v>
      </c>
      <c r="C73" s="14" t="s">
        <v>40</v>
      </c>
      <c r="D73" s="25" t="s">
        <v>41</v>
      </c>
      <c r="E73" s="14" t="s">
        <v>832</v>
      </c>
      <c r="F73" s="26">
        <f>4312*0.4536</f>
        <v>1955.9232</v>
      </c>
      <c r="G73" s="27">
        <f>979+972</f>
        <v>1951</v>
      </c>
      <c r="H73" s="27">
        <f>G73-F73</f>
        <v>-4.9231999999999516</v>
      </c>
      <c r="I73" s="25"/>
      <c r="J73" s="14"/>
      <c r="K73" s="17">
        <v>42726</v>
      </c>
      <c r="L73" s="17">
        <v>42423</v>
      </c>
      <c r="M73" s="25" t="s">
        <v>45</v>
      </c>
      <c r="N73" s="25"/>
      <c r="O73" s="18"/>
      <c r="P73" s="28">
        <v>0.37</v>
      </c>
      <c r="Q73" s="29">
        <f>(18500*G73)/(G73+G72)</f>
        <v>1961.3453013244998</v>
      </c>
      <c r="R73" s="18">
        <f>(9030*G73)/(G73+G72)</f>
        <v>957.34854437622892</v>
      </c>
      <c r="S73" s="30">
        <v>18.135000000000002</v>
      </c>
      <c r="T73" s="101">
        <f t="shared" si="84"/>
        <v>160.27572734970695</v>
      </c>
      <c r="V73" s="18">
        <v>0.1</v>
      </c>
      <c r="W73" s="18">
        <f>IF(O73&gt;0,O73,((P73*2.2046*S73)+(Q73+R73)/G73)+V73)</f>
        <v>16.388754665797403</v>
      </c>
      <c r="X73" s="18">
        <f>IF(O73&gt;0,O73,((P73*2.2046*S73)+(Q73+R73+T73)/G73)+V73)</f>
        <v>16.470905218001249</v>
      </c>
      <c r="Y73" s="21">
        <f t="shared" si="77"/>
        <v>32215.8256408897</v>
      </c>
      <c r="Z73" s="32">
        <v>42433</v>
      </c>
      <c r="AA73" s="37">
        <v>30</v>
      </c>
      <c r="AB73" s="37"/>
    </row>
    <row r="74" spans="1:28" s="12" customFormat="1" x14ac:dyDescent="0.25">
      <c r="A74" s="104"/>
      <c r="B74" s="24" t="s">
        <v>32</v>
      </c>
      <c r="C74" s="14" t="s">
        <v>68</v>
      </c>
      <c r="D74" s="25" t="s">
        <v>68</v>
      </c>
      <c r="E74" s="14">
        <v>259</v>
      </c>
      <c r="F74" s="26">
        <f>12440+12500</f>
        <v>24940</v>
      </c>
      <c r="G74" s="27">
        <f>9830+9840</f>
        <v>19670</v>
      </c>
      <c r="H74" s="27">
        <f t="shared" ref="H74" si="85">G74-F74</f>
        <v>-5270</v>
      </c>
      <c r="I74" s="25" t="s">
        <v>1500</v>
      </c>
      <c r="J74" s="14"/>
      <c r="K74" s="17">
        <v>42423</v>
      </c>
      <c r="L74" s="17">
        <v>42424</v>
      </c>
      <c r="M74" s="25" t="s">
        <v>50</v>
      </c>
      <c r="N74" s="14"/>
      <c r="O74" s="18">
        <v>21</v>
      </c>
      <c r="P74" s="19"/>
      <c r="Q74" s="29">
        <v>22000</v>
      </c>
      <c r="R74" s="99">
        <f>98*E74</f>
        <v>25382</v>
      </c>
      <c r="S74" s="30">
        <f>-38*E74</f>
        <v>-9842</v>
      </c>
      <c r="T74" s="31"/>
      <c r="U74" s="18">
        <f>E74*10</f>
        <v>2590</v>
      </c>
      <c r="V74" s="14"/>
      <c r="W74" s="18">
        <f>((O74*F74)+Q74+R74+S74+U74)/G74</f>
        <v>28.666497203863752</v>
      </c>
      <c r="X74" s="18">
        <f>((O74*F74)+Q74+R74+S74+T74+U74)/G74</f>
        <v>28.666497203863752</v>
      </c>
      <c r="Y74" s="21">
        <f t="shared" si="77"/>
        <v>714942.44026436203</v>
      </c>
      <c r="Z74" s="32">
        <v>42424</v>
      </c>
      <c r="AA74" s="37">
        <v>30</v>
      </c>
      <c r="AB74" s="37" t="s">
        <v>1508</v>
      </c>
    </row>
    <row r="75" spans="1:28" s="12" customFormat="1" x14ac:dyDescent="0.25">
      <c r="A75" s="104"/>
      <c r="B75" s="24" t="s">
        <v>25</v>
      </c>
      <c r="C75" s="25" t="s">
        <v>72</v>
      </c>
      <c r="D75" s="25" t="s">
        <v>72</v>
      </c>
      <c r="E75" s="14" t="s">
        <v>42</v>
      </c>
      <c r="F75" s="26">
        <f>42692*0.4536</f>
        <v>19365.091199999999</v>
      </c>
      <c r="G75" s="27">
        <v>19313.82</v>
      </c>
      <c r="H75" s="27">
        <f>G75-F75</f>
        <v>-51.271199999999226</v>
      </c>
      <c r="I75" s="12" t="s">
        <v>1367</v>
      </c>
      <c r="J75" s="93" t="s">
        <v>29</v>
      </c>
      <c r="K75" s="17">
        <v>42424</v>
      </c>
      <c r="L75" s="17">
        <v>42425</v>
      </c>
      <c r="M75" s="25" t="s">
        <v>65</v>
      </c>
      <c r="N75" s="25" t="s">
        <v>1255</v>
      </c>
      <c r="O75" s="18"/>
      <c r="P75" s="28">
        <f>0.5528+0.105</f>
        <v>0.65779999999999994</v>
      </c>
      <c r="Q75" s="29">
        <v>18500</v>
      </c>
      <c r="R75" s="18">
        <v>9030</v>
      </c>
      <c r="S75" s="30">
        <v>18.815000000000001</v>
      </c>
      <c r="T75" s="101">
        <f>W75*F75*0.005</f>
        <v>2789.6044715302055</v>
      </c>
      <c r="V75" s="18">
        <v>0.1</v>
      </c>
      <c r="W75" s="18">
        <f t="shared" ref="W75" si="86">IF(O75&gt;0,O75,((P75*2.2046*S75)+(Q75+R75)/G75)+V75)</f>
        <v>28.81065152463837</v>
      </c>
      <c r="X75" s="18">
        <f t="shared" ref="X75" si="87">IF(O75&gt;0,O75,((P75*2.2046*S75)+(Q75+R75+T75)/G75)+V75)</f>
        <v>28.955087191509563</v>
      </c>
      <c r="Y75" s="21">
        <f t="shared" si="77"/>
        <v>560717.90416753455</v>
      </c>
      <c r="Z75" s="32">
        <v>42418</v>
      </c>
      <c r="AA75" s="37">
        <v>30</v>
      </c>
      <c r="AB75" s="37"/>
    </row>
    <row r="76" spans="1:28" s="12" customFormat="1" x14ac:dyDescent="0.25">
      <c r="A76" s="104"/>
      <c r="B76" s="24" t="s">
        <v>25</v>
      </c>
      <c r="C76" s="25" t="s">
        <v>72</v>
      </c>
      <c r="D76" s="25" t="s">
        <v>72</v>
      </c>
      <c r="E76" s="14" t="s">
        <v>42</v>
      </c>
      <c r="F76" s="26">
        <f>42664*0.4536</f>
        <v>19352.3904</v>
      </c>
      <c r="G76" s="27">
        <v>19352.03</v>
      </c>
      <c r="H76" s="27">
        <f>G76-F76</f>
        <v>-0.36040000000139116</v>
      </c>
      <c r="I76" s="12" t="s">
        <v>1368</v>
      </c>
      <c r="J76" s="93" t="s">
        <v>991</v>
      </c>
      <c r="K76" s="17">
        <v>42425</v>
      </c>
      <c r="L76" s="17">
        <v>42426</v>
      </c>
      <c r="M76" s="25" t="s">
        <v>84</v>
      </c>
      <c r="N76" s="25" t="s">
        <v>1255</v>
      </c>
      <c r="O76" s="18"/>
      <c r="P76" s="28">
        <v>0.65780000000000005</v>
      </c>
      <c r="Q76" s="29">
        <v>21500</v>
      </c>
      <c r="R76" s="18">
        <v>9030</v>
      </c>
      <c r="S76" s="30">
        <v>18.815000000000001</v>
      </c>
      <c r="T76" s="101">
        <f t="shared" ref="T76" si="88">W76*F76*0.005</f>
        <v>2802.5028307237781</v>
      </c>
      <c r="V76" s="18">
        <v>0.1</v>
      </c>
      <c r="W76" s="18">
        <f>IF(O76&gt;0,O76,((P76*2.2046*S76)+(Q76+R76)/G76)+V76)</f>
        <v>28.962859603367427</v>
      </c>
      <c r="X76" s="18">
        <f>IF(O76&gt;0,O76,((P76*2.2046*S76)+(Q76+R76+T76)/G76)+V76)</f>
        <v>29.107676598314406</v>
      </c>
      <c r="Y76" s="21">
        <f>X76*F76</f>
        <v>563303.12116752437</v>
      </c>
      <c r="Z76" s="32">
        <v>42418</v>
      </c>
      <c r="AA76" s="37">
        <v>30</v>
      </c>
      <c r="AB76" s="37"/>
    </row>
    <row r="77" spans="1:28" s="12" customFormat="1" x14ac:dyDescent="0.25">
      <c r="A77" s="104"/>
      <c r="B77" s="24" t="s">
        <v>32</v>
      </c>
      <c r="C77" s="14" t="s">
        <v>33</v>
      </c>
      <c r="D77" s="25" t="s">
        <v>1504</v>
      </c>
      <c r="E77" s="14">
        <v>251</v>
      </c>
      <c r="F77" s="26">
        <v>27215</v>
      </c>
      <c r="G77" s="27">
        <v>21510</v>
      </c>
      <c r="H77" s="27">
        <f t="shared" ref="H77:H85" si="89">G77-F77</f>
        <v>-5705</v>
      </c>
      <c r="I77" s="25" t="s">
        <v>1506</v>
      </c>
      <c r="J77" s="120">
        <v>250</v>
      </c>
      <c r="K77" s="17"/>
      <c r="L77" s="17">
        <v>42425</v>
      </c>
      <c r="M77" s="25" t="s">
        <v>65</v>
      </c>
      <c r="N77" s="14"/>
      <c r="O77" s="18">
        <v>21.5</v>
      </c>
      <c r="P77" s="19"/>
      <c r="Q77" s="29">
        <v>16500</v>
      </c>
      <c r="R77" s="18">
        <f t="shared" ref="R77:R78" si="90">59.25*E77</f>
        <v>14871.75</v>
      </c>
      <c r="S77" s="30">
        <f t="shared" ref="S77:S78" si="91">-35*E77</f>
        <v>-8785</v>
      </c>
      <c r="T77" s="101">
        <f t="shared" ref="T77:T78" si="92">W77*F77*0.0045</f>
        <v>3467.146875261506</v>
      </c>
      <c r="U77" s="18">
        <f t="shared" ref="U77:U78" si="93">E77*5</f>
        <v>1255</v>
      </c>
      <c r="V77" s="14"/>
      <c r="W77" s="18">
        <f t="shared" ref="W77:W78" si="94">((O77*F77)+Q77+R77+S77+U77)/G77</f>
        <v>28.31075081357508</v>
      </c>
      <c r="X77" s="18">
        <f t="shared" ref="X77:X78" si="95">((O77*F77)+Q77+R77+S77+T77+U77)/G77</f>
        <v>28.47193848792476</v>
      </c>
      <c r="Y77" s="21">
        <f t="shared" ref="Y77:Y85" si="96">X77*F77</f>
        <v>774863.80594887235</v>
      </c>
      <c r="Z77" s="32">
        <v>42438</v>
      </c>
      <c r="AA77" s="37">
        <v>30</v>
      </c>
      <c r="AB77" s="37"/>
    </row>
    <row r="78" spans="1:28" s="12" customFormat="1" x14ac:dyDescent="0.25">
      <c r="A78" s="104"/>
      <c r="B78" s="24" t="s">
        <v>32</v>
      </c>
      <c r="C78" s="14" t="s">
        <v>33</v>
      </c>
      <c r="D78" s="25" t="s">
        <v>1228</v>
      </c>
      <c r="E78" s="14">
        <v>129</v>
      </c>
      <c r="F78" s="26">
        <v>15170</v>
      </c>
      <c r="G78" s="27">
        <v>11830</v>
      </c>
      <c r="H78" s="27">
        <f t="shared" si="89"/>
        <v>-3340</v>
      </c>
      <c r="I78" s="12" t="s">
        <v>1505</v>
      </c>
      <c r="J78" s="120">
        <v>127</v>
      </c>
      <c r="K78" s="17"/>
      <c r="L78" s="17">
        <v>42425</v>
      </c>
      <c r="M78" s="25" t="s">
        <v>65</v>
      </c>
      <c r="N78" s="14"/>
      <c r="O78" s="18">
        <v>21.5</v>
      </c>
      <c r="P78" s="19"/>
      <c r="Q78" s="29">
        <v>13000</v>
      </c>
      <c r="R78" s="18">
        <f t="shared" si="90"/>
        <v>7643.25</v>
      </c>
      <c r="S78" s="30">
        <f t="shared" si="91"/>
        <v>-4515</v>
      </c>
      <c r="T78" s="101">
        <f t="shared" si="92"/>
        <v>1978.8670318047336</v>
      </c>
      <c r="U78" s="18">
        <f t="shared" si="93"/>
        <v>645</v>
      </c>
      <c r="V78" s="14"/>
      <c r="W78" s="18">
        <f t="shared" si="94"/>
        <v>28.98801775147929</v>
      </c>
      <c r="X78" s="18">
        <f t="shared" si="95"/>
        <v>29.155293071158475</v>
      </c>
      <c r="Y78" s="21">
        <f t="shared" si="96"/>
        <v>442285.79588947404</v>
      </c>
      <c r="Z78" s="32">
        <v>42438</v>
      </c>
      <c r="AA78" s="37">
        <v>30</v>
      </c>
      <c r="AB78" s="37" t="s">
        <v>1516</v>
      </c>
    </row>
    <row r="79" spans="1:28" s="12" customFormat="1" x14ac:dyDescent="0.25">
      <c r="A79" s="104"/>
      <c r="B79" s="24" t="s">
        <v>25</v>
      </c>
      <c r="C79" s="25" t="s">
        <v>72</v>
      </c>
      <c r="D79" s="25" t="s">
        <v>72</v>
      </c>
      <c r="E79" s="14" t="s">
        <v>42</v>
      </c>
      <c r="F79" s="26">
        <f>42516*0.4536</f>
        <v>19285.257600000001</v>
      </c>
      <c r="G79" s="27">
        <v>19232.900000000001</v>
      </c>
      <c r="H79" s="27">
        <f t="shared" si="89"/>
        <v>-52.357599999999366</v>
      </c>
      <c r="I79" s="12" t="s">
        <v>1369</v>
      </c>
      <c r="J79" s="93" t="s">
        <v>44</v>
      </c>
      <c r="K79" s="17">
        <v>42425</v>
      </c>
      <c r="L79" s="17">
        <v>42426</v>
      </c>
      <c r="M79" s="25" t="s">
        <v>84</v>
      </c>
      <c r="N79" s="25" t="s">
        <v>1256</v>
      </c>
      <c r="O79" s="18"/>
      <c r="P79" s="28">
        <f>0.566+0.105</f>
        <v>0.67099999999999993</v>
      </c>
      <c r="Q79" s="29">
        <v>18500</v>
      </c>
      <c r="R79" s="18">
        <v>9030</v>
      </c>
      <c r="S79" s="30">
        <v>18.329999999999998</v>
      </c>
      <c r="T79" s="101">
        <f t="shared" ref="T79:T80" si="97">W79*F79*0.005</f>
        <v>2762.2973337700537</v>
      </c>
      <c r="V79" s="18">
        <v>0.1</v>
      </c>
      <c r="W79" s="18">
        <f>IF(O79&gt;0,O79,((P79*2.2046*S79)+(Q79+R79)/G79)+V79)</f>
        <v>28.646724778724799</v>
      </c>
      <c r="X79" s="18">
        <f>IF(O79&gt;0,O79,((P79*2.2046*S79)+(Q79+R79+T79)/G79)+V79)</f>
        <v>28.79034832659174</v>
      </c>
      <c r="Y79" s="21">
        <f t="shared" si="96"/>
        <v>555229.2838720507</v>
      </c>
      <c r="Z79" s="32">
        <v>42419</v>
      </c>
      <c r="AA79" s="2">
        <v>30</v>
      </c>
      <c r="AB79" s="2"/>
    </row>
    <row r="80" spans="1:28" s="12" customFormat="1" x14ac:dyDescent="0.25">
      <c r="A80" s="104"/>
      <c r="B80" s="24" t="s">
        <v>25</v>
      </c>
      <c r="C80" s="25" t="s">
        <v>72</v>
      </c>
      <c r="D80" s="25" t="s">
        <v>72</v>
      </c>
      <c r="E80" s="14" t="s">
        <v>42</v>
      </c>
      <c r="F80" s="26">
        <f>42657*0.4536</f>
        <v>19349.215199999999</v>
      </c>
      <c r="G80" s="27">
        <v>19253.82</v>
      </c>
      <c r="H80" s="27">
        <f t="shared" si="89"/>
        <v>-95.395199999999022</v>
      </c>
      <c r="I80" s="12" t="s">
        <v>1370</v>
      </c>
      <c r="J80" s="93" t="s">
        <v>44</v>
      </c>
      <c r="K80" s="17">
        <v>42425</v>
      </c>
      <c r="L80" s="17">
        <v>42426</v>
      </c>
      <c r="M80" s="25" t="s">
        <v>84</v>
      </c>
      <c r="N80" s="25" t="s">
        <v>1256</v>
      </c>
      <c r="O80" s="18"/>
      <c r="P80" s="28">
        <v>0.67100000000000004</v>
      </c>
      <c r="Q80" s="29">
        <v>18500</v>
      </c>
      <c r="R80" s="18">
        <v>9030</v>
      </c>
      <c r="S80" s="30">
        <v>18.329999999999998</v>
      </c>
      <c r="T80" s="101">
        <f t="shared" si="97"/>
        <v>2771.307746179903</v>
      </c>
      <c r="V80" s="18">
        <v>0.1</v>
      </c>
      <c r="W80" s="18">
        <f>IF(O80&gt;0,O80,((P80*2.2046*S80)+(Q80+R80)/G80)+V80)</f>
        <v>28.645169507235657</v>
      </c>
      <c r="X80" s="18">
        <f>IF(O80&gt;0,O80,((P80*2.2046*S80)+(Q80+R80+T80)/G80)+V80)</f>
        <v>28.789104983218081</v>
      </c>
      <c r="Y80" s="21">
        <f t="shared" si="96"/>
        <v>557046.587735679</v>
      </c>
      <c r="Z80" s="32">
        <v>42419</v>
      </c>
      <c r="AA80" s="2">
        <v>30</v>
      </c>
      <c r="AB80" s="2"/>
    </row>
    <row r="81" spans="1:28" s="12" customFormat="1" x14ac:dyDescent="0.25">
      <c r="A81" s="104"/>
      <c r="B81" s="24" t="s">
        <v>32</v>
      </c>
      <c r="C81" s="14" t="s">
        <v>33</v>
      </c>
      <c r="D81" s="25" t="s">
        <v>1228</v>
      </c>
      <c r="E81" s="14">
        <f>189+60</f>
        <v>249</v>
      </c>
      <c r="F81" s="26">
        <f>21390+7025</f>
        <v>28415</v>
      </c>
      <c r="G81" s="27">
        <f>23570-1000</f>
        <v>22570</v>
      </c>
      <c r="H81" s="27">
        <f t="shared" si="89"/>
        <v>-5845</v>
      </c>
      <c r="I81" s="25" t="s">
        <v>1512</v>
      </c>
      <c r="J81" s="120">
        <v>251</v>
      </c>
      <c r="K81" s="17"/>
      <c r="L81" s="17">
        <v>42426</v>
      </c>
      <c r="M81" s="25" t="s">
        <v>84</v>
      </c>
      <c r="N81" s="14"/>
      <c r="O81" s="18">
        <v>21.5</v>
      </c>
      <c r="P81" s="19"/>
      <c r="Q81" s="29">
        <v>16500</v>
      </c>
      <c r="R81" s="18">
        <f>59.25*E81</f>
        <v>14753.25</v>
      </c>
      <c r="S81" s="30">
        <f>-35*E81</f>
        <v>-8715</v>
      </c>
      <c r="T81" s="101">
        <f>W81*F81*0.0045</f>
        <v>3595.8457017334958</v>
      </c>
      <c r="U81" s="18">
        <f>E81*5</f>
        <v>1245</v>
      </c>
      <c r="V81" s="14"/>
      <c r="W81" s="18">
        <f>((O81*F81)+Q81+R81+S81+U81)/G81</f>
        <v>28.121654851572885</v>
      </c>
      <c r="X81" s="18">
        <f>((O81*F81)+Q81+R81+S81+T81+U81)/G81</f>
        <v>28.280974554795456</v>
      </c>
      <c r="Y81" s="21">
        <f t="shared" si="96"/>
        <v>803603.89197451284</v>
      </c>
      <c r="Z81" s="32">
        <v>42439</v>
      </c>
      <c r="AA81" s="2">
        <v>30</v>
      </c>
      <c r="AB81" s="2"/>
    </row>
    <row r="82" spans="1:28" s="12" customFormat="1" x14ac:dyDescent="0.25">
      <c r="A82" s="104"/>
      <c r="B82" s="24" t="s">
        <v>32</v>
      </c>
      <c r="C82" s="14" t="s">
        <v>33</v>
      </c>
      <c r="D82" s="25" t="s">
        <v>1510</v>
      </c>
      <c r="E82" s="14">
        <v>130</v>
      </c>
      <c r="F82" s="26">
        <v>15645</v>
      </c>
      <c r="G82" s="27">
        <f>11420+1000</f>
        <v>12420</v>
      </c>
      <c r="H82" s="27">
        <f t="shared" si="89"/>
        <v>-3225</v>
      </c>
      <c r="I82" s="25" t="s">
        <v>1511</v>
      </c>
      <c r="J82" s="120">
        <v>129</v>
      </c>
      <c r="K82" s="17"/>
      <c r="L82" s="17">
        <v>42426</v>
      </c>
      <c r="M82" s="25" t="s">
        <v>84</v>
      </c>
      <c r="N82" s="14"/>
      <c r="O82" s="18">
        <v>21.5</v>
      </c>
      <c r="P82" s="19"/>
      <c r="Q82" s="29">
        <v>13000</v>
      </c>
      <c r="R82" s="18">
        <f>59.25*E82</f>
        <v>7702.5</v>
      </c>
      <c r="S82" s="30">
        <f>-35*E82</f>
        <v>-4550</v>
      </c>
      <c r="T82" s="101">
        <f>W82*F82*0.0045</f>
        <v>2001.9364673913042</v>
      </c>
      <c r="U82" s="18">
        <f>E82*5</f>
        <v>650</v>
      </c>
      <c r="V82" s="14"/>
      <c r="W82" s="18">
        <f>((O82*F82)+Q82+R82+S82+U82)/G82</f>
        <v>28.435587761674718</v>
      </c>
      <c r="X82" s="18">
        <f>((O82*F82)+Q82+R82+S82+T82+U82)/G82</f>
        <v>28.59677427273682</v>
      </c>
      <c r="Y82" s="21">
        <f t="shared" si="96"/>
        <v>447396.53349696752</v>
      </c>
      <c r="Z82" s="32">
        <v>42439</v>
      </c>
      <c r="AA82" s="2">
        <v>30</v>
      </c>
      <c r="AB82" s="2" t="s">
        <v>1515</v>
      </c>
    </row>
    <row r="83" spans="1:28" s="12" customFormat="1" x14ac:dyDescent="0.25">
      <c r="A83" s="104"/>
      <c r="B83" s="24" t="s">
        <v>25</v>
      </c>
      <c r="C83" s="25" t="s">
        <v>26</v>
      </c>
      <c r="D83" s="25" t="s">
        <v>26</v>
      </c>
      <c r="E83" s="14" t="s">
        <v>27</v>
      </c>
      <c r="F83" s="26">
        <f>41555*0.4536</f>
        <v>18849.348000000002</v>
      </c>
      <c r="G83" s="27">
        <v>18780.13</v>
      </c>
      <c r="H83" s="27">
        <f t="shared" si="89"/>
        <v>-69.218000000000757</v>
      </c>
      <c r="I83" s="12" t="s">
        <v>1468</v>
      </c>
      <c r="J83" s="93" t="s">
        <v>44</v>
      </c>
      <c r="K83" s="17">
        <v>42426</v>
      </c>
      <c r="L83" s="17">
        <v>42427</v>
      </c>
      <c r="M83" s="25" t="s">
        <v>30</v>
      </c>
      <c r="N83" s="25" t="s">
        <v>1478</v>
      </c>
      <c r="O83" s="18"/>
      <c r="P83" s="28">
        <f>0.5528+0.1075</f>
        <v>0.6603</v>
      </c>
      <c r="Q83" s="29">
        <v>18500</v>
      </c>
      <c r="R83" s="18">
        <v>9030</v>
      </c>
      <c r="S83" s="30">
        <v>18.170000000000002</v>
      </c>
      <c r="T83" s="101">
        <f t="shared" ref="T83:T85" si="98">W83*F83*0.005</f>
        <v>2640.4103005249876</v>
      </c>
      <c r="V83" s="18">
        <v>0.1</v>
      </c>
      <c r="W83" s="18">
        <f>IF(O83&gt;0,O83,((P83*2.2046*S83)+(Q83+R83)/G83)+V83)</f>
        <v>28.015932439944208</v>
      </c>
      <c r="X83" s="18">
        <f>IF(O83&gt;0,O83,((P83*2.2046*S83)+(Q83+R83+T83)/G83)+V83)</f>
        <v>28.156528394313266</v>
      </c>
      <c r="Y83" s="21">
        <f t="shared" si="96"/>
        <v>530732.20217629208</v>
      </c>
      <c r="Z83" s="32">
        <v>42419</v>
      </c>
      <c r="AA83" s="2">
        <v>29.5</v>
      </c>
      <c r="AB83" s="2"/>
    </row>
    <row r="84" spans="1:28" s="12" customFormat="1" x14ac:dyDescent="0.25">
      <c r="A84" s="104"/>
      <c r="B84" s="24" t="s">
        <v>25</v>
      </c>
      <c r="C84" s="25" t="s">
        <v>72</v>
      </c>
      <c r="D84" s="25" t="s">
        <v>72</v>
      </c>
      <c r="E84" s="14" t="s">
        <v>42</v>
      </c>
      <c r="F84" s="26">
        <f>42924*0.4536</f>
        <v>19470.326400000002</v>
      </c>
      <c r="G84" s="27">
        <v>19438.36</v>
      </c>
      <c r="H84" s="27">
        <f t="shared" si="89"/>
        <v>-31.966400000001158</v>
      </c>
      <c r="I84" s="12" t="s">
        <v>1371</v>
      </c>
      <c r="J84" s="93" t="s">
        <v>74</v>
      </c>
      <c r="K84" s="17">
        <v>42426</v>
      </c>
      <c r="L84" s="17">
        <v>42427</v>
      </c>
      <c r="M84" s="25" t="s">
        <v>30</v>
      </c>
      <c r="N84" s="25" t="s">
        <v>1257</v>
      </c>
      <c r="O84" s="18"/>
      <c r="P84" s="28">
        <f>0.5686+0.105</f>
        <v>0.67359999999999998</v>
      </c>
      <c r="Q84" s="29">
        <v>18500</v>
      </c>
      <c r="R84" s="18">
        <v>9030</v>
      </c>
      <c r="S84" s="30">
        <v>18.158999999999999</v>
      </c>
      <c r="T84" s="101">
        <f t="shared" si="98"/>
        <v>2772.8396432167006</v>
      </c>
      <c r="V84" s="18">
        <v>0.1</v>
      </c>
      <c r="W84" s="18">
        <f>IF(O84&gt;0,O84,((P84*2.2046*S84)+(Q84+R84)/G84)+V84)</f>
        <v>28.48272377412944</v>
      </c>
      <c r="X84" s="18">
        <f>IF(O84&gt;0,O84,((P84*2.2046*S84)+(Q84+R84+T84)/G84)+V84)</f>
        <v>28.625371592320722</v>
      </c>
      <c r="Y84" s="21">
        <f t="shared" si="96"/>
        <v>557345.32822377223</v>
      </c>
      <c r="Z84" s="32">
        <v>42422</v>
      </c>
      <c r="AA84" s="2">
        <v>29.5</v>
      </c>
      <c r="AB84" s="2"/>
    </row>
    <row r="85" spans="1:28" s="12" customFormat="1" x14ac:dyDescent="0.25">
      <c r="A85" s="104"/>
      <c r="B85" s="24" t="s">
        <v>25</v>
      </c>
      <c r="C85" s="25" t="s">
        <v>40</v>
      </c>
      <c r="D85" s="25" t="s">
        <v>41</v>
      </c>
      <c r="E85" s="14" t="s">
        <v>831</v>
      </c>
      <c r="F85" s="26">
        <f>40070*0.4536</f>
        <v>18175.752</v>
      </c>
      <c r="G85" s="27">
        <v>18281.04</v>
      </c>
      <c r="H85" s="27">
        <f t="shared" si="89"/>
        <v>105.28800000000047</v>
      </c>
      <c r="I85" s="39" t="s">
        <v>1527</v>
      </c>
      <c r="J85" s="93" t="s">
        <v>29</v>
      </c>
      <c r="K85" s="17">
        <v>42426</v>
      </c>
      <c r="L85" s="17">
        <v>42427</v>
      </c>
      <c r="M85" s="25" t="s">
        <v>30</v>
      </c>
      <c r="N85" s="25" t="s">
        <v>1258</v>
      </c>
      <c r="O85" s="18"/>
      <c r="P85" s="28">
        <f>0.566+0.1</f>
        <v>0.66599999999999993</v>
      </c>
      <c r="Q85" s="29">
        <v>18500</v>
      </c>
      <c r="R85" s="18">
        <v>9030</v>
      </c>
      <c r="S85" s="30">
        <v>18.161999999999999</v>
      </c>
      <c r="T85" s="101">
        <f t="shared" si="98"/>
        <v>2569.3729530305059</v>
      </c>
      <c r="V85" s="18">
        <v>0.1</v>
      </c>
      <c r="W85" s="18">
        <f t="shared" ref="W85" si="99">IF(O85&gt;0,O85,((P85*2.2046*S85)+(Q85+R85)/G85)+V85)</f>
        <v>28.272535332023743</v>
      </c>
      <c r="X85" s="18">
        <f t="shared" ref="X85" si="100">IF(O85&gt;0,O85,((P85*2.2046*S85)+(Q85+R85+T85)/G85)+V85)</f>
        <v>28.413083843105742</v>
      </c>
      <c r="Y85" s="21">
        <f t="shared" si="96"/>
        <v>516429.16548749688</v>
      </c>
      <c r="Z85" s="32">
        <v>42437</v>
      </c>
      <c r="AA85" s="37">
        <v>29.5</v>
      </c>
      <c r="AB85" s="37" t="s">
        <v>1517</v>
      </c>
    </row>
    <row r="86" spans="1:28" s="12" customFormat="1" ht="15.75" thickBot="1" x14ac:dyDescent="0.3">
      <c r="A86" s="104"/>
      <c r="B86" s="41"/>
      <c r="C86" s="4"/>
      <c r="D86" s="4"/>
      <c r="E86" s="4"/>
      <c r="F86" s="42"/>
      <c r="G86" s="42"/>
      <c r="H86" s="42"/>
      <c r="I86" s="6"/>
      <c r="J86" s="4"/>
      <c r="K86" s="7"/>
      <c r="L86" s="7"/>
      <c r="M86" s="4"/>
      <c r="N86" s="4"/>
      <c r="O86" s="8"/>
      <c r="P86" s="9"/>
      <c r="Q86" s="8"/>
      <c r="R86" s="8"/>
      <c r="S86" s="8"/>
      <c r="T86" s="8"/>
      <c r="U86" s="8"/>
      <c r="V86" s="8"/>
      <c r="W86" s="8"/>
      <c r="X86" s="8"/>
      <c r="Y86" s="8"/>
      <c r="Z86" s="43"/>
      <c r="AA86" s="2"/>
      <c r="AB86" s="2"/>
    </row>
    <row r="87" spans="1:28" s="12" customFormat="1" x14ac:dyDescent="0.25">
      <c r="A87" s="109"/>
      <c r="B87" s="14" t="s">
        <v>32</v>
      </c>
      <c r="C87" s="14" t="s">
        <v>33</v>
      </c>
      <c r="D87" s="25" t="s">
        <v>1510</v>
      </c>
      <c r="E87" s="14">
        <v>260</v>
      </c>
      <c r="F87" s="26">
        <v>29005</v>
      </c>
      <c r="G87" s="27">
        <f>11750+11380</f>
        <v>23130</v>
      </c>
      <c r="H87" s="27">
        <f t="shared" ref="H87:H88" si="101">G87-F87</f>
        <v>-5875</v>
      </c>
      <c r="I87" s="25" t="s">
        <v>1514</v>
      </c>
      <c r="J87" s="14"/>
      <c r="K87" s="17"/>
      <c r="L87" s="17">
        <v>42428</v>
      </c>
      <c r="M87" s="25" t="s">
        <v>36</v>
      </c>
      <c r="N87" s="14"/>
      <c r="O87" s="18">
        <v>21.5</v>
      </c>
      <c r="P87" s="19"/>
      <c r="Q87" s="29">
        <f>16500</f>
        <v>16500</v>
      </c>
      <c r="R87" s="18">
        <f>59.25*E87</f>
        <v>15405</v>
      </c>
      <c r="S87" s="30">
        <f>-35*E87</f>
        <v>-9100</v>
      </c>
      <c r="T87" s="101">
        <f>W87*F87*0.0045</f>
        <v>3655.0391172178984</v>
      </c>
      <c r="U87" s="18">
        <f>E87*5</f>
        <v>1300</v>
      </c>
      <c r="V87" s="14"/>
      <c r="W87" s="18">
        <f>((O87*F87)+Q87+R87+S87+U87)/G87</f>
        <v>28.003134457414614</v>
      </c>
      <c r="X87" s="18">
        <f>((O87*F87)+Q87+R87+S87+T87+U87)/G87</f>
        <v>28.161156036196189</v>
      </c>
      <c r="Y87" s="21">
        <f t="shared" ref="Y87:Y88" si="102">X87*F87</f>
        <v>816814.33082987042</v>
      </c>
      <c r="Z87" s="32">
        <v>42443</v>
      </c>
      <c r="AA87" s="2">
        <v>30</v>
      </c>
      <c r="AB87" s="2" t="s">
        <v>1531</v>
      </c>
    </row>
    <row r="88" spans="1:28" s="12" customFormat="1" x14ac:dyDescent="0.25">
      <c r="A88" s="109"/>
      <c r="B88" s="24" t="s">
        <v>32</v>
      </c>
      <c r="C88" s="14" t="s">
        <v>33</v>
      </c>
      <c r="D88" s="25" t="s">
        <v>1510</v>
      </c>
      <c r="E88" s="14">
        <v>250</v>
      </c>
      <c r="F88" s="26">
        <v>28065</v>
      </c>
      <c r="G88" s="27">
        <f>16160+6340</f>
        <v>22500</v>
      </c>
      <c r="H88" s="27">
        <f t="shared" si="101"/>
        <v>-5565</v>
      </c>
      <c r="I88" s="25" t="s">
        <v>1526</v>
      </c>
      <c r="J88" s="14"/>
      <c r="K88" s="17"/>
      <c r="L88" s="17">
        <v>42429</v>
      </c>
      <c r="M88" s="25" t="s">
        <v>39</v>
      </c>
      <c r="N88" s="14"/>
      <c r="O88" s="18">
        <v>21.5</v>
      </c>
      <c r="P88" s="19"/>
      <c r="Q88" s="29">
        <v>16500</v>
      </c>
      <c r="R88" s="18">
        <f>59.25*E88</f>
        <v>14812.5</v>
      </c>
      <c r="S88" s="30">
        <f t="shared" ref="S88" si="103">-35*E88</f>
        <v>-8750</v>
      </c>
      <c r="T88" s="101">
        <f>W88*F88*0.0045</f>
        <v>3520.5297300000002</v>
      </c>
      <c r="U88" s="18">
        <f>E88*5</f>
        <v>1250</v>
      </c>
      <c r="V88" s="14"/>
      <c r="W88" s="18">
        <f>((O88*F88)+Q88+R88+S88+U88)/G88</f>
        <v>27.876000000000001</v>
      </c>
      <c r="X88" s="18">
        <f>((O88*F88)+Q88+R88+S88+T88+U88)/G88</f>
        <v>28.032467987999997</v>
      </c>
      <c r="Y88" s="21">
        <f t="shared" si="102"/>
        <v>786731.21408321988</v>
      </c>
      <c r="Z88" s="32">
        <v>42443</v>
      </c>
      <c r="AA88" s="2">
        <v>30</v>
      </c>
      <c r="AB88" s="2" t="s">
        <v>1530</v>
      </c>
    </row>
    <row r="89" spans="1:28" s="12" customFormat="1" ht="15.75" thickBot="1" x14ac:dyDescent="0.3">
      <c r="A89" s="109"/>
      <c r="B89" s="41"/>
      <c r="C89" s="4"/>
      <c r="D89" s="4"/>
      <c r="E89" s="4"/>
      <c r="F89" s="42"/>
      <c r="G89" s="42"/>
      <c r="H89" s="42"/>
      <c r="I89" s="6"/>
      <c r="J89" s="4"/>
      <c r="K89" s="7"/>
      <c r="L89" s="7"/>
      <c r="M89" s="4"/>
      <c r="N89" s="4"/>
      <c r="O89" s="8"/>
      <c r="P89" s="9"/>
      <c r="Q89" s="8"/>
      <c r="R89" s="8"/>
      <c r="S89" s="8"/>
      <c r="T89" s="8"/>
      <c r="U89" s="8"/>
      <c r="V89" s="8"/>
      <c r="W89" s="8"/>
      <c r="X89" s="8"/>
      <c r="Y89" s="8"/>
      <c r="Z89" s="43"/>
      <c r="AA89" s="2"/>
      <c r="AB89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96"/>
  <sheetViews>
    <sheetView topLeftCell="A2" zoomScale="75" zoomScaleNormal="75" workbookViewId="0">
      <selection activeCell="I3" sqref="I3"/>
    </sheetView>
  </sheetViews>
  <sheetFormatPr baseColWidth="10" defaultRowHeight="15" x14ac:dyDescent="0.25"/>
  <cols>
    <col min="1" max="1" width="3.28515625" customWidth="1"/>
    <col min="2" max="2" width="17" customWidth="1"/>
    <col min="3" max="3" width="11.85546875" customWidth="1"/>
    <col min="4" max="4" width="17.7109375" bestFit="1" customWidth="1"/>
    <col min="8" max="8" width="10.7109375" customWidth="1"/>
    <col min="13" max="13" width="4.5703125" customWidth="1"/>
    <col min="19" max="19" width="13.28515625" customWidth="1"/>
    <col min="22" max="22" width="6.5703125" customWidth="1"/>
    <col min="23" max="23" width="11.42578125" hidden="1" customWidth="1"/>
    <col min="24" max="24" width="11.42578125" customWidth="1"/>
    <col min="25" max="25" width="15.28515625" customWidth="1"/>
    <col min="26" max="26" width="12.140625" customWidth="1"/>
  </cols>
  <sheetData>
    <row r="2" spans="1:28" x14ac:dyDescent="0.25">
      <c r="A2" s="1" t="s">
        <v>1252</v>
      </c>
      <c r="AA2" s="2"/>
      <c r="AB2" s="2"/>
    </row>
    <row r="3" spans="1:28" s="12" customFormat="1" ht="30.75" thickBot="1" x14ac:dyDescent="0.3">
      <c r="A3" s="3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4" t="s">
        <v>9</v>
      </c>
      <c r="K3" s="7" t="s">
        <v>10</v>
      </c>
      <c r="L3" s="7" t="s">
        <v>11</v>
      </c>
      <c r="M3" s="4" t="s">
        <v>12</v>
      </c>
      <c r="N3" s="4" t="s">
        <v>13</v>
      </c>
      <c r="O3" s="8" t="s">
        <v>14</v>
      </c>
      <c r="P3" s="9" t="s">
        <v>15</v>
      </c>
      <c r="Q3" s="8" t="s">
        <v>16</v>
      </c>
      <c r="R3" s="10" t="s">
        <v>17</v>
      </c>
      <c r="S3" s="10" t="s">
        <v>18</v>
      </c>
      <c r="T3" s="10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11" t="s">
        <v>24</v>
      </c>
      <c r="Z3" s="8"/>
      <c r="AA3" s="2"/>
      <c r="AB3" s="2"/>
    </row>
    <row r="4" spans="1:28" s="12" customFormat="1" x14ac:dyDescent="0.25">
      <c r="A4" s="109"/>
      <c r="B4" s="24" t="s">
        <v>25</v>
      </c>
      <c r="C4" s="14" t="s">
        <v>40</v>
      </c>
      <c r="D4" s="14" t="s">
        <v>41</v>
      </c>
      <c r="E4" s="14" t="s">
        <v>63</v>
      </c>
      <c r="F4" s="26">
        <f>36427*0.4536</f>
        <v>16523.287199999999</v>
      </c>
      <c r="G4" s="27">
        <f>17981.49-1542.1</f>
        <v>16439.390000000003</v>
      </c>
      <c r="H4" s="27">
        <f>G4-F4</f>
        <v>-83.897199999995792</v>
      </c>
      <c r="I4" s="25" t="s">
        <v>1449</v>
      </c>
      <c r="J4" s="93" t="s">
        <v>44</v>
      </c>
      <c r="K4" s="17">
        <v>42429</v>
      </c>
      <c r="L4" s="17">
        <v>42430</v>
      </c>
      <c r="M4" s="25" t="s">
        <v>45</v>
      </c>
      <c r="N4" s="25" t="s">
        <v>1259</v>
      </c>
      <c r="O4" s="18"/>
      <c r="P4" s="28">
        <f>0.5594+0.1</f>
        <v>0.65939999999999999</v>
      </c>
      <c r="Q4" s="29">
        <f>(18500*G4)/(G4+G5)</f>
        <v>16913.432368507838</v>
      </c>
      <c r="R4" s="18">
        <f>(9030*G4)/(G4+G5)</f>
        <v>8255.5834750067988</v>
      </c>
      <c r="S4" s="30">
        <v>17.815000000000001</v>
      </c>
      <c r="T4" s="101">
        <f t="shared" ref="T4:T6" si="0">W4*F4*0.005</f>
        <v>2274.3412749060803</v>
      </c>
      <c r="V4" s="18">
        <v>0.1</v>
      </c>
      <c r="W4" s="18">
        <f>IF(O4&gt;0,O4,((P4*2.2046*S4)+(Q4+R4)/G4)+V4)</f>
        <v>27.528920212753796</v>
      </c>
      <c r="X4" s="18">
        <f>IF(O4&gt;0,O4,((P4*2.2046*S4)+(Q4+R4+T4)/G4)+V4)</f>
        <v>27.667267272766733</v>
      </c>
      <c r="Y4" s="21">
        <f t="shared" ref="Y4:Y6" si="1">X4*F4</f>
        <v>457154.20318708546</v>
      </c>
      <c r="Z4" s="32">
        <v>42440</v>
      </c>
      <c r="AA4" s="37">
        <v>29.5</v>
      </c>
      <c r="AB4" s="37"/>
    </row>
    <row r="5" spans="1:28" s="12" customFormat="1" x14ac:dyDescent="0.25">
      <c r="A5" s="109"/>
      <c r="B5" s="24" t="s">
        <v>66</v>
      </c>
      <c r="C5" s="14" t="s">
        <v>40</v>
      </c>
      <c r="D5" s="25" t="s">
        <v>41</v>
      </c>
      <c r="E5" s="14" t="s">
        <v>832</v>
      </c>
      <c r="F5" s="26">
        <f>3397*0.4536</f>
        <v>1540.8792000000001</v>
      </c>
      <c r="G5" s="27">
        <f>752.5+789.6</f>
        <v>1542.1</v>
      </c>
      <c r="H5" s="27">
        <f>G5-F5</f>
        <v>1.2207999999998265</v>
      </c>
      <c r="I5" s="25"/>
      <c r="J5" s="14"/>
      <c r="K5" s="17">
        <v>42429</v>
      </c>
      <c r="L5" s="17">
        <v>42430</v>
      </c>
      <c r="M5" s="25" t="s">
        <v>45</v>
      </c>
      <c r="N5" s="25"/>
      <c r="O5" s="18"/>
      <c r="P5" s="28">
        <v>0.36</v>
      </c>
      <c r="Q5" s="29">
        <f>(18500*G5)/(G5+G4)</f>
        <v>1586.567631492162</v>
      </c>
      <c r="R5" s="18">
        <f>(9030*G5)/(G5+G4)</f>
        <v>774.41652499320128</v>
      </c>
      <c r="S5" s="30">
        <v>17.815000000000001</v>
      </c>
      <c r="T5" s="101">
        <f t="shared" si="0"/>
        <v>121.49832863470375</v>
      </c>
      <c r="V5" s="18">
        <v>0.1</v>
      </c>
      <c r="W5" s="18">
        <f>IF(O5&gt;0,O5,((P5*2.2046*S5)+(Q5+R5)/G5)+V5)</f>
        <v>15.770000482153792</v>
      </c>
      <c r="X5" s="18">
        <f>IF(O5&gt;0,O5,((P5*2.2046*S5)+(Q5+R5+T5)/G5)+V5)</f>
        <v>15.848788063137324</v>
      </c>
      <c r="Y5" s="21">
        <f t="shared" si="1"/>
        <v>24421.067871696589</v>
      </c>
      <c r="Z5" s="32">
        <v>42440</v>
      </c>
      <c r="AA5" s="37"/>
      <c r="AB5" s="37"/>
    </row>
    <row r="6" spans="1:28" s="12" customFormat="1" x14ac:dyDescent="0.25">
      <c r="A6" s="109"/>
      <c r="B6" s="24" t="s">
        <v>25</v>
      </c>
      <c r="C6" s="25" t="s">
        <v>26</v>
      </c>
      <c r="D6" s="25" t="s">
        <v>26</v>
      </c>
      <c r="E6" s="14" t="s">
        <v>27</v>
      </c>
      <c r="F6" s="26">
        <f>41395*0.4536</f>
        <v>18776.772000000001</v>
      </c>
      <c r="G6" s="27">
        <v>18690.13</v>
      </c>
      <c r="H6" s="27">
        <f t="shared" ref="H6" si="2">G6-F6</f>
        <v>-86.641999999999825</v>
      </c>
      <c r="I6" s="12" t="s">
        <v>1469</v>
      </c>
      <c r="J6" s="93" t="s">
        <v>49</v>
      </c>
      <c r="K6" s="17">
        <v>42429</v>
      </c>
      <c r="L6" s="17">
        <v>42430</v>
      </c>
      <c r="M6" s="25" t="s">
        <v>45</v>
      </c>
      <c r="N6" s="25" t="s">
        <v>1260</v>
      </c>
      <c r="O6" s="18"/>
      <c r="P6" s="28">
        <f>0.5594+0.1075</f>
        <v>0.66690000000000005</v>
      </c>
      <c r="Q6" s="29">
        <v>18500</v>
      </c>
      <c r="R6" s="18">
        <v>9030</v>
      </c>
      <c r="S6" s="30">
        <v>18.34</v>
      </c>
      <c r="T6" s="101">
        <f t="shared" si="0"/>
        <v>2679.1931463057972</v>
      </c>
      <c r="V6" s="18">
        <v>0.1</v>
      </c>
      <c r="W6" s="18">
        <f t="shared" ref="W6" si="3">IF(O6&gt;0,O6,((P6*2.2046*S6)+(Q6+R6)/G6)+V6)</f>
        <v>28.537313509540375</v>
      </c>
      <c r="X6" s="18">
        <f t="shared" ref="X6" si="4">IF(O6&gt;0,O6,((P6*2.2046*S6)+(Q6+R6+T6)/G6)+V6)</f>
        <v>28.680661530464029</v>
      </c>
      <c r="Y6" s="21">
        <f t="shared" si="1"/>
        <v>538530.24236669415</v>
      </c>
      <c r="Z6" s="32">
        <v>42424</v>
      </c>
      <c r="AA6" s="37">
        <v>29.5</v>
      </c>
      <c r="AB6" s="37"/>
    </row>
    <row r="7" spans="1:28" s="12" customFormat="1" x14ac:dyDescent="0.25">
      <c r="A7" s="109"/>
      <c r="B7" s="24" t="s">
        <v>32</v>
      </c>
      <c r="C7" s="14" t="s">
        <v>33</v>
      </c>
      <c r="D7" s="25" t="s">
        <v>1510</v>
      </c>
      <c r="E7" s="14">
        <v>250</v>
      </c>
      <c r="F7" s="26">
        <v>27580</v>
      </c>
      <c r="G7" s="27">
        <f xml:space="preserve"> 15770+6330</f>
        <v>22100</v>
      </c>
      <c r="H7" s="27">
        <f>G7-F7</f>
        <v>-5480</v>
      </c>
      <c r="I7" s="12" t="s">
        <v>1532</v>
      </c>
      <c r="J7" s="95">
        <v>248</v>
      </c>
      <c r="K7" s="17"/>
      <c r="L7" s="17">
        <v>42430</v>
      </c>
      <c r="M7" s="25" t="s">
        <v>45</v>
      </c>
      <c r="N7" s="14"/>
      <c r="O7" s="18">
        <v>21.5</v>
      </c>
      <c r="P7" s="19"/>
      <c r="Q7" s="29">
        <v>16500</v>
      </c>
      <c r="R7" s="18">
        <f>59.25*E7</f>
        <v>14812.5</v>
      </c>
      <c r="S7" s="102">
        <f t="shared" ref="S7" si="5">-35*E7</f>
        <v>-8750</v>
      </c>
      <c r="T7" s="101">
        <f>W7*F7*0.0045</f>
        <v>3463.7500486425333</v>
      </c>
      <c r="U7" s="18">
        <f>E7*5</f>
        <v>1250</v>
      </c>
      <c r="V7" s="14"/>
      <c r="W7" s="18">
        <f>((O7*F7)+Q7+R7+S7+U7)/G7</f>
        <v>27.90871040723982</v>
      </c>
      <c r="X7" s="18">
        <f>((O7*F7)+Q7+R7+S7+T7+U7)/G7</f>
        <v>28.065441178671605</v>
      </c>
      <c r="Y7" s="21">
        <f t="shared" ref="Y7:Y11" si="6">X7*F7</f>
        <v>774044.86770776287</v>
      </c>
      <c r="Z7" s="32">
        <v>42443</v>
      </c>
      <c r="AA7" s="37">
        <v>30</v>
      </c>
      <c r="AB7" s="37" t="s">
        <v>1535</v>
      </c>
    </row>
    <row r="8" spans="1:28" s="12" customFormat="1" x14ac:dyDescent="0.25">
      <c r="A8" s="109"/>
      <c r="B8" s="24" t="s">
        <v>25</v>
      </c>
      <c r="C8" s="14" t="s">
        <v>40</v>
      </c>
      <c r="D8" s="14" t="s">
        <v>41</v>
      </c>
      <c r="E8" s="14" t="s">
        <v>63</v>
      </c>
      <c r="F8" s="26">
        <f>36566*0.4536</f>
        <v>16586.337599999999</v>
      </c>
      <c r="G8" s="27">
        <f>18165.6-1743.5</f>
        <v>16422.099999999999</v>
      </c>
      <c r="H8" s="27">
        <f>G8-F8</f>
        <v>-164.23760000000038</v>
      </c>
      <c r="I8" s="25" t="s">
        <v>1450</v>
      </c>
      <c r="J8" s="93" t="s">
        <v>44</v>
      </c>
      <c r="K8" s="17">
        <v>42430</v>
      </c>
      <c r="L8" s="17">
        <v>42432</v>
      </c>
      <c r="M8" s="25" t="s">
        <v>50</v>
      </c>
      <c r="N8" s="25" t="s">
        <v>1259</v>
      </c>
      <c r="O8" s="18"/>
      <c r="P8" s="28">
        <v>0.65939999999999999</v>
      </c>
      <c r="Q8" s="29">
        <f>(18500*G8)/(G8+G9)</f>
        <v>16724.404919187917</v>
      </c>
      <c r="R8" s="18">
        <f>(9030*G8)/(G8+G9)</f>
        <v>8163.3176443387511</v>
      </c>
      <c r="S8" s="30">
        <v>17.77</v>
      </c>
      <c r="T8" s="101">
        <f t="shared" ref="T8:T9" si="7">W8*F8*0.005</f>
        <v>2276.3078196750816</v>
      </c>
      <c r="V8" s="18">
        <v>0.1</v>
      </c>
      <c r="W8" s="18">
        <f>IF(O8&gt;0,O8,((P8*2.2046*S8)+(Q8+R8)/G8)+V8)</f>
        <v>27.447986102430249</v>
      </c>
      <c r="X8" s="18">
        <f>IF(O8&gt;0,O8,((P8*2.2046*S8)+(Q8+R8+T8)/G8)+V8)</f>
        <v>27.586598570974168</v>
      </c>
      <c r="Y8" s="21">
        <f t="shared" si="6"/>
        <v>457560.63713385508</v>
      </c>
      <c r="Z8" s="32">
        <v>42440</v>
      </c>
      <c r="AA8" s="37">
        <v>29</v>
      </c>
      <c r="AB8" s="37"/>
    </row>
    <row r="9" spans="1:28" s="12" customFormat="1" x14ac:dyDescent="0.25">
      <c r="A9" s="109"/>
      <c r="B9" s="24" t="s">
        <v>66</v>
      </c>
      <c r="C9" s="14" t="s">
        <v>40</v>
      </c>
      <c r="D9" s="25" t="s">
        <v>41</v>
      </c>
      <c r="E9" s="14"/>
      <c r="F9" s="26">
        <f>3841*0.4536</f>
        <v>1742.2776000000001</v>
      </c>
      <c r="G9" s="27">
        <f>854+889.5</f>
        <v>1743.5</v>
      </c>
      <c r="H9" s="27">
        <f>G9-F9</f>
        <v>1.2223999999998796</v>
      </c>
      <c r="I9" s="25"/>
      <c r="J9" s="14"/>
      <c r="K9" s="17">
        <v>42430</v>
      </c>
      <c r="L9" s="17">
        <v>42432</v>
      </c>
      <c r="M9" s="25" t="s">
        <v>50</v>
      </c>
      <c r="N9" s="25"/>
      <c r="O9" s="18"/>
      <c r="P9" s="28">
        <v>0.36</v>
      </c>
      <c r="Q9" s="29">
        <f>(18500*G9)/(G9+G8)</f>
        <v>1775.5950808120845</v>
      </c>
      <c r="R9" s="18">
        <f>(9030*G9)/(G9+G8)</f>
        <v>866.68235566124986</v>
      </c>
      <c r="S9" s="30">
        <v>17.77</v>
      </c>
      <c r="T9" s="101">
        <f t="shared" si="7"/>
        <v>136.93229518515878</v>
      </c>
      <c r="V9" s="18">
        <v>0.1</v>
      </c>
      <c r="W9" s="18">
        <f>IF(O9&gt;0,O9,((P9*2.2046*S9)+(Q9+R9)/G9)+V9)</f>
        <v>15.718768947630245</v>
      </c>
      <c r="X9" s="18">
        <f>IF(O9&gt;0,O9,((P9*2.2046*S9)+(Q9+R9+T9)/G9)+V9)</f>
        <v>15.797307688774586</v>
      </c>
      <c r="Y9" s="21">
        <f t="shared" si="6"/>
        <v>27523.295326459734</v>
      </c>
      <c r="Z9" s="32">
        <v>42440</v>
      </c>
      <c r="AA9" s="37"/>
      <c r="AB9" s="37"/>
    </row>
    <row r="10" spans="1:28" s="12" customFormat="1" x14ac:dyDescent="0.25">
      <c r="A10" s="109"/>
      <c r="B10" s="24" t="s">
        <v>32</v>
      </c>
      <c r="C10" s="14" t="s">
        <v>68</v>
      </c>
      <c r="D10" s="25" t="s">
        <v>68</v>
      </c>
      <c r="E10" s="14">
        <v>258</v>
      </c>
      <c r="F10" s="26">
        <f>12550+12030</f>
        <v>24580</v>
      </c>
      <c r="G10" s="27">
        <f>9340+9960</f>
        <v>19300</v>
      </c>
      <c r="H10" s="27">
        <f t="shared" ref="H10" si="8">G10-F10</f>
        <v>-5280</v>
      </c>
      <c r="I10" s="25" t="s">
        <v>1534</v>
      </c>
      <c r="J10" s="14"/>
      <c r="K10" s="17">
        <v>42430</v>
      </c>
      <c r="L10" s="17">
        <v>42431</v>
      </c>
      <c r="M10" s="25" t="s">
        <v>50</v>
      </c>
      <c r="N10" s="14"/>
      <c r="O10" s="18">
        <v>21</v>
      </c>
      <c r="P10" s="19"/>
      <c r="Q10" s="29">
        <v>22000</v>
      </c>
      <c r="R10" s="99">
        <f>98*E10</f>
        <v>25284</v>
      </c>
      <c r="S10" s="30">
        <f>-38*E10</f>
        <v>-9804</v>
      </c>
      <c r="T10" s="31"/>
      <c r="U10" s="18">
        <f>E10*10</f>
        <v>2580</v>
      </c>
      <c r="V10" s="14"/>
      <c r="W10" s="18">
        <f>((O10*F10)+Q10+R10+S10+U10)/G10</f>
        <v>28.820725388601037</v>
      </c>
      <c r="X10" s="18">
        <f>((O10*F10)+Q10+R10+S10+T10+U10)/G10</f>
        <v>28.820725388601037</v>
      </c>
      <c r="Y10" s="21">
        <f t="shared" si="6"/>
        <v>708413.43005181348</v>
      </c>
      <c r="Z10" s="32">
        <v>42431</v>
      </c>
      <c r="AA10" s="37">
        <v>30</v>
      </c>
      <c r="AB10" s="37" t="s">
        <v>1536</v>
      </c>
    </row>
    <row r="11" spans="1:28" s="12" customFormat="1" x14ac:dyDescent="0.25">
      <c r="A11" s="109"/>
      <c r="B11" s="24" t="s">
        <v>25</v>
      </c>
      <c r="C11" s="25" t="s">
        <v>72</v>
      </c>
      <c r="D11" s="25" t="s">
        <v>72</v>
      </c>
      <c r="E11" s="14" t="s">
        <v>42</v>
      </c>
      <c r="F11" s="26">
        <f>42548*0.4536</f>
        <v>19299.772799999999</v>
      </c>
      <c r="G11" s="27">
        <v>19254.75</v>
      </c>
      <c r="H11" s="27">
        <f>G11-F11</f>
        <v>-45.022799999998824</v>
      </c>
      <c r="I11" s="12" t="s">
        <v>1456</v>
      </c>
      <c r="J11" s="93" t="s">
        <v>29</v>
      </c>
      <c r="K11" s="17">
        <v>40969</v>
      </c>
      <c r="L11" s="17">
        <v>40970</v>
      </c>
      <c r="M11" s="25" t="s">
        <v>50</v>
      </c>
      <c r="N11" s="25" t="s">
        <v>1493</v>
      </c>
      <c r="O11" s="18"/>
      <c r="P11" s="28">
        <f>0.5485+0.105</f>
        <v>0.65349999999999997</v>
      </c>
      <c r="Q11" s="29">
        <v>18500</v>
      </c>
      <c r="R11" s="18">
        <v>9030</v>
      </c>
      <c r="S11" s="30">
        <v>18.22</v>
      </c>
      <c r="T11" s="101">
        <f>W11*F11*0.005</f>
        <v>2680.6846158182839</v>
      </c>
      <c r="V11" s="18">
        <v>0.1</v>
      </c>
      <c r="W11" s="18">
        <f t="shared" ref="W11" si="9">IF(O11&gt;0,O11,((P11*2.2046*S11)+(Q11+R11)/G11)+V11)</f>
        <v>27.779442209996212</v>
      </c>
      <c r="X11" s="18">
        <f t="shared" ref="X11" si="10">IF(O11&gt;0,O11,((P11*2.2046*S11)+(Q11+R11+T11)/G11)+V11)</f>
        <v>27.918664200196982</v>
      </c>
      <c r="Y11" s="21">
        <f t="shared" si="6"/>
        <v>538823.87594329542</v>
      </c>
      <c r="Z11" s="32">
        <v>42425</v>
      </c>
      <c r="AA11" s="37">
        <v>29</v>
      </c>
      <c r="AB11" s="37"/>
    </row>
    <row r="12" spans="1:28" s="12" customFormat="1" x14ac:dyDescent="0.25">
      <c r="A12" s="109"/>
      <c r="B12" s="24" t="s">
        <v>25</v>
      </c>
      <c r="C12" s="25" t="s">
        <v>72</v>
      </c>
      <c r="D12" s="25" t="s">
        <v>72</v>
      </c>
      <c r="E12" s="14" t="s">
        <v>42</v>
      </c>
      <c r="F12" s="26">
        <f>42758*0.4536</f>
        <v>19395.0288</v>
      </c>
      <c r="G12" s="27">
        <v>19349.29</v>
      </c>
      <c r="H12" s="27">
        <f>G12-F12</f>
        <v>-45.738799999999173</v>
      </c>
      <c r="I12" s="12" t="s">
        <v>1457</v>
      </c>
      <c r="J12" s="93" t="s">
        <v>44</v>
      </c>
      <c r="K12" s="17">
        <v>42431</v>
      </c>
      <c r="L12" s="17">
        <v>42432</v>
      </c>
      <c r="M12" s="25" t="s">
        <v>65</v>
      </c>
      <c r="N12" s="25" t="s">
        <v>1493</v>
      </c>
      <c r="O12" s="18"/>
      <c r="P12" s="28">
        <v>0.65349999999999997</v>
      </c>
      <c r="Q12" s="29">
        <v>18500</v>
      </c>
      <c r="R12" s="18">
        <v>9004</v>
      </c>
      <c r="S12" s="30">
        <v>18.22</v>
      </c>
      <c r="T12" s="101">
        <f t="shared" ref="T12" si="11">W12*F12*0.005</f>
        <v>2693.1076480130096</v>
      </c>
      <c r="V12" s="18">
        <v>0.1</v>
      </c>
      <c r="W12" s="18">
        <f>IF(O12&gt;0,O12,((P12*2.2046*S12)+(Q12+R12)/G12)+V12)</f>
        <v>27.771112647308982</v>
      </c>
      <c r="X12" s="18">
        <f>IF(O12&gt;0,O12,((P12*2.2046*S12)+(Q12+R12+T12)/G12)+V12)</f>
        <v>27.910296444131141</v>
      </c>
      <c r="Y12" s="21">
        <f>X12*F12</f>
        <v>541321.00335046113</v>
      </c>
      <c r="Z12" s="32">
        <v>42425</v>
      </c>
      <c r="AA12" s="37">
        <v>29</v>
      </c>
      <c r="AB12" s="37"/>
    </row>
    <row r="13" spans="1:28" s="12" customFormat="1" x14ac:dyDescent="0.25">
      <c r="A13" s="109"/>
      <c r="B13" s="24" t="s">
        <v>32</v>
      </c>
      <c r="C13" s="14" t="s">
        <v>33</v>
      </c>
      <c r="D13" s="25" t="s">
        <v>1510</v>
      </c>
      <c r="E13" s="14">
        <v>250</v>
      </c>
      <c r="F13" s="26">
        <v>29230</v>
      </c>
      <c r="G13" s="27">
        <v>23450</v>
      </c>
      <c r="H13" s="27">
        <f t="shared" ref="H13:H21" si="12">G13-F13</f>
        <v>-5780</v>
      </c>
      <c r="I13" s="25" t="s">
        <v>1585</v>
      </c>
      <c r="J13" s="14"/>
      <c r="K13" s="17"/>
      <c r="L13" s="17">
        <v>42432</v>
      </c>
      <c r="M13" s="25" t="s">
        <v>65</v>
      </c>
      <c r="N13" s="14"/>
      <c r="O13" s="18">
        <v>21.5</v>
      </c>
      <c r="P13" s="19"/>
      <c r="Q13" s="29">
        <v>16500</v>
      </c>
      <c r="R13" s="18">
        <f t="shared" ref="R13:R14" si="13">59.25*E13</f>
        <v>14812.5</v>
      </c>
      <c r="S13" s="30">
        <f t="shared" ref="S13:S14" si="14">-35*E13</f>
        <v>-8750</v>
      </c>
      <c r="T13" s="101">
        <f t="shared" ref="T13:T14" si="15">W13*F13*0.0045</f>
        <v>3658.6221860341147</v>
      </c>
      <c r="U13" s="18">
        <f t="shared" ref="U13:U14" si="16">E13*5</f>
        <v>1250</v>
      </c>
      <c r="V13" s="14"/>
      <c r="W13" s="18">
        <f t="shared" ref="W13:W14" si="17">((O13*F13)+Q13+R13+S13+U13)/G13</f>
        <v>27.814818763326226</v>
      </c>
      <c r="X13" s="18">
        <f t="shared" ref="X13:X14" si="18">((O13*F13)+Q13+R13+S13+T13+U13)/G13</f>
        <v>27.970836766995056</v>
      </c>
      <c r="Y13" s="21">
        <f t="shared" ref="Y13:Y21" si="19">X13*F13</f>
        <v>817587.55869926547</v>
      </c>
      <c r="Z13" s="32">
        <v>42445</v>
      </c>
      <c r="AA13" s="37">
        <v>30</v>
      </c>
      <c r="AB13" s="37"/>
    </row>
    <row r="14" spans="1:28" s="12" customFormat="1" x14ac:dyDescent="0.25">
      <c r="A14" s="109"/>
      <c r="B14" s="24" t="s">
        <v>32</v>
      </c>
      <c r="C14" s="14" t="s">
        <v>33</v>
      </c>
      <c r="D14" s="25" t="s">
        <v>1475</v>
      </c>
      <c r="E14" s="14">
        <v>130</v>
      </c>
      <c r="F14" s="26">
        <v>13670</v>
      </c>
      <c r="G14" s="27">
        <v>10990</v>
      </c>
      <c r="H14" s="27">
        <f t="shared" si="12"/>
        <v>-2680</v>
      </c>
      <c r="I14" s="25" t="s">
        <v>1586</v>
      </c>
      <c r="J14" s="14"/>
      <c r="K14" s="17"/>
      <c r="L14" s="17">
        <v>42432</v>
      </c>
      <c r="M14" s="25" t="s">
        <v>65</v>
      </c>
      <c r="N14" s="14"/>
      <c r="O14" s="18">
        <v>21.5</v>
      </c>
      <c r="P14" s="19"/>
      <c r="Q14" s="29">
        <v>13500</v>
      </c>
      <c r="R14" s="18">
        <f t="shared" si="13"/>
        <v>7702.5</v>
      </c>
      <c r="S14" s="30">
        <f t="shared" si="14"/>
        <v>-4550</v>
      </c>
      <c r="T14" s="101">
        <f t="shared" si="15"/>
        <v>1741.9407973157415</v>
      </c>
      <c r="U14" s="18">
        <f t="shared" si="16"/>
        <v>650</v>
      </c>
      <c r="V14" s="14"/>
      <c r="W14" s="18">
        <f t="shared" si="17"/>
        <v>28.317333939945406</v>
      </c>
      <c r="X14" s="18">
        <f t="shared" si="18"/>
        <v>28.475836287289876</v>
      </c>
      <c r="Y14" s="21">
        <f t="shared" si="19"/>
        <v>389264.6820472526</v>
      </c>
      <c r="Z14" s="32">
        <v>42445</v>
      </c>
      <c r="AA14" s="37"/>
      <c r="AB14" s="37" t="s">
        <v>1590</v>
      </c>
    </row>
    <row r="15" spans="1:28" s="12" customFormat="1" x14ac:dyDescent="0.25">
      <c r="A15" s="109"/>
      <c r="B15" s="24" t="s">
        <v>25</v>
      </c>
      <c r="C15" s="25" t="s">
        <v>72</v>
      </c>
      <c r="D15" s="25" t="s">
        <v>72</v>
      </c>
      <c r="E15" s="14" t="s">
        <v>42</v>
      </c>
      <c r="F15" s="26">
        <f>42636*0.4536</f>
        <v>19339.689600000002</v>
      </c>
      <c r="G15" s="27">
        <v>19259.29</v>
      </c>
      <c r="H15" s="27">
        <f t="shared" si="12"/>
        <v>-80.399600000000646</v>
      </c>
      <c r="I15" s="12" t="s">
        <v>1458</v>
      </c>
      <c r="J15" s="93" t="s">
        <v>991</v>
      </c>
      <c r="K15" s="17">
        <v>42432</v>
      </c>
      <c r="L15" s="17">
        <v>42434</v>
      </c>
      <c r="M15" s="25" t="s">
        <v>84</v>
      </c>
      <c r="N15" s="25" t="s">
        <v>1494</v>
      </c>
      <c r="O15" s="18"/>
      <c r="P15" s="28">
        <f>0.5515+0.105</f>
        <v>0.65649999999999997</v>
      </c>
      <c r="Q15" s="29">
        <v>21000</v>
      </c>
      <c r="R15" s="18">
        <v>9004</v>
      </c>
      <c r="S15" s="30">
        <v>18.170000000000002</v>
      </c>
      <c r="T15" s="101">
        <f t="shared" ref="T15:T16" si="20">W15*F15*0.005</f>
        <v>2703.2728120710663</v>
      </c>
      <c r="V15" s="18">
        <v>0.1</v>
      </c>
      <c r="W15" s="18">
        <f>IF(O15&gt;0,O15,((P15*2.2046*S15)+(Q15+R15)/G15)+V15)</f>
        <v>27.955700096355898</v>
      </c>
      <c r="X15" s="18">
        <f>IF(O15&gt;0,O15,((P15*2.2046*S15)+(Q15+R15+T15)/G15)+V15)</f>
        <v>28.09606211448175</v>
      </c>
      <c r="Y15" s="21">
        <f t="shared" si="19"/>
        <v>543369.12027639674</v>
      </c>
      <c r="Z15" s="32">
        <v>42426</v>
      </c>
      <c r="AA15" s="2">
        <v>29</v>
      </c>
      <c r="AB15" s="2"/>
    </row>
    <row r="16" spans="1:28" s="12" customFormat="1" x14ac:dyDescent="0.25">
      <c r="A16" s="109"/>
      <c r="B16" s="24" t="s">
        <v>25</v>
      </c>
      <c r="C16" s="25" t="s">
        <v>72</v>
      </c>
      <c r="D16" s="25" t="s">
        <v>72</v>
      </c>
      <c r="E16" s="14" t="s">
        <v>42</v>
      </c>
      <c r="F16" s="26">
        <f>42504*0.4536</f>
        <v>19279.814399999999</v>
      </c>
      <c r="G16" s="27">
        <v>19211.099999999999</v>
      </c>
      <c r="H16" s="27">
        <f t="shared" si="12"/>
        <v>-68.714400000000751</v>
      </c>
      <c r="I16" s="12" t="s">
        <v>1459</v>
      </c>
      <c r="J16" s="93" t="s">
        <v>44</v>
      </c>
      <c r="K16" s="17">
        <v>42432</v>
      </c>
      <c r="L16" s="17">
        <v>42433</v>
      </c>
      <c r="M16" s="25" t="s">
        <v>30</v>
      </c>
      <c r="N16" s="25" t="s">
        <v>1494</v>
      </c>
      <c r="O16" s="18"/>
      <c r="P16" s="28">
        <v>0.65649999999999997</v>
      </c>
      <c r="Q16" s="29">
        <v>18500</v>
      </c>
      <c r="R16" s="18">
        <v>9004</v>
      </c>
      <c r="S16" s="30">
        <v>18.170000000000002</v>
      </c>
      <c r="T16" s="101">
        <f t="shared" si="20"/>
        <v>2682.7355543608214</v>
      </c>
      <c r="V16" s="18">
        <v>0.1</v>
      </c>
      <c r="W16" s="18">
        <f>IF(O16&gt;0,O16,((P16*2.2046*S16)+(Q16+R16)/G16)+V16)</f>
        <v>27.829474897443216</v>
      </c>
      <c r="X16" s="18">
        <f>IF(O16&gt;0,O16,((P16*2.2046*S16)+(Q16+R16+T16)/G16)+V16)</f>
        <v>27.969119975255566</v>
      </c>
      <c r="Y16" s="21">
        <f t="shared" si="19"/>
        <v>539239.44205425994</v>
      </c>
      <c r="Z16" s="32">
        <v>42426</v>
      </c>
      <c r="AA16" s="2">
        <v>29</v>
      </c>
      <c r="AB16" s="2"/>
    </row>
    <row r="17" spans="1:28" s="12" customFormat="1" x14ac:dyDescent="0.25">
      <c r="A17" s="109"/>
      <c r="B17" s="24" t="s">
        <v>32</v>
      </c>
      <c r="C17" s="14" t="s">
        <v>33</v>
      </c>
      <c r="D17" s="25" t="s">
        <v>1475</v>
      </c>
      <c r="E17" s="14">
        <v>250</v>
      </c>
      <c r="F17" s="26">
        <v>27935</v>
      </c>
      <c r="G17" s="27">
        <v>22410</v>
      </c>
      <c r="H17" s="27">
        <f t="shared" si="12"/>
        <v>-5525</v>
      </c>
      <c r="I17" s="25" t="s">
        <v>1587</v>
      </c>
      <c r="J17" s="14"/>
      <c r="K17" s="17"/>
      <c r="L17" s="17">
        <v>42433</v>
      </c>
      <c r="M17" s="25" t="s">
        <v>84</v>
      </c>
      <c r="N17" s="14"/>
      <c r="O17" s="18">
        <v>21.5</v>
      </c>
      <c r="P17" s="19"/>
      <c r="Q17" s="29">
        <v>16500</v>
      </c>
      <c r="R17" s="18">
        <f>59.25*E17</f>
        <v>14812.5</v>
      </c>
      <c r="S17" s="30">
        <f>-35*E17</f>
        <v>-8750</v>
      </c>
      <c r="T17" s="101">
        <f>W17*F17*0.0045</f>
        <v>3502.6170732931723</v>
      </c>
      <c r="U17" s="18">
        <f>E17*5</f>
        <v>1250</v>
      </c>
      <c r="V17" s="14"/>
      <c r="W17" s="18">
        <f>((O17*F17)+Q17+R17+S17+U17)/G17</f>
        <v>27.863230700580097</v>
      </c>
      <c r="X17" s="18">
        <f>((O17*F17)+Q17+R17+S17+T17+U17)/G17</f>
        <v>28.019527758736867</v>
      </c>
      <c r="Y17" s="21">
        <f t="shared" si="19"/>
        <v>782725.50794031436</v>
      </c>
      <c r="Z17" s="32">
        <v>42446</v>
      </c>
      <c r="AA17" s="2">
        <v>30</v>
      </c>
      <c r="AB17" s="2"/>
    </row>
    <row r="18" spans="1:28" s="12" customFormat="1" x14ac:dyDescent="0.25">
      <c r="A18" s="109"/>
      <c r="B18" s="24" t="s">
        <v>32</v>
      </c>
      <c r="C18" s="14" t="s">
        <v>33</v>
      </c>
      <c r="D18" s="25" t="s">
        <v>1475</v>
      </c>
      <c r="E18" s="14">
        <v>129</v>
      </c>
      <c r="F18" s="26">
        <v>13860</v>
      </c>
      <c r="G18" s="27">
        <v>11020</v>
      </c>
      <c r="H18" s="27">
        <f t="shared" si="12"/>
        <v>-2840</v>
      </c>
      <c r="I18" s="25" t="s">
        <v>1588</v>
      </c>
      <c r="J18" s="122">
        <v>128</v>
      </c>
      <c r="K18" s="17"/>
      <c r="L18" s="17">
        <v>42433</v>
      </c>
      <c r="M18" s="25" t="s">
        <v>84</v>
      </c>
      <c r="N18" s="14"/>
      <c r="O18" s="18">
        <v>21.5</v>
      </c>
      <c r="P18" s="19"/>
      <c r="Q18" s="29">
        <v>13000</v>
      </c>
      <c r="R18" s="18">
        <f>59.25*E18</f>
        <v>7643.25</v>
      </c>
      <c r="S18" s="30">
        <f>-35*E18</f>
        <v>-4515</v>
      </c>
      <c r="T18" s="101">
        <f>W18*F18*0.0045</f>
        <v>1781.4685936932847</v>
      </c>
      <c r="U18" s="18">
        <f>E18*5</f>
        <v>645</v>
      </c>
      <c r="V18" s="14"/>
      <c r="W18" s="18">
        <f>((O18*F18)+Q18+R18+S18+U18)/G18</f>
        <v>28.562908348457348</v>
      </c>
      <c r="X18" s="18">
        <f>((O18*F18)+Q18+R18+S18+T18+U18)/G18</f>
        <v>28.724566115580153</v>
      </c>
      <c r="Y18" s="21">
        <f t="shared" si="19"/>
        <v>398122.48636194092</v>
      </c>
      <c r="Z18" s="32">
        <v>42446</v>
      </c>
      <c r="AA18" s="2"/>
      <c r="AB18" s="2" t="s">
        <v>1589</v>
      </c>
    </row>
    <row r="19" spans="1:28" s="12" customFormat="1" x14ac:dyDescent="0.25">
      <c r="A19" s="109"/>
      <c r="B19" s="24" t="s">
        <v>25</v>
      </c>
      <c r="C19" s="25" t="s">
        <v>26</v>
      </c>
      <c r="D19" s="25" t="s">
        <v>26</v>
      </c>
      <c r="E19" s="14" t="s">
        <v>27</v>
      </c>
      <c r="F19" s="26">
        <f>41302*0.4536</f>
        <v>18734.587200000002</v>
      </c>
      <c r="G19" s="27">
        <v>18640.13</v>
      </c>
      <c r="H19" s="27">
        <f t="shared" si="12"/>
        <v>-94.457200000000739</v>
      </c>
      <c r="I19" s="39" t="s">
        <v>1470</v>
      </c>
      <c r="J19" s="93" t="s">
        <v>91</v>
      </c>
      <c r="K19" s="17">
        <v>42433</v>
      </c>
      <c r="L19" s="17">
        <v>42434</v>
      </c>
      <c r="M19" s="25" t="s">
        <v>30</v>
      </c>
      <c r="N19" s="25" t="s">
        <v>1576</v>
      </c>
      <c r="O19" s="18"/>
      <c r="P19" s="28">
        <v>0.65600000000000003</v>
      </c>
      <c r="Q19" s="29">
        <v>18500</v>
      </c>
      <c r="R19" s="18">
        <v>8991</v>
      </c>
      <c r="S19" s="30">
        <v>18.170000000000002</v>
      </c>
      <c r="T19" s="101">
        <f t="shared" ref="T19:T21" si="21">W19*F19*0.005</f>
        <v>2609.0350572209491</v>
      </c>
      <c r="V19" s="18">
        <v>0.1</v>
      </c>
      <c r="W19" s="18">
        <f>IF(O19&gt;0,O19,((P19*2.2046*S19)+(Q19+R19)/G19)+V19)</f>
        <v>27.852602561971032</v>
      </c>
      <c r="X19" s="18">
        <f>IF(O19&gt;0,O19,((P19*2.2046*S19)+(Q19+R19+T19)/G19)+V19)</f>
        <v>27.992571277705359</v>
      </c>
      <c r="Y19" s="21">
        <f t="shared" si="19"/>
        <v>524429.26755438652</v>
      </c>
      <c r="Z19" s="32">
        <v>42426</v>
      </c>
      <c r="AA19" s="2">
        <v>30</v>
      </c>
      <c r="AB19" s="2" t="s">
        <v>1752</v>
      </c>
    </row>
    <row r="20" spans="1:28" s="12" customFormat="1" x14ac:dyDescent="0.25">
      <c r="A20" s="109"/>
      <c r="B20" s="24" t="s">
        <v>25</v>
      </c>
      <c r="C20" s="25" t="s">
        <v>72</v>
      </c>
      <c r="D20" s="25" t="s">
        <v>72</v>
      </c>
      <c r="E20" s="14" t="s">
        <v>42</v>
      </c>
      <c r="F20" s="26">
        <f>42480*0.4536</f>
        <v>19268.928</v>
      </c>
      <c r="G20" s="27">
        <v>19196.55</v>
      </c>
      <c r="H20" s="27">
        <f t="shared" si="12"/>
        <v>-72.378000000000611</v>
      </c>
      <c r="I20" s="12" t="s">
        <v>1460</v>
      </c>
      <c r="J20" s="93" t="s">
        <v>74</v>
      </c>
      <c r="K20" s="17">
        <v>42433</v>
      </c>
      <c r="L20" s="17">
        <v>42434</v>
      </c>
      <c r="M20" s="25" t="s">
        <v>30</v>
      </c>
      <c r="N20" s="25" t="s">
        <v>1495</v>
      </c>
      <c r="O20" s="18"/>
      <c r="P20" s="28">
        <f>0.5519+0.105</f>
        <v>0.65689999999999993</v>
      </c>
      <c r="Q20" s="29">
        <v>18500</v>
      </c>
      <c r="R20" s="18">
        <v>8991</v>
      </c>
      <c r="S20" s="30">
        <v>18.184999999999999</v>
      </c>
      <c r="T20" s="101">
        <f t="shared" si="21"/>
        <v>2684.8966726256954</v>
      </c>
      <c r="V20" s="18">
        <v>0.1</v>
      </c>
      <c r="W20" s="18">
        <f>IF(O20&gt;0,O20,((P20*2.2046*S20)+(Q20+R20)/G20)+V20)</f>
        <v>27.867628885485434</v>
      </c>
      <c r="X20" s="18">
        <f>IF(O20&gt;0,O20,((P20*2.2046*S20)+(Q20+R20+T20)/G20)+V20)</f>
        <v>28.007492385574029</v>
      </c>
      <c r="Y20" s="21">
        <f t="shared" si="19"/>
        <v>539674.35423817416</v>
      </c>
      <c r="Z20" s="32">
        <v>42429</v>
      </c>
      <c r="AA20" s="2">
        <v>30</v>
      </c>
      <c r="AB20" s="2"/>
    </row>
    <row r="21" spans="1:28" s="12" customFormat="1" x14ac:dyDescent="0.25">
      <c r="A21" s="109"/>
      <c r="B21" s="24" t="s">
        <v>25</v>
      </c>
      <c r="C21" s="25" t="s">
        <v>40</v>
      </c>
      <c r="D21" s="25" t="s">
        <v>41</v>
      </c>
      <c r="E21" s="14"/>
      <c r="F21" s="107">
        <v>18500</v>
      </c>
      <c r="G21" s="108">
        <v>18500</v>
      </c>
      <c r="H21" s="27">
        <f t="shared" si="12"/>
        <v>0</v>
      </c>
      <c r="I21" s="12" t="s">
        <v>1451</v>
      </c>
      <c r="J21" s="105" t="s">
        <v>487</v>
      </c>
      <c r="K21" s="17">
        <v>42433</v>
      </c>
      <c r="L21" s="17">
        <v>42434</v>
      </c>
      <c r="M21" s="25" t="s">
        <v>30</v>
      </c>
      <c r="N21" s="25" t="s">
        <v>1496</v>
      </c>
      <c r="O21" s="18"/>
      <c r="P21" s="28">
        <f>0.5515+0.1</f>
        <v>0.65149999999999997</v>
      </c>
      <c r="Q21" s="29">
        <v>18500</v>
      </c>
      <c r="R21" s="18">
        <v>9200</v>
      </c>
      <c r="S21" s="30">
        <v>18.5</v>
      </c>
      <c r="T21" s="31">
        <f t="shared" si="21"/>
        <v>2605.6130701250004</v>
      </c>
      <c r="V21" s="18">
        <v>0.1</v>
      </c>
      <c r="W21" s="18">
        <f t="shared" ref="W21" si="22">IF(O21&gt;0,O21,((P21*2.2046*S21)+(Q21+R21)/G21)+V21)</f>
        <v>28.168789947297302</v>
      </c>
      <c r="X21" s="123">
        <f t="shared" ref="X21" si="23">IF(O21&gt;0,O21,((P21*2.2046*S21)+(Q21+R21+T21)/G21)+V21)</f>
        <v>28.309633897033788</v>
      </c>
      <c r="Y21" s="124">
        <f t="shared" si="19"/>
        <v>523728.22709512507</v>
      </c>
      <c r="Z21" s="32"/>
      <c r="AA21" s="37"/>
      <c r="AB21" s="37"/>
    </row>
    <row r="22" spans="1:28" s="12" customFormat="1" ht="15.75" thickBot="1" x14ac:dyDescent="0.3">
      <c r="A22" s="109"/>
      <c r="B22" s="41"/>
      <c r="C22" s="4"/>
      <c r="D22" s="4"/>
      <c r="E22" s="4"/>
      <c r="F22" s="42"/>
      <c r="G22" s="42"/>
      <c r="H22" s="42"/>
      <c r="I22" s="6"/>
      <c r="J22" s="4"/>
      <c r="K22" s="7"/>
      <c r="L22" s="7"/>
      <c r="M22" s="4"/>
      <c r="N22" s="4"/>
      <c r="O22" s="8"/>
      <c r="P22" s="9"/>
      <c r="Q22" s="8"/>
      <c r="R22" s="8"/>
      <c r="S22" s="8"/>
      <c r="T22" s="8"/>
      <c r="U22" s="8"/>
      <c r="V22" s="8"/>
      <c r="W22" s="8"/>
      <c r="X22" s="8"/>
      <c r="Y22" s="8"/>
      <c r="Z22" s="43"/>
      <c r="AA22" s="2"/>
      <c r="AB22" s="2"/>
    </row>
    <row r="23" spans="1:28" s="12" customFormat="1" x14ac:dyDescent="0.25">
      <c r="A23" s="104"/>
      <c r="B23" s="14" t="s">
        <v>32</v>
      </c>
      <c r="C23" s="14" t="s">
        <v>33</v>
      </c>
      <c r="D23" s="25" t="s">
        <v>1611</v>
      </c>
      <c r="E23" s="14">
        <f>248+12</f>
        <v>260</v>
      </c>
      <c r="F23" s="26">
        <f>29825+1590</f>
        <v>31415</v>
      </c>
      <c r="G23" s="27">
        <f>12510+12740</f>
        <v>25250</v>
      </c>
      <c r="H23" s="27">
        <f t="shared" ref="H23" si="24">G23-F23</f>
        <v>-6165</v>
      </c>
      <c r="I23" s="25" t="s">
        <v>1612</v>
      </c>
      <c r="J23" s="14"/>
      <c r="K23" s="17"/>
      <c r="L23" s="17">
        <v>42435</v>
      </c>
      <c r="M23" s="25" t="s">
        <v>36</v>
      </c>
      <c r="N23" s="14"/>
      <c r="O23" s="18">
        <v>21.8</v>
      </c>
      <c r="P23" s="19"/>
      <c r="Q23" s="29">
        <v>17300</v>
      </c>
      <c r="R23" s="18">
        <f>59.25*E23</f>
        <v>15405</v>
      </c>
      <c r="S23" s="30">
        <f>-35*E23</f>
        <v>-9100</v>
      </c>
      <c r="T23" s="101">
        <f>W23*F23*0.0045</f>
        <v>3973.6976578217823</v>
      </c>
      <c r="U23" s="18">
        <f>E23*5</f>
        <v>1300</v>
      </c>
      <c r="V23" s="14"/>
      <c r="W23" s="18">
        <f>((O23*F23)+Q23+R23+S23+U23)/G23</f>
        <v>28.108990099009901</v>
      </c>
      <c r="X23" s="18">
        <f>((O23*F23)+Q23+R23+S23+T23+U23)/G23</f>
        <v>28.266364263676113</v>
      </c>
      <c r="Y23" s="21">
        <f t="shared" ref="Y23:Y33" si="25">X23*F23</f>
        <v>887987.83334338514</v>
      </c>
      <c r="Z23" s="32">
        <v>42450</v>
      </c>
      <c r="AA23" s="2">
        <v>30</v>
      </c>
      <c r="AB23" s="2" t="s">
        <v>1614</v>
      </c>
    </row>
    <row r="24" spans="1:28" s="12" customFormat="1" x14ac:dyDescent="0.25">
      <c r="A24" s="104"/>
      <c r="B24" s="24" t="s">
        <v>32</v>
      </c>
      <c r="C24" s="14" t="s">
        <v>33</v>
      </c>
      <c r="D24" s="25" t="s">
        <v>38</v>
      </c>
      <c r="E24" s="14">
        <v>245</v>
      </c>
      <c r="F24" s="26">
        <v>28690</v>
      </c>
      <c r="G24" s="27">
        <f>16410+6440</f>
        <v>22850</v>
      </c>
      <c r="H24" s="27">
        <f>G24-F24</f>
        <v>-5840</v>
      </c>
      <c r="I24" s="25" t="s">
        <v>1613</v>
      </c>
      <c r="J24" s="14"/>
      <c r="K24" s="17"/>
      <c r="L24" s="17">
        <v>42436</v>
      </c>
      <c r="M24" s="25" t="s">
        <v>39</v>
      </c>
      <c r="N24" s="14"/>
      <c r="O24" s="18">
        <v>21.8</v>
      </c>
      <c r="P24" s="19"/>
      <c r="Q24" s="29">
        <v>17300</v>
      </c>
      <c r="R24" s="18">
        <f>59.25*E24</f>
        <v>14516.25</v>
      </c>
      <c r="S24" s="30">
        <f t="shared" ref="S24" si="26">-35*E24</f>
        <v>-8575</v>
      </c>
      <c r="T24" s="101">
        <f>W24*F24*0.0045</f>
        <v>3672.0527184354482</v>
      </c>
      <c r="U24" s="18">
        <f>E24*5</f>
        <v>1225</v>
      </c>
      <c r="V24" s="14"/>
      <c r="W24" s="18">
        <f>((O24*F24)+Q24+R24+S24+U24)/G24</f>
        <v>28.442374179431074</v>
      </c>
      <c r="X24" s="18">
        <f>((O24*F24)+Q24+R24+S24+T24+U24)/G24</f>
        <v>28.603076705401989</v>
      </c>
      <c r="Y24" s="21">
        <f t="shared" si="25"/>
        <v>820622.27067798306</v>
      </c>
      <c r="Z24" s="32">
        <v>42450</v>
      </c>
      <c r="AA24" s="2">
        <v>30</v>
      </c>
      <c r="AB24" s="2" t="s">
        <v>1615</v>
      </c>
    </row>
    <row r="25" spans="1:28" s="12" customFormat="1" x14ac:dyDescent="0.25">
      <c r="A25" s="104"/>
      <c r="B25" s="24" t="s">
        <v>25</v>
      </c>
      <c r="C25" s="14" t="s">
        <v>40</v>
      </c>
      <c r="D25" s="14" t="s">
        <v>41</v>
      </c>
      <c r="E25" s="14" t="s">
        <v>27</v>
      </c>
      <c r="F25" s="26">
        <f>37419*0.4536</f>
        <v>16973.258399999999</v>
      </c>
      <c r="G25" s="27">
        <f>18656.98-1699</f>
        <v>16957.98</v>
      </c>
      <c r="H25" s="27">
        <f>G25-F25</f>
        <v>-15.278399999999237</v>
      </c>
      <c r="I25" s="25" t="s">
        <v>1463</v>
      </c>
      <c r="J25" s="93" t="s">
        <v>44</v>
      </c>
      <c r="K25" s="17">
        <v>42436</v>
      </c>
      <c r="L25" s="17">
        <v>42437</v>
      </c>
      <c r="M25" s="25" t="s">
        <v>45</v>
      </c>
      <c r="N25" s="25" t="s">
        <v>1600</v>
      </c>
      <c r="O25" s="18"/>
      <c r="P25" s="28">
        <f>0.5714+0.1</f>
        <v>0.6714</v>
      </c>
      <c r="Q25" s="29">
        <f>(18500*G25)/(G25+G26)</f>
        <v>16815.295401506566</v>
      </c>
      <c r="R25" s="18">
        <f>(8991*G25)/(G25+G26)</f>
        <v>8172.2335651321928</v>
      </c>
      <c r="S25" s="30">
        <v>17.79</v>
      </c>
      <c r="T25" s="101">
        <f t="shared" ref="T25:T27" si="27">W25*F25*0.005</f>
        <v>2368.2527186094117</v>
      </c>
      <c r="V25" s="18">
        <v>0.1</v>
      </c>
      <c r="W25" s="18">
        <f>IF(O25&gt;0,O25,((P25*2.2046*S25)+(Q25+R25)/G25)+V25)</f>
        <v>27.905693330037462</v>
      </c>
      <c r="X25" s="18">
        <f>IF(O25&gt;0,O25,((P25*2.2046*S25)+(Q25+R25+T25)/G25)+V25)</f>
        <v>28.045347505747625</v>
      </c>
      <c r="Y25" s="21">
        <f t="shared" si="25"/>
        <v>476020.9301328499</v>
      </c>
      <c r="Z25" s="32">
        <v>42447</v>
      </c>
      <c r="AA25" s="37">
        <v>29.5</v>
      </c>
      <c r="AB25" s="37"/>
    </row>
    <row r="26" spans="1:28" s="12" customFormat="1" x14ac:dyDescent="0.25">
      <c r="A26" s="104"/>
      <c r="B26" s="24" t="s">
        <v>66</v>
      </c>
      <c r="C26" s="14" t="s">
        <v>40</v>
      </c>
      <c r="D26" s="25" t="s">
        <v>41</v>
      </c>
      <c r="E26" s="14" t="s">
        <v>832</v>
      </c>
      <c r="F26" s="26">
        <f>3740*0.4536</f>
        <v>1696.4639999999999</v>
      </c>
      <c r="G26" s="27">
        <f>848+851</f>
        <v>1699</v>
      </c>
      <c r="H26" s="27">
        <f>G26-F26</f>
        <v>2.5360000000000582</v>
      </c>
      <c r="I26" s="25"/>
      <c r="J26" s="14"/>
      <c r="K26" s="17">
        <v>42436</v>
      </c>
      <c r="L26" s="17">
        <v>42437</v>
      </c>
      <c r="M26" s="25" t="s">
        <v>45</v>
      </c>
      <c r="N26" s="25"/>
      <c r="O26" s="18"/>
      <c r="P26" s="28">
        <v>0.36</v>
      </c>
      <c r="Q26" s="29">
        <f>(18500*G26)/(G26+G25)</f>
        <v>1684.7045984934325</v>
      </c>
      <c r="R26" s="18">
        <f>(8991*G26)/(G26+G25)</f>
        <v>818.76643486780824</v>
      </c>
      <c r="S26" s="30">
        <v>17.79</v>
      </c>
      <c r="T26" s="101">
        <f t="shared" si="27"/>
        <v>133.1099688681617</v>
      </c>
      <c r="V26" s="18">
        <v>0.1</v>
      </c>
      <c r="W26" s="18">
        <f>IF(O26&gt;0,O26,((P26*2.2046*S26)+(Q26+R26)/G26)+V26)</f>
        <v>15.692637022437458</v>
      </c>
      <c r="X26" s="18">
        <f>IF(O26&gt;0,O26,((P26*2.2046*S26)+(Q26+R26+T26)/G26)+V26)</f>
        <v>15.770983090046734</v>
      </c>
      <c r="Y26" s="21">
        <f t="shared" si="25"/>
        <v>26754.905056873042</v>
      </c>
      <c r="Z26" s="32">
        <v>42447</v>
      </c>
      <c r="AA26" s="37"/>
      <c r="AB26" s="37"/>
    </row>
    <row r="27" spans="1:28" s="12" customFormat="1" x14ac:dyDescent="0.25">
      <c r="A27" s="104"/>
      <c r="B27" s="24" t="s">
        <v>25</v>
      </c>
      <c r="C27" s="25" t="s">
        <v>26</v>
      </c>
      <c r="D27" s="25" t="s">
        <v>26</v>
      </c>
      <c r="E27" s="14" t="s">
        <v>27</v>
      </c>
      <c r="F27" s="26">
        <f>41353*0.4536</f>
        <v>18757.720799999999</v>
      </c>
      <c r="G27" s="27">
        <v>18710.13</v>
      </c>
      <c r="H27" s="27">
        <f t="shared" ref="H27" si="28">G27-F27</f>
        <v>-47.590799999998126</v>
      </c>
      <c r="I27" s="12" t="s">
        <v>1597</v>
      </c>
      <c r="J27" s="93" t="s">
        <v>44</v>
      </c>
      <c r="K27" s="17">
        <v>42436</v>
      </c>
      <c r="L27" s="17">
        <v>42437</v>
      </c>
      <c r="M27" s="25" t="s">
        <v>45</v>
      </c>
      <c r="N27" s="25" t="s">
        <v>1601</v>
      </c>
      <c r="O27" s="18"/>
      <c r="P27" s="28">
        <f>0.5714+0.1075</f>
        <v>0.67890000000000006</v>
      </c>
      <c r="Q27" s="29">
        <v>18500</v>
      </c>
      <c r="R27" s="18">
        <v>8991</v>
      </c>
      <c r="S27" s="30">
        <v>18.079999999999998</v>
      </c>
      <c r="T27" s="101">
        <f t="shared" si="27"/>
        <v>2685.1396113949259</v>
      </c>
      <c r="V27" s="18">
        <v>0.1</v>
      </c>
      <c r="W27" s="18">
        <f t="shared" ref="W27" si="29">IF(O27&gt;0,O27,((P27*2.2046*S27)+(Q27+R27)/G27)+V27)</f>
        <v>28.62970016479748</v>
      </c>
      <c r="X27" s="18">
        <f t="shared" ref="X27" si="30">IF(O27&gt;0,O27,((P27*2.2046*S27)+(Q27+R27+T27)/G27)+V27)</f>
        <v>28.773212775954907</v>
      </c>
      <c r="Y27" s="21">
        <f t="shared" si="25"/>
        <v>539719.89177035505</v>
      </c>
      <c r="Z27" s="32">
        <v>42431</v>
      </c>
      <c r="AA27" s="37"/>
      <c r="AB27" s="37"/>
    </row>
    <row r="28" spans="1:28" s="12" customFormat="1" x14ac:dyDescent="0.25">
      <c r="A28" s="104"/>
      <c r="B28" s="24" t="s">
        <v>32</v>
      </c>
      <c r="C28" s="14" t="s">
        <v>33</v>
      </c>
      <c r="D28" s="25" t="s">
        <v>1510</v>
      </c>
      <c r="E28" s="14">
        <v>250</v>
      </c>
      <c r="F28" s="26">
        <v>28925</v>
      </c>
      <c r="G28" s="27">
        <f>17520+5490</f>
        <v>23010</v>
      </c>
      <c r="H28" s="27">
        <f>G28-F28</f>
        <v>-5915</v>
      </c>
      <c r="I28" s="25" t="s">
        <v>1629</v>
      </c>
      <c r="J28" s="14"/>
      <c r="K28" s="17"/>
      <c r="L28" s="17">
        <v>42437</v>
      </c>
      <c r="M28" s="25" t="s">
        <v>45</v>
      </c>
      <c r="N28" s="14"/>
      <c r="O28" s="18">
        <v>21.8</v>
      </c>
      <c r="P28" s="28"/>
      <c r="Q28" s="29">
        <v>17300</v>
      </c>
      <c r="R28" s="18">
        <f>59.25*E28</f>
        <v>14812.5</v>
      </c>
      <c r="S28" s="30">
        <f t="shared" ref="S28" si="31">-35*E28</f>
        <v>-8750</v>
      </c>
      <c r="T28" s="101">
        <f>W28*F28*0.0045</f>
        <v>3706.194756355932</v>
      </c>
      <c r="U28" s="18">
        <f>E28*5</f>
        <v>1250</v>
      </c>
      <c r="V28" s="14"/>
      <c r="W28" s="18">
        <f>((O28*F28)+Q28+R28+S28+U28)/G28</f>
        <v>28.473598435462844</v>
      </c>
      <c r="X28" s="18">
        <f>((O28*F28)+Q28+R28+S28+T28+U28)/G28</f>
        <v>28.634667307968535</v>
      </c>
      <c r="Y28" s="21">
        <f t="shared" si="25"/>
        <v>828257.75188298989</v>
      </c>
      <c r="Z28" s="32">
        <v>42450</v>
      </c>
      <c r="AA28" s="37"/>
      <c r="AB28" s="37" t="s">
        <v>1632</v>
      </c>
    </row>
    <row r="29" spans="1:28" s="12" customFormat="1" x14ac:dyDescent="0.25">
      <c r="A29" s="104"/>
      <c r="B29" s="24" t="s">
        <v>25</v>
      </c>
      <c r="C29" s="14" t="s">
        <v>40</v>
      </c>
      <c r="D29" s="14" t="s">
        <v>41</v>
      </c>
      <c r="E29" s="14" t="s">
        <v>27</v>
      </c>
      <c r="F29" s="26">
        <f>37980*0.4536</f>
        <v>17227.727999999999</v>
      </c>
      <c r="G29" s="27">
        <f>18879.27-1613</f>
        <v>17266.27</v>
      </c>
      <c r="H29" s="27">
        <f>G29-F29</f>
        <v>38.542000000001281</v>
      </c>
      <c r="I29" s="25" t="s">
        <v>1464</v>
      </c>
      <c r="J29" s="93" t="s">
        <v>74</v>
      </c>
      <c r="K29" s="17">
        <v>42437</v>
      </c>
      <c r="L29" s="17">
        <v>42438</v>
      </c>
      <c r="M29" s="25" t="s">
        <v>50</v>
      </c>
      <c r="N29" s="25" t="s">
        <v>1600</v>
      </c>
      <c r="O29" s="18"/>
      <c r="P29" s="28">
        <v>0.6714</v>
      </c>
      <c r="Q29" s="29">
        <f>(18500*G29)/(G29+G30)</f>
        <v>16919.403928223921</v>
      </c>
      <c r="R29" s="18">
        <f>(8978*G29)/(G29+G30)</f>
        <v>8210.940998248343</v>
      </c>
      <c r="S29" s="30">
        <v>17.79</v>
      </c>
      <c r="T29" s="101">
        <f t="shared" ref="T29:T30" si="32">W29*F29*0.005</f>
        <v>2402.2047059864926</v>
      </c>
      <c r="V29" s="18">
        <v>0.1</v>
      </c>
      <c r="W29" s="18">
        <f>IF(O29&gt;0,O29,((P29*2.2046*S29)+(Q29+R29)/G29)+V29)</f>
        <v>27.887655365658116</v>
      </c>
      <c r="X29" s="18">
        <f>IF(O29&gt;0,O29,((P29*2.2046*S29)+(Q29+R29+T29)/G29)+V29)</f>
        <v>28.026782386490439</v>
      </c>
      <c r="Y29" s="21">
        <f t="shared" si="25"/>
        <v>482837.78366964811</v>
      </c>
      <c r="Z29" s="32">
        <v>42447</v>
      </c>
      <c r="AA29" s="37">
        <v>29.5</v>
      </c>
      <c r="AB29" s="37"/>
    </row>
    <row r="30" spans="1:28" s="12" customFormat="1" x14ac:dyDescent="0.25">
      <c r="A30" s="104"/>
      <c r="B30" s="24" t="s">
        <v>66</v>
      </c>
      <c r="C30" s="14" t="s">
        <v>40</v>
      </c>
      <c r="D30" s="25" t="s">
        <v>41</v>
      </c>
      <c r="E30" s="14" t="s">
        <v>832</v>
      </c>
      <c r="F30" s="26">
        <f>3557*0.4536</f>
        <v>1613.4552000000001</v>
      </c>
      <c r="G30" s="27">
        <v>1613</v>
      </c>
      <c r="H30" s="27">
        <f>G30-F30</f>
        <v>-0.45520000000010441</v>
      </c>
      <c r="I30" s="25"/>
      <c r="J30" s="14"/>
      <c r="K30" s="17">
        <v>42437</v>
      </c>
      <c r="L30" s="17">
        <v>42438</v>
      </c>
      <c r="M30" s="25" t="s">
        <v>50</v>
      </c>
      <c r="N30" s="25"/>
      <c r="O30" s="18"/>
      <c r="P30" s="28">
        <v>0.36</v>
      </c>
      <c r="Q30" s="29">
        <f>(18500*G30)/(G30+G29)</f>
        <v>1580.5960717760802</v>
      </c>
      <c r="R30" s="18">
        <f>(8978*G30)/(G30+G29)</f>
        <v>767.05900175165664</v>
      </c>
      <c r="S30" s="30">
        <v>17.79</v>
      </c>
      <c r="T30" s="101">
        <f t="shared" si="32"/>
        <v>126.45131679069483</v>
      </c>
      <c r="V30" s="18">
        <v>0.1</v>
      </c>
      <c r="W30" s="18">
        <f>IF(O30&gt;0,O30,((P30*2.2046*S30)+(Q30+R30)/G30)+V30)</f>
        <v>15.674599058058114</v>
      </c>
      <c r="X30" s="18">
        <f>IF(O30&gt;0,O30,((P30*2.2046*S30)+(Q30+R30+T30)/G30)+V30)</f>
        <v>15.752994170761582</v>
      </c>
      <c r="Y30" s="21">
        <f t="shared" si="25"/>
        <v>25416.750360384965</v>
      </c>
      <c r="Z30" s="32">
        <v>42430</v>
      </c>
      <c r="AA30" s="37">
        <v>29.5</v>
      </c>
      <c r="AB30" s="37"/>
    </row>
    <row r="31" spans="1:28" s="12" customFormat="1" x14ac:dyDescent="0.25">
      <c r="A31" s="104"/>
      <c r="B31" s="24" t="s">
        <v>32</v>
      </c>
      <c r="C31" s="14" t="s">
        <v>68</v>
      </c>
      <c r="D31" s="25" t="s">
        <v>68</v>
      </c>
      <c r="E31" s="14">
        <v>259</v>
      </c>
      <c r="F31" s="26">
        <f>12770+12790</f>
        <v>25560</v>
      </c>
      <c r="G31" s="27">
        <f>9970+10020</f>
        <v>19990</v>
      </c>
      <c r="H31" s="27">
        <f t="shared" ref="H31:H32" si="33">G31-F31</f>
        <v>-5570</v>
      </c>
      <c r="I31" s="25" t="s">
        <v>1628</v>
      </c>
      <c r="J31" s="14"/>
      <c r="K31" s="17">
        <v>42437</v>
      </c>
      <c r="L31" s="17">
        <v>42438</v>
      </c>
      <c r="M31" s="25" t="s">
        <v>50</v>
      </c>
      <c r="N31" s="14"/>
      <c r="O31" s="18">
        <v>21</v>
      </c>
      <c r="P31" s="19"/>
      <c r="Q31" s="29">
        <v>22000</v>
      </c>
      <c r="R31" s="99">
        <f>98*E31</f>
        <v>25382</v>
      </c>
      <c r="S31" s="30">
        <f>-38*E31</f>
        <v>-9842</v>
      </c>
      <c r="T31" s="31"/>
      <c r="U31" s="18">
        <f>E31*10</f>
        <v>2590</v>
      </c>
      <c r="V31" s="14"/>
      <c r="W31" s="18">
        <f>((O31*F31)+Q31+R31+S31+U31)/G31</f>
        <v>28.858929464732366</v>
      </c>
      <c r="X31" s="18">
        <f>((O31*F31)+Q31+R31+S31+T31+U31)/G31</f>
        <v>28.858929464732366</v>
      </c>
      <c r="Y31" s="21">
        <f t="shared" si="25"/>
        <v>737634.23711855931</v>
      </c>
      <c r="Z31" s="32">
        <v>42438</v>
      </c>
      <c r="AA31" s="37"/>
      <c r="AB31" s="37" t="s">
        <v>1633</v>
      </c>
    </row>
    <row r="32" spans="1:28" s="12" customFormat="1" x14ac:dyDescent="0.25">
      <c r="A32" s="104"/>
      <c r="B32" s="24" t="s">
        <v>55</v>
      </c>
      <c r="C32" s="14" t="s">
        <v>1749</v>
      </c>
      <c r="D32" s="25" t="s">
        <v>857</v>
      </c>
      <c r="E32" s="14" t="s">
        <v>933</v>
      </c>
      <c r="F32" s="26">
        <f>686*60*0.4536</f>
        <v>18670.175999999999</v>
      </c>
      <c r="G32" s="27">
        <v>18670.18</v>
      </c>
      <c r="H32" s="27">
        <f t="shared" si="33"/>
        <v>4.0000000008149073E-3</v>
      </c>
      <c r="I32" s="25" t="s">
        <v>1748</v>
      </c>
      <c r="J32" s="14"/>
      <c r="K32" s="17"/>
      <c r="L32" s="17">
        <v>42438</v>
      </c>
      <c r="M32" s="25" t="s">
        <v>50</v>
      </c>
      <c r="N32" s="14"/>
      <c r="O32" s="18">
        <v>38.5</v>
      </c>
      <c r="P32" s="19"/>
      <c r="Q32" s="18"/>
      <c r="R32" s="18"/>
      <c r="S32" s="30"/>
      <c r="T32" s="31"/>
      <c r="U32" s="18"/>
      <c r="V32" s="18"/>
      <c r="W32" s="18">
        <f>IF(O32&gt;0,O32,((P32*2.2046*S32)+(Q32+R32)/G32)+V32)</f>
        <v>38.5</v>
      </c>
      <c r="X32" s="18">
        <f>IF(O32&gt;0,O32,((P32*2.2046*S32)+(Q32+R32+T32)/G32)+V32)</f>
        <v>38.5</v>
      </c>
      <c r="Y32" s="21">
        <f t="shared" ref="Y32" si="34">X32*F32</f>
        <v>718801.77599999995</v>
      </c>
      <c r="Z32" s="32">
        <v>42459</v>
      </c>
      <c r="AA32" s="37"/>
      <c r="AB32" s="37"/>
    </row>
    <row r="33" spans="1:29" s="12" customFormat="1" x14ac:dyDescent="0.25">
      <c r="A33" s="104"/>
      <c r="B33" s="24" t="s">
        <v>25</v>
      </c>
      <c r="C33" s="25" t="s">
        <v>72</v>
      </c>
      <c r="D33" s="25" t="s">
        <v>72</v>
      </c>
      <c r="E33" s="14" t="s">
        <v>42</v>
      </c>
      <c r="F33" s="26">
        <f>42630*0.4536</f>
        <v>19336.968000000001</v>
      </c>
      <c r="G33" s="27">
        <v>19252.009999999998</v>
      </c>
      <c r="H33" s="27">
        <f>G33-F33</f>
        <v>-84.958000000002357</v>
      </c>
      <c r="I33" s="12" t="s">
        <v>1461</v>
      </c>
      <c r="J33" s="93" t="s">
        <v>44</v>
      </c>
      <c r="K33" s="17">
        <v>42438</v>
      </c>
      <c r="L33" s="17">
        <v>42439</v>
      </c>
      <c r="M33" s="25" t="s">
        <v>65</v>
      </c>
      <c r="N33" s="25" t="s">
        <v>1602</v>
      </c>
      <c r="O33" s="18"/>
      <c r="P33" s="28">
        <f>0.5689+0.105</f>
        <v>0.67389999999999994</v>
      </c>
      <c r="Q33" s="29">
        <v>18500</v>
      </c>
      <c r="R33" s="18">
        <v>8978</v>
      </c>
      <c r="S33" s="30">
        <v>17.940000000000001</v>
      </c>
      <c r="T33" s="101">
        <f>W33*F33*0.005</f>
        <v>2724.6153056608737</v>
      </c>
      <c r="V33" s="18">
        <v>0.1</v>
      </c>
      <c r="W33" s="18">
        <f t="shared" ref="W33" si="35">IF(O33&gt;0,O33,((P33*2.2046*S33)+(Q33+R33)/G33)+V33)</f>
        <v>28.180377664801156</v>
      </c>
      <c r="X33" s="18">
        <f t="shared" ref="X33" si="36">IF(O33&gt;0,O33,((P33*2.2046*S33)+(Q33+R33+T33)/G33)+V33)</f>
        <v>28.321901344960313</v>
      </c>
      <c r="Y33" s="21">
        <f t="shared" si="25"/>
        <v>547659.7000066546</v>
      </c>
      <c r="Z33" s="32">
        <v>42432</v>
      </c>
      <c r="AA33" s="37">
        <v>29.5</v>
      </c>
      <c r="AB33" s="37"/>
    </row>
    <row r="34" spans="1:29" s="12" customFormat="1" x14ac:dyDescent="0.25">
      <c r="A34" s="104"/>
      <c r="B34" s="24" t="s">
        <v>25</v>
      </c>
      <c r="C34" s="25" t="s">
        <v>72</v>
      </c>
      <c r="D34" s="25" t="s">
        <v>72</v>
      </c>
      <c r="E34" s="14" t="s">
        <v>42</v>
      </c>
      <c r="F34" s="26">
        <f>42505*0.4536</f>
        <v>19280.268</v>
      </c>
      <c r="G34" s="27">
        <v>19248.810000000001</v>
      </c>
      <c r="H34" s="27">
        <f>G34-F34</f>
        <v>-31.457999999998719</v>
      </c>
      <c r="I34" s="12" t="s">
        <v>1462</v>
      </c>
      <c r="J34" s="93" t="s">
        <v>44</v>
      </c>
      <c r="K34" s="17">
        <v>42438</v>
      </c>
      <c r="L34" s="17">
        <v>42439</v>
      </c>
      <c r="M34" s="25" t="s">
        <v>65</v>
      </c>
      <c r="N34" s="25" t="s">
        <v>1602</v>
      </c>
      <c r="O34" s="18"/>
      <c r="P34" s="28">
        <v>0.67390000000000005</v>
      </c>
      <c r="Q34" s="29">
        <v>18500</v>
      </c>
      <c r="R34" s="18">
        <v>8978</v>
      </c>
      <c r="S34" s="30">
        <v>17.940000000000001</v>
      </c>
      <c r="T34" s="101">
        <f t="shared" ref="T34" si="37">W34*F34*0.005</f>
        <v>2716.6490423868172</v>
      </c>
      <c r="V34" s="18">
        <v>0.1</v>
      </c>
      <c r="W34" s="18">
        <f>IF(O34&gt;0,O34,((P34*2.2046*S34)+(Q34+R34)/G34)+V34)</f>
        <v>28.180614941522776</v>
      </c>
      <c r="X34" s="18">
        <f>IF(O34&gt;0,O34,((P34*2.2046*S34)+(Q34+R34+T34)/G34)+V34)</f>
        <v>28.321748291708417</v>
      </c>
      <c r="Y34" s="21">
        <f>X34*F34</f>
        <v>546050.89729268046</v>
      </c>
      <c r="Z34" s="32">
        <v>42432</v>
      </c>
      <c r="AA34" s="37">
        <v>29.5</v>
      </c>
      <c r="AB34" s="37"/>
    </row>
    <row r="35" spans="1:29" s="12" customFormat="1" x14ac:dyDescent="0.25">
      <c r="A35" s="104"/>
      <c r="B35" s="24" t="s">
        <v>32</v>
      </c>
      <c r="C35" s="14" t="s">
        <v>33</v>
      </c>
      <c r="D35" s="25" t="s">
        <v>1475</v>
      </c>
      <c r="E35" s="14">
        <v>199</v>
      </c>
      <c r="F35" s="26">
        <v>21620</v>
      </c>
      <c r="G35" s="27">
        <v>17280</v>
      </c>
      <c r="H35" s="27">
        <f t="shared" ref="H35:H42" si="38">G35-F35</f>
        <v>-4340</v>
      </c>
      <c r="I35" s="25" t="s">
        <v>1630</v>
      </c>
      <c r="J35" s="14"/>
      <c r="K35" s="17"/>
      <c r="L35" s="17">
        <v>42439</v>
      </c>
      <c r="M35" s="25" t="s">
        <v>65</v>
      </c>
      <c r="N35" s="14"/>
      <c r="O35" s="18">
        <v>21.8</v>
      </c>
      <c r="P35" s="19"/>
      <c r="Q35" s="29">
        <v>17300</v>
      </c>
      <c r="R35" s="18">
        <f t="shared" ref="R35:R36" si="39">59.25*E35</f>
        <v>11790.75</v>
      </c>
      <c r="S35" s="30">
        <f t="shared" ref="S35:S36" si="40">-35*E35</f>
        <v>-6965</v>
      </c>
      <c r="T35" s="101">
        <f t="shared" ref="T35:T36" si="41">W35*F35*0.0045</f>
        <v>2783.78191015625</v>
      </c>
      <c r="U35" s="18">
        <f t="shared" ref="U35:U36" si="42">E35*5</f>
        <v>995</v>
      </c>
      <c r="V35" s="14"/>
      <c r="W35" s="18">
        <f t="shared" ref="W35:W36" si="43">((O35*F35)+Q35+R35+S35+U35)/G35</f>
        <v>28.613237847222223</v>
      </c>
      <c r="X35" s="18">
        <f t="shared" ref="X35:X36" si="44">((O35*F35)+Q35+R35+S35+T35+U35)/G35</f>
        <v>28.774336337393301</v>
      </c>
      <c r="Y35" s="21">
        <f t="shared" ref="Y35:Y42" si="45">X35*F35</f>
        <v>622101.15161444317</v>
      </c>
      <c r="Z35" s="32">
        <v>42452</v>
      </c>
      <c r="AA35" s="37"/>
      <c r="AB35" s="37"/>
    </row>
    <row r="36" spans="1:29" s="12" customFormat="1" x14ac:dyDescent="0.25">
      <c r="A36" s="104"/>
      <c r="B36" s="24" t="s">
        <v>32</v>
      </c>
      <c r="C36" s="14" t="s">
        <v>33</v>
      </c>
      <c r="D36" s="25" t="s">
        <v>1475</v>
      </c>
      <c r="E36" s="14">
        <v>129</v>
      </c>
      <c r="F36" s="26">
        <v>14715</v>
      </c>
      <c r="G36" s="27">
        <v>11580</v>
      </c>
      <c r="H36" s="27">
        <f t="shared" si="38"/>
        <v>-3135</v>
      </c>
      <c r="I36" s="25" t="s">
        <v>1631</v>
      </c>
      <c r="J36" s="14"/>
      <c r="K36" s="17"/>
      <c r="L36" s="17">
        <v>42439</v>
      </c>
      <c r="M36" s="25" t="s">
        <v>65</v>
      </c>
      <c r="N36" s="14"/>
      <c r="O36" s="18">
        <v>21.8</v>
      </c>
      <c r="P36" s="19"/>
      <c r="Q36" s="29">
        <v>13600</v>
      </c>
      <c r="R36" s="18">
        <f t="shared" si="39"/>
        <v>7643.25</v>
      </c>
      <c r="S36" s="30">
        <f t="shared" si="40"/>
        <v>-4515</v>
      </c>
      <c r="T36" s="101">
        <f t="shared" si="41"/>
        <v>1933.689667908031</v>
      </c>
      <c r="U36" s="18">
        <f t="shared" si="42"/>
        <v>645</v>
      </c>
      <c r="V36" s="14"/>
      <c r="W36" s="18">
        <f t="shared" si="43"/>
        <v>29.202094127806564</v>
      </c>
      <c r="X36" s="18">
        <f t="shared" si="44"/>
        <v>29.369079418644905</v>
      </c>
      <c r="Y36" s="21">
        <f t="shared" si="45"/>
        <v>432166.00364535977</v>
      </c>
      <c r="Z36" s="32">
        <v>42452</v>
      </c>
      <c r="AA36" s="37"/>
      <c r="AB36" s="37" t="s">
        <v>1634</v>
      </c>
    </row>
    <row r="37" spans="1:29" s="12" customFormat="1" x14ac:dyDescent="0.25">
      <c r="A37" s="104"/>
      <c r="B37" s="24" t="s">
        <v>25</v>
      </c>
      <c r="C37" s="25" t="s">
        <v>72</v>
      </c>
      <c r="D37" s="25" t="s">
        <v>72</v>
      </c>
      <c r="E37" s="14" t="s">
        <v>42</v>
      </c>
      <c r="F37" s="26">
        <f>42406*0.4536</f>
        <v>19235.3616</v>
      </c>
      <c r="G37" s="27">
        <v>19123.87</v>
      </c>
      <c r="H37" s="27">
        <f t="shared" si="38"/>
        <v>-111.4916000000012</v>
      </c>
      <c r="I37" s="12" t="s">
        <v>1598</v>
      </c>
      <c r="J37" s="93" t="s">
        <v>49</v>
      </c>
      <c r="K37" s="17">
        <v>42439</v>
      </c>
      <c r="L37" s="17">
        <v>42440</v>
      </c>
      <c r="M37" s="25" t="s">
        <v>84</v>
      </c>
      <c r="N37" s="25" t="s">
        <v>1603</v>
      </c>
      <c r="O37" s="18"/>
      <c r="P37" s="28">
        <f>0.5659+0.105</f>
        <v>0.67089999999999994</v>
      </c>
      <c r="Q37" s="29">
        <v>18500</v>
      </c>
      <c r="R37" s="18">
        <v>8978</v>
      </c>
      <c r="S37" s="30">
        <v>17.88</v>
      </c>
      <c r="T37" s="101">
        <f t="shared" ref="T37" si="46">W37*F37*0.005</f>
        <v>2691.2719202312833</v>
      </c>
      <c r="V37" s="18">
        <v>0.1</v>
      </c>
      <c r="W37" s="18">
        <f>IF(O37&gt;0,O37,((P37*2.2046*S37)+(Q37+R37)/G37)+V37)</f>
        <v>27.982545648960226</v>
      </c>
      <c r="X37" s="18">
        <f>IF(O37&gt;0,O37,((P37*2.2046*S37)+(Q37+R37+T37)/G37)+V37)</f>
        <v>28.123274064298297</v>
      </c>
      <c r="Y37" s="21">
        <f t="shared" si="45"/>
        <v>540961.34600267943</v>
      </c>
      <c r="Z37" s="32">
        <v>42433</v>
      </c>
      <c r="AA37" s="2">
        <v>29.5</v>
      </c>
      <c r="AB37" s="2"/>
    </row>
    <row r="38" spans="1:29" s="12" customFormat="1" x14ac:dyDescent="0.25">
      <c r="A38" s="104"/>
      <c r="B38" s="24" t="s">
        <v>32</v>
      </c>
      <c r="C38" s="14" t="s">
        <v>33</v>
      </c>
      <c r="D38" s="25" t="s">
        <v>80</v>
      </c>
      <c r="E38" s="14">
        <v>199</v>
      </c>
      <c r="F38" s="26">
        <v>20260</v>
      </c>
      <c r="G38" s="27">
        <v>16040</v>
      </c>
      <c r="H38" s="27">
        <f t="shared" si="38"/>
        <v>-4220</v>
      </c>
      <c r="I38" s="25" t="s">
        <v>1636</v>
      </c>
      <c r="J38" s="14"/>
      <c r="K38" s="17"/>
      <c r="L38" s="17">
        <v>42440</v>
      </c>
      <c r="M38" s="25" t="s">
        <v>84</v>
      </c>
      <c r="N38" s="14"/>
      <c r="O38" s="18">
        <v>21.5</v>
      </c>
      <c r="P38" s="19"/>
      <c r="Q38" s="29">
        <v>17300</v>
      </c>
      <c r="R38" s="18">
        <f>59.25*E38</f>
        <v>11790.75</v>
      </c>
      <c r="S38" s="30">
        <f>-35*E38</f>
        <v>-6965</v>
      </c>
      <c r="T38" s="101">
        <f>W38*F38*0.0045</f>
        <v>2607.2730098192019</v>
      </c>
      <c r="U38" s="18">
        <f>E38*5</f>
        <v>995</v>
      </c>
      <c r="V38" s="14"/>
      <c r="W38" s="18">
        <f>((O38*F38)+Q38+R38+S38+U38)/G38</f>
        <v>28.597927057356607</v>
      </c>
      <c r="X38" s="18">
        <f>((O38*F38)+Q38+R38+S38+T38+U38)/G38</f>
        <v>28.76047524998873</v>
      </c>
      <c r="Y38" s="21">
        <f t="shared" si="45"/>
        <v>582687.22856477171</v>
      </c>
      <c r="Z38" s="32">
        <v>42453</v>
      </c>
      <c r="AA38" s="2"/>
      <c r="AB38" s="2"/>
    </row>
    <row r="39" spans="1:29" s="12" customFormat="1" x14ac:dyDescent="0.25">
      <c r="A39" s="104"/>
      <c r="B39" s="24" t="s">
        <v>32</v>
      </c>
      <c r="C39" s="14" t="s">
        <v>33</v>
      </c>
      <c r="D39" s="25" t="s">
        <v>80</v>
      </c>
      <c r="E39" s="14">
        <v>128</v>
      </c>
      <c r="F39" s="26">
        <f>12905-201.64-100</f>
        <v>12603.36</v>
      </c>
      <c r="G39" s="27">
        <v>9920</v>
      </c>
      <c r="H39" s="27">
        <f t="shared" si="38"/>
        <v>-2683.3600000000006</v>
      </c>
      <c r="I39" s="25" t="s">
        <v>1637</v>
      </c>
      <c r="J39" s="127">
        <v>125</v>
      </c>
      <c r="K39" s="17"/>
      <c r="L39" s="17">
        <v>42440</v>
      </c>
      <c r="M39" s="25" t="s">
        <v>84</v>
      </c>
      <c r="N39" s="14"/>
      <c r="O39" s="18">
        <v>21.5</v>
      </c>
      <c r="P39" s="19"/>
      <c r="Q39" s="29">
        <v>13600</v>
      </c>
      <c r="R39" s="18">
        <f>59.25*E39</f>
        <v>7584</v>
      </c>
      <c r="S39" s="30">
        <f>-35*E39</f>
        <v>-4480</v>
      </c>
      <c r="T39" s="101">
        <f>W39*F39*0.0045</f>
        <v>1648.3760231399999</v>
      </c>
      <c r="U39" s="18">
        <f>E39*5</f>
        <v>640</v>
      </c>
      <c r="V39" s="14"/>
      <c r="W39" s="18">
        <f>((O39*F39)+Q39+R39+S39+U39)/G39</f>
        <v>29.064137096774193</v>
      </c>
      <c r="X39" s="18">
        <f>((O39*F39)+Q39+R39+S39+T39+U39)/G39</f>
        <v>29.230304034590723</v>
      </c>
      <c r="Y39" s="21">
        <f t="shared" si="45"/>
        <v>368400.04465739935</v>
      </c>
      <c r="Z39" s="32">
        <v>42453</v>
      </c>
      <c r="AA39" s="2"/>
      <c r="AB39" s="2" t="s">
        <v>1670</v>
      </c>
    </row>
    <row r="40" spans="1:29" s="12" customFormat="1" x14ac:dyDescent="0.25">
      <c r="A40" s="104"/>
      <c r="B40" s="24" t="s">
        <v>25</v>
      </c>
      <c r="C40" s="25" t="s">
        <v>26</v>
      </c>
      <c r="D40" s="25" t="s">
        <v>26</v>
      </c>
      <c r="E40" s="14" t="s">
        <v>27</v>
      </c>
      <c r="F40" s="26">
        <f>42072*0.4536</f>
        <v>19083.859199999999</v>
      </c>
      <c r="G40" s="27">
        <v>19070.13</v>
      </c>
      <c r="H40" s="27">
        <f t="shared" si="38"/>
        <v>-13.729199999997945</v>
      </c>
      <c r="I40" s="12" t="s">
        <v>1607</v>
      </c>
      <c r="J40" s="93" t="s">
        <v>991</v>
      </c>
      <c r="K40" s="17">
        <v>42440</v>
      </c>
      <c r="L40" s="17">
        <v>42441</v>
      </c>
      <c r="M40" s="25" t="s">
        <v>30</v>
      </c>
      <c r="N40" s="25" t="s">
        <v>1604</v>
      </c>
      <c r="O40" s="18"/>
      <c r="P40" s="28">
        <f>0.5659+0.1075</f>
        <v>0.6734</v>
      </c>
      <c r="Q40" s="29">
        <v>20800</v>
      </c>
      <c r="R40" s="18">
        <v>8978</v>
      </c>
      <c r="S40" s="30">
        <v>17.829999999999998</v>
      </c>
      <c r="T40" s="101">
        <f t="shared" ref="T40:T42" si="47">W40*F40*0.005</f>
        <v>2684.2897290355222</v>
      </c>
      <c r="V40" s="18">
        <v>0.1</v>
      </c>
      <c r="W40" s="18">
        <f>IF(O40&gt;0,O40,((P40*2.2046*S40)+(Q40+R40)/G40)+V40)</f>
        <v>28.131518901957971</v>
      </c>
      <c r="X40" s="18">
        <f>IF(O40&gt;0,O40,((P40*2.2046*S40)+(Q40+R40+T40)/G40)+V40)</f>
        <v>28.272277760394463</v>
      </c>
      <c r="Y40" s="21">
        <f t="shared" si="45"/>
        <v>539544.16804265929</v>
      </c>
      <c r="Z40" s="32">
        <v>42436</v>
      </c>
      <c r="AA40" s="2">
        <v>29.5</v>
      </c>
      <c r="AB40" s="2"/>
    </row>
    <row r="41" spans="1:29" s="12" customFormat="1" x14ac:dyDescent="0.25">
      <c r="A41" s="104"/>
      <c r="B41" s="24" t="s">
        <v>25</v>
      </c>
      <c r="C41" s="25" t="s">
        <v>72</v>
      </c>
      <c r="D41" s="25" t="s">
        <v>72</v>
      </c>
      <c r="E41" s="14" t="s">
        <v>42</v>
      </c>
      <c r="F41" s="26">
        <f>43030*0.4536</f>
        <v>19518.407999999999</v>
      </c>
      <c r="G41" s="27">
        <v>19421.080000000002</v>
      </c>
      <c r="H41" s="27">
        <f t="shared" si="38"/>
        <v>-97.327999999997701</v>
      </c>
      <c r="I41" s="12" t="s">
        <v>1599</v>
      </c>
      <c r="J41" s="93" t="s">
        <v>29</v>
      </c>
      <c r="K41" s="17">
        <v>42440</v>
      </c>
      <c r="L41" s="17">
        <v>42441</v>
      </c>
      <c r="M41" s="25" t="s">
        <v>30</v>
      </c>
      <c r="N41" s="25" t="s">
        <v>1605</v>
      </c>
      <c r="O41" s="18"/>
      <c r="P41" s="28">
        <f>0.5645+0.105</f>
        <v>0.66949999999999998</v>
      </c>
      <c r="Q41" s="29">
        <v>18500</v>
      </c>
      <c r="R41" s="18">
        <v>8978</v>
      </c>
      <c r="S41" s="30">
        <v>17.88</v>
      </c>
      <c r="T41" s="101">
        <f t="shared" si="47"/>
        <v>2723.3421229309129</v>
      </c>
      <c r="V41" s="18">
        <v>0.1</v>
      </c>
      <c r="W41" s="18">
        <f>IF(O41&gt;0,O41,((P41*2.2046*S41)+(Q41+R41)/G41)+V41)</f>
        <v>27.905371410730964</v>
      </c>
      <c r="X41" s="18">
        <f>IF(O41&gt;0,O41,((P41*2.2046*S41)+(Q41+R41+T41)/G41)+V41)</f>
        <v>28.045597501294978</v>
      </c>
      <c r="Y41" s="21">
        <f t="shared" si="45"/>
        <v>547405.41463405592</v>
      </c>
      <c r="Z41" s="32">
        <v>42433</v>
      </c>
      <c r="AA41" s="2">
        <v>29.5</v>
      </c>
      <c r="AB41" s="2"/>
      <c r="AC41" s="12" t="s">
        <v>1668</v>
      </c>
    </row>
    <row r="42" spans="1:29" s="12" customFormat="1" x14ac:dyDescent="0.25">
      <c r="A42" s="104"/>
      <c r="B42" s="24" t="s">
        <v>25</v>
      </c>
      <c r="C42" s="25" t="s">
        <v>40</v>
      </c>
      <c r="D42" s="25" t="s">
        <v>41</v>
      </c>
      <c r="E42" s="14" t="s">
        <v>831</v>
      </c>
      <c r="F42" s="26">
        <f>40207*0.4536</f>
        <v>18237.895199999999</v>
      </c>
      <c r="G42" s="27">
        <v>18237</v>
      </c>
      <c r="H42" s="27">
        <f t="shared" si="38"/>
        <v>-0.89519999999902211</v>
      </c>
      <c r="I42" s="39" t="s">
        <v>1465</v>
      </c>
      <c r="J42" s="93" t="s">
        <v>44</v>
      </c>
      <c r="K42" s="17">
        <v>42440</v>
      </c>
      <c r="L42" s="17">
        <v>42441</v>
      </c>
      <c r="M42" s="25" t="s">
        <v>30</v>
      </c>
      <c r="N42" s="25" t="s">
        <v>1606</v>
      </c>
      <c r="O42" s="18"/>
      <c r="P42" s="28">
        <f>0.5659+0.1</f>
        <v>0.66589999999999994</v>
      </c>
      <c r="Q42" s="29">
        <v>18500</v>
      </c>
      <c r="R42" s="18">
        <v>8978</v>
      </c>
      <c r="S42" s="30">
        <v>17.79</v>
      </c>
      <c r="T42" s="101">
        <f t="shared" si="47"/>
        <v>2528.0644981584851</v>
      </c>
      <c r="V42" s="18">
        <v>0.1</v>
      </c>
      <c r="W42" s="18">
        <f t="shared" ref="W42" si="48">IF(O42&gt;0,O42,((P42*2.2046*S42)+(Q42+R42)/G42)+V42)</f>
        <v>27.723204574160345</v>
      </c>
      <c r="X42" s="18">
        <f t="shared" ref="X42" si="49">IF(O42&gt;0,O42,((P42*2.2046*S42)+(Q42+R42+T42)/G42)+V42)</f>
        <v>27.861827401278756</v>
      </c>
      <c r="Y42" s="21">
        <f t="shared" si="45"/>
        <v>508141.08822501026</v>
      </c>
      <c r="Z42" s="32">
        <v>42452</v>
      </c>
      <c r="AA42" s="37"/>
      <c r="AB42" s="37" t="s">
        <v>1751</v>
      </c>
    </row>
    <row r="43" spans="1:29" s="12" customFormat="1" ht="15.75" thickBot="1" x14ac:dyDescent="0.3">
      <c r="A43" s="104"/>
      <c r="B43" s="41"/>
      <c r="C43" s="4"/>
      <c r="D43" s="4"/>
      <c r="E43" s="4"/>
      <c r="F43" s="42"/>
      <c r="G43" s="42"/>
      <c r="H43" s="42"/>
      <c r="I43" s="6"/>
      <c r="J43" s="4"/>
      <c r="K43" s="7"/>
      <c r="L43" s="7"/>
      <c r="M43" s="4"/>
      <c r="N43" s="4"/>
      <c r="O43" s="8"/>
      <c r="P43" s="9"/>
      <c r="Q43" s="8"/>
      <c r="R43" s="8"/>
      <c r="S43" s="8"/>
      <c r="T43" s="8"/>
      <c r="U43" s="8"/>
      <c r="V43" s="8"/>
      <c r="W43" s="8"/>
      <c r="X43" s="8"/>
      <c r="Y43" s="8"/>
      <c r="Z43" s="43"/>
      <c r="AA43" s="2"/>
      <c r="AB43" s="2"/>
    </row>
    <row r="44" spans="1:29" s="12" customFormat="1" x14ac:dyDescent="0.25">
      <c r="A44" s="126"/>
      <c r="B44" s="14" t="s">
        <v>32</v>
      </c>
      <c r="C44" s="14" t="s">
        <v>33</v>
      </c>
      <c r="D44" s="25" t="s">
        <v>1510</v>
      </c>
      <c r="E44" s="14">
        <v>260</v>
      </c>
      <c r="F44" s="26">
        <v>26705</v>
      </c>
      <c r="G44" s="27">
        <f>10450+10480</f>
        <v>20930</v>
      </c>
      <c r="H44" s="27">
        <f t="shared" ref="H44:H45" si="50">G44-F44</f>
        <v>-5775</v>
      </c>
      <c r="I44" s="25" t="s">
        <v>1669</v>
      </c>
      <c r="J44" s="14"/>
      <c r="K44" s="17"/>
      <c r="L44" s="17">
        <v>42442</v>
      </c>
      <c r="M44" s="25" t="s">
        <v>36</v>
      </c>
      <c r="N44" s="14"/>
      <c r="O44" s="18">
        <v>21.8</v>
      </c>
      <c r="P44" s="19"/>
      <c r="Q44" s="29">
        <v>17300</v>
      </c>
      <c r="R44" s="18">
        <f>59.25*E44</f>
        <v>15405</v>
      </c>
      <c r="S44" s="30">
        <f>-35*E44</f>
        <v>-9100</v>
      </c>
      <c r="T44" s="101">
        <f>W44*F44*0.0045</f>
        <v>3485.5996304347823</v>
      </c>
      <c r="U44" s="18">
        <f>E44*5</f>
        <v>1300</v>
      </c>
      <c r="V44" s="14"/>
      <c r="W44" s="18">
        <f>((O44*F44)+Q44+R44+S44+U44)/G44</f>
        <v>29.004968944099378</v>
      </c>
      <c r="X44" s="18">
        <f>((O44*F44)+Q44+R44+S44+T44+U44)/G44</f>
        <v>29.171504999065206</v>
      </c>
      <c r="Y44" s="21">
        <f t="shared" ref="Y44:Y54" si="51">X44*F44</f>
        <v>779025.04100003629</v>
      </c>
      <c r="Z44" s="32">
        <v>42457</v>
      </c>
      <c r="AA44" s="2">
        <v>30</v>
      </c>
      <c r="AB44" s="2" t="s">
        <v>1671</v>
      </c>
    </row>
    <row r="45" spans="1:29" s="12" customFormat="1" x14ac:dyDescent="0.25">
      <c r="A45" s="126"/>
      <c r="B45" s="24" t="s">
        <v>32</v>
      </c>
      <c r="C45" s="14" t="s">
        <v>33</v>
      </c>
      <c r="D45" s="25" t="s">
        <v>1510</v>
      </c>
      <c r="E45" s="14">
        <f>216+34</f>
        <v>250</v>
      </c>
      <c r="F45" s="26">
        <f>25045+3675</f>
        <v>28720</v>
      </c>
      <c r="G45" s="27">
        <f>16610+6730</f>
        <v>23340</v>
      </c>
      <c r="H45" s="27">
        <f t="shared" si="50"/>
        <v>-5380</v>
      </c>
      <c r="I45" s="25" t="s">
        <v>1681</v>
      </c>
      <c r="J45" s="14"/>
      <c r="K45" s="17"/>
      <c r="L45" s="17">
        <v>42443</v>
      </c>
      <c r="M45" s="25" t="s">
        <v>39</v>
      </c>
      <c r="N45" s="14"/>
      <c r="O45" s="18">
        <v>21.8</v>
      </c>
      <c r="P45" s="19"/>
      <c r="Q45" s="29">
        <v>17300</v>
      </c>
      <c r="R45" s="18">
        <f>59.25*E45</f>
        <v>14812.5</v>
      </c>
      <c r="S45" s="30">
        <f t="shared" ref="S45" si="52">-35*E45</f>
        <v>-8750</v>
      </c>
      <c r="T45" s="101">
        <f>W45*F45*0.0045</f>
        <v>3603.1519511568117</v>
      </c>
      <c r="U45" s="18">
        <f>E45*5</f>
        <v>1250</v>
      </c>
      <c r="V45" s="14"/>
      <c r="W45" s="18">
        <f>((O45*F45)+Q45+R45+S45+U45)/G45</f>
        <v>27.879541559554411</v>
      </c>
      <c r="X45" s="18">
        <f>((O45*F45)+Q45+R45+S45+T45+U45)/G45</f>
        <v>28.033918249835338</v>
      </c>
      <c r="Y45" s="21">
        <f t="shared" si="51"/>
        <v>805134.13213527086</v>
      </c>
      <c r="Z45" s="32">
        <v>42457</v>
      </c>
      <c r="AA45" s="2">
        <v>30.5</v>
      </c>
      <c r="AB45" s="2" t="s">
        <v>1689</v>
      </c>
    </row>
    <row r="46" spans="1:29" s="12" customFormat="1" x14ac:dyDescent="0.25">
      <c r="A46" s="126"/>
      <c r="B46" s="24" t="s">
        <v>25</v>
      </c>
      <c r="C46" s="14" t="s">
        <v>40</v>
      </c>
      <c r="D46" s="14" t="s">
        <v>41</v>
      </c>
      <c r="E46" s="14" t="s">
        <v>27</v>
      </c>
      <c r="F46" s="26">
        <f>38573*0.4536</f>
        <v>17496.712800000001</v>
      </c>
      <c r="G46" s="27">
        <f>19174.28-1744.8</f>
        <v>17429.48</v>
      </c>
      <c r="H46" s="27">
        <f>G46-F46</f>
        <v>-67.232800000001589</v>
      </c>
      <c r="I46" s="25" t="s">
        <v>1466</v>
      </c>
      <c r="J46" s="93" t="s">
        <v>44</v>
      </c>
      <c r="K46" s="17">
        <v>42443</v>
      </c>
      <c r="L46" s="17">
        <v>42444</v>
      </c>
      <c r="M46" s="25" t="s">
        <v>45</v>
      </c>
      <c r="N46" s="25" t="s">
        <v>1730</v>
      </c>
      <c r="O46" s="18"/>
      <c r="P46" s="28">
        <f>0.5763+0.1</f>
        <v>0.67630000000000001</v>
      </c>
      <c r="Q46" s="29">
        <f>(18500*G46)/(G46+G47)</f>
        <v>16816.55738833479</v>
      </c>
      <c r="R46" s="18">
        <f>(8978*G46)/(G46+G47)</f>
        <v>8161.0298504037701</v>
      </c>
      <c r="S46" s="30">
        <v>17.445</v>
      </c>
      <c r="T46" s="101">
        <f>W46*F46*0.005</f>
        <v>2409.5645527479628</v>
      </c>
      <c r="V46" s="18">
        <v>0.1</v>
      </c>
      <c r="W46" s="18">
        <f>IF(O46&gt;0,O46,((P46*2.2046*S46)+(Q46+R46)/G46)+V46)</f>
        <v>27.543054290151723</v>
      </c>
      <c r="X46" s="18">
        <f>IF(O46&gt;0,O46,((P46*2.2046*S46)+(Q46+R46+T46)/G46)+V46)</f>
        <v>27.681300787049391</v>
      </c>
      <c r="Y46" s="21">
        <f t="shared" si="51"/>
        <v>484331.76980141719</v>
      </c>
      <c r="Z46" s="32">
        <v>42454</v>
      </c>
      <c r="AA46" s="37">
        <v>31</v>
      </c>
      <c r="AB46" s="37"/>
    </row>
    <row r="47" spans="1:29" s="12" customFormat="1" x14ac:dyDescent="0.25">
      <c r="A47" s="126"/>
      <c r="B47" s="24" t="s">
        <v>66</v>
      </c>
      <c r="C47" s="14" t="s">
        <v>40</v>
      </c>
      <c r="D47" s="25" t="s">
        <v>41</v>
      </c>
      <c r="E47" s="14" t="s">
        <v>832</v>
      </c>
      <c r="F47" s="26">
        <f>3847*0.4536</f>
        <v>1744.9992</v>
      </c>
      <c r="G47" s="27">
        <f>847+897.8</f>
        <v>1744.8</v>
      </c>
      <c r="H47" s="27">
        <f>G47-F47</f>
        <v>-0.19920000000001892</v>
      </c>
      <c r="I47" s="25"/>
      <c r="J47" s="14"/>
      <c r="K47" s="17">
        <v>42443</v>
      </c>
      <c r="L47" s="17">
        <v>42444</v>
      </c>
      <c r="M47" s="25" t="s">
        <v>45</v>
      </c>
      <c r="N47" s="25"/>
      <c r="O47" s="18"/>
      <c r="P47" s="28">
        <v>0.36</v>
      </c>
      <c r="Q47" s="29">
        <f>(18500*G47)/(G47+G46)</f>
        <v>1683.4426116652101</v>
      </c>
      <c r="R47" s="18">
        <f>(8978*G47)/(G47+G46)</f>
        <v>816.97014959623004</v>
      </c>
      <c r="S47" s="30">
        <v>17.445</v>
      </c>
      <c r="T47" s="101">
        <f t="shared" ref="T47:T48" si="53">W47*F47*0.005</f>
        <v>134.1764301852734</v>
      </c>
      <c r="V47" s="18">
        <v>0.1</v>
      </c>
      <c r="W47" s="18">
        <f>IF(O47&gt;0,O47,((P47*2.2046*S47)+(Q47+R47)/G47)+V47)</f>
        <v>15.37839446405172</v>
      </c>
      <c r="X47" s="18">
        <f>IF(O47&gt;0,O47,((P47*2.2046*S47)+(Q47+R47+T47)/G47)+V47)</f>
        <v>15.455295214960289</v>
      </c>
      <c r="Y47" s="21">
        <f t="shared" si="51"/>
        <v>26969.477785869531</v>
      </c>
      <c r="Z47" s="32">
        <v>42454</v>
      </c>
      <c r="AA47" s="37">
        <v>31</v>
      </c>
      <c r="AB47" s="37"/>
    </row>
    <row r="48" spans="1:29" s="12" customFormat="1" x14ac:dyDescent="0.25">
      <c r="A48" s="126"/>
      <c r="B48" s="24" t="s">
        <v>25</v>
      </c>
      <c r="C48" s="25" t="s">
        <v>26</v>
      </c>
      <c r="D48" s="25" t="s">
        <v>26</v>
      </c>
      <c r="E48" s="14" t="s">
        <v>27</v>
      </c>
      <c r="F48" s="26">
        <f>41920*0.4536</f>
        <v>19014.912</v>
      </c>
      <c r="G48" s="27">
        <v>18950.13</v>
      </c>
      <c r="H48" s="27">
        <f t="shared" ref="H48:H49" si="54">G48-F48</f>
        <v>-64.781999999999243</v>
      </c>
      <c r="I48" s="12" t="s">
        <v>1658</v>
      </c>
      <c r="J48" s="93" t="s">
        <v>74</v>
      </c>
      <c r="K48" s="17">
        <v>42443</v>
      </c>
      <c r="L48" s="17">
        <v>42444</v>
      </c>
      <c r="M48" s="25" t="s">
        <v>45</v>
      </c>
      <c r="N48" s="25" t="s">
        <v>1731</v>
      </c>
      <c r="O48" s="18"/>
      <c r="P48" s="28">
        <f>0.5763+0.1075</f>
        <v>0.68380000000000007</v>
      </c>
      <c r="Q48" s="29">
        <v>18500</v>
      </c>
      <c r="R48" s="18">
        <v>8978</v>
      </c>
      <c r="S48" s="30">
        <v>17.88</v>
      </c>
      <c r="T48" s="101">
        <f t="shared" si="53"/>
        <v>2710.0256441539627</v>
      </c>
      <c r="V48" s="18">
        <v>0.1</v>
      </c>
      <c r="W48" s="18">
        <f t="shared" ref="W48" si="55">IF(O48&gt;0,O48,((P48*2.2046*S48)+(Q48+R48)/G48)+V48)</f>
        <v>28.504214420281961</v>
      </c>
      <c r="X48" s="18">
        <f t="shared" ref="X48" si="56">IF(O48&gt;0,O48,((P48*2.2046*S48)+(Q48+R48+T48)/G48)+V48)</f>
        <v>28.647222708043259</v>
      </c>
      <c r="Y48" s="21">
        <f t="shared" si="51"/>
        <v>544724.41883784428</v>
      </c>
      <c r="Z48" s="32">
        <v>42438</v>
      </c>
      <c r="AA48" s="37">
        <v>31</v>
      </c>
      <c r="AB48" s="37"/>
    </row>
    <row r="49" spans="1:28" s="12" customFormat="1" x14ac:dyDescent="0.25">
      <c r="A49" s="126"/>
      <c r="B49" s="24" t="s">
        <v>1666</v>
      </c>
      <c r="C49" s="25" t="s">
        <v>115</v>
      </c>
      <c r="D49" s="25" t="s">
        <v>115</v>
      </c>
      <c r="E49" s="14" t="s">
        <v>900</v>
      </c>
      <c r="F49" s="26">
        <f>40746*0.4536</f>
        <v>18482.385600000001</v>
      </c>
      <c r="G49" s="27">
        <v>18482.39</v>
      </c>
      <c r="H49" s="27">
        <f t="shared" si="54"/>
        <v>4.3999999979860149E-3</v>
      </c>
      <c r="I49" s="12">
        <v>93372200</v>
      </c>
      <c r="J49" s="93" t="s">
        <v>29</v>
      </c>
      <c r="K49" s="17">
        <v>42443</v>
      </c>
      <c r="L49" s="17">
        <v>42444</v>
      </c>
      <c r="M49" s="25" t="s">
        <v>45</v>
      </c>
      <c r="N49" s="25"/>
      <c r="O49" s="18"/>
      <c r="P49" s="28">
        <v>0.4</v>
      </c>
      <c r="Q49" s="29">
        <v>18500</v>
      </c>
      <c r="R49" s="18">
        <v>9883</v>
      </c>
      <c r="S49" s="30">
        <v>17.510000000000002</v>
      </c>
      <c r="T49" s="101">
        <f t="shared" ref="T49" si="57">W49*F49*0.005</f>
        <v>1578.0904396425592</v>
      </c>
      <c r="V49" s="18">
        <v>0.1</v>
      </c>
      <c r="W49" s="18">
        <f t="shared" ref="W49" si="58">IF(O49&gt;0,O49,((P49*2.2046*S49)+(Q49+R49)/G49)+V49)</f>
        <v>17.07669641566789</v>
      </c>
      <c r="X49" s="18">
        <f t="shared" ref="X49" si="59">IF(O49&gt;0,O49,((P49*2.2046*S49)+(Q49+R49+T49)/G49)+V49)</f>
        <v>17.162079877419458</v>
      </c>
      <c r="Y49" s="21">
        <f t="shared" ref="Y49" si="60">X49*F49</f>
        <v>317196.17799246719</v>
      </c>
      <c r="Z49" s="32">
        <v>42451</v>
      </c>
      <c r="AA49" s="37"/>
      <c r="AB49" s="37"/>
    </row>
    <row r="50" spans="1:28" s="12" customFormat="1" x14ac:dyDescent="0.25">
      <c r="A50" s="126"/>
      <c r="B50" s="24" t="s">
        <v>32</v>
      </c>
      <c r="C50" s="14" t="s">
        <v>33</v>
      </c>
      <c r="D50" s="25" t="s">
        <v>1684</v>
      </c>
      <c r="E50" s="14">
        <f>216+34</f>
        <v>250</v>
      </c>
      <c r="F50" s="26">
        <f>24165+3750</f>
        <v>27915</v>
      </c>
      <c r="G50" s="27">
        <f>15070+7240</f>
        <v>22310</v>
      </c>
      <c r="H50" s="27">
        <f>G50-F50</f>
        <v>-5605</v>
      </c>
      <c r="I50" s="25" t="s">
        <v>1685</v>
      </c>
      <c r="J50" s="14"/>
      <c r="K50" s="17"/>
      <c r="L50" s="17">
        <v>42444</v>
      </c>
      <c r="M50" s="25" t="s">
        <v>45</v>
      </c>
      <c r="N50" s="14"/>
      <c r="O50" s="18">
        <v>21.8</v>
      </c>
      <c r="P50" s="19"/>
      <c r="Q50" s="29">
        <v>17300</v>
      </c>
      <c r="R50" s="18">
        <f>59.25*E50</f>
        <v>14812.5</v>
      </c>
      <c r="S50" s="30">
        <f t="shared" ref="S50" si="61">-35*E50</f>
        <v>-8750</v>
      </c>
      <c r="T50" s="101">
        <f>W50*F50*0.0045</f>
        <v>3565.0342219296281</v>
      </c>
      <c r="U50" s="18">
        <f>E50*5</f>
        <v>1250</v>
      </c>
      <c r="V50" s="14"/>
      <c r="W50" s="18">
        <f>((O50*F50)+Q50+R50+S50+U50)/G50</f>
        <v>28.380076199013896</v>
      </c>
      <c r="X50" s="18">
        <f>((O50*F50)+Q50+R50+S50+T50+U50)/G50</f>
        <v>28.539871547374702</v>
      </c>
      <c r="Y50" s="21">
        <f t="shared" si="51"/>
        <v>796690.51424496481</v>
      </c>
      <c r="Z50" s="32">
        <v>42457</v>
      </c>
      <c r="AA50" s="37">
        <v>30.5</v>
      </c>
      <c r="AB50" s="37" t="s">
        <v>1690</v>
      </c>
    </row>
    <row r="51" spans="1:28" s="12" customFormat="1" x14ac:dyDescent="0.25">
      <c r="A51" s="126"/>
      <c r="B51" s="24" t="s">
        <v>25</v>
      </c>
      <c r="C51" s="14" t="s">
        <v>40</v>
      </c>
      <c r="D51" s="14" t="s">
        <v>41</v>
      </c>
      <c r="E51" s="14" t="s">
        <v>63</v>
      </c>
      <c r="F51" s="26">
        <f>36694*0.4536</f>
        <v>16644.398400000002</v>
      </c>
      <c r="G51" s="27">
        <f>18231.12-1584.5</f>
        <v>16646.62</v>
      </c>
      <c r="H51" s="27">
        <f>G51-F51</f>
        <v>2.2215999999971245</v>
      </c>
      <c r="I51" s="25" t="s">
        <v>1467</v>
      </c>
      <c r="J51" s="93" t="s">
        <v>49</v>
      </c>
      <c r="K51" s="17">
        <v>42444</v>
      </c>
      <c r="L51" s="17">
        <v>42445</v>
      </c>
      <c r="M51" s="25" t="s">
        <v>50</v>
      </c>
      <c r="N51" s="25" t="s">
        <v>1730</v>
      </c>
      <c r="O51" s="18"/>
      <c r="P51" s="28">
        <f>0.5763+0.1</f>
        <v>0.67630000000000001</v>
      </c>
      <c r="Q51" s="29">
        <f>(18500*G51)/(G51+G52)</f>
        <v>16892.131147181302</v>
      </c>
      <c r="R51" s="18">
        <f>(8978*G51)/(G51+G52)</f>
        <v>8197.7055913185795</v>
      </c>
      <c r="S51" s="30">
        <v>17.445</v>
      </c>
      <c r="T51" s="101">
        <f t="shared" ref="T51:T52" si="62">W51*F51*0.005</f>
        <v>2298.3577162288434</v>
      </c>
      <c r="V51" s="18">
        <v>0.1</v>
      </c>
      <c r="W51" s="18">
        <f>IF(O51&gt;0,O51,((P51*2.2046*S51)+(Q51+R51)/G51)+V51)</f>
        <v>27.61719181426038</v>
      </c>
      <c r="X51" s="18">
        <f>IF(O51&gt;0,O51,((P51*2.2046*S51)+(Q51+R51+T51)/G51)+V51)</f>
        <v>27.755259344859915</v>
      </c>
      <c r="Y51" s="21">
        <f t="shared" si="51"/>
        <v>461969.59423117148</v>
      </c>
      <c r="Z51" s="32">
        <v>42454</v>
      </c>
      <c r="AA51" s="37"/>
      <c r="AB51" s="37"/>
    </row>
    <row r="52" spans="1:28" s="12" customFormat="1" x14ac:dyDescent="0.25">
      <c r="A52" s="126"/>
      <c r="B52" s="24" t="s">
        <v>66</v>
      </c>
      <c r="C52" s="14" t="s">
        <v>40</v>
      </c>
      <c r="D52" s="25" t="s">
        <v>41</v>
      </c>
      <c r="E52" s="14" t="s">
        <v>832</v>
      </c>
      <c r="F52" s="26">
        <f>3495*0.4536</f>
        <v>1585.3320000000001</v>
      </c>
      <c r="G52" s="27">
        <f>774+810.5</f>
        <v>1584.5</v>
      </c>
      <c r="H52" s="27">
        <f>G52-F52</f>
        <v>-0.83200000000010732</v>
      </c>
      <c r="I52" s="25"/>
      <c r="J52" s="14"/>
      <c r="K52" s="17">
        <v>42444</v>
      </c>
      <c r="L52" s="17">
        <v>42445</v>
      </c>
      <c r="M52" s="25" t="s">
        <v>50</v>
      </c>
      <c r="N52" s="25"/>
      <c r="O52" s="18"/>
      <c r="P52" s="28">
        <v>0.36</v>
      </c>
      <c r="Q52" s="29">
        <f>(18500*G52)/(G52+G51)</f>
        <v>1607.868852818697</v>
      </c>
      <c r="R52" s="18">
        <f>(8978*G52)/(G52+G51)</f>
        <v>780.29440868141955</v>
      </c>
      <c r="S52" s="30">
        <v>17.445</v>
      </c>
      <c r="T52" s="101">
        <f t="shared" si="62"/>
        <v>122.48696720927134</v>
      </c>
      <c r="V52" s="18">
        <v>0.1</v>
      </c>
      <c r="W52" s="18">
        <f>IF(O52&gt;0,O52,((P52*2.2046*S52)+(Q52+R52)/G52)+V52)</f>
        <v>15.452531988160375</v>
      </c>
      <c r="X52" s="18">
        <f>IF(O52&gt;0,O52,((P52*2.2046*S52)+(Q52+R52+T52)/G52)+V52)</f>
        <v>15.529835217702358</v>
      </c>
      <c r="Y52" s="21">
        <f t="shared" si="51"/>
        <v>24619.944725350517</v>
      </c>
      <c r="Z52" s="32">
        <v>42454</v>
      </c>
      <c r="AA52" s="37"/>
      <c r="AB52" s="37"/>
    </row>
    <row r="53" spans="1:28" s="12" customFormat="1" x14ac:dyDescent="0.25">
      <c r="A53" s="126"/>
      <c r="B53" s="24" t="s">
        <v>32</v>
      </c>
      <c r="C53" s="14" t="s">
        <v>68</v>
      </c>
      <c r="D53" s="25" t="s">
        <v>68</v>
      </c>
      <c r="E53" s="14">
        <v>257</v>
      </c>
      <c r="F53" s="26">
        <f>12330+11550</f>
        <v>23880</v>
      </c>
      <c r="G53" s="27">
        <f>9160+9280</f>
        <v>18440</v>
      </c>
      <c r="H53" s="27">
        <f t="shared" ref="H53" si="63">G53-F53</f>
        <v>-5440</v>
      </c>
      <c r="I53" s="25" t="s">
        <v>1693</v>
      </c>
      <c r="J53" s="14"/>
      <c r="K53" s="17">
        <v>42444</v>
      </c>
      <c r="L53" s="17">
        <v>42445</v>
      </c>
      <c r="M53" s="25" t="s">
        <v>50</v>
      </c>
      <c r="N53" s="14"/>
      <c r="O53" s="18">
        <v>21</v>
      </c>
      <c r="P53" s="19"/>
      <c r="Q53" s="29">
        <v>22000</v>
      </c>
      <c r="R53" s="99">
        <f>98*E53</f>
        <v>25186</v>
      </c>
      <c r="S53" s="30">
        <f>-38*E53</f>
        <v>-9766</v>
      </c>
      <c r="T53" s="31"/>
      <c r="U53" s="18">
        <f>E53*10</f>
        <v>2570</v>
      </c>
      <c r="V53" s="14"/>
      <c r="W53" s="18">
        <f>((O53*F53)+Q53+R53+S53+U53)/G53</f>
        <v>29.363882863340564</v>
      </c>
      <c r="X53" s="18">
        <f>((O53*F53)+Q53+R53+S53+T53+U53)/G53</f>
        <v>29.363882863340564</v>
      </c>
      <c r="Y53" s="21">
        <f t="shared" si="51"/>
        <v>701209.52277657262</v>
      </c>
      <c r="Z53" s="32">
        <v>42445</v>
      </c>
      <c r="AA53" s="37"/>
      <c r="AB53" s="37" t="s">
        <v>1727</v>
      </c>
    </row>
    <row r="54" spans="1:28" s="12" customFormat="1" x14ac:dyDescent="0.25">
      <c r="A54" s="126"/>
      <c r="B54" s="24" t="s">
        <v>25</v>
      </c>
      <c r="C54" s="25" t="s">
        <v>72</v>
      </c>
      <c r="D54" s="25" t="s">
        <v>72</v>
      </c>
      <c r="E54" s="14" t="s">
        <v>42</v>
      </c>
      <c r="F54" s="26">
        <f>42730*0.4536</f>
        <v>19382.328000000001</v>
      </c>
      <c r="G54" s="27">
        <v>19345.64</v>
      </c>
      <c r="H54" s="27">
        <f>G54-F54</f>
        <v>-36.688000000001921</v>
      </c>
      <c r="I54" s="12" t="s">
        <v>1659</v>
      </c>
      <c r="J54" s="93" t="s">
        <v>29</v>
      </c>
      <c r="K54" s="17">
        <v>42445</v>
      </c>
      <c r="L54" s="17">
        <v>42446</v>
      </c>
      <c r="M54" s="25" t="s">
        <v>65</v>
      </c>
      <c r="N54" s="25" t="s">
        <v>1732</v>
      </c>
      <c r="O54" s="18"/>
      <c r="P54" s="28">
        <f>0.5756+0.105</f>
        <v>0.68059999999999998</v>
      </c>
      <c r="Q54" s="29">
        <v>18500</v>
      </c>
      <c r="R54" s="18">
        <v>8991</v>
      </c>
      <c r="S54" s="30">
        <v>17.88</v>
      </c>
      <c r="T54" s="101">
        <f>W54*F54*0.005</f>
        <v>2747.3580930261369</v>
      </c>
      <c r="V54" s="18">
        <v>0.1</v>
      </c>
      <c r="W54" s="18">
        <f t="shared" ref="W54" si="64">IF(O54&gt;0,O54,((P54*2.2046*S54)+(Q54+R54)/G54)+V54)</f>
        <v>28.34910329683964</v>
      </c>
      <c r="X54" s="18">
        <f t="shared" ref="X54" si="65">IF(O54&gt;0,O54,((P54*2.2046*S54)+(Q54+R54+T54)/G54)+V54)</f>
        <v>28.491117626322986</v>
      </c>
      <c r="Y54" s="21">
        <f t="shared" si="51"/>
        <v>552224.18691997358</v>
      </c>
      <c r="Z54" s="32">
        <v>42436</v>
      </c>
      <c r="AA54" s="37"/>
      <c r="AB54" s="37"/>
    </row>
    <row r="55" spans="1:28" s="12" customFormat="1" x14ac:dyDescent="0.25">
      <c r="A55" s="126"/>
      <c r="B55" s="24" t="s">
        <v>25</v>
      </c>
      <c r="C55" s="25" t="s">
        <v>72</v>
      </c>
      <c r="D55" s="25" t="s">
        <v>72</v>
      </c>
      <c r="E55" s="14" t="s">
        <v>42</v>
      </c>
      <c r="F55" s="26">
        <f>42714*0.4536</f>
        <v>19375.070400000001</v>
      </c>
      <c r="G55" s="27">
        <v>19258.400000000001</v>
      </c>
      <c r="H55" s="27">
        <f>G55-F55</f>
        <v>-116.67039999999906</v>
      </c>
      <c r="I55" s="12" t="s">
        <v>1660</v>
      </c>
      <c r="J55" s="93" t="s">
        <v>74</v>
      </c>
      <c r="K55" s="17">
        <v>42445</v>
      </c>
      <c r="L55" s="17">
        <v>42446</v>
      </c>
      <c r="M55" s="25" t="s">
        <v>65</v>
      </c>
      <c r="N55" s="25" t="s">
        <v>1732</v>
      </c>
      <c r="O55" s="18"/>
      <c r="P55" s="28">
        <f>0.5756+0.105</f>
        <v>0.68059999999999998</v>
      </c>
      <c r="Q55" s="29">
        <v>18500</v>
      </c>
      <c r="R55" s="18">
        <v>8991</v>
      </c>
      <c r="S55" s="30">
        <v>17.88</v>
      </c>
      <c r="T55" s="101">
        <f t="shared" ref="T55" si="66">W55*F55*0.005</f>
        <v>2746.9529752355493</v>
      </c>
      <c r="V55" s="18">
        <v>0.1</v>
      </c>
      <c r="W55" s="18">
        <f>IF(O55&gt;0,O55,((P55*2.2046*S55)+(Q55+R55)/G55)+V55)</f>
        <v>28.355540584105945</v>
      </c>
      <c r="X55" s="18">
        <f>IF(O55&gt;0,O55,((P55*2.2046*S55)+(Q55+R55+T55)/G55)+V55)</f>
        <v>28.498177198530588</v>
      </c>
      <c r="Y55" s="21">
        <f>X55*F55</f>
        <v>552154.18949320493</v>
      </c>
      <c r="Z55" s="32">
        <v>42438</v>
      </c>
      <c r="AA55" s="37"/>
      <c r="AB55" s="37"/>
    </row>
    <row r="56" spans="1:28" s="12" customFormat="1" x14ac:dyDescent="0.25">
      <c r="A56" s="126"/>
      <c r="B56" s="24" t="s">
        <v>32</v>
      </c>
      <c r="C56" s="14" t="s">
        <v>33</v>
      </c>
      <c r="D56" s="25" t="s">
        <v>1510</v>
      </c>
      <c r="E56" s="14">
        <f>215+115</f>
        <v>330</v>
      </c>
      <c r="F56" s="26">
        <f>25065+13315</f>
        <v>38380</v>
      </c>
      <c r="G56" s="27">
        <f>18560+12160</f>
        <v>30720</v>
      </c>
      <c r="H56" s="27">
        <f t="shared" ref="H56:H64" si="67">G56-F56</f>
        <v>-7660</v>
      </c>
      <c r="I56" s="25" t="s">
        <v>1725</v>
      </c>
      <c r="J56" s="14"/>
      <c r="K56" s="17"/>
      <c r="L56" s="17">
        <v>42446</v>
      </c>
      <c r="M56" s="25" t="s">
        <v>65</v>
      </c>
      <c r="N56" s="14"/>
      <c r="O56" s="18">
        <v>21.8</v>
      </c>
      <c r="P56" s="19"/>
      <c r="Q56" s="18">
        <f>17300+13600</f>
        <v>30900</v>
      </c>
      <c r="R56" s="18">
        <f t="shared" ref="R56" si="68">59.25*E56</f>
        <v>19552.5</v>
      </c>
      <c r="S56" s="30">
        <f t="shared" ref="S56" si="69">-35*E56</f>
        <v>-11550</v>
      </c>
      <c r="T56" s="101">
        <f t="shared" ref="T56" si="70">W56*F56*0.0045</f>
        <v>4931.8852836914066</v>
      </c>
      <c r="U56" s="18">
        <f t="shared" ref="U56" si="71">E56*5</f>
        <v>1650</v>
      </c>
      <c r="V56" s="14"/>
      <c r="W56" s="18">
        <f t="shared" ref="W56" si="72">((O56*F56)+Q56+R56+S56+U56)/G56</f>
        <v>28.555875651041667</v>
      </c>
      <c r="X56" s="18">
        <f t="shared" ref="X56" si="73">((O56*F56)+Q56+R56+S56+T56+U56)/G56</f>
        <v>28.716418791786833</v>
      </c>
      <c r="Y56" s="21">
        <f t="shared" ref="Y56:Y66" si="74">X56*F56</f>
        <v>1102136.1532287786</v>
      </c>
      <c r="Z56" s="32">
        <v>42459</v>
      </c>
      <c r="AA56" s="37"/>
      <c r="AB56" s="37" t="s">
        <v>1728</v>
      </c>
    </row>
    <row r="57" spans="1:28" s="12" customFormat="1" x14ac:dyDescent="0.25">
      <c r="A57" s="126"/>
      <c r="B57" s="24" t="s">
        <v>25</v>
      </c>
      <c r="C57" s="25" t="s">
        <v>72</v>
      </c>
      <c r="D57" s="25" t="s">
        <v>72</v>
      </c>
      <c r="E57" s="14" t="s">
        <v>42</v>
      </c>
      <c r="F57" s="26">
        <f>42802*0.4536</f>
        <v>19414.9872</v>
      </c>
      <c r="G57" s="27">
        <v>19328.38</v>
      </c>
      <c r="H57" s="27">
        <f t="shared" si="67"/>
        <v>-86.607199999998556</v>
      </c>
      <c r="I57" s="12" t="s">
        <v>1661</v>
      </c>
      <c r="J57" s="93" t="s">
        <v>1694</v>
      </c>
      <c r="K57" s="17">
        <v>42446</v>
      </c>
      <c r="L57" s="17">
        <v>42447</v>
      </c>
      <c r="M57" s="25" t="s">
        <v>84</v>
      </c>
      <c r="N57" s="25" t="s">
        <v>1733</v>
      </c>
      <c r="O57" s="18"/>
      <c r="P57" s="28">
        <f>0.5729+0.105</f>
        <v>0.67789999999999995</v>
      </c>
      <c r="Q57" s="29">
        <v>21000</v>
      </c>
      <c r="R57" s="18">
        <v>9004</v>
      </c>
      <c r="S57" s="30">
        <v>17.88</v>
      </c>
      <c r="T57" s="101">
        <f t="shared" ref="T57:T58" si="75">W57*F57*0.005</f>
        <v>2754.4002608853702</v>
      </c>
      <c r="V57" s="18">
        <v>0.1</v>
      </c>
      <c r="W57" s="18">
        <f>IF(O57&gt;0,O57,((P57*2.2046*S57)+(Q57+R57)/G57)+V57)</f>
        <v>28.373959071014689</v>
      </c>
      <c r="X57" s="18">
        <f>IF(O57&gt;0,O57,((P57*2.2046*S57)+(Q57+R57+T57)/G57)+V57)</f>
        <v>28.51646456091531</v>
      </c>
      <c r="Y57" s="21">
        <f t="shared" si="74"/>
        <v>553646.79443942429</v>
      </c>
      <c r="Z57" s="32">
        <v>42440</v>
      </c>
      <c r="AA57" s="2">
        <v>30.5</v>
      </c>
      <c r="AB57" s="2"/>
    </row>
    <row r="58" spans="1:28" s="12" customFormat="1" x14ac:dyDescent="0.25">
      <c r="A58" s="126"/>
      <c r="B58" s="24" t="s">
        <v>25</v>
      </c>
      <c r="C58" s="25" t="s">
        <v>72</v>
      </c>
      <c r="D58" s="25" t="s">
        <v>72</v>
      </c>
      <c r="E58" s="14" t="s">
        <v>42</v>
      </c>
      <c r="F58" s="26">
        <f>42592*0.4536</f>
        <v>19319.731199999998</v>
      </c>
      <c r="G58" s="27">
        <v>19253.39</v>
      </c>
      <c r="H58" s="27">
        <f t="shared" si="67"/>
        <v>-66.341199999998935</v>
      </c>
      <c r="I58" s="12" t="s">
        <v>1662</v>
      </c>
      <c r="J58" s="93" t="s">
        <v>91</v>
      </c>
      <c r="K58" s="17">
        <v>42446</v>
      </c>
      <c r="L58" s="17">
        <v>42447</v>
      </c>
      <c r="M58" s="25" t="s">
        <v>84</v>
      </c>
      <c r="N58" s="25" t="s">
        <v>1733</v>
      </c>
      <c r="O58" s="18"/>
      <c r="P58" s="28">
        <f>0.5729+0.105</f>
        <v>0.67789999999999995</v>
      </c>
      <c r="Q58" s="29">
        <v>18500</v>
      </c>
      <c r="R58" s="18">
        <v>9004</v>
      </c>
      <c r="S58" s="30">
        <v>17.760000000000002</v>
      </c>
      <c r="T58" s="101">
        <f t="shared" si="75"/>
        <v>2711.6033080321499</v>
      </c>
      <c r="V58" s="18">
        <v>0.1</v>
      </c>
      <c r="W58" s="18">
        <f>IF(O58&gt;0,O58,((P58*2.2046*S58)+(Q58+R58)/G58)+V58)</f>
        <v>28.070818169894103</v>
      </c>
      <c r="X58" s="18">
        <f>IF(O58&gt;0,O58,((P58*2.2046*S58)+(Q58+R58+T58)/G58)+V58)</f>
        <v>28.211655877333268</v>
      </c>
      <c r="Y58" s="21">
        <f t="shared" si="74"/>
        <v>545041.60825697891</v>
      </c>
      <c r="Z58" s="32">
        <v>42440</v>
      </c>
      <c r="AA58" s="2">
        <v>30.5</v>
      </c>
      <c r="AB58" s="2"/>
    </row>
    <row r="59" spans="1:28" s="12" customFormat="1" x14ac:dyDescent="0.25">
      <c r="A59" s="126"/>
      <c r="B59" s="24" t="s">
        <v>25</v>
      </c>
      <c r="C59" s="25" t="s">
        <v>72</v>
      </c>
      <c r="D59" s="25" t="s">
        <v>72</v>
      </c>
      <c r="E59" s="14" t="s">
        <v>42</v>
      </c>
      <c r="F59" s="26">
        <f>42436*0.4536</f>
        <v>19248.9696</v>
      </c>
      <c r="G59" s="27">
        <v>19201.080000000002</v>
      </c>
      <c r="H59" s="27">
        <f t="shared" ref="H59" si="76">G59-F59</f>
        <v>-47.889599999998609</v>
      </c>
      <c r="I59" s="12" t="s">
        <v>1663</v>
      </c>
      <c r="J59" s="93" t="s">
        <v>44</v>
      </c>
      <c r="K59" s="17">
        <v>42446</v>
      </c>
      <c r="L59" s="17">
        <v>42447</v>
      </c>
      <c r="M59" s="25" t="s">
        <v>84</v>
      </c>
      <c r="N59" s="25" t="s">
        <v>1733</v>
      </c>
      <c r="O59" s="18"/>
      <c r="P59" s="28">
        <v>0.67789999999999995</v>
      </c>
      <c r="Q59" s="29">
        <v>18500</v>
      </c>
      <c r="R59" s="18">
        <v>9004</v>
      </c>
      <c r="S59" s="30">
        <v>17.760000000000002</v>
      </c>
      <c r="T59" s="101">
        <f t="shared" ref="T59" si="77">W59*F59*0.005</f>
        <v>2702.0461912820642</v>
      </c>
      <c r="V59" s="18">
        <v>0.1</v>
      </c>
      <c r="W59" s="18">
        <f>IF(O59&gt;0,O59,((P59*2.2046*S59)+(Q59+R59)/G59)+V59)</f>
        <v>28.074709944807267</v>
      </c>
      <c r="X59" s="18">
        <f>IF(O59&gt;0,O59,((P59*2.2046*S59)+(Q59+R59+T59)/G59)+V59)</f>
        <v>28.215433601564182</v>
      </c>
      <c r="Y59" s="21">
        <f t="shared" ref="Y59" si="78">X59*F59</f>
        <v>543118.02364732744</v>
      </c>
      <c r="Z59" s="32">
        <v>42440</v>
      </c>
      <c r="AA59" s="2">
        <v>30.5</v>
      </c>
      <c r="AB59" s="2"/>
    </row>
    <row r="60" spans="1:28" s="12" customFormat="1" x14ac:dyDescent="0.25">
      <c r="A60" s="126"/>
      <c r="B60" s="24" t="s">
        <v>32</v>
      </c>
      <c r="C60" s="14" t="s">
        <v>33</v>
      </c>
      <c r="D60" s="25" t="s">
        <v>1510</v>
      </c>
      <c r="E60" s="14">
        <f>12+101+215</f>
        <v>328</v>
      </c>
      <c r="F60" s="26">
        <f>1300+11605+24435</f>
        <v>37340</v>
      </c>
      <c r="G60" s="27">
        <f>18020+11630</f>
        <v>29650</v>
      </c>
      <c r="H60" s="27">
        <f t="shared" si="67"/>
        <v>-7690</v>
      </c>
      <c r="I60" s="12" t="s">
        <v>1726</v>
      </c>
      <c r="J60" s="14"/>
      <c r="K60" s="17"/>
      <c r="L60" s="17">
        <v>42447</v>
      </c>
      <c r="M60" s="25" t="s">
        <v>84</v>
      </c>
      <c r="N60" s="14"/>
      <c r="O60" s="18">
        <v>21.8</v>
      </c>
      <c r="P60" s="19"/>
      <c r="Q60" s="18">
        <f>17300+13600</f>
        <v>30900</v>
      </c>
      <c r="R60" s="18">
        <f>59.25*E60</f>
        <v>19434</v>
      </c>
      <c r="S60" s="30">
        <f>-35*E60</f>
        <v>-11480</v>
      </c>
      <c r="T60" s="101">
        <f>W60*F60*0.0045</f>
        <v>4842.5849301854969</v>
      </c>
      <c r="U60" s="18">
        <f>E60*5</f>
        <v>1640</v>
      </c>
      <c r="V60" s="14"/>
      <c r="W60" s="18">
        <f>((O60*F60)+Q60+R60+S60+U60)/G60</f>
        <v>28.819763912310286</v>
      </c>
      <c r="X60" s="18">
        <f>((O60*F60)+Q60+R60+S60+T60+U60)/G60</f>
        <v>28.98308886779715</v>
      </c>
      <c r="Y60" s="21">
        <f t="shared" si="74"/>
        <v>1082228.5383235456</v>
      </c>
      <c r="Z60" s="32">
        <v>42450</v>
      </c>
      <c r="AA60" s="2"/>
      <c r="AB60" s="2" t="s">
        <v>1729</v>
      </c>
    </row>
    <row r="61" spans="1:28" s="12" customFormat="1" x14ac:dyDescent="0.25">
      <c r="A61" s="126"/>
      <c r="B61" s="24" t="s">
        <v>25</v>
      </c>
      <c r="C61" s="25" t="s">
        <v>26</v>
      </c>
      <c r="D61" s="25" t="s">
        <v>26</v>
      </c>
      <c r="E61" s="14" t="s">
        <v>27</v>
      </c>
      <c r="F61" s="26">
        <f>41062*0.4536</f>
        <v>18625.7232</v>
      </c>
      <c r="G61" s="27">
        <v>18570.13</v>
      </c>
      <c r="H61" s="27">
        <f t="shared" si="67"/>
        <v>-55.593199999999342</v>
      </c>
      <c r="I61" s="12" t="s">
        <v>1664</v>
      </c>
      <c r="J61" s="93" t="s">
        <v>837</v>
      </c>
      <c r="K61" s="17">
        <v>42447</v>
      </c>
      <c r="L61" s="17">
        <v>42448</v>
      </c>
      <c r="M61" s="25" t="s">
        <v>30</v>
      </c>
      <c r="N61" s="25" t="s">
        <v>1734</v>
      </c>
      <c r="O61" s="18"/>
      <c r="P61" s="28">
        <f>0.5729+0.1075</f>
        <v>0.6804</v>
      </c>
      <c r="Q61" s="29">
        <v>18500</v>
      </c>
      <c r="R61" s="18">
        <v>8913</v>
      </c>
      <c r="S61" s="30">
        <v>17.760000000000002</v>
      </c>
      <c r="T61" s="101">
        <f t="shared" ref="T61:T66" si="79">W61*F61*0.005</f>
        <v>2627.7507968756649</v>
      </c>
      <c r="V61" s="18">
        <v>0.1</v>
      </c>
      <c r="W61" s="18">
        <f>IF(O61&gt;0,O61,((P61*2.2046*S61)+(Q61+R61)/G61)+V61)</f>
        <v>28.216362593380158</v>
      </c>
      <c r="X61" s="18">
        <f>IF(O61&gt;0,O61,((P61*2.2046*S61)+(Q61+R61+T61)/G61)+V61)</f>
        <v>28.357866761464908</v>
      </c>
      <c r="Y61" s="21">
        <f t="shared" si="74"/>
        <v>528185.7768415258</v>
      </c>
      <c r="Z61" s="32">
        <v>42440</v>
      </c>
      <c r="AA61" s="2">
        <v>30.5</v>
      </c>
      <c r="AB61" s="2"/>
    </row>
    <row r="62" spans="1:28" s="12" customFormat="1" x14ac:dyDescent="0.25">
      <c r="A62" s="126"/>
      <c r="B62" s="24" t="s">
        <v>25</v>
      </c>
      <c r="C62" s="25" t="s">
        <v>26</v>
      </c>
      <c r="D62" s="25" t="s">
        <v>26</v>
      </c>
      <c r="E62" s="14" t="s">
        <v>27</v>
      </c>
      <c r="F62" s="26">
        <f>41280*0.4536</f>
        <v>18724.608</v>
      </c>
      <c r="G62" s="27">
        <v>18642.419999999998</v>
      </c>
      <c r="H62" s="27">
        <f t="shared" ref="H62" si="80">G62-F62</f>
        <v>-82.188000000001921</v>
      </c>
      <c r="I62" s="12" t="s">
        <v>1665</v>
      </c>
      <c r="J62" s="93" t="s">
        <v>1701</v>
      </c>
      <c r="K62" s="17">
        <v>42447</v>
      </c>
      <c r="L62" s="17">
        <v>42448</v>
      </c>
      <c r="M62" s="25" t="s">
        <v>30</v>
      </c>
      <c r="N62" s="25" t="s">
        <v>1734</v>
      </c>
      <c r="O62" s="18"/>
      <c r="P62" s="28">
        <v>0.6804</v>
      </c>
      <c r="Q62" s="29">
        <v>18500</v>
      </c>
      <c r="R62" s="18">
        <v>8913</v>
      </c>
      <c r="S62" s="30">
        <v>17.79</v>
      </c>
      <c r="T62" s="101">
        <f t="shared" ref="T62" si="81">W62*F62*0.005</f>
        <v>2645.3787877614081</v>
      </c>
      <c r="V62" s="18">
        <v>0.1</v>
      </c>
      <c r="W62" s="18">
        <f>IF(O62&gt;0,O62,((P62*2.2046*S62)+(Q62+R62)/G62)+V62)</f>
        <v>28.255638652210056</v>
      </c>
      <c r="X62" s="18">
        <f>IF(O62&gt;0,O62,((P62*2.2046*S62)+(Q62+R62+T62)/G62)+V62)</f>
        <v>28.397539692298274</v>
      </c>
      <c r="Y62" s="21">
        <f t="shared" ref="Y62" si="82">X62*F62</f>
        <v>531732.7989027258</v>
      </c>
      <c r="Z62" s="32">
        <v>42440</v>
      </c>
      <c r="AA62" s="2">
        <v>30.5</v>
      </c>
      <c r="AB62" s="2"/>
    </row>
    <row r="63" spans="1:28" s="12" customFormat="1" x14ac:dyDescent="0.25">
      <c r="A63" s="126"/>
      <c r="B63" s="24" t="s">
        <v>25</v>
      </c>
      <c r="C63" s="25" t="s">
        <v>72</v>
      </c>
      <c r="D63" s="25" t="s">
        <v>72</v>
      </c>
      <c r="E63" s="14" t="s">
        <v>42</v>
      </c>
      <c r="F63" s="26">
        <f>42638*0.4536</f>
        <v>19340.596799999999</v>
      </c>
      <c r="G63" s="27">
        <v>19314.28</v>
      </c>
      <c r="H63" s="27">
        <f t="shared" si="67"/>
        <v>-26.316800000000512</v>
      </c>
      <c r="I63" s="12" t="s">
        <v>1667</v>
      </c>
      <c r="J63" s="93" t="s">
        <v>29</v>
      </c>
      <c r="K63" s="17">
        <v>42447</v>
      </c>
      <c r="L63" s="17">
        <v>42448</v>
      </c>
      <c r="M63" s="25" t="s">
        <v>30</v>
      </c>
      <c r="N63" s="25" t="s">
        <v>1735</v>
      </c>
      <c r="O63" s="18"/>
      <c r="P63" s="28">
        <f>0.5546+0.105</f>
        <v>0.65959999999999996</v>
      </c>
      <c r="Q63" s="29">
        <v>18500</v>
      </c>
      <c r="R63" s="18">
        <v>8913</v>
      </c>
      <c r="S63" s="30">
        <v>17.87</v>
      </c>
      <c r="T63" s="101">
        <f t="shared" si="79"/>
        <v>2659.8201576059919</v>
      </c>
      <c r="V63" s="18">
        <v>0.1</v>
      </c>
      <c r="W63" s="18">
        <f>IF(O63&gt;0,O63,((P63*2.2046*S63)+(Q63+R63)/G63)+V63)</f>
        <v>27.505047389292475</v>
      </c>
      <c r="X63" s="18">
        <f>IF(O63&gt;0,O63,((P63*2.2046*S63)+(Q63+R63+T63)/G63)+V63)</f>
        <v>27.642760012160423</v>
      </c>
      <c r="Y63" s="21">
        <f t="shared" si="74"/>
        <v>534627.47583435779</v>
      </c>
      <c r="Z63" s="32">
        <v>42441</v>
      </c>
      <c r="AA63" s="2">
        <v>30.5</v>
      </c>
      <c r="AB63" s="2"/>
    </row>
    <row r="64" spans="1:28" s="12" customFormat="1" x14ac:dyDescent="0.25">
      <c r="A64" s="126"/>
      <c r="B64" s="24" t="s">
        <v>25</v>
      </c>
      <c r="C64" s="25" t="s">
        <v>40</v>
      </c>
      <c r="D64" s="25" t="s">
        <v>41</v>
      </c>
      <c r="E64" s="14" t="s">
        <v>831</v>
      </c>
      <c r="F64" s="26">
        <f>40766*0.4536</f>
        <v>18491.457600000002</v>
      </c>
      <c r="G64" s="27">
        <v>18546.939999999999</v>
      </c>
      <c r="H64" s="27">
        <f t="shared" si="67"/>
        <v>55.482399999997142</v>
      </c>
      <c r="I64" s="39" t="s">
        <v>1591</v>
      </c>
      <c r="J64" s="93" t="s">
        <v>44</v>
      </c>
      <c r="K64" s="17">
        <v>42447</v>
      </c>
      <c r="L64" s="17">
        <v>42448</v>
      </c>
      <c r="M64" s="25" t="s">
        <v>30</v>
      </c>
      <c r="N64" s="25" t="s">
        <v>1736</v>
      </c>
      <c r="O64" s="18"/>
      <c r="P64" s="28">
        <f>0.5729+0.1</f>
        <v>0.67289999999999994</v>
      </c>
      <c r="Q64" s="29">
        <v>18500</v>
      </c>
      <c r="R64" s="18">
        <v>8913</v>
      </c>
      <c r="S64" s="30">
        <v>17.37</v>
      </c>
      <c r="T64" s="101">
        <f t="shared" si="79"/>
        <v>2528.3370188200915</v>
      </c>
      <c r="V64" s="18">
        <v>0.1</v>
      </c>
      <c r="W64" s="18">
        <f t="shared" ref="W64" si="83">IF(O64&gt;0,O64,((P64*2.2046*S64)+(Q64+R64)/G64)+V64)</f>
        <v>27.346000228993208</v>
      </c>
      <c r="X64" s="18">
        <f t="shared" ref="X64" si="84">IF(O64&gt;0,O64,((P64*2.2046*S64)+(Q64+R64+T64)/G64)+V64)</f>
        <v>27.48232120802372</v>
      </c>
      <c r="Y64" s="21">
        <f t="shared" si="74"/>
        <v>508188.17736775143</v>
      </c>
      <c r="Z64" s="32">
        <v>42460</v>
      </c>
      <c r="AA64" s="37">
        <v>30.5</v>
      </c>
      <c r="AB64" s="37" t="s">
        <v>1826</v>
      </c>
    </row>
    <row r="65" spans="1:28" s="12" customFormat="1" x14ac:dyDescent="0.25">
      <c r="A65" s="126"/>
      <c r="B65" s="24" t="s">
        <v>25</v>
      </c>
      <c r="C65" s="14" t="s">
        <v>40</v>
      </c>
      <c r="D65" s="14" t="s">
        <v>41</v>
      </c>
      <c r="E65" s="14" t="s">
        <v>63</v>
      </c>
      <c r="F65" s="26">
        <f>36153*0.4536</f>
        <v>16399.000800000002</v>
      </c>
      <c r="G65" s="27">
        <f>18252.36-1781</f>
        <v>16471.36</v>
      </c>
      <c r="H65" s="27">
        <f>G65-F65</f>
        <v>72.359199999998964</v>
      </c>
      <c r="I65" s="25" t="s">
        <v>1680</v>
      </c>
      <c r="J65" s="93" t="s">
        <v>44</v>
      </c>
      <c r="K65" s="17">
        <v>42447</v>
      </c>
      <c r="L65" s="17">
        <v>42448</v>
      </c>
      <c r="M65" s="25" t="s">
        <v>30</v>
      </c>
      <c r="N65" s="25" t="s">
        <v>1736</v>
      </c>
      <c r="O65" s="18"/>
      <c r="P65" s="28">
        <v>0.67290000000000005</v>
      </c>
      <c r="Q65" s="29">
        <f>(18500*G65)/(G65+G66)</f>
        <v>16694.836174609747</v>
      </c>
      <c r="R65" s="18">
        <f>(8978*G65)/(G65+G66)</f>
        <v>8101.9588743592612</v>
      </c>
      <c r="S65" s="30">
        <v>17.37</v>
      </c>
      <c r="T65" s="101">
        <f t="shared" si="79"/>
        <v>2244.4833391753368</v>
      </c>
      <c r="V65" s="18">
        <v>0.1</v>
      </c>
      <c r="W65" s="18">
        <f>IF(O65&gt;0,O65,((P65*2.2046*S65)+(Q65+R65)/G65)+V65)</f>
        <v>27.373415814155418</v>
      </c>
      <c r="X65" s="18">
        <f>IF(O65&gt;0,O65,((P65*2.2046*S65)+(Q65+R65+T65)/G65)+V65)</f>
        <v>27.509681631864179</v>
      </c>
      <c r="Y65" s="21">
        <f t="shared" si="74"/>
        <v>451131.29108868603</v>
      </c>
      <c r="Z65" s="32">
        <v>42460</v>
      </c>
      <c r="AA65" s="37">
        <v>30.5</v>
      </c>
      <c r="AB65" s="37"/>
    </row>
    <row r="66" spans="1:28" s="12" customFormat="1" x14ac:dyDescent="0.25">
      <c r="A66" s="126"/>
      <c r="B66" s="24" t="s">
        <v>66</v>
      </c>
      <c r="C66" s="14" t="s">
        <v>40</v>
      </c>
      <c r="D66" s="25" t="s">
        <v>41</v>
      </c>
      <c r="E66" s="14" t="s">
        <v>832</v>
      </c>
      <c r="F66" s="26">
        <f>3927*0.4536</f>
        <v>1781.2872</v>
      </c>
      <c r="G66" s="27">
        <v>1781</v>
      </c>
      <c r="H66" s="27">
        <f>G66-F66</f>
        <v>-0.28719999999998436</v>
      </c>
      <c r="I66" s="25"/>
      <c r="J66" s="14"/>
      <c r="K66" s="17">
        <v>42447</v>
      </c>
      <c r="L66" s="17">
        <v>42448</v>
      </c>
      <c r="M66" s="25" t="s">
        <v>30</v>
      </c>
      <c r="N66" s="25"/>
      <c r="O66" s="18"/>
      <c r="P66" s="28">
        <v>0.36</v>
      </c>
      <c r="Q66" s="29">
        <f>(18500*G66)/(G66+G65)</f>
        <v>1805.1638253902508</v>
      </c>
      <c r="R66" s="18">
        <f>(8978*G66)/(G66+G65)</f>
        <v>876.04112564073898</v>
      </c>
      <c r="S66" s="30">
        <v>17.37</v>
      </c>
      <c r="T66" s="101">
        <f t="shared" si="79"/>
        <v>137.08121762732429</v>
      </c>
      <c r="V66" s="18">
        <v>0.1</v>
      </c>
      <c r="W66" s="18">
        <f>IF(O66&gt;0,O66,((P66*2.2046*S66)+(Q66+R66)/G66)+V66)</f>
        <v>15.391253878355414</v>
      </c>
      <c r="X66" s="18">
        <f>IF(O66&gt;0,O66,((P66*2.2046*S66)+(Q66+R66+T66)/G66)+V66)</f>
        <v>15.468222557539763</v>
      </c>
      <c r="Y66" s="21">
        <f t="shared" si="74"/>
        <v>27553.346848496843</v>
      </c>
      <c r="Z66" s="32">
        <v>42460</v>
      </c>
      <c r="AA66" s="37"/>
      <c r="AB66" s="37"/>
    </row>
    <row r="67" spans="1:28" s="12" customFormat="1" ht="15.75" thickBot="1" x14ac:dyDescent="0.3">
      <c r="A67" s="126"/>
      <c r="B67" s="41"/>
      <c r="C67" s="4"/>
      <c r="D67" s="4"/>
      <c r="E67" s="4"/>
      <c r="F67" s="42"/>
      <c r="G67" s="42"/>
      <c r="H67" s="42"/>
      <c r="I67" s="6"/>
      <c r="J67" s="4"/>
      <c r="K67" s="7"/>
      <c r="L67" s="7"/>
      <c r="M67" s="4"/>
      <c r="N67" s="4"/>
      <c r="O67" s="8"/>
      <c r="P67" s="9"/>
      <c r="Q67" s="8"/>
      <c r="R67" s="8"/>
      <c r="S67" s="8"/>
      <c r="T67" s="8"/>
      <c r="U67" s="8"/>
      <c r="V67" s="8"/>
      <c r="W67" s="8"/>
      <c r="X67" s="8"/>
      <c r="Y67" s="8"/>
      <c r="Z67" s="43"/>
      <c r="AA67" s="2"/>
      <c r="AB67" s="2"/>
    </row>
    <row r="68" spans="1:28" s="12" customFormat="1" x14ac:dyDescent="0.25">
      <c r="A68" s="91"/>
      <c r="B68" s="14" t="s">
        <v>32</v>
      </c>
      <c r="C68" s="14" t="s">
        <v>1714</v>
      </c>
      <c r="D68" s="25" t="s">
        <v>98</v>
      </c>
      <c r="E68" s="14">
        <v>240</v>
      </c>
      <c r="F68" s="26">
        <v>21884.3</v>
      </c>
      <c r="G68" s="27">
        <f>10960+10940</f>
        <v>21900</v>
      </c>
      <c r="H68" s="27">
        <f t="shared" ref="H68:H69" si="85">G68-F68</f>
        <v>15.700000000000728</v>
      </c>
      <c r="I68" s="25" t="s">
        <v>1758</v>
      </c>
      <c r="J68" s="14"/>
      <c r="K68" s="17"/>
      <c r="L68" s="17">
        <v>42449</v>
      </c>
      <c r="M68" s="25" t="s">
        <v>36</v>
      </c>
      <c r="N68" s="14"/>
      <c r="O68" s="18">
        <v>28.8</v>
      </c>
      <c r="P68" s="19"/>
      <c r="Q68" s="18"/>
      <c r="R68" s="18"/>
      <c r="S68" s="30"/>
      <c r="T68" s="31"/>
      <c r="U68" s="18">
        <f t="shared" ref="U68:U70" si="86">E68*5</f>
        <v>1200</v>
      </c>
      <c r="V68" s="14"/>
      <c r="W68" s="18">
        <f>((O68*F68)+Q68+R68+S68+U68)/G68</f>
        <v>28.834147945205476</v>
      </c>
      <c r="X68" s="18">
        <f>((O68*F68)+Q68+R68+S68+T68+U68)/G68</f>
        <v>28.834147945205476</v>
      </c>
      <c r="Y68" s="21">
        <f t="shared" ref="Y68:Y76" si="87">X68*F68</f>
        <v>631015.14387726015</v>
      </c>
      <c r="Z68" s="32">
        <v>42457</v>
      </c>
      <c r="AA68" s="2">
        <v>30.5</v>
      </c>
      <c r="AB68" s="2" t="s">
        <v>1808</v>
      </c>
    </row>
    <row r="69" spans="1:28" s="12" customFormat="1" x14ac:dyDescent="0.25">
      <c r="A69" s="91"/>
      <c r="B69" s="24" t="s">
        <v>32</v>
      </c>
      <c r="C69" s="14" t="s">
        <v>1714</v>
      </c>
      <c r="D69" s="25" t="s">
        <v>98</v>
      </c>
      <c r="E69" s="14">
        <v>250</v>
      </c>
      <c r="F69" s="26">
        <v>22684.5</v>
      </c>
      <c r="G69" s="27">
        <f>15420+7250</f>
        <v>22670</v>
      </c>
      <c r="H69" s="27">
        <f t="shared" si="85"/>
        <v>-14.5</v>
      </c>
      <c r="I69" s="25" t="s">
        <v>1795</v>
      </c>
      <c r="J69" s="14"/>
      <c r="K69" s="17"/>
      <c r="L69" s="17">
        <v>42450</v>
      </c>
      <c r="M69" s="25" t="s">
        <v>39</v>
      </c>
      <c r="N69" s="14"/>
      <c r="O69" s="18">
        <v>28.8</v>
      </c>
      <c r="P69" s="19"/>
      <c r="Q69" s="18"/>
      <c r="R69" s="18"/>
      <c r="S69" s="30"/>
      <c r="T69" s="31"/>
      <c r="U69" s="18">
        <f t="shared" si="86"/>
        <v>1250</v>
      </c>
      <c r="V69" s="14"/>
      <c r="W69" s="18">
        <f>((O69*F69)+Q69+R69+S69+U69)/G69</f>
        <v>28.873559770621966</v>
      </c>
      <c r="X69" s="18">
        <f>((O69*F69)+Q69+R69+S69+T69+U69)/G69</f>
        <v>28.873559770621966</v>
      </c>
      <c r="Y69" s="21">
        <f t="shared" si="87"/>
        <v>654982.26661667402</v>
      </c>
      <c r="Z69" s="32">
        <v>42457</v>
      </c>
      <c r="AA69" s="2">
        <v>30.5</v>
      </c>
      <c r="AB69" s="2" t="s">
        <v>1807</v>
      </c>
    </row>
    <row r="70" spans="1:28" s="12" customFormat="1" x14ac:dyDescent="0.25">
      <c r="A70" s="91"/>
      <c r="B70" s="24" t="s">
        <v>32</v>
      </c>
      <c r="C70" s="14" t="s">
        <v>1714</v>
      </c>
      <c r="D70" s="25" t="s">
        <v>98</v>
      </c>
      <c r="E70" s="14">
        <v>248</v>
      </c>
      <c r="F70" s="26">
        <v>21762.400000000001</v>
      </c>
      <c r="G70" s="27">
        <f>14620+7110</f>
        <v>21730</v>
      </c>
      <c r="H70" s="27">
        <f>G70-F70</f>
        <v>-32.400000000001455</v>
      </c>
      <c r="I70" s="25" t="s">
        <v>1806</v>
      </c>
      <c r="J70" s="14"/>
      <c r="K70" s="17"/>
      <c r="L70" s="17">
        <v>42451</v>
      </c>
      <c r="M70" s="25" t="s">
        <v>45</v>
      </c>
      <c r="N70" s="14"/>
      <c r="O70" s="18">
        <v>28.8</v>
      </c>
      <c r="P70" s="19"/>
      <c r="Q70" s="18"/>
      <c r="R70" s="18"/>
      <c r="S70" s="30"/>
      <c r="T70" s="31"/>
      <c r="U70" s="18">
        <f t="shared" si="86"/>
        <v>1240</v>
      </c>
      <c r="V70" s="14"/>
      <c r="W70" s="18">
        <f>((O70*F70)+Q70+R70+S70+U70)/G70</f>
        <v>28.900005522319379</v>
      </c>
      <c r="X70" s="18">
        <f>((O70*F70)+Q70+R70+S70+T70+U70)/G70</f>
        <v>28.900005522319379</v>
      </c>
      <c r="Y70" s="21">
        <f t="shared" si="87"/>
        <v>628933.48017892335</v>
      </c>
      <c r="Z70" s="32">
        <v>42458</v>
      </c>
      <c r="AA70" s="37">
        <v>30.5</v>
      </c>
      <c r="AB70" s="37" t="s">
        <v>1807</v>
      </c>
    </row>
    <row r="71" spans="1:28" s="12" customFormat="1" x14ac:dyDescent="0.25">
      <c r="A71" s="91"/>
      <c r="B71" s="24" t="s">
        <v>25</v>
      </c>
      <c r="C71" s="25" t="s">
        <v>72</v>
      </c>
      <c r="D71" s="25" t="s">
        <v>72</v>
      </c>
      <c r="E71" s="14" t="s">
        <v>42</v>
      </c>
      <c r="F71" s="26">
        <f>42392*0.4536</f>
        <v>19229.011200000001</v>
      </c>
      <c r="G71" s="27">
        <v>19189.68</v>
      </c>
      <c r="H71" s="27">
        <f>G71-F71</f>
        <v>-39.331200000000536</v>
      </c>
      <c r="I71" s="94" t="s">
        <v>1715</v>
      </c>
      <c r="J71" s="93" t="s">
        <v>74</v>
      </c>
      <c r="K71" s="17">
        <v>42451</v>
      </c>
      <c r="L71" s="17">
        <v>42452</v>
      </c>
      <c r="M71" s="25" t="s">
        <v>50</v>
      </c>
      <c r="N71" s="25" t="s">
        <v>1721</v>
      </c>
      <c r="O71" s="18"/>
      <c r="P71" s="28">
        <f>0.5444+0.105</f>
        <v>0.64939999999999998</v>
      </c>
      <c r="Q71" s="29">
        <v>18500</v>
      </c>
      <c r="R71" s="18">
        <v>8900</v>
      </c>
      <c r="S71" s="30">
        <v>17.82</v>
      </c>
      <c r="T71" s="101">
        <f>W71*F71*0.005</f>
        <v>2599.777795511151</v>
      </c>
      <c r="V71" s="18">
        <v>0.1</v>
      </c>
      <c r="W71" s="18">
        <f t="shared" ref="W71" si="88">IF(O71&gt;0,O71,((P71*2.2046*S71)+(Q71+R71)/G71)+V71)</f>
        <v>27.040161019940026</v>
      </c>
      <c r="X71" s="18">
        <f t="shared" ref="X71" si="89">IF(O71&gt;0,O71,((P71*2.2046*S71)+(Q71+R71+T71)/G71)+V71)</f>
        <v>27.175638932834413</v>
      </c>
      <c r="Y71" s="21">
        <f>X71*F71</f>
        <v>522560.66540662898</v>
      </c>
      <c r="Z71" s="32">
        <v>42445</v>
      </c>
      <c r="AA71" s="37">
        <v>30</v>
      </c>
      <c r="AB71" s="37"/>
    </row>
    <row r="72" spans="1:28" s="12" customFormat="1" x14ac:dyDescent="0.25">
      <c r="A72" s="91"/>
      <c r="B72" s="24" t="s">
        <v>25</v>
      </c>
      <c r="C72" s="25" t="s">
        <v>72</v>
      </c>
      <c r="D72" s="25" t="s">
        <v>72</v>
      </c>
      <c r="E72" s="14" t="s">
        <v>42</v>
      </c>
      <c r="F72" s="26">
        <f>42416*0.4536</f>
        <v>19239.8976</v>
      </c>
      <c r="G72" s="27">
        <v>19192.919999999998</v>
      </c>
      <c r="H72" s="27">
        <f>G72-F72</f>
        <v>-46.977600000001985</v>
      </c>
      <c r="I72" s="12" t="s">
        <v>1716</v>
      </c>
      <c r="J72" s="93" t="s">
        <v>49</v>
      </c>
      <c r="K72" s="17">
        <v>42451</v>
      </c>
      <c r="L72" s="17">
        <v>42452</v>
      </c>
      <c r="M72" s="25" t="s">
        <v>50</v>
      </c>
      <c r="N72" s="25" t="s">
        <v>1721</v>
      </c>
      <c r="O72" s="18"/>
      <c r="P72" s="28">
        <f>0.5444+0.105</f>
        <v>0.64939999999999998</v>
      </c>
      <c r="Q72" s="29">
        <v>18500</v>
      </c>
      <c r="R72" s="18">
        <v>8900</v>
      </c>
      <c r="S72" s="30">
        <v>17.82</v>
      </c>
      <c r="T72" s="101">
        <f t="shared" ref="T72" si="90">W72*F72*0.005</f>
        <v>2601.2264577556775</v>
      </c>
      <c r="V72" s="18">
        <v>0.1</v>
      </c>
      <c r="W72" s="18">
        <f>IF(O72&gt;0,O72,((P72*2.2046*S72)+(Q72+R72)/G72)+V72)</f>
        <v>27.039919981233972</v>
      </c>
      <c r="X72" s="18">
        <f>IF(O72&gt;0,O72,((P72*2.2046*S72)+(Q72+R72+T72)/G72)+V72)</f>
        <v>27.175450502788571</v>
      </c>
      <c r="Y72" s="21">
        <f>X72*F72</f>
        <v>522852.88490752061</v>
      </c>
      <c r="Z72" s="32">
        <v>42445</v>
      </c>
      <c r="AA72" s="37">
        <v>30</v>
      </c>
      <c r="AB72" s="37"/>
    </row>
    <row r="73" spans="1:28" s="12" customFormat="1" x14ac:dyDescent="0.25">
      <c r="A73" s="91"/>
      <c r="B73" s="24" t="s">
        <v>25</v>
      </c>
      <c r="C73" s="14" t="s">
        <v>40</v>
      </c>
      <c r="D73" s="14" t="s">
        <v>41</v>
      </c>
      <c r="E73" s="14" t="s">
        <v>27</v>
      </c>
      <c r="F73" s="26">
        <f>38326*0.4536</f>
        <v>17384.673600000002</v>
      </c>
      <c r="G73" s="27">
        <f>19056.55-1624.75</f>
        <v>17431.8</v>
      </c>
      <c r="H73" s="27">
        <f>G73-F73</f>
        <v>47.126399999997375</v>
      </c>
      <c r="I73" s="25" t="s">
        <v>1717</v>
      </c>
      <c r="J73" s="93" t="s">
        <v>44</v>
      </c>
      <c r="K73" s="17">
        <v>42451</v>
      </c>
      <c r="L73" s="17">
        <v>42452</v>
      </c>
      <c r="M73" s="25" t="s">
        <v>50</v>
      </c>
      <c r="N73" s="25" t="s">
        <v>1722</v>
      </c>
      <c r="O73" s="18"/>
      <c r="P73" s="28">
        <f>0.5444+0.1</f>
        <v>0.64439999999999997</v>
      </c>
      <c r="Q73" s="29">
        <f>(18500*G73)/(G73+G74)</f>
        <v>16922.701118513058</v>
      </c>
      <c r="R73" s="18">
        <f>(8900*G73)/(G73+G74)</f>
        <v>8141.1913489062817</v>
      </c>
      <c r="S73" s="30">
        <v>17.489999999999998</v>
      </c>
      <c r="T73" s="101">
        <f t="shared" ref="T73:T75" si="91">W73*F73*0.005</f>
        <v>2293.4638157737054</v>
      </c>
      <c r="V73" s="18">
        <v>0.1</v>
      </c>
      <c r="W73" s="18">
        <f>IF(O73&gt;0,O73,((P73*2.2046*S73)+(Q73+R73)/G73)+V73)</f>
        <v>26.384893597009551</v>
      </c>
      <c r="X73" s="18">
        <f>IF(O73&gt;0,O73,((P73*2.2046*S73)+(Q73+R73+T73)/G73)+V73)</f>
        <v>26.516461410762215</v>
      </c>
      <c r="Y73" s="21">
        <f t="shared" si="87"/>
        <v>460980.02665309666</v>
      </c>
      <c r="Z73" s="32">
        <v>42461</v>
      </c>
      <c r="AA73" s="37">
        <v>30</v>
      </c>
      <c r="AB73" s="37"/>
    </row>
    <row r="74" spans="1:28" s="12" customFormat="1" x14ac:dyDescent="0.25">
      <c r="A74" s="91"/>
      <c r="B74" s="24" t="s">
        <v>66</v>
      </c>
      <c r="C74" s="14" t="s">
        <v>40</v>
      </c>
      <c r="D74" s="25" t="s">
        <v>41</v>
      </c>
      <c r="E74" s="14" t="s">
        <v>832</v>
      </c>
      <c r="F74" s="26">
        <f>3583*0.4536</f>
        <v>1625.2488000000001</v>
      </c>
      <c r="G74" s="27">
        <f>804.65+820.1</f>
        <v>1624.75</v>
      </c>
      <c r="H74" s="27">
        <f>G74-F74</f>
        <v>-0.49880000000007385</v>
      </c>
      <c r="I74" s="25"/>
      <c r="J74" s="14"/>
      <c r="K74" s="17">
        <v>42451</v>
      </c>
      <c r="L74" s="17">
        <v>42452</v>
      </c>
      <c r="M74" s="25" t="s">
        <v>50</v>
      </c>
      <c r="N74" s="25"/>
      <c r="O74" s="18"/>
      <c r="P74" s="28">
        <v>0.36</v>
      </c>
      <c r="Q74" s="29">
        <f>(18500*G74)/(G74+G73)</f>
        <v>1577.2988814869429</v>
      </c>
      <c r="R74" s="18">
        <f>(8900*G74)/(G74+G73)</f>
        <v>758.80865109371848</v>
      </c>
      <c r="S74" s="30">
        <v>17.489999999999998</v>
      </c>
      <c r="T74" s="101">
        <f t="shared" si="91"/>
        <v>125.29749396858615</v>
      </c>
      <c r="V74" s="18">
        <v>0.1</v>
      </c>
      <c r="W74" s="18">
        <f>IF(O74&gt;0,O74,((P74*2.2046*S74)+(Q74+R74)/G74)+V74)</f>
        <v>15.418869279409545</v>
      </c>
      <c r="X74" s="18">
        <f>IF(O74&gt;0,O74,((P74*2.2046*S74)+(Q74+R74+T74)/G74)+V74)</f>
        <v>15.495987293853975</v>
      </c>
      <c r="Y74" s="21">
        <f t="shared" si="87"/>
        <v>25184.834754151423</v>
      </c>
      <c r="Z74" s="32">
        <v>42461</v>
      </c>
      <c r="AA74" s="37"/>
      <c r="AB74" s="37"/>
    </row>
    <row r="75" spans="1:28" s="12" customFormat="1" x14ac:dyDescent="0.25">
      <c r="A75" s="91"/>
      <c r="B75" s="24" t="s">
        <v>25</v>
      </c>
      <c r="C75" s="25" t="s">
        <v>40</v>
      </c>
      <c r="D75" s="25" t="s">
        <v>41</v>
      </c>
      <c r="E75" s="14" t="s">
        <v>831</v>
      </c>
      <c r="F75" s="26">
        <f>39864*0.4536</f>
        <v>18082.310399999998</v>
      </c>
      <c r="G75" s="27">
        <v>18130.59</v>
      </c>
      <c r="H75" s="27">
        <f t="shared" ref="H75" si="92">G75-F75</f>
        <v>48.279600000001665</v>
      </c>
      <c r="I75" s="39" t="s">
        <v>1718</v>
      </c>
      <c r="J75" s="93" t="s">
        <v>44</v>
      </c>
      <c r="K75" s="17">
        <v>42451</v>
      </c>
      <c r="L75" s="17">
        <v>42452</v>
      </c>
      <c r="M75" s="25" t="s">
        <v>50</v>
      </c>
      <c r="N75" s="25" t="s">
        <v>1722</v>
      </c>
      <c r="O75" s="18"/>
      <c r="P75" s="28">
        <f>0.5444+0.1</f>
        <v>0.64439999999999997</v>
      </c>
      <c r="Q75" s="29">
        <v>18500</v>
      </c>
      <c r="R75" s="18">
        <v>8900</v>
      </c>
      <c r="S75" s="30">
        <v>17.489999999999998</v>
      </c>
      <c r="T75" s="101">
        <f t="shared" si="91"/>
        <v>2392.1382991442038</v>
      </c>
      <c r="V75" s="18">
        <v>0.1</v>
      </c>
      <c r="W75" s="18">
        <f t="shared" ref="W75" si="93">IF(O75&gt;0,O75,((P75*2.2046*S75)+(Q75+R75)/G75)+V75)</f>
        <v>26.458325802704987</v>
      </c>
      <c r="X75" s="18">
        <f t="shared" ref="X75" si="94">IF(O75&gt;0,O75,((P75*2.2046*S75)+(Q75+R75+T75)/G75)+V75)</f>
        <v>26.590265154879638</v>
      </c>
      <c r="Y75" s="21">
        <f t="shared" si="87"/>
        <v>480813.42814883764</v>
      </c>
      <c r="Z75" s="32">
        <v>42461</v>
      </c>
      <c r="AA75" s="37">
        <v>30</v>
      </c>
      <c r="AB75" s="37" t="s">
        <v>1865</v>
      </c>
    </row>
    <row r="76" spans="1:28" s="12" customFormat="1" x14ac:dyDescent="0.25">
      <c r="A76" s="91"/>
      <c r="B76" s="24" t="s">
        <v>32</v>
      </c>
      <c r="C76" s="14" t="s">
        <v>68</v>
      </c>
      <c r="D76" s="25" t="s">
        <v>68</v>
      </c>
      <c r="E76" s="14">
        <f>390-1</f>
        <v>389</v>
      </c>
      <c r="F76" s="26">
        <f>11080+11080+12540</f>
        <v>34700</v>
      </c>
      <c r="G76" s="27">
        <f>8630+4610+9840+4090</f>
        <v>27170</v>
      </c>
      <c r="H76" s="27">
        <f t="shared" ref="H76" si="95">G76-F76</f>
        <v>-7530</v>
      </c>
      <c r="I76" s="25" t="s">
        <v>1848</v>
      </c>
      <c r="J76" s="14"/>
      <c r="K76" s="17">
        <v>42452</v>
      </c>
      <c r="L76" s="17">
        <v>42453</v>
      </c>
      <c r="M76" s="25" t="s">
        <v>65</v>
      </c>
      <c r="N76" s="14"/>
      <c r="O76" s="18">
        <v>21</v>
      </c>
      <c r="P76" s="19"/>
      <c r="Q76" s="29">
        <v>33000</v>
      </c>
      <c r="R76" s="99">
        <f>98*E76</f>
        <v>38122</v>
      </c>
      <c r="S76" s="30">
        <f>-38*E76</f>
        <v>-14782</v>
      </c>
      <c r="T76" s="31"/>
      <c r="U76" s="18">
        <f>E76*10</f>
        <v>3890</v>
      </c>
      <c r="V76" s="14"/>
      <c r="W76" s="18">
        <f>((O76*F76)+Q76+R76+S76+U76)/G76</f>
        <v>29.036805299963195</v>
      </c>
      <c r="X76" s="18">
        <f>((O76*F76)+Q76+R76+S76+T76+U76)/G76</f>
        <v>29.036805299963195</v>
      </c>
      <c r="Y76" s="21">
        <f t="shared" si="87"/>
        <v>1007577.1439087229</v>
      </c>
      <c r="Z76" s="32">
        <v>42483</v>
      </c>
      <c r="AA76" s="37">
        <v>30.5</v>
      </c>
      <c r="AB76" s="37" t="s">
        <v>1827</v>
      </c>
    </row>
    <row r="77" spans="1:28" s="12" customFormat="1" x14ac:dyDescent="0.25">
      <c r="A77" s="91"/>
      <c r="B77" s="24" t="s">
        <v>25</v>
      </c>
      <c r="C77" s="25" t="s">
        <v>72</v>
      </c>
      <c r="D77" s="25" t="s">
        <v>72</v>
      </c>
      <c r="E77" s="14" t="s">
        <v>42</v>
      </c>
      <c r="F77" s="26">
        <f>42868*0.4536</f>
        <v>19444.924800000001</v>
      </c>
      <c r="G77" s="27">
        <v>19391.990000000002</v>
      </c>
      <c r="H77" s="27">
        <f t="shared" ref="H77:H79" si="96">G77-F77</f>
        <v>-52.934799999999086</v>
      </c>
      <c r="I77" s="25" t="s">
        <v>1719</v>
      </c>
      <c r="J77" s="93" t="s">
        <v>44</v>
      </c>
      <c r="K77" s="17">
        <v>42452</v>
      </c>
      <c r="L77" s="17">
        <v>42453</v>
      </c>
      <c r="M77" s="25" t="s">
        <v>65</v>
      </c>
      <c r="N77" s="25" t="s">
        <v>1724</v>
      </c>
      <c r="O77" s="18"/>
      <c r="P77" s="28">
        <f>0.5243+0.105</f>
        <v>0.62929999999999997</v>
      </c>
      <c r="Q77" s="29">
        <v>18500</v>
      </c>
      <c r="R77" s="18">
        <v>8900</v>
      </c>
      <c r="S77" s="30">
        <v>17.739999999999998</v>
      </c>
      <c r="T77" s="101">
        <f t="shared" ref="T77" si="97">W77*F77*0.005</f>
        <v>2539.9571656691091</v>
      </c>
      <c r="V77" s="18">
        <v>0.1</v>
      </c>
      <c r="W77" s="18">
        <f>IF(O77&gt;0,O77,((P77*2.2046*S77)+(Q77+R77)/G77)+V77)</f>
        <v>26.124628321207073</v>
      </c>
      <c r="X77" s="18">
        <f>IF(O77&gt;0,O77,((P77*2.2046*S77)+(Q77+R77+T77)/G77)+V77)</f>
        <v>26.255608028068984</v>
      </c>
      <c r="Y77" s="21">
        <f t="shared" ref="Y77:Y78" si="98">X77*F77</f>
        <v>510538.32368407771</v>
      </c>
      <c r="Z77" s="32">
        <v>42446</v>
      </c>
      <c r="AA77" s="2"/>
      <c r="AB77" s="2"/>
    </row>
    <row r="78" spans="1:28" s="12" customFormat="1" x14ac:dyDescent="0.25">
      <c r="A78" s="91"/>
      <c r="B78" s="24" t="s">
        <v>32</v>
      </c>
      <c r="C78" s="14" t="s">
        <v>68</v>
      </c>
      <c r="D78" s="25" t="s">
        <v>68</v>
      </c>
      <c r="E78" s="14">
        <f>130*4-2</f>
        <v>518</v>
      </c>
      <c r="F78" s="26">
        <f>12210+12190+11530+11790</f>
        <v>47720</v>
      </c>
      <c r="G78" s="27">
        <f>3670+2780+5060+4140+3020+9270+9060</f>
        <v>37000</v>
      </c>
      <c r="H78" s="27">
        <f t="shared" si="96"/>
        <v>-10720</v>
      </c>
      <c r="I78" s="25"/>
      <c r="J78" s="33">
        <v>0.77500000000000002</v>
      </c>
      <c r="K78" s="17">
        <v>42453</v>
      </c>
      <c r="L78" s="17">
        <v>42454</v>
      </c>
      <c r="M78" s="25" t="s">
        <v>84</v>
      </c>
      <c r="N78" s="14"/>
      <c r="O78" s="18">
        <v>21</v>
      </c>
      <c r="P78" s="19"/>
      <c r="Q78" s="29">
        <v>44000</v>
      </c>
      <c r="R78" s="99">
        <f>98*E78</f>
        <v>50764</v>
      </c>
      <c r="S78" s="30">
        <f>-38*E78</f>
        <v>-19684</v>
      </c>
      <c r="T78" s="31"/>
      <c r="U78" s="18">
        <f>E78*10</f>
        <v>5180</v>
      </c>
      <c r="V78" s="14"/>
      <c r="W78" s="18">
        <f>((O78*F78)+Q78+R78+S78+U78)/G78</f>
        <v>29.253513513513514</v>
      </c>
      <c r="X78" s="18">
        <f>((O78*F78)+Q78+R78+S78+T78+U78)/G78</f>
        <v>29.253513513513514</v>
      </c>
      <c r="Y78" s="21">
        <f t="shared" si="98"/>
        <v>1395977.6648648649</v>
      </c>
      <c r="Z78" s="32">
        <v>42457</v>
      </c>
      <c r="AA78" s="2">
        <v>30.5</v>
      </c>
      <c r="AB78" s="2" t="s">
        <v>1845</v>
      </c>
    </row>
    <row r="79" spans="1:28" s="12" customFormat="1" x14ac:dyDescent="0.25">
      <c r="A79" s="91"/>
      <c r="B79" s="24" t="s">
        <v>25</v>
      </c>
      <c r="C79" s="25" t="s">
        <v>40</v>
      </c>
      <c r="D79" s="25" t="s">
        <v>98</v>
      </c>
      <c r="E79" s="14" t="s">
        <v>1847</v>
      </c>
      <c r="F79" s="26">
        <v>13784.81</v>
      </c>
      <c r="G79" s="27">
        <v>13825.31</v>
      </c>
      <c r="H79" s="27">
        <f t="shared" si="96"/>
        <v>40.5</v>
      </c>
      <c r="I79" s="25" t="s">
        <v>1882</v>
      </c>
      <c r="J79" s="14"/>
      <c r="K79" s="17">
        <v>42452</v>
      </c>
      <c r="L79" s="17">
        <v>42456</v>
      </c>
      <c r="M79" s="25" t="s">
        <v>36</v>
      </c>
      <c r="N79" s="14"/>
      <c r="O79" s="18">
        <v>27.5</v>
      </c>
      <c r="P79" s="19"/>
      <c r="Q79" s="18"/>
      <c r="R79" s="18"/>
      <c r="S79" s="30"/>
      <c r="T79" s="31"/>
      <c r="U79" s="18"/>
      <c r="V79" s="18"/>
      <c r="W79" s="18">
        <f>IF(O79&gt;0,O79,((P79*2.2046*S79)+(Q79+R79)/G79)+V79)</f>
        <v>27.5</v>
      </c>
      <c r="X79" s="18">
        <f>IF(O79&gt;0,O79,((P79*2.2046*S79)+(Q79+R79+T79)/G79)+V79)</f>
        <v>27.5</v>
      </c>
      <c r="Y79" s="21">
        <f t="shared" ref="Y79" si="99">X79*F79</f>
        <v>379082.27499999997</v>
      </c>
      <c r="Z79" s="32">
        <v>42468</v>
      </c>
      <c r="AA79" s="2"/>
      <c r="AB79" s="2"/>
    </row>
    <row r="80" spans="1:28" s="12" customFormat="1" ht="15.75" thickBot="1" x14ac:dyDescent="0.3">
      <c r="A80" s="91"/>
      <c r="B80" s="41"/>
      <c r="C80" s="4"/>
      <c r="D80" s="4"/>
      <c r="E80" s="4"/>
      <c r="F80" s="42"/>
      <c r="G80" s="42"/>
      <c r="H80" s="42"/>
      <c r="I80" s="6"/>
      <c r="J80" s="4"/>
      <c r="K80" s="7"/>
      <c r="L80" s="7"/>
      <c r="M80" s="4"/>
      <c r="N80" s="4"/>
      <c r="O80" s="8"/>
      <c r="P80" s="9"/>
      <c r="Q80" s="8"/>
      <c r="R80" s="8"/>
      <c r="S80" s="8"/>
      <c r="T80" s="8"/>
      <c r="U80" s="8"/>
      <c r="V80" s="8"/>
      <c r="W80" s="8"/>
      <c r="X80" s="8"/>
      <c r="Y80" s="8"/>
      <c r="Z80" s="43"/>
      <c r="AA80" s="2"/>
      <c r="AB80" s="2"/>
    </row>
    <row r="81" spans="1:28" s="12" customFormat="1" x14ac:dyDescent="0.25">
      <c r="A81" s="128"/>
      <c r="B81" s="14" t="s">
        <v>32</v>
      </c>
      <c r="C81" s="14" t="s">
        <v>33</v>
      </c>
      <c r="D81" s="25" t="s">
        <v>1863</v>
      </c>
      <c r="E81" s="14">
        <f>214+55-9</f>
        <v>260</v>
      </c>
      <c r="F81" s="26">
        <f>24115+6150-990</f>
        <v>29275</v>
      </c>
      <c r="G81" s="27">
        <f>11760+11590</f>
        <v>23350</v>
      </c>
      <c r="H81" s="27">
        <f t="shared" ref="H81:H82" si="100">G81-F81</f>
        <v>-5925</v>
      </c>
      <c r="I81" s="25" t="s">
        <v>1864</v>
      </c>
      <c r="J81" s="133" t="s">
        <v>1921</v>
      </c>
      <c r="K81" s="17"/>
      <c r="L81" s="17">
        <v>42456</v>
      </c>
      <c r="M81" s="25" t="s">
        <v>36</v>
      </c>
      <c r="N81" s="14"/>
      <c r="O81" s="18">
        <v>21.8</v>
      </c>
      <c r="P81" s="19"/>
      <c r="Q81" s="29">
        <v>17300</v>
      </c>
      <c r="R81" s="18">
        <f>59.25*E81</f>
        <v>15405</v>
      </c>
      <c r="S81" s="30">
        <f>-35*E81</f>
        <v>-9100</v>
      </c>
      <c r="T81" s="101">
        <f>W81*F81*0.0045</f>
        <v>3741.1193254817981</v>
      </c>
      <c r="U81" s="18">
        <f>E81*5</f>
        <v>1300</v>
      </c>
      <c r="V81" s="14"/>
      <c r="W81" s="18">
        <f>((O81*F81)+Q81+R81+S81+U81)/G81</f>
        <v>28.398286937901499</v>
      </c>
      <c r="X81" s="18">
        <f>((O81*F81)+Q81+R81+S81+T81+U81)/G81</f>
        <v>28.558506180962819</v>
      </c>
      <c r="Y81" s="21">
        <f t="shared" ref="Y81:Y92" si="101">X81*F81</f>
        <v>836050.26844768657</v>
      </c>
      <c r="Z81" s="32">
        <v>42471</v>
      </c>
      <c r="AA81" s="2">
        <v>30.5</v>
      </c>
      <c r="AB81" s="2" t="s">
        <v>1866</v>
      </c>
    </row>
    <row r="82" spans="1:28" s="12" customFormat="1" x14ac:dyDescent="0.25">
      <c r="A82" s="128"/>
      <c r="B82" s="24" t="s">
        <v>32</v>
      </c>
      <c r="C82" s="14" t="s">
        <v>33</v>
      </c>
      <c r="D82" s="25" t="s">
        <v>1510</v>
      </c>
      <c r="E82" s="14">
        <f>214+44</f>
        <v>258</v>
      </c>
      <c r="F82" s="26">
        <f>26525+4565</f>
        <v>31090</v>
      </c>
      <c r="G82" s="27">
        <f>8580+16650</f>
        <v>25230</v>
      </c>
      <c r="H82" s="27">
        <f t="shared" si="100"/>
        <v>-5860</v>
      </c>
      <c r="I82" s="25" t="s">
        <v>1887</v>
      </c>
      <c r="J82" s="14"/>
      <c r="K82" s="17"/>
      <c r="L82" s="17">
        <v>42457</v>
      </c>
      <c r="M82" s="25" t="s">
        <v>39</v>
      </c>
      <c r="N82" s="14"/>
      <c r="O82" s="18">
        <v>21.8</v>
      </c>
      <c r="P82" s="19"/>
      <c r="Q82" s="29">
        <v>17300</v>
      </c>
      <c r="R82" s="18">
        <f>59.25*E82</f>
        <v>15286.5</v>
      </c>
      <c r="S82" s="30">
        <f t="shared" ref="S82" si="102">-35*E82</f>
        <v>-9030</v>
      </c>
      <c r="T82" s="101">
        <f>W82*F82*0.0045</f>
        <v>3896.093626337693</v>
      </c>
      <c r="U82" s="18">
        <f>E82*5</f>
        <v>1290</v>
      </c>
      <c r="V82" s="14"/>
      <c r="W82" s="18">
        <f>((O82*F82)+Q82+R82+S82+U82)/G82</f>
        <v>27.848137138327388</v>
      </c>
      <c r="X82" s="18">
        <f>((O82*F82)+Q82+R82+S82+T82+U82)/G82</f>
        <v>28.002560191293608</v>
      </c>
      <c r="Y82" s="21">
        <f t="shared" si="101"/>
        <v>870599.59634731826</v>
      </c>
      <c r="Z82" s="32">
        <v>42471</v>
      </c>
      <c r="AA82" s="2">
        <v>30.5</v>
      </c>
      <c r="AB82" s="2" t="s">
        <v>1867</v>
      </c>
    </row>
    <row r="83" spans="1:28" s="12" customFormat="1" x14ac:dyDescent="0.25">
      <c r="A83" s="128"/>
      <c r="B83" s="24" t="s">
        <v>25</v>
      </c>
      <c r="C83" s="25" t="s">
        <v>26</v>
      </c>
      <c r="D83" s="25" t="s">
        <v>26</v>
      </c>
      <c r="E83" s="14" t="s">
        <v>27</v>
      </c>
      <c r="F83" s="26">
        <f>41059*0.4536</f>
        <v>18624.362400000002</v>
      </c>
      <c r="G83" s="27">
        <v>18560.13</v>
      </c>
      <c r="H83" s="27">
        <f t="shared" ref="H83" si="103">G83-F83</f>
        <v>-64.23240000000078</v>
      </c>
      <c r="I83" s="25" t="s">
        <v>1720</v>
      </c>
      <c r="J83" s="93" t="s">
        <v>74</v>
      </c>
      <c r="K83" s="17">
        <v>42453</v>
      </c>
      <c r="L83" s="17">
        <v>42458</v>
      </c>
      <c r="M83" s="25" t="s">
        <v>45</v>
      </c>
      <c r="N83" s="25" t="s">
        <v>1723</v>
      </c>
      <c r="O83" s="18"/>
      <c r="P83" s="28">
        <v>0.62929999999999997</v>
      </c>
      <c r="Q83" s="29">
        <v>18500</v>
      </c>
      <c r="R83" s="18">
        <f>8939+5310</f>
        <v>14249</v>
      </c>
      <c r="S83" s="30">
        <v>17.739999999999998</v>
      </c>
      <c r="T83" s="101">
        <f>W83*F83*0.005</f>
        <v>2465.5075258514735</v>
      </c>
      <c r="V83" s="18">
        <v>0.1</v>
      </c>
      <c r="W83" s="18">
        <f>IF(O83&gt;0,O83,((P83*2.2046*S83)+(Q83+R83)/G83)+V83)</f>
        <v>26.476154972709004</v>
      </c>
      <c r="X83" s="18">
        <f>IF(O83&gt;0,O83,((P83*2.2046*S83)+(Q83+R83+T83)/G83)+V83)</f>
        <v>26.608993887406879</v>
      </c>
      <c r="Y83" s="21">
        <f t="shared" ref="Y83" si="104">X83*F83</f>
        <v>495575.54525845055</v>
      </c>
      <c r="Z83" s="32">
        <v>42446</v>
      </c>
      <c r="AA83" s="2"/>
      <c r="AB83" s="2"/>
    </row>
    <row r="84" spans="1:28" s="12" customFormat="1" x14ac:dyDescent="0.25">
      <c r="A84" s="128"/>
      <c r="B84" s="24" t="s">
        <v>25</v>
      </c>
      <c r="C84" s="14" t="s">
        <v>40</v>
      </c>
      <c r="D84" s="14" t="s">
        <v>41</v>
      </c>
      <c r="E84" s="14" t="s">
        <v>63</v>
      </c>
      <c r="F84" s="26">
        <f>36720*0.4536</f>
        <v>16656.191999999999</v>
      </c>
      <c r="G84" s="27">
        <f>18382.4-1789</f>
        <v>16593.400000000001</v>
      </c>
      <c r="H84" s="27">
        <f>G84-F84</f>
        <v>-62.791999999997643</v>
      </c>
      <c r="I84" s="25" t="s">
        <v>1811</v>
      </c>
      <c r="J84" s="93" t="s">
        <v>44</v>
      </c>
      <c r="K84" s="17">
        <v>42457</v>
      </c>
      <c r="L84" s="17">
        <v>42459</v>
      </c>
      <c r="M84" s="25" t="s">
        <v>50</v>
      </c>
      <c r="N84" s="25" t="s">
        <v>1809</v>
      </c>
      <c r="O84" s="18"/>
      <c r="P84" s="28">
        <v>0.63560000000000005</v>
      </c>
      <c r="Q84" s="29">
        <f>(18500*G84)/(G84+G85)</f>
        <v>16699.555009139174</v>
      </c>
      <c r="R84" s="18">
        <f>(8939*G84)/(G84+G85)</f>
        <v>8069.0444446862221</v>
      </c>
      <c r="S84" s="30">
        <v>17.445</v>
      </c>
      <c r="T84" s="101">
        <f t="shared" ref="T84:T88" si="105">W84*F84*0.005</f>
        <v>2168.4176001997357</v>
      </c>
      <c r="V84" s="18">
        <v>0.1</v>
      </c>
      <c r="W84" s="18">
        <f>IF(O84&gt;0,O84,((P84*2.2046*S84)+(Q84+R84)/G84)+V84)</f>
        <v>26.037375171944895</v>
      </c>
      <c r="X84" s="18">
        <f>IF(O84&gt;0,O84,((P84*2.2046*S84)+(Q84+R84+T84)/G84)+V84)</f>
        <v>26.168054695140846</v>
      </c>
      <c r="Y84" s="21">
        <f t="shared" si="101"/>
        <v>435860.1432687674</v>
      </c>
      <c r="Z84" s="32">
        <v>42468</v>
      </c>
      <c r="AA84" s="37"/>
      <c r="AB84" s="37"/>
    </row>
    <row r="85" spans="1:28" s="12" customFormat="1" x14ac:dyDescent="0.25">
      <c r="A85" s="128"/>
      <c r="B85" s="24" t="s">
        <v>66</v>
      </c>
      <c r="C85" s="14" t="s">
        <v>40</v>
      </c>
      <c r="D85" s="25" t="s">
        <v>41</v>
      </c>
      <c r="E85" s="14" t="s">
        <v>832</v>
      </c>
      <c r="F85" s="26">
        <f>3944*0.4536</f>
        <v>1788.9983999999999</v>
      </c>
      <c r="G85" s="27">
        <v>1789</v>
      </c>
      <c r="H85" s="27">
        <f>G85-F85</f>
        <v>1.6000000000531145E-3</v>
      </c>
      <c r="I85" s="25"/>
      <c r="J85" s="14"/>
      <c r="K85" s="17">
        <v>42457</v>
      </c>
      <c r="L85" s="17">
        <v>42459</v>
      </c>
      <c r="M85" s="25" t="s">
        <v>50</v>
      </c>
      <c r="N85" s="25"/>
      <c r="O85" s="18"/>
      <c r="P85" s="28">
        <v>0.36</v>
      </c>
      <c r="Q85" s="29">
        <f>(18500*G85)/(G85+G84)</f>
        <v>1800.4449908608233</v>
      </c>
      <c r="R85" s="18">
        <f>(8939*G85)/(G85+G84)</f>
        <v>869.95555531377829</v>
      </c>
      <c r="S85" s="30">
        <v>17.445</v>
      </c>
      <c r="T85" s="101">
        <f t="shared" si="105"/>
        <v>138.0928464162194</v>
      </c>
      <c r="V85" s="18">
        <v>0.1</v>
      </c>
      <c r="W85" s="18">
        <f>IF(O85&gt;0,O85,((P85*2.2046*S85)+(Q85+R85)/G85)+V85)</f>
        <v>15.438006698744886</v>
      </c>
      <c r="X85" s="18">
        <f>IF(O85&gt;0,O85,((P85*2.2046*S85)+(Q85+R85+T85)/G85)+V85)</f>
        <v>15.515196663203366</v>
      </c>
      <c r="Y85" s="21">
        <f t="shared" si="101"/>
        <v>27756.662006156159</v>
      </c>
      <c r="Z85" s="32">
        <v>42468</v>
      </c>
      <c r="AA85" s="37"/>
      <c r="AB85" s="37"/>
    </row>
    <row r="86" spans="1:28" s="12" customFormat="1" x14ac:dyDescent="0.25">
      <c r="A86" s="128"/>
      <c r="B86" s="24" t="s">
        <v>25</v>
      </c>
      <c r="C86" s="14" t="s">
        <v>40</v>
      </c>
      <c r="D86" s="14" t="s">
        <v>41</v>
      </c>
      <c r="E86" s="14" t="s">
        <v>27</v>
      </c>
      <c r="F86" s="26">
        <f>38973*0.4536</f>
        <v>17678.1528</v>
      </c>
      <c r="G86" s="27">
        <f>19281.99-1648.2</f>
        <v>17633.79</v>
      </c>
      <c r="H86" s="27">
        <f>G86-F86</f>
        <v>-44.36279999999897</v>
      </c>
      <c r="I86" s="25" t="s">
        <v>1812</v>
      </c>
      <c r="J86" s="93" t="s">
        <v>49</v>
      </c>
      <c r="K86" s="17">
        <v>42457</v>
      </c>
      <c r="L86" s="17">
        <v>42459</v>
      </c>
      <c r="M86" s="25" t="s">
        <v>50</v>
      </c>
      <c r="N86" s="25" t="s">
        <v>1809</v>
      </c>
      <c r="O86" s="18"/>
      <c r="P86" s="28">
        <f>0.5356+0.1</f>
        <v>0.63559999999999994</v>
      </c>
      <c r="Q86" s="29">
        <f>(18500*G86)/(G86+G87)</f>
        <v>16918.643511380309</v>
      </c>
      <c r="R86" s="18">
        <f>(8939*G86)/(G86+G87)</f>
        <v>8174.9056404447874</v>
      </c>
      <c r="S86" s="30">
        <v>17.445</v>
      </c>
      <c r="T86" s="101">
        <f t="shared" ref="T86:T87" si="106">W86*F86*0.005</f>
        <v>2295.3079501922125</v>
      </c>
      <c r="V86" s="18">
        <v>0.1</v>
      </c>
      <c r="W86" s="18">
        <f>IF(O86&gt;0,O86,((P86*2.2046*S86)+(Q86+R86)/G86)+V86)</f>
        <v>25.967735160567372</v>
      </c>
      <c r="X86" s="18">
        <f>IF(O86&gt;0,O86,((P86*2.2046*S86)+(Q86+R86+T86)/G86)+V86)</f>
        <v>26.097900482383739</v>
      </c>
      <c r="Y86" s="21">
        <f>X86*F86</f>
        <v>461362.67248677346</v>
      </c>
      <c r="Z86" s="32">
        <v>42468</v>
      </c>
      <c r="AA86" s="37"/>
      <c r="AB86" s="37"/>
    </row>
    <row r="87" spans="1:28" s="12" customFormat="1" x14ac:dyDescent="0.25">
      <c r="A87" s="128"/>
      <c r="B87" s="24" t="s">
        <v>66</v>
      </c>
      <c r="C87" s="14" t="s">
        <v>40</v>
      </c>
      <c r="D87" s="25" t="s">
        <v>41</v>
      </c>
      <c r="E87" s="14" t="s">
        <v>832</v>
      </c>
      <c r="F87" s="26">
        <f>3633*0.4536</f>
        <v>1647.9287999999999</v>
      </c>
      <c r="G87" s="27">
        <f>797.4+850.8</f>
        <v>1648.1999999999998</v>
      </c>
      <c r="H87" s="27">
        <f>G87-F87</f>
        <v>0.27119999999990796</v>
      </c>
      <c r="I87" s="25"/>
      <c r="J87" s="14"/>
      <c r="K87" s="17">
        <v>42457</v>
      </c>
      <c r="L87" s="17">
        <v>42459</v>
      </c>
      <c r="M87" s="25" t="s">
        <v>50</v>
      </c>
      <c r="N87" s="25"/>
      <c r="O87" s="18"/>
      <c r="P87" s="28">
        <v>0.36</v>
      </c>
      <c r="Q87" s="29">
        <f>(18500*G87)/(G87+G86)</f>
        <v>1581.3564886196909</v>
      </c>
      <c r="R87" s="18">
        <f>(8939*G87)/(G87+G86)</f>
        <v>764.09435955521178</v>
      </c>
      <c r="S87" s="30">
        <v>17.445</v>
      </c>
      <c r="T87" s="101">
        <f t="shared" si="106"/>
        <v>126.62987036536644</v>
      </c>
      <c r="V87" s="18">
        <v>0.1</v>
      </c>
      <c r="W87" s="18">
        <f>IF(O87&gt;0,O87,((P87*2.2046*S87)+(Q87+R87)/G87)+V87)</f>
        <v>15.368366687367372</v>
      </c>
      <c r="X87" s="18">
        <f>IF(O87&gt;0,O87,((P87*2.2046*S87)+(Q87+R87+T87)/G87)+V87)</f>
        <v>15.445195877007809</v>
      </c>
      <c r="Y87" s="21">
        <f>X87*F87</f>
        <v>25452.583107362425</v>
      </c>
      <c r="Z87" s="32">
        <v>42468</v>
      </c>
      <c r="AA87" s="37"/>
      <c r="AB87" s="37"/>
    </row>
    <row r="88" spans="1:28" s="12" customFormat="1" x14ac:dyDescent="0.25">
      <c r="A88" s="128"/>
      <c r="B88" s="24" t="s">
        <v>25</v>
      </c>
      <c r="C88" s="25" t="s">
        <v>26</v>
      </c>
      <c r="D88" s="25" t="s">
        <v>26</v>
      </c>
      <c r="E88" s="14" t="s">
        <v>27</v>
      </c>
      <c r="F88" s="26">
        <f>41946*0.4536</f>
        <v>19026.705600000001</v>
      </c>
      <c r="G88" s="27">
        <v>18900</v>
      </c>
      <c r="H88" s="27">
        <f t="shared" ref="H88" si="107">G88-F88</f>
        <v>-126.70560000000114</v>
      </c>
      <c r="I88" s="25" t="s">
        <v>1813</v>
      </c>
      <c r="J88" s="93" t="s">
        <v>44</v>
      </c>
      <c r="K88" s="17">
        <v>42457</v>
      </c>
      <c r="L88" s="17">
        <v>42458</v>
      </c>
      <c r="M88" s="25" t="s">
        <v>45</v>
      </c>
      <c r="N88" s="25" t="s">
        <v>1810</v>
      </c>
      <c r="O88" s="18"/>
      <c r="P88" s="28">
        <f>0.5037+0.1075</f>
        <v>0.61120000000000008</v>
      </c>
      <c r="Q88" s="29">
        <v>18500</v>
      </c>
      <c r="R88" s="18">
        <v>8939</v>
      </c>
      <c r="S88" s="30">
        <v>17.369</v>
      </c>
      <c r="T88" s="101">
        <f t="shared" si="105"/>
        <v>2374.1222999300858</v>
      </c>
      <c r="V88" s="18">
        <v>0.1</v>
      </c>
      <c r="W88" s="18">
        <f t="shared" ref="W88" si="108">IF(O88&gt;0,O88,((P88*2.2046*S88)+(Q88+R88)/G88)+V88)</f>
        <v>24.955684392678947</v>
      </c>
      <c r="X88" s="18">
        <f t="shared" ref="X88" si="109">IF(O88&gt;0,O88,((P88*2.2046*S88)+(Q88+R88+T88)/G88)+V88)</f>
        <v>25.081299329183185</v>
      </c>
      <c r="Y88" s="21">
        <f t="shared" si="101"/>
        <v>477214.49840184598</v>
      </c>
      <c r="Z88" s="32">
        <v>42452</v>
      </c>
      <c r="AA88" s="37"/>
      <c r="AB88" s="37"/>
    </row>
    <row r="89" spans="1:28" s="12" customFormat="1" x14ac:dyDescent="0.25">
      <c r="A89" s="128"/>
      <c r="B89" s="24" t="s">
        <v>32</v>
      </c>
      <c r="C89" s="14" t="s">
        <v>33</v>
      </c>
      <c r="D89" s="25" t="s">
        <v>1863</v>
      </c>
      <c r="E89" s="14">
        <f>216+26+9</f>
        <v>251</v>
      </c>
      <c r="F89" s="26">
        <f>25810+2970+990</f>
        <v>29770</v>
      </c>
      <c r="G89" s="27">
        <f>15980+7590</f>
        <v>23570</v>
      </c>
      <c r="H89" s="27">
        <f>G89-F89</f>
        <v>-6200</v>
      </c>
      <c r="I89" s="25" t="s">
        <v>1871</v>
      </c>
      <c r="J89" s="133" t="s">
        <v>1920</v>
      </c>
      <c r="K89" s="17"/>
      <c r="L89" s="17">
        <v>42458</v>
      </c>
      <c r="M89" s="25" t="s">
        <v>45</v>
      </c>
      <c r="N89" s="14"/>
      <c r="O89" s="18">
        <v>21.8</v>
      </c>
      <c r="P89" s="19"/>
      <c r="Q89" s="29">
        <v>17300</v>
      </c>
      <c r="R89" s="18">
        <f>59.25*E89</f>
        <v>14871.75</v>
      </c>
      <c r="S89" s="30">
        <f t="shared" ref="S89" si="110">-35*E89</f>
        <v>-8785</v>
      </c>
      <c r="T89" s="101">
        <f>W89*F89*0.0045</f>
        <v>3828.7035014319049</v>
      </c>
      <c r="U89" s="18">
        <f>E89*5</f>
        <v>1255</v>
      </c>
      <c r="V89" s="14"/>
      <c r="W89" s="18">
        <f>((O89*F89)+Q89+R89+S89+U89)/G89</f>
        <v>28.579879083580824</v>
      </c>
      <c r="X89" s="18">
        <f>((O89*F89)+Q89+R89+S89+T89+U89)/G89</f>
        <v>28.742318773925831</v>
      </c>
      <c r="Y89" s="21">
        <f t="shared" si="101"/>
        <v>855658.82989977195</v>
      </c>
      <c r="Z89" s="32">
        <v>42472</v>
      </c>
      <c r="AA89" s="37">
        <v>30.5</v>
      </c>
      <c r="AB89" s="37" t="s">
        <v>1880</v>
      </c>
    </row>
    <row r="90" spans="1:28" s="12" customFormat="1" x14ac:dyDescent="0.25">
      <c r="A90" s="128"/>
      <c r="B90" s="24" t="s">
        <v>32</v>
      </c>
      <c r="C90" s="14" t="s">
        <v>68</v>
      </c>
      <c r="D90" s="25" t="s">
        <v>68</v>
      </c>
      <c r="E90" s="14">
        <v>256</v>
      </c>
      <c r="F90" s="26">
        <f>12430+12060</f>
        <v>24490</v>
      </c>
      <c r="G90" s="27">
        <f>9480+9870</f>
        <v>19350</v>
      </c>
      <c r="H90" s="27">
        <f t="shared" ref="H90:H91" si="111">G90-F90</f>
        <v>-5140</v>
      </c>
      <c r="I90" s="25" t="s">
        <v>1870</v>
      </c>
      <c r="J90" s="14"/>
      <c r="K90" s="17">
        <v>42458</v>
      </c>
      <c r="L90" s="17">
        <v>42459</v>
      </c>
      <c r="M90" s="25" t="s">
        <v>50</v>
      </c>
      <c r="N90" s="14"/>
      <c r="O90" s="18">
        <v>21</v>
      </c>
      <c r="P90" s="19"/>
      <c r="Q90" s="29">
        <v>22000</v>
      </c>
      <c r="R90" s="99">
        <f>98*E90</f>
        <v>25088</v>
      </c>
      <c r="S90" s="30">
        <f>-38*E90</f>
        <v>-9728</v>
      </c>
      <c r="T90" s="31"/>
      <c r="U90" s="18">
        <f>E90*10</f>
        <v>2560</v>
      </c>
      <c r="V90" s="14"/>
      <c r="W90" s="18">
        <f>((O90*F90)+Q90+R90+S90+U90)/G90</f>
        <v>28.641343669250645</v>
      </c>
      <c r="X90" s="18">
        <f>((O90*F90)+Q90+R90+S90+T90+U90)/G90</f>
        <v>28.641343669250645</v>
      </c>
      <c r="Y90" s="21">
        <f t="shared" si="101"/>
        <v>701426.50645994826</v>
      </c>
      <c r="Z90" s="32">
        <v>42460</v>
      </c>
      <c r="AA90" s="37">
        <v>30.5</v>
      </c>
      <c r="AB90" s="37" t="s">
        <v>1881</v>
      </c>
    </row>
    <row r="91" spans="1:28" s="12" customFormat="1" x14ac:dyDescent="0.25">
      <c r="A91" s="128"/>
      <c r="B91" s="24" t="s">
        <v>55</v>
      </c>
      <c r="C91" s="14" t="s">
        <v>1903</v>
      </c>
      <c r="D91" s="25" t="s">
        <v>857</v>
      </c>
      <c r="E91" s="14" t="s">
        <v>933</v>
      </c>
      <c r="F91" s="26">
        <v>18669.849999999999</v>
      </c>
      <c r="G91" s="27">
        <v>18672.919999999998</v>
      </c>
      <c r="H91" s="27">
        <f t="shared" si="111"/>
        <v>3.069999999999709</v>
      </c>
      <c r="I91" s="25" t="s">
        <v>1904</v>
      </c>
      <c r="J91" s="14"/>
      <c r="K91" s="17"/>
      <c r="L91" s="17">
        <v>42459</v>
      </c>
      <c r="M91" s="25" t="s">
        <v>50</v>
      </c>
      <c r="N91" s="14"/>
      <c r="O91" s="18">
        <v>38.5</v>
      </c>
      <c r="P91" s="19"/>
      <c r="Q91" s="18"/>
      <c r="R91" s="18"/>
      <c r="S91" s="30"/>
      <c r="T91" s="31"/>
      <c r="U91" s="18"/>
      <c r="V91" s="18"/>
      <c r="W91" s="18">
        <f t="shared" ref="W91" si="112">IF(O91&gt;0,O91,((P91*2.2046*S91)+(Q91+R91)/G91)+V91)</f>
        <v>38.5</v>
      </c>
      <c r="X91" s="18">
        <f t="shared" ref="X91" si="113">IF(O91&gt;0,O91,((P91*2.2046*S91)+(Q91+R91+T91)/G91)+V91)</f>
        <v>38.5</v>
      </c>
      <c r="Y91" s="21">
        <f t="shared" ref="Y91" si="114">X91*F91</f>
        <v>718789.22499999998</v>
      </c>
      <c r="Z91" s="32">
        <v>42480</v>
      </c>
      <c r="AA91" s="37"/>
      <c r="AB91" s="37"/>
    </row>
    <row r="92" spans="1:28" s="12" customFormat="1" x14ac:dyDescent="0.25">
      <c r="A92" s="128"/>
      <c r="B92" s="24" t="s">
        <v>25</v>
      </c>
      <c r="C92" s="25" t="s">
        <v>72</v>
      </c>
      <c r="D92" s="25" t="s">
        <v>72</v>
      </c>
      <c r="E92" s="14" t="s">
        <v>42</v>
      </c>
      <c r="F92" s="26">
        <f>42580*0.4536</f>
        <v>19314.288</v>
      </c>
      <c r="G92" s="27">
        <v>19302.009999999998</v>
      </c>
      <c r="H92" s="27">
        <f>G92-F92</f>
        <v>-12.278000000002066</v>
      </c>
      <c r="I92" s="12" t="s">
        <v>1814</v>
      </c>
      <c r="J92" s="93" t="s">
        <v>44</v>
      </c>
      <c r="K92" s="17">
        <v>42459</v>
      </c>
      <c r="L92" s="17">
        <v>42460</v>
      </c>
      <c r="M92" s="25" t="s">
        <v>65</v>
      </c>
      <c r="N92" s="25" t="s">
        <v>1816</v>
      </c>
      <c r="O92" s="18"/>
      <c r="P92" s="28">
        <f>0.5241+0.105</f>
        <v>0.62909999999999999</v>
      </c>
      <c r="Q92" s="29">
        <v>18500</v>
      </c>
      <c r="R92" s="18">
        <v>8887</v>
      </c>
      <c r="S92" s="30">
        <v>17.39</v>
      </c>
      <c r="T92" s="101">
        <f>W92*F92*0.005</f>
        <v>2475.8309595277606</v>
      </c>
      <c r="V92" s="18">
        <v>0.1</v>
      </c>
      <c r="W92" s="18">
        <f t="shared" ref="W92" si="115">IF(O92&gt;0,O92,((P92*2.2046*S92)+(Q92+R92)/G92)+V92)</f>
        <v>25.637299801346657</v>
      </c>
      <c r="X92" s="18">
        <f t="shared" ref="X92" si="116">IF(O92&gt;0,O92,((P92*2.2046*S92)+(Q92+R92+T92)/G92)+V92)</f>
        <v>25.765567839728554</v>
      </c>
      <c r="Y92" s="21">
        <f t="shared" si="101"/>
        <v>497643.59774005512</v>
      </c>
      <c r="Z92" s="32">
        <v>42452</v>
      </c>
      <c r="AA92" s="37"/>
      <c r="AB92" s="37"/>
    </row>
    <row r="93" spans="1:28" s="12" customFormat="1" x14ac:dyDescent="0.25">
      <c r="A93" s="128"/>
      <c r="B93" s="24" t="s">
        <v>25</v>
      </c>
      <c r="C93" s="25" t="s">
        <v>72</v>
      </c>
      <c r="D93" s="25" t="s">
        <v>72</v>
      </c>
      <c r="E93" s="14" t="s">
        <v>42</v>
      </c>
      <c r="F93" s="26">
        <f>42666*0.4536</f>
        <v>19353.297600000002</v>
      </c>
      <c r="G93" s="27">
        <v>19313.8</v>
      </c>
      <c r="H93" s="27">
        <f>G93-F93</f>
        <v>-39.497600000002421</v>
      </c>
      <c r="I93" s="12" t="s">
        <v>1815</v>
      </c>
      <c r="J93" s="93" t="s">
        <v>44</v>
      </c>
      <c r="K93" s="17">
        <v>42459</v>
      </c>
      <c r="L93" s="17">
        <v>42460</v>
      </c>
      <c r="M93" s="25" t="s">
        <v>65</v>
      </c>
      <c r="N93" s="25" t="s">
        <v>1816</v>
      </c>
      <c r="O93" s="18"/>
      <c r="P93" s="28">
        <v>0.62909999999999999</v>
      </c>
      <c r="Q93" s="29">
        <v>18500</v>
      </c>
      <c r="R93" s="18">
        <v>8887</v>
      </c>
      <c r="S93" s="30">
        <v>17.39</v>
      </c>
      <c r="T93" s="101">
        <f t="shared" ref="T93" si="117">W93*F93*0.005</f>
        <v>2480.7476502718027</v>
      </c>
      <c r="V93" s="18">
        <v>0.1</v>
      </c>
      <c r="W93" s="18">
        <f>IF(O93&gt;0,O93,((P93*2.2046*S93)+(Q93+R93)/G93)+V93)</f>
        <v>25.636433661535825</v>
      </c>
      <c r="X93" s="18">
        <f>IF(O93&gt;0,O93,((P93*2.2046*S93)+(Q93+R93+T93)/G93)+V93)</f>
        <v>25.764877968211458</v>
      </c>
      <c r="Y93" s="21">
        <f>X93*F93</f>
        <v>498635.35094647971</v>
      </c>
      <c r="Z93" s="32">
        <v>42452</v>
      </c>
      <c r="AA93" s="37"/>
      <c r="AB93" s="37"/>
    </row>
    <row r="94" spans="1:28" s="12" customFormat="1" x14ac:dyDescent="0.25">
      <c r="A94" s="128"/>
      <c r="B94" s="24" t="s">
        <v>32</v>
      </c>
      <c r="C94" s="14" t="s">
        <v>33</v>
      </c>
      <c r="D94" s="25" t="s">
        <v>87</v>
      </c>
      <c r="E94" s="14">
        <v>247</v>
      </c>
      <c r="F94" s="26">
        <v>29635</v>
      </c>
      <c r="G94" s="27">
        <f>23790</f>
        <v>23790</v>
      </c>
      <c r="H94" s="27">
        <f t="shared" ref="H94:H95" si="118">G94-F94</f>
        <v>-5845</v>
      </c>
      <c r="I94" s="25" t="s">
        <v>1878</v>
      </c>
      <c r="J94" s="133">
        <v>246</v>
      </c>
      <c r="K94" s="17"/>
      <c r="L94" s="17">
        <v>42460</v>
      </c>
      <c r="M94" s="25" t="s">
        <v>65</v>
      </c>
      <c r="N94" s="14"/>
      <c r="O94" s="18">
        <v>21.8</v>
      </c>
      <c r="P94" s="19"/>
      <c r="Q94" s="29">
        <v>17300</v>
      </c>
      <c r="R94" s="18">
        <f t="shared" ref="R94:R95" si="119">59.25*E94</f>
        <v>14634.75</v>
      </c>
      <c r="S94" s="30">
        <f t="shared" ref="S94:S95" si="120">-35*E94</f>
        <v>-8645</v>
      </c>
      <c r="T94" s="101">
        <f t="shared" ref="T94:T95" si="121">W94*F94*0.0045</f>
        <v>3758.9423590006309</v>
      </c>
      <c r="U94" s="18">
        <f t="shared" ref="U94:U95" si="122">E94*5</f>
        <v>1235</v>
      </c>
      <c r="V94" s="14"/>
      <c r="W94" s="18">
        <f t="shared" ref="W94:W95" si="123">((O94*F94)+Q94+R94+S94+U94)/G94</f>
        <v>28.186958806221103</v>
      </c>
      <c r="X94" s="18">
        <f t="shared" ref="X94:X95" si="124">((O94*F94)+Q94+R94+S94+T94+U94)/G94</f>
        <v>28.344963949516632</v>
      </c>
      <c r="Y94" s="21">
        <f t="shared" ref="Y94:Y95" si="125">X94*F94</f>
        <v>840003.00664392544</v>
      </c>
      <c r="Z94" s="32">
        <v>42473</v>
      </c>
      <c r="AA94" s="37">
        <v>30.5</v>
      </c>
      <c r="AB94" s="37" t="s">
        <v>1885</v>
      </c>
    </row>
    <row r="95" spans="1:28" s="12" customFormat="1" x14ac:dyDescent="0.25">
      <c r="A95" s="128"/>
      <c r="B95" s="24" t="s">
        <v>32</v>
      </c>
      <c r="C95" s="14" t="s">
        <v>33</v>
      </c>
      <c r="D95" s="25" t="s">
        <v>1102</v>
      </c>
      <c r="E95" s="14">
        <v>249</v>
      </c>
      <c r="F95" s="26">
        <v>30295</v>
      </c>
      <c r="G95" s="27">
        <v>24560</v>
      </c>
      <c r="H95" s="27">
        <f t="shared" si="118"/>
        <v>-5735</v>
      </c>
      <c r="I95" s="25" t="s">
        <v>1879</v>
      </c>
      <c r="J95" s="133">
        <v>250</v>
      </c>
      <c r="K95" s="17"/>
      <c r="L95" s="17">
        <v>42460</v>
      </c>
      <c r="M95" s="25" t="s">
        <v>65</v>
      </c>
      <c r="N95" s="14"/>
      <c r="O95" s="18">
        <v>21.8</v>
      </c>
      <c r="P95" s="19"/>
      <c r="Q95" s="29">
        <v>17300</v>
      </c>
      <c r="R95" s="18">
        <f t="shared" si="119"/>
        <v>14753.25</v>
      </c>
      <c r="S95" s="30">
        <f t="shared" si="120"/>
        <v>-8715</v>
      </c>
      <c r="T95" s="101">
        <f t="shared" si="121"/>
        <v>3802.3729709639656</v>
      </c>
      <c r="U95" s="18">
        <f t="shared" si="122"/>
        <v>1245</v>
      </c>
      <c r="V95" s="14"/>
      <c r="W95" s="18">
        <f t="shared" si="123"/>
        <v>27.891459690553745</v>
      </c>
      <c r="X95" s="18">
        <f t="shared" si="124"/>
        <v>28.046279436928501</v>
      </c>
      <c r="Y95" s="21">
        <f t="shared" si="125"/>
        <v>849662.03554174898</v>
      </c>
      <c r="Z95" s="32">
        <v>42473</v>
      </c>
      <c r="AA95" s="37">
        <v>30.5</v>
      </c>
      <c r="AB95" s="37"/>
    </row>
    <row r="96" spans="1:28" s="12" customFormat="1" ht="15.75" thickBot="1" x14ac:dyDescent="0.3">
      <c r="A96" s="128"/>
      <c r="B96" s="41"/>
      <c r="C96" s="4"/>
      <c r="D96" s="4"/>
      <c r="E96" s="4"/>
      <c r="F96" s="42"/>
      <c r="G96" s="42"/>
      <c r="H96" s="42"/>
      <c r="I96" s="6"/>
      <c r="J96" s="4"/>
      <c r="K96" s="7"/>
      <c r="L96" s="7"/>
      <c r="M96" s="4"/>
      <c r="N96" s="4"/>
      <c r="O96" s="8"/>
      <c r="P96" s="9"/>
      <c r="Q96" s="8"/>
      <c r="R96" s="8"/>
      <c r="S96" s="8"/>
      <c r="T96" s="8"/>
      <c r="U96" s="8"/>
      <c r="V96" s="8"/>
      <c r="W96" s="8"/>
      <c r="X96" s="8"/>
      <c r="Y96" s="8"/>
      <c r="Z96" s="43"/>
      <c r="AA96" s="2"/>
      <c r="AB9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5"/>
  <sheetViews>
    <sheetView topLeftCell="A76" zoomScale="74" zoomScaleNormal="74" workbookViewId="0">
      <selection activeCell="I99" sqref="I99"/>
    </sheetView>
  </sheetViews>
  <sheetFormatPr baseColWidth="10" defaultRowHeight="15" x14ac:dyDescent="0.25"/>
  <cols>
    <col min="1" max="1" width="2.42578125" customWidth="1"/>
    <col min="2" max="2" width="15.7109375" customWidth="1"/>
    <col min="3" max="3" width="11" bestFit="1" customWidth="1"/>
    <col min="4" max="4" width="17.7109375" bestFit="1" customWidth="1"/>
    <col min="5" max="5" width="11" bestFit="1" customWidth="1"/>
    <col min="8" max="8" width="11" bestFit="1" customWidth="1"/>
    <col min="13" max="13" width="4" customWidth="1"/>
    <col min="17" max="17" width="11.85546875" customWidth="1"/>
    <col min="18" max="18" width="12.42578125" customWidth="1"/>
    <col min="19" max="19" width="13.5703125" customWidth="1"/>
    <col min="23" max="23" width="0" hidden="1" customWidth="1"/>
    <col min="25" max="25" width="16.140625" customWidth="1"/>
    <col min="26" max="26" width="12" bestFit="1" customWidth="1"/>
  </cols>
  <sheetData>
    <row r="1" spans="1:28" x14ac:dyDescent="0.25">
      <c r="A1" s="1" t="s">
        <v>1688</v>
      </c>
      <c r="AA1" s="2"/>
      <c r="AB1" s="2"/>
    </row>
    <row r="2" spans="1:28" s="12" customFormat="1" ht="45.7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4" t="s">
        <v>9</v>
      </c>
      <c r="K2" s="7" t="s">
        <v>10</v>
      </c>
      <c r="L2" s="7" t="s">
        <v>11</v>
      </c>
      <c r="M2" s="4" t="s">
        <v>12</v>
      </c>
      <c r="N2" s="4" t="s">
        <v>13</v>
      </c>
      <c r="O2" s="8" t="s">
        <v>14</v>
      </c>
      <c r="P2" s="9" t="s">
        <v>15</v>
      </c>
      <c r="Q2" s="8" t="s">
        <v>16</v>
      </c>
      <c r="R2" s="10" t="s">
        <v>17</v>
      </c>
      <c r="S2" s="10" t="s">
        <v>18</v>
      </c>
      <c r="T2" s="10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1" t="s">
        <v>24</v>
      </c>
      <c r="Z2" s="8"/>
      <c r="AA2" s="2"/>
      <c r="AB2" s="2"/>
    </row>
    <row r="3" spans="1:28" s="12" customFormat="1" x14ac:dyDescent="0.25">
      <c r="A3" s="128"/>
      <c r="B3" s="24" t="s">
        <v>25</v>
      </c>
      <c r="C3" s="25" t="s">
        <v>72</v>
      </c>
      <c r="D3" s="25" t="s">
        <v>72</v>
      </c>
      <c r="E3" s="14" t="s">
        <v>42</v>
      </c>
      <c r="F3" s="26">
        <f>42912*0.4536</f>
        <v>19464.8832</v>
      </c>
      <c r="G3" s="27">
        <v>19415.66</v>
      </c>
      <c r="H3" s="27">
        <f t="shared" ref="H3:H9" si="0">G3-F3</f>
        <v>-49.223200000000361</v>
      </c>
      <c r="I3" s="12" t="s">
        <v>1817</v>
      </c>
      <c r="J3" s="93" t="s">
        <v>29</v>
      </c>
      <c r="K3" s="17">
        <v>42460</v>
      </c>
      <c r="L3" s="17">
        <v>42461</v>
      </c>
      <c r="M3" s="25" t="s">
        <v>84</v>
      </c>
      <c r="N3" s="25" t="s">
        <v>1822</v>
      </c>
      <c r="O3" s="18"/>
      <c r="P3" s="28">
        <f>0.5268+0.105</f>
        <v>0.63180000000000003</v>
      </c>
      <c r="Q3" s="29">
        <v>18500</v>
      </c>
      <c r="R3" s="18">
        <v>8887</v>
      </c>
      <c r="S3" s="30">
        <v>17.39</v>
      </c>
      <c r="T3" s="101">
        <f>W3*F3*0.005</f>
        <v>2504.4012170507935</v>
      </c>
      <c r="V3" s="18">
        <v>0.1</v>
      </c>
      <c r="W3" s="18">
        <f>IF(O3&gt;0,O3,((P3*2.2046*S3)+(Q3+R3)/G3)+V3)</f>
        <v>25.732507010890188</v>
      </c>
      <c r="X3" s="18">
        <f>IF(O3&gt;0,O3,((P3*2.2046*S3)+(Q3+R3+T3)/G3)+V3)</f>
        <v>25.861495735303926</v>
      </c>
      <c r="Y3" s="21">
        <f t="shared" ref="Y3:Y9" si="1">X3*F3</f>
        <v>503390.99386498902</v>
      </c>
      <c r="Z3" s="32">
        <v>42452</v>
      </c>
      <c r="AA3" s="2"/>
      <c r="AB3" s="2"/>
    </row>
    <row r="4" spans="1:28" s="12" customFormat="1" x14ac:dyDescent="0.25">
      <c r="A4" s="128"/>
      <c r="B4" s="24" t="s">
        <v>25</v>
      </c>
      <c r="C4" s="25" t="s">
        <v>72</v>
      </c>
      <c r="D4" s="25" t="s">
        <v>72</v>
      </c>
      <c r="E4" s="14" t="s">
        <v>42</v>
      </c>
      <c r="F4" s="26">
        <f>42598*0.4536</f>
        <v>19322.452799999999</v>
      </c>
      <c r="G4" s="27">
        <v>19271.060000000001</v>
      </c>
      <c r="H4" s="27">
        <f t="shared" si="0"/>
        <v>-51.392799999997806</v>
      </c>
      <c r="I4" s="12" t="s">
        <v>1818</v>
      </c>
      <c r="J4" s="93" t="s">
        <v>91</v>
      </c>
      <c r="K4" s="17">
        <v>42460</v>
      </c>
      <c r="L4" s="17">
        <v>42461</v>
      </c>
      <c r="M4" s="25" t="s">
        <v>84</v>
      </c>
      <c r="N4" s="25" t="s">
        <v>1822</v>
      </c>
      <c r="O4" s="18"/>
      <c r="P4" s="28">
        <v>0.63180000000000003</v>
      </c>
      <c r="Q4" s="29">
        <v>18500</v>
      </c>
      <c r="R4" s="18">
        <v>8887</v>
      </c>
      <c r="S4" s="30">
        <v>17.39</v>
      </c>
      <c r="T4" s="101">
        <f>W4*F4*0.005</f>
        <v>2487.0983170736968</v>
      </c>
      <c r="V4" s="18">
        <v>0.1</v>
      </c>
      <c r="W4" s="18">
        <f>IF(O4&gt;0,O4,((P4*2.2046*S4)+(Q4+R4)/G4)+V4)</f>
        <v>25.743091136687337</v>
      </c>
      <c r="X4" s="18">
        <f>IF(O4&gt;0,O4,((P4*2.2046*S4)+(Q4+R4+T4)/G4)+V4)</f>
        <v>25.87214985567185</v>
      </c>
      <c r="Y4" s="21">
        <f t="shared" si="1"/>
        <v>499913.39442074613</v>
      </c>
      <c r="Z4" s="32">
        <v>42452</v>
      </c>
      <c r="AA4" s="2"/>
      <c r="AB4" s="2"/>
    </row>
    <row r="5" spans="1:28" s="12" customFormat="1" x14ac:dyDescent="0.25">
      <c r="A5" s="128"/>
      <c r="B5" s="24" t="s">
        <v>32</v>
      </c>
      <c r="C5" s="14" t="s">
        <v>33</v>
      </c>
      <c r="D5" s="25" t="s">
        <v>87</v>
      </c>
      <c r="E5" s="14">
        <v>249</v>
      </c>
      <c r="F5" s="26">
        <v>29720</v>
      </c>
      <c r="G5" s="27">
        <v>23840</v>
      </c>
      <c r="H5" s="27">
        <f t="shared" si="0"/>
        <v>-5880</v>
      </c>
      <c r="I5" s="25" t="s">
        <v>1888</v>
      </c>
      <c r="J5" s="14"/>
      <c r="K5" s="17"/>
      <c r="L5" s="17">
        <v>42461</v>
      </c>
      <c r="M5" s="25" t="s">
        <v>84</v>
      </c>
      <c r="N5" s="14"/>
      <c r="O5" s="18">
        <v>21.8</v>
      </c>
      <c r="P5" s="19"/>
      <c r="Q5" s="29">
        <v>17300</v>
      </c>
      <c r="R5" s="18">
        <f>59.25*E5</f>
        <v>14753.25</v>
      </c>
      <c r="S5" s="145">
        <f>-35*E5</f>
        <v>-8715</v>
      </c>
      <c r="T5" s="101">
        <f>W5*F5*0.0045</f>
        <v>3772.5408932466435</v>
      </c>
      <c r="U5" s="18">
        <f>E5*5</f>
        <v>1245</v>
      </c>
      <c r="V5" s="14"/>
      <c r="W5" s="18">
        <f>((O5*F5)+Q5+R5+S5+U5)/G5</f>
        <v>28.208022231543623</v>
      </c>
      <c r="X5" s="18">
        <f>((O5*F5)+Q5+R5+S5+T5+U5)/G5</f>
        <v>28.366266396528804</v>
      </c>
      <c r="Y5" s="21">
        <f t="shared" si="1"/>
        <v>843045.437304836</v>
      </c>
      <c r="Z5" s="32">
        <v>42443</v>
      </c>
      <c r="AA5" s="2"/>
      <c r="AB5" s="2"/>
    </row>
    <row r="6" spans="1:28" s="12" customFormat="1" x14ac:dyDescent="0.25">
      <c r="A6" s="128"/>
      <c r="B6" s="24" t="s">
        <v>855</v>
      </c>
      <c r="C6" s="14" t="s">
        <v>856</v>
      </c>
      <c r="D6" s="25" t="s">
        <v>1902</v>
      </c>
      <c r="E6" s="14" t="s">
        <v>2073</v>
      </c>
      <c r="F6" s="26">
        <v>18038.900000000001</v>
      </c>
      <c r="G6" s="27">
        <v>18038</v>
      </c>
      <c r="H6" s="27">
        <f t="shared" si="0"/>
        <v>-0.90000000000145519</v>
      </c>
      <c r="I6" s="25" t="s">
        <v>2072</v>
      </c>
      <c r="J6" s="14"/>
      <c r="K6" s="17"/>
      <c r="L6" s="17">
        <v>42461</v>
      </c>
      <c r="M6" s="25" t="s">
        <v>84</v>
      </c>
      <c r="N6" s="14"/>
      <c r="O6" s="18">
        <v>80.5</v>
      </c>
      <c r="P6" s="19"/>
      <c r="Q6" s="18"/>
      <c r="R6" s="18"/>
      <c r="S6" s="30"/>
      <c r="T6" s="31"/>
      <c r="U6" s="18"/>
      <c r="V6" s="18"/>
      <c r="W6" s="18">
        <f>IF(O6&gt;0,O6,((P6*2.2046*S6)+(Q6+R6)/G6)+V6)</f>
        <v>80.5</v>
      </c>
      <c r="X6" s="18">
        <f>IF(O6&gt;0,O6,((P6*2.2046*S6)+(Q6+R6+T6)/G6)+V6)</f>
        <v>80.5</v>
      </c>
      <c r="Y6" s="21">
        <f t="shared" si="1"/>
        <v>1452131.4500000002</v>
      </c>
      <c r="Z6" s="32">
        <v>42480</v>
      </c>
      <c r="AA6" s="2"/>
      <c r="AB6" s="2"/>
    </row>
    <row r="7" spans="1:28" s="12" customFormat="1" x14ac:dyDescent="0.25">
      <c r="A7" s="128"/>
      <c r="B7" s="24" t="s">
        <v>25</v>
      </c>
      <c r="C7" s="25" t="s">
        <v>26</v>
      </c>
      <c r="D7" s="25" t="s">
        <v>26</v>
      </c>
      <c r="E7" s="14" t="s">
        <v>27</v>
      </c>
      <c r="F7" s="26">
        <f>42195*0.4536</f>
        <v>19139.652000000002</v>
      </c>
      <c r="G7" s="27">
        <v>19130.13</v>
      </c>
      <c r="H7" s="27">
        <f t="shared" si="0"/>
        <v>-9.522000000000844</v>
      </c>
      <c r="I7" s="39" t="s">
        <v>1820</v>
      </c>
      <c r="J7" s="93" t="s">
        <v>44</v>
      </c>
      <c r="K7" s="17">
        <v>42461</v>
      </c>
      <c r="L7" s="17">
        <v>42462</v>
      </c>
      <c r="M7" s="25" t="s">
        <v>30</v>
      </c>
      <c r="N7" s="25" t="s">
        <v>1823</v>
      </c>
      <c r="O7" s="18"/>
      <c r="P7" s="28">
        <v>0.62429999999999997</v>
      </c>
      <c r="Q7" s="29">
        <v>18500</v>
      </c>
      <c r="R7" s="18">
        <v>15900</v>
      </c>
      <c r="S7" s="30">
        <v>17.39</v>
      </c>
      <c r="T7" s="101">
        <f>W7*F7*0.005</f>
        <v>2472.1367968344734</v>
      </c>
      <c r="V7" s="18">
        <v>0.1</v>
      </c>
      <c r="W7" s="18">
        <f>IF(O7&gt;0,O7,((P7*2.2046*S7)+(Q7+R7)/G7)+V7)</f>
        <v>25.832620121144032</v>
      </c>
      <c r="X7" s="18">
        <f>IF(O7&gt;0,O7,((P7*2.2046*S7)+(Q7+R7+T7)/G7)+V7)</f>
        <v>25.961847512533136</v>
      </c>
      <c r="Y7" s="21">
        <f t="shared" si="1"/>
        <v>496900.72666694992</v>
      </c>
      <c r="Z7" s="32">
        <v>42452</v>
      </c>
      <c r="AA7" s="2"/>
      <c r="AB7" s="2" t="s">
        <v>1906</v>
      </c>
    </row>
    <row r="8" spans="1:28" s="12" customFormat="1" x14ac:dyDescent="0.25">
      <c r="A8" s="128"/>
      <c r="B8" s="24" t="s">
        <v>25</v>
      </c>
      <c r="C8" s="25" t="s">
        <v>72</v>
      </c>
      <c r="D8" s="25" t="s">
        <v>72</v>
      </c>
      <c r="E8" s="14" t="s">
        <v>42</v>
      </c>
      <c r="F8" s="26">
        <f>42892*0.4536</f>
        <v>19455.8112</v>
      </c>
      <c r="G8" s="27">
        <v>19445.64</v>
      </c>
      <c r="H8" s="27">
        <f t="shared" si="0"/>
        <v>-10.171200000000681</v>
      </c>
      <c r="I8" s="12" t="s">
        <v>1819</v>
      </c>
      <c r="J8" s="93" t="s">
        <v>44</v>
      </c>
      <c r="K8" s="17">
        <v>42461</v>
      </c>
      <c r="L8" s="17">
        <v>42462</v>
      </c>
      <c r="M8" s="25" t="s">
        <v>30</v>
      </c>
      <c r="N8" s="25" t="s">
        <v>1824</v>
      </c>
      <c r="O8" s="18"/>
      <c r="P8" s="28">
        <f>0.537+0.105</f>
        <v>0.64200000000000002</v>
      </c>
      <c r="Q8" s="29">
        <v>18500</v>
      </c>
      <c r="R8" s="18">
        <v>8900</v>
      </c>
      <c r="S8" s="30">
        <v>17.524000000000001</v>
      </c>
      <c r="T8" s="101">
        <f>W8*F8*0.005</f>
        <v>2559.5778919651389</v>
      </c>
      <c r="V8" s="18">
        <v>0.1</v>
      </c>
      <c r="W8" s="18">
        <f>IF(O8&gt;0,O8,((P8*2.2046*S8)+(Q8+R8)/G8)+V8)</f>
        <v>26.311705697114689</v>
      </c>
      <c r="X8" s="18">
        <f>IF(O8&gt;0,O8,((P8*2.2046*S8)+(Q8+R8+T8)/G8)+V8)</f>
        <v>26.443333038357515</v>
      </c>
      <c r="Y8" s="21">
        <f t="shared" si="1"/>
        <v>514476.49509300618</v>
      </c>
      <c r="Z8" s="32">
        <v>42457</v>
      </c>
      <c r="AA8" s="2"/>
    </row>
    <row r="9" spans="1:28" s="12" customFormat="1" x14ac:dyDescent="0.25">
      <c r="A9" s="128"/>
      <c r="B9" s="24" t="s">
        <v>25</v>
      </c>
      <c r="C9" s="25" t="s">
        <v>40</v>
      </c>
      <c r="D9" s="25" t="s">
        <v>41</v>
      </c>
      <c r="E9" s="14" t="s">
        <v>831</v>
      </c>
      <c r="F9" s="26">
        <f>40632*0.4536</f>
        <v>18430.675200000001</v>
      </c>
      <c r="G9" s="27">
        <v>18934.189999999999</v>
      </c>
      <c r="H9" s="27">
        <f t="shared" si="0"/>
        <v>503.51479999999719</v>
      </c>
      <c r="I9" s="94" t="s">
        <v>1821</v>
      </c>
      <c r="J9" s="93" t="s">
        <v>991</v>
      </c>
      <c r="K9" s="17">
        <v>42461</v>
      </c>
      <c r="L9" s="17">
        <v>42463</v>
      </c>
      <c r="M9" s="25" t="s">
        <v>36</v>
      </c>
      <c r="N9" s="25" t="s">
        <v>1825</v>
      </c>
      <c r="O9" s="18"/>
      <c r="P9" s="28">
        <f>0.5268+0.1</f>
        <v>0.62680000000000002</v>
      </c>
      <c r="Q9" s="29">
        <v>20800</v>
      </c>
      <c r="R9" s="18">
        <f>8900+2655</f>
        <v>11555</v>
      </c>
      <c r="S9" s="30">
        <v>17.445</v>
      </c>
      <c r="T9" s="101">
        <f>W9*F9*0.005</f>
        <v>2388.1611480193465</v>
      </c>
      <c r="V9" s="18">
        <v>0.1</v>
      </c>
      <c r="W9" s="18">
        <f>IF(O9&gt;0,O9,((P9*2.2046*S9)+(Q9+R9)/G9)+V9)</f>
        <v>25.915069546875266</v>
      </c>
      <c r="X9" s="18">
        <f>IF(O9&gt;0,O9,((P9*2.2046*S9)+(Q9+R9+T9)/G9)+V9)</f>
        <v>26.041199111859001</v>
      </c>
      <c r="Y9" s="21">
        <f t="shared" si="1"/>
        <v>479956.88264920173</v>
      </c>
      <c r="Z9" s="32">
        <v>42473</v>
      </c>
      <c r="AA9" s="37"/>
      <c r="AB9" s="37"/>
    </row>
    <row r="10" spans="1:28" s="12" customFormat="1" ht="15.75" thickBot="1" x14ac:dyDescent="0.3">
      <c r="A10" s="128"/>
      <c r="B10" s="41"/>
      <c r="C10" s="4"/>
      <c r="D10" s="4"/>
      <c r="E10" s="4"/>
      <c r="F10" s="42"/>
      <c r="G10" s="42"/>
      <c r="H10" s="42"/>
      <c r="I10" s="6"/>
      <c r="J10" s="4"/>
      <c r="K10" s="7"/>
      <c r="L10" s="7"/>
      <c r="M10" s="4"/>
      <c r="N10" s="4"/>
      <c r="O10" s="8"/>
      <c r="P10" s="9"/>
      <c r="Q10" s="8"/>
      <c r="R10" s="8"/>
      <c r="S10" s="8"/>
      <c r="T10" s="8"/>
      <c r="U10" s="8"/>
      <c r="V10" s="8"/>
      <c r="W10" s="8"/>
      <c r="X10" s="8"/>
      <c r="Y10" s="8"/>
      <c r="Z10" s="43"/>
      <c r="AA10" s="2"/>
      <c r="AB10" s="2"/>
    </row>
    <row r="11" spans="1:28" s="12" customFormat="1" x14ac:dyDescent="0.25">
      <c r="A11" s="91"/>
      <c r="B11" s="14" t="s">
        <v>32</v>
      </c>
      <c r="C11" s="14" t="s">
        <v>33</v>
      </c>
      <c r="D11" s="25" t="s">
        <v>1102</v>
      </c>
      <c r="E11" s="14">
        <v>260</v>
      </c>
      <c r="F11" s="26">
        <v>30730</v>
      </c>
      <c r="G11" s="27">
        <f>12200+12290</f>
        <v>24490</v>
      </c>
      <c r="H11" s="27">
        <f t="shared" ref="H11:H28" si="2">G11-F11</f>
        <v>-6240</v>
      </c>
      <c r="I11" s="25" t="s">
        <v>1941</v>
      </c>
      <c r="J11" s="14"/>
      <c r="K11" s="17"/>
      <c r="L11" s="17">
        <v>42463</v>
      </c>
      <c r="M11" s="25" t="s">
        <v>36</v>
      </c>
      <c r="N11" s="14"/>
      <c r="O11" s="18">
        <v>21.8</v>
      </c>
      <c r="P11" s="19"/>
      <c r="Q11" s="29">
        <v>17300</v>
      </c>
      <c r="R11" s="18">
        <f>59.25*E11</f>
        <v>15405</v>
      </c>
      <c r="S11" s="30">
        <f>-35*E11</f>
        <v>-9100</v>
      </c>
      <c r="T11" s="101">
        <f>W11*F11*0.0045</f>
        <v>3923.3583264597792</v>
      </c>
      <c r="U11" s="18">
        <f>E11*5</f>
        <v>1300</v>
      </c>
      <c r="V11" s="14"/>
      <c r="W11" s="18">
        <f>((O11*F11)+Q11+R11+S11+U11)/G11</f>
        <v>28.371539403838302</v>
      </c>
      <c r="X11" s="18">
        <f>((O11*F11)+Q11+R11+S11+T11+U11)/G11</f>
        <v>28.531741867148213</v>
      </c>
      <c r="Y11" s="21">
        <f t="shared" ref="Y11:Y28" si="3">X11*F11</f>
        <v>876780.42757746461</v>
      </c>
      <c r="Z11" s="32">
        <v>42478</v>
      </c>
      <c r="AA11" s="2">
        <v>30.5</v>
      </c>
      <c r="AB11" s="2" t="s">
        <v>1946</v>
      </c>
    </row>
    <row r="12" spans="1:28" s="12" customFormat="1" x14ac:dyDescent="0.25">
      <c r="A12" s="91"/>
      <c r="B12" s="24" t="s">
        <v>32</v>
      </c>
      <c r="C12" s="14" t="s">
        <v>33</v>
      </c>
      <c r="D12" s="25" t="s">
        <v>1475</v>
      </c>
      <c r="E12" s="14">
        <v>250</v>
      </c>
      <c r="F12" s="26">
        <v>28480</v>
      </c>
      <c r="G12" s="27">
        <f>6380+16230</f>
        <v>22610</v>
      </c>
      <c r="H12" s="27">
        <f t="shared" si="2"/>
        <v>-5870</v>
      </c>
      <c r="I12" s="25" t="s">
        <v>1942</v>
      </c>
      <c r="J12" s="14"/>
      <c r="K12" s="17"/>
      <c r="L12" s="17">
        <v>42464</v>
      </c>
      <c r="M12" s="25" t="s">
        <v>39</v>
      </c>
      <c r="N12" s="14"/>
      <c r="O12" s="18">
        <v>21.8</v>
      </c>
      <c r="P12" s="19"/>
      <c r="Q12" s="29">
        <v>17300</v>
      </c>
      <c r="R12" s="18">
        <f>59.25*E12</f>
        <v>14812.5</v>
      </c>
      <c r="S12" s="30">
        <f>-35*E12</f>
        <v>-8750</v>
      </c>
      <c r="T12" s="101">
        <f>W12*F12*0.0045</f>
        <v>3658.7469367536482</v>
      </c>
      <c r="U12" s="18">
        <f>E12*5</f>
        <v>1250</v>
      </c>
      <c r="V12" s="14"/>
      <c r="W12" s="18">
        <f>((O12*F12)+Q12+R12+S12+U12)/G12</f>
        <v>28.548275099513489</v>
      </c>
      <c r="X12" s="18">
        <f>((O12*F12)+Q12+R12+S12+T12+U12)/G12</f>
        <v>28.710094955185919</v>
      </c>
      <c r="Y12" s="21">
        <f t="shared" si="3"/>
        <v>817663.50432369497</v>
      </c>
      <c r="Z12" s="32">
        <v>42478</v>
      </c>
      <c r="AA12" s="2">
        <v>30.5</v>
      </c>
      <c r="AB12" s="2" t="s">
        <v>1947</v>
      </c>
    </row>
    <row r="13" spans="1:28" s="12" customFormat="1" x14ac:dyDescent="0.25">
      <c r="A13" s="91"/>
      <c r="B13" s="24" t="s">
        <v>25</v>
      </c>
      <c r="C13" s="14" t="s">
        <v>856</v>
      </c>
      <c r="D13" s="25" t="s">
        <v>886</v>
      </c>
      <c r="E13" s="14" t="s">
        <v>27</v>
      </c>
      <c r="F13" s="26">
        <v>18285.07</v>
      </c>
      <c r="G13" s="27">
        <v>18188.28</v>
      </c>
      <c r="H13" s="27">
        <f t="shared" si="2"/>
        <v>-96.790000000000873</v>
      </c>
      <c r="I13" s="25" t="s">
        <v>2134</v>
      </c>
      <c r="J13" s="14"/>
      <c r="K13" s="17"/>
      <c r="L13" s="17">
        <v>42464</v>
      </c>
      <c r="M13" s="25" t="s">
        <v>39</v>
      </c>
      <c r="N13" s="14"/>
      <c r="O13" s="18">
        <v>27.5</v>
      </c>
      <c r="P13" s="19"/>
      <c r="Q13" s="18"/>
      <c r="R13" s="18"/>
      <c r="S13" s="30"/>
      <c r="T13" s="31"/>
      <c r="U13" s="18"/>
      <c r="V13" s="18"/>
      <c r="W13" s="18">
        <f>IF(O13&gt;0,O13,((P13*2.2046*S13)+(Q13+R13)/G13)+V13)</f>
        <v>27.5</v>
      </c>
      <c r="X13" s="18">
        <f>IF(O13&gt;0,O13,((P13*2.2046*S13)+(Q13+R13+T13)/G13)+V13)</f>
        <v>27.5</v>
      </c>
      <c r="Y13" s="21">
        <f t="shared" si="3"/>
        <v>502839.42499999999</v>
      </c>
      <c r="Z13" s="32">
        <v>42478</v>
      </c>
      <c r="AA13" s="2"/>
      <c r="AB13" s="2"/>
    </row>
    <row r="14" spans="1:28" s="12" customFormat="1" x14ac:dyDescent="0.25">
      <c r="A14" s="91"/>
      <c r="B14" s="24" t="s">
        <v>25</v>
      </c>
      <c r="C14" s="25" t="s">
        <v>72</v>
      </c>
      <c r="D14" s="25" t="s">
        <v>72</v>
      </c>
      <c r="E14" s="14" t="s">
        <v>42</v>
      </c>
      <c r="F14" s="26">
        <f>42646*0.4536</f>
        <v>19344.225600000002</v>
      </c>
      <c r="G14" s="27">
        <v>19291.080000000002</v>
      </c>
      <c r="H14" s="27">
        <f t="shared" si="2"/>
        <v>-53.145599999999831</v>
      </c>
      <c r="I14" s="12" t="s">
        <v>1893</v>
      </c>
      <c r="J14" s="93" t="s">
        <v>44</v>
      </c>
      <c r="K14" s="17">
        <v>42464</v>
      </c>
      <c r="L14" s="17">
        <v>42465</v>
      </c>
      <c r="M14" s="25" t="s">
        <v>45</v>
      </c>
      <c r="N14" s="25" t="s">
        <v>1889</v>
      </c>
      <c r="O14" s="18"/>
      <c r="P14" s="28">
        <f>0.5473+0.105</f>
        <v>0.65229999999999999</v>
      </c>
      <c r="Q14" s="29">
        <v>18500</v>
      </c>
      <c r="R14" s="18">
        <v>8913</v>
      </c>
      <c r="S14" s="30">
        <v>17.399999999999999</v>
      </c>
      <c r="T14" s="101">
        <f>W14*F14*0.005</f>
        <v>2567.2953583387603</v>
      </c>
      <c r="V14" s="18">
        <v>0.1</v>
      </c>
      <c r="W14" s="18">
        <f>IF(O14&gt;0,O14,((P14*2.2046*S14)+(Q14+R14)/G14)+V14)</f>
        <v>26.543273547624054</v>
      </c>
      <c r="X14" s="18">
        <f>IF(O14&gt;0,O14,((P14*2.2046*S14)+(Q14+R14+T14)/G14)+V14)</f>
        <v>26.676355539836969</v>
      </c>
      <c r="Y14" s="21">
        <f t="shared" si="3"/>
        <v>516033.43974841613</v>
      </c>
      <c r="Z14" s="32">
        <v>42459</v>
      </c>
      <c r="AA14" s="37"/>
      <c r="AB14" s="37"/>
    </row>
    <row r="15" spans="1:28" s="12" customFormat="1" x14ac:dyDescent="0.25">
      <c r="A15" s="91"/>
      <c r="B15" s="24" t="s">
        <v>25</v>
      </c>
      <c r="C15" s="25" t="s">
        <v>26</v>
      </c>
      <c r="D15" s="25" t="s">
        <v>26</v>
      </c>
      <c r="E15" s="14" t="s">
        <v>27</v>
      </c>
      <c r="F15" s="26">
        <f>41385*0.4536</f>
        <v>18772.236000000001</v>
      </c>
      <c r="G15" s="27">
        <v>18690.13</v>
      </c>
      <c r="H15" s="27">
        <f t="shared" si="2"/>
        <v>-82.105999999999767</v>
      </c>
      <c r="I15" s="12" t="s">
        <v>1894</v>
      </c>
      <c r="J15" s="93" t="s">
        <v>74</v>
      </c>
      <c r="K15" s="17">
        <v>42464</v>
      </c>
      <c r="L15" s="17">
        <v>42466</v>
      </c>
      <c r="M15" s="25" t="s">
        <v>50</v>
      </c>
      <c r="N15" s="25" t="s">
        <v>1890</v>
      </c>
      <c r="O15" s="18"/>
      <c r="P15" s="28">
        <f>0.5473+0.1075</f>
        <v>0.65480000000000005</v>
      </c>
      <c r="Q15" s="29">
        <v>18500</v>
      </c>
      <c r="R15" s="18">
        <v>16006</v>
      </c>
      <c r="S15" s="30">
        <v>17.399999999999999</v>
      </c>
      <c r="T15" s="101">
        <f>W15*F15*0.005</f>
        <v>2540.2936365630849</v>
      </c>
      <c r="V15" s="18">
        <v>0.1</v>
      </c>
      <c r="W15" s="18">
        <f>IF(O15&gt;0,O15,((P15*2.2046*S15)+(Q15+R15)/G15)+V15)</f>
        <v>27.064369279856535</v>
      </c>
      <c r="X15" s="18">
        <f>IF(O15&gt;0,O15,((P15*2.2046*S15)+(Q15+R15+T15)/G15)+V15)</f>
        <v>27.200285597001631</v>
      </c>
      <c r="Y15" s="21">
        <f t="shared" si="3"/>
        <v>510610.18049431551</v>
      </c>
      <c r="Z15" s="32">
        <v>42459</v>
      </c>
      <c r="AA15" s="37"/>
      <c r="AB15" s="37"/>
    </row>
    <row r="16" spans="1:28" s="12" customFormat="1" x14ac:dyDescent="0.25">
      <c r="A16" s="91"/>
      <c r="B16" s="24" t="s">
        <v>32</v>
      </c>
      <c r="C16" s="14" t="s">
        <v>33</v>
      </c>
      <c r="D16" s="25" t="s">
        <v>87</v>
      </c>
      <c r="E16" s="14">
        <v>248</v>
      </c>
      <c r="F16" s="26">
        <v>26750</v>
      </c>
      <c r="G16" s="27">
        <f>15470+5990</f>
        <v>21460</v>
      </c>
      <c r="H16" s="27">
        <f t="shared" si="2"/>
        <v>-5290</v>
      </c>
      <c r="I16" s="25" t="s">
        <v>1506</v>
      </c>
      <c r="J16" s="14"/>
      <c r="K16" s="17"/>
      <c r="L16" s="17">
        <v>42465</v>
      </c>
      <c r="M16" s="25" t="s">
        <v>45</v>
      </c>
      <c r="N16" s="14"/>
      <c r="O16" s="18">
        <v>21.8</v>
      </c>
      <c r="P16" s="19"/>
      <c r="Q16" s="29">
        <v>17300</v>
      </c>
      <c r="R16" s="18">
        <f>59.25*E16</f>
        <v>14694</v>
      </c>
      <c r="S16" s="30">
        <f>-35*E16</f>
        <v>-8680</v>
      </c>
      <c r="T16" s="101">
        <f>W16*F16*0.0045</f>
        <v>3408.7776794035412</v>
      </c>
      <c r="U16" s="18">
        <f>E16*5</f>
        <v>1240</v>
      </c>
      <c r="V16" s="14"/>
      <c r="W16" s="18">
        <f>((O16*F16)+Q16+R16+S16+U16)/G16</f>
        <v>28.31798695246971</v>
      </c>
      <c r="X16" s="18">
        <f>((O16*F16)+Q16+R16+S16+T16+U16)/G16</f>
        <v>28.476830273970343</v>
      </c>
      <c r="Y16" s="21">
        <f t="shared" si="3"/>
        <v>761755.20982870669</v>
      </c>
      <c r="Z16" s="32">
        <v>42478</v>
      </c>
      <c r="AA16" s="37">
        <v>30.5</v>
      </c>
      <c r="AB16" s="37" t="s">
        <v>1962</v>
      </c>
    </row>
    <row r="17" spans="1:28" s="12" customFormat="1" x14ac:dyDescent="0.25">
      <c r="A17" s="91"/>
      <c r="B17" s="24" t="s">
        <v>25</v>
      </c>
      <c r="C17" s="25" t="s">
        <v>115</v>
      </c>
      <c r="D17" s="25" t="s">
        <v>115</v>
      </c>
      <c r="E17" s="14" t="s">
        <v>1940</v>
      </c>
      <c r="F17" s="26">
        <f>41907.706*0.4536</f>
        <v>19009.3354416</v>
      </c>
      <c r="G17" s="27">
        <v>19060.07</v>
      </c>
      <c r="H17" s="27">
        <f t="shared" si="2"/>
        <v>50.734558399999514</v>
      </c>
      <c r="I17" s="12" t="s">
        <v>1895</v>
      </c>
      <c r="J17" s="93" t="s">
        <v>49</v>
      </c>
      <c r="K17" s="17">
        <v>42465</v>
      </c>
      <c r="L17" s="17">
        <v>42466</v>
      </c>
      <c r="M17" s="25" t="s">
        <v>50</v>
      </c>
      <c r="N17" s="25" t="s">
        <v>1891</v>
      </c>
      <c r="O17" s="18"/>
      <c r="P17" s="28">
        <f>0.547+0.095</f>
        <v>0.64200000000000002</v>
      </c>
      <c r="Q17" s="29">
        <v>18500</v>
      </c>
      <c r="R17" s="18">
        <v>9811</v>
      </c>
      <c r="S17" s="30">
        <v>17.655000000000001</v>
      </c>
      <c r="T17" s="101">
        <f>W17*F17*0.005</f>
        <v>2525.7150169541819</v>
      </c>
      <c r="V17" s="18">
        <v>0.1</v>
      </c>
      <c r="W17" s="18">
        <f>IF(O17&gt;0,O17,((P17*2.2046*S17)+(Q17+R17)/G17)+V17)</f>
        <v>26.573417305550944</v>
      </c>
      <c r="X17" s="18">
        <f>IF(O17&gt;0,O17,((P17*2.2046*S17)+(Q17+R17+T17)/G17)+V17)</f>
        <v>26.705930723232733</v>
      </c>
      <c r="Y17" s="21">
        <f t="shared" si="3"/>
        <v>507661.99539806234</v>
      </c>
      <c r="Z17" s="32">
        <v>42472</v>
      </c>
      <c r="AA17" s="37"/>
      <c r="AB17" s="37"/>
    </row>
    <row r="18" spans="1:28" s="12" customFormat="1" x14ac:dyDescent="0.25">
      <c r="A18" s="91"/>
      <c r="B18" s="24" t="s">
        <v>32</v>
      </c>
      <c r="C18" s="14" t="s">
        <v>68</v>
      </c>
      <c r="D18" s="25" t="s">
        <v>68</v>
      </c>
      <c r="E18" s="14">
        <v>259</v>
      </c>
      <c r="F18" s="26">
        <f>12590+12920</f>
        <v>25510</v>
      </c>
      <c r="G18" s="27">
        <f>10110+9810</f>
        <v>19920</v>
      </c>
      <c r="H18" s="27">
        <f t="shared" si="2"/>
        <v>-5590</v>
      </c>
      <c r="I18" s="25" t="s">
        <v>1945</v>
      </c>
      <c r="J18" s="14"/>
      <c r="K18" s="17">
        <v>42465</v>
      </c>
      <c r="L18" s="17">
        <v>42466</v>
      </c>
      <c r="M18" s="25" t="s">
        <v>50</v>
      </c>
      <c r="N18" s="14"/>
      <c r="O18" s="18">
        <v>21.5</v>
      </c>
      <c r="P18" s="19"/>
      <c r="Q18" s="29">
        <v>22000</v>
      </c>
      <c r="R18" s="99">
        <f>98*E18</f>
        <v>25382</v>
      </c>
      <c r="S18" s="30">
        <f>-38*E18</f>
        <v>-9842</v>
      </c>
      <c r="T18" s="31"/>
      <c r="U18" s="18">
        <f>E18*10</f>
        <v>2590</v>
      </c>
      <c r="V18" s="14"/>
      <c r="W18" s="18">
        <f>((O18*F18)+Q18+R18+S18+U18)/G18</f>
        <v>29.547941767068274</v>
      </c>
      <c r="X18" s="18">
        <f>((O18*F18)+Q18+R18+S18+T18+U18)/G18</f>
        <v>29.547941767068274</v>
      </c>
      <c r="Y18" s="21">
        <f t="shared" si="3"/>
        <v>753767.99447791162</v>
      </c>
      <c r="Z18" s="32">
        <v>42467</v>
      </c>
      <c r="AA18" s="37">
        <v>30.5</v>
      </c>
      <c r="AB18" s="37" t="s">
        <v>1963</v>
      </c>
    </row>
    <row r="19" spans="1:28" s="12" customFormat="1" x14ac:dyDescent="0.25">
      <c r="A19" s="91"/>
      <c r="B19" s="24" t="s">
        <v>1957</v>
      </c>
      <c r="C19" s="25" t="s">
        <v>1958</v>
      </c>
      <c r="D19" s="25" t="s">
        <v>1959</v>
      </c>
      <c r="E19" s="14" t="s">
        <v>2074</v>
      </c>
      <c r="F19" s="26">
        <v>5001.5600000000004</v>
      </c>
      <c r="G19" s="27">
        <v>5000.76</v>
      </c>
      <c r="H19" s="27">
        <f t="shared" si="2"/>
        <v>-0.8000000000001819</v>
      </c>
      <c r="I19" s="25" t="s">
        <v>2075</v>
      </c>
      <c r="J19" s="14"/>
      <c r="K19" s="17"/>
      <c r="L19" s="17">
        <v>42466</v>
      </c>
      <c r="M19" s="25" t="s">
        <v>50</v>
      </c>
      <c r="N19" s="14"/>
      <c r="O19" s="18">
        <v>65.5</v>
      </c>
      <c r="P19" s="19"/>
      <c r="Q19" s="18"/>
      <c r="R19" s="18"/>
      <c r="S19" s="30"/>
      <c r="T19" s="31"/>
      <c r="U19" s="18"/>
      <c r="V19" s="18"/>
      <c r="W19" s="18">
        <f>IF(O19&gt;0,O19,((P19*2.2046*S19)+(Q19+R19)/G19)+V19)</f>
        <v>65.5</v>
      </c>
      <c r="X19" s="18">
        <f>IF(O19&gt;0,O19,((P19*2.2046*S19)+(Q19+R19+T19)/G19)+V19)</f>
        <v>65.5</v>
      </c>
      <c r="Y19" s="21">
        <f t="shared" si="3"/>
        <v>327602.18000000005</v>
      </c>
      <c r="Z19" s="32">
        <v>42466</v>
      </c>
      <c r="AA19" s="37"/>
      <c r="AB19" s="37"/>
    </row>
    <row r="20" spans="1:28" s="12" customFormat="1" x14ac:dyDescent="0.25">
      <c r="A20" s="91"/>
      <c r="B20" s="24" t="s">
        <v>25</v>
      </c>
      <c r="C20" s="25" t="s">
        <v>72</v>
      </c>
      <c r="D20" s="25" t="s">
        <v>72</v>
      </c>
      <c r="E20" s="14" t="s">
        <v>42</v>
      </c>
      <c r="F20" s="26">
        <f>42122*0.4536</f>
        <v>19106.539199999999</v>
      </c>
      <c r="G20" s="27">
        <v>19092.900000000001</v>
      </c>
      <c r="H20" s="27">
        <f t="shared" si="2"/>
        <v>-13.6391999999978</v>
      </c>
      <c r="I20" s="12" t="s">
        <v>1896</v>
      </c>
      <c r="J20" s="93" t="s">
        <v>837</v>
      </c>
      <c r="K20" s="17">
        <v>42466</v>
      </c>
      <c r="L20" s="17">
        <v>42467</v>
      </c>
      <c r="M20" s="25" t="s">
        <v>65</v>
      </c>
      <c r="N20" s="25" t="s">
        <v>1892</v>
      </c>
      <c r="O20" s="18"/>
      <c r="P20" s="28">
        <f>0.5572+0.105</f>
        <v>0.66220000000000001</v>
      </c>
      <c r="Q20" s="29">
        <v>18500</v>
      </c>
      <c r="R20" s="18">
        <v>8952</v>
      </c>
      <c r="S20" s="30">
        <v>17.3</v>
      </c>
      <c r="T20" s="101">
        <f>W20*F20*0.005</f>
        <v>2559.6879469353539</v>
      </c>
      <c r="V20" s="18">
        <v>0.1</v>
      </c>
      <c r="W20" s="18">
        <f>IF(O20&gt;0,O20,((P20*2.2046*S20)+(Q20+R20)/G20)+V20)</f>
        <v>26.793841837514496</v>
      </c>
      <c r="X20" s="18">
        <f>IF(O20&gt;0,O20,((P20*2.2046*S20)+(Q20+R20+T20)/G20)+V20)</f>
        <v>26.927906748917966</v>
      </c>
      <c r="Y20" s="21">
        <f t="shared" si="3"/>
        <v>514499.10587214568</v>
      </c>
      <c r="Z20" s="32">
        <v>42460</v>
      </c>
      <c r="AA20" s="37"/>
      <c r="AB20" s="37"/>
    </row>
    <row r="21" spans="1:28" s="12" customFormat="1" x14ac:dyDescent="0.25">
      <c r="A21" s="91"/>
      <c r="B21" s="24" t="s">
        <v>25</v>
      </c>
      <c r="C21" s="25" t="s">
        <v>72</v>
      </c>
      <c r="D21" s="25" t="s">
        <v>72</v>
      </c>
      <c r="E21" s="14" t="s">
        <v>42</v>
      </c>
      <c r="F21" s="26">
        <f>42858*0.4536</f>
        <v>19440.388800000001</v>
      </c>
      <c r="G21" s="27">
        <v>19210</v>
      </c>
      <c r="H21" s="27">
        <f t="shared" si="2"/>
        <v>-230.38880000000063</v>
      </c>
      <c r="I21" s="12" t="s">
        <v>1897</v>
      </c>
      <c r="J21" s="93" t="s">
        <v>44</v>
      </c>
      <c r="K21" s="17">
        <v>42466</v>
      </c>
      <c r="L21" s="17">
        <v>42467</v>
      </c>
      <c r="M21" s="25" t="s">
        <v>65</v>
      </c>
      <c r="N21" s="25" t="s">
        <v>1892</v>
      </c>
      <c r="O21" s="18"/>
      <c r="P21" s="28">
        <v>0.66220000000000001</v>
      </c>
      <c r="Q21" s="29">
        <v>18500</v>
      </c>
      <c r="R21" s="18">
        <v>8952</v>
      </c>
      <c r="S21" s="30">
        <v>17.3</v>
      </c>
      <c r="T21" s="101">
        <f>W21*F21*0.005</f>
        <v>2603.5615786142039</v>
      </c>
      <c r="V21" s="18">
        <v>0.1</v>
      </c>
      <c r="W21" s="18">
        <f>IF(O21&gt;0,O21,((P21*2.2046*S21)+(Q21+R21)/G21)+V21)</f>
        <v>26.785077247160856</v>
      </c>
      <c r="X21" s="18">
        <f>IF(O21&gt;0,O21,((P21*2.2046*S21)+(Q21+R21+T21)/G21)+V21)</f>
        <v>26.920608823351081</v>
      </c>
      <c r="Y21" s="21">
        <f t="shared" si="3"/>
        <v>523347.10225865553</v>
      </c>
      <c r="Z21" s="32">
        <v>42460</v>
      </c>
      <c r="AA21" s="37"/>
      <c r="AB21" s="37"/>
    </row>
    <row r="22" spans="1:28" s="12" customFormat="1" x14ac:dyDescent="0.25">
      <c r="A22" s="91"/>
      <c r="B22" s="24" t="s">
        <v>32</v>
      </c>
      <c r="C22" s="14" t="s">
        <v>33</v>
      </c>
      <c r="D22" s="25" t="s">
        <v>1475</v>
      </c>
      <c r="E22" s="14">
        <v>248</v>
      </c>
      <c r="F22" s="26">
        <v>29300</v>
      </c>
      <c r="G22" s="27">
        <v>23860</v>
      </c>
      <c r="H22" s="27">
        <f t="shared" si="2"/>
        <v>-5440</v>
      </c>
      <c r="I22" s="12" t="s">
        <v>1960</v>
      </c>
      <c r="J22" s="14"/>
      <c r="K22" s="17"/>
      <c r="L22" s="17">
        <v>42467</v>
      </c>
      <c r="M22" s="25" t="s">
        <v>65</v>
      </c>
      <c r="N22" s="14"/>
      <c r="O22" s="18">
        <v>22</v>
      </c>
      <c r="P22" s="19"/>
      <c r="Q22" s="29">
        <v>17300</v>
      </c>
      <c r="R22" s="18">
        <f>59.25*E22</f>
        <v>14694</v>
      </c>
      <c r="S22" s="30">
        <f>-35*E22</f>
        <v>-8680</v>
      </c>
      <c r="T22" s="101">
        <f>W22*F22*0.0045</f>
        <v>3697.7349077954736</v>
      </c>
      <c r="U22" s="18">
        <f>E22*5</f>
        <v>1240</v>
      </c>
      <c r="V22" s="14"/>
      <c r="W22" s="18">
        <f>((O22*F22)+Q22+R22+S22+U22)/G22</f>
        <v>28.045012573344511</v>
      </c>
      <c r="X22" s="18">
        <f>((O22*F22)+Q22+R22+S22+T22+U22)/G22</f>
        <v>28.199988889681283</v>
      </c>
      <c r="Y22" s="21">
        <f t="shared" si="3"/>
        <v>826259.67446766153</v>
      </c>
      <c r="Z22" s="32">
        <v>42480</v>
      </c>
      <c r="AA22" s="37">
        <v>30.5</v>
      </c>
      <c r="AB22" s="37" t="s">
        <v>1964</v>
      </c>
    </row>
    <row r="23" spans="1:28" s="12" customFormat="1" x14ac:dyDescent="0.25">
      <c r="A23" s="91"/>
      <c r="B23" s="24" t="s">
        <v>32</v>
      </c>
      <c r="C23" s="14" t="s">
        <v>33</v>
      </c>
      <c r="D23" s="25" t="s">
        <v>1510</v>
      </c>
      <c r="E23" s="14">
        <v>250</v>
      </c>
      <c r="F23" s="26">
        <v>30970</v>
      </c>
      <c r="G23" s="27">
        <v>24630</v>
      </c>
      <c r="H23" s="27">
        <f t="shared" si="2"/>
        <v>-6340</v>
      </c>
      <c r="I23" s="25" t="s">
        <v>1961</v>
      </c>
      <c r="J23" s="14"/>
      <c r="K23" s="17"/>
      <c r="L23" s="17">
        <v>42467</v>
      </c>
      <c r="M23" s="25" t="s">
        <v>65</v>
      </c>
      <c r="N23" s="14"/>
      <c r="O23" s="18">
        <v>22</v>
      </c>
      <c r="P23" s="19"/>
      <c r="Q23" s="29">
        <v>17300</v>
      </c>
      <c r="R23" s="18">
        <f>59.25*E23</f>
        <v>14812.5</v>
      </c>
      <c r="S23" s="30">
        <f>-35*E23</f>
        <v>-8750</v>
      </c>
      <c r="T23" s="101">
        <f>W23*F23*0.0045</f>
        <v>3994.5217280755173</v>
      </c>
      <c r="U23" s="18">
        <f>E23*5</f>
        <v>1250</v>
      </c>
      <c r="V23" s="14"/>
      <c r="W23" s="18">
        <f>((O23*F23)+Q23+R23+S23+U23)/G23</f>
        <v>28.662302070645556</v>
      </c>
      <c r="X23" s="18">
        <f>((O23*F23)+Q23+R23+S23+T23+U23)/G23</f>
        <v>28.824483220790725</v>
      </c>
      <c r="Y23" s="21">
        <f t="shared" si="3"/>
        <v>892694.24534788879</v>
      </c>
      <c r="Z23" s="32">
        <v>42480</v>
      </c>
      <c r="AA23" s="37"/>
      <c r="AB23" s="37"/>
    </row>
    <row r="24" spans="1:28" s="12" customFormat="1" x14ac:dyDescent="0.25">
      <c r="A24" s="91"/>
      <c r="B24" s="24" t="s">
        <v>25</v>
      </c>
      <c r="C24" s="25" t="s">
        <v>72</v>
      </c>
      <c r="D24" s="25" t="s">
        <v>72</v>
      </c>
      <c r="E24" s="14" t="s">
        <v>42</v>
      </c>
      <c r="F24" s="26">
        <f>42620*0.4536</f>
        <v>19332.432000000001</v>
      </c>
      <c r="G24" s="27">
        <v>19201.099999999999</v>
      </c>
      <c r="H24" s="27">
        <f t="shared" si="2"/>
        <v>-131.33200000000215</v>
      </c>
      <c r="I24" s="12" t="s">
        <v>1898</v>
      </c>
      <c r="J24" s="93" t="s">
        <v>991</v>
      </c>
      <c r="K24" s="17">
        <v>42468</v>
      </c>
      <c r="L24" s="17">
        <v>42469</v>
      </c>
      <c r="M24" s="25" t="s">
        <v>30</v>
      </c>
      <c r="N24" s="25" t="s">
        <v>850</v>
      </c>
      <c r="O24" s="18"/>
      <c r="P24" s="28">
        <f>0.5626+0.105</f>
        <v>0.66759999999999997</v>
      </c>
      <c r="Q24" s="29">
        <v>21000</v>
      </c>
      <c r="R24" s="18">
        <v>8952</v>
      </c>
      <c r="S24" s="30">
        <v>17.21</v>
      </c>
      <c r="T24" s="101">
        <f>W24*F24*0.005</f>
        <v>2608.8568959546619</v>
      </c>
      <c r="V24" s="18">
        <v>0.1</v>
      </c>
      <c r="W24" s="18">
        <f>IF(O24&gt;0,O24,((P24*2.2046*S24)+(Q24+R24)/G24)+V24)</f>
        <v>26.989433051720155</v>
      </c>
      <c r="X24" s="18">
        <f>IF(O24&gt;0,O24,((P24*2.2046*S24)+(Q24+R24+T24)/G24)+V24)</f>
        <v>27.125303230822116</v>
      </c>
      <c r="Y24" s="21">
        <f t="shared" si="3"/>
        <v>524398.0801892489</v>
      </c>
      <c r="Z24" s="32">
        <v>42460</v>
      </c>
      <c r="AA24" s="2"/>
      <c r="AB24" s="2"/>
    </row>
    <row r="25" spans="1:28" s="12" customFormat="1" x14ac:dyDescent="0.25">
      <c r="A25" s="91"/>
      <c r="B25" s="24" t="s">
        <v>32</v>
      </c>
      <c r="C25" s="14" t="s">
        <v>33</v>
      </c>
      <c r="D25" s="25" t="s">
        <v>1966</v>
      </c>
      <c r="E25" s="14">
        <v>250</v>
      </c>
      <c r="F25" s="26">
        <v>29385</v>
      </c>
      <c r="G25" s="27">
        <v>23530</v>
      </c>
      <c r="H25" s="27">
        <f t="shared" si="2"/>
        <v>-5855</v>
      </c>
      <c r="I25" s="12" t="s">
        <v>1967</v>
      </c>
      <c r="J25" s="14"/>
      <c r="K25" s="17"/>
      <c r="L25" s="17">
        <v>42468</v>
      </c>
      <c r="M25" s="25" t="s">
        <v>84</v>
      </c>
      <c r="N25" s="14"/>
      <c r="O25" s="18">
        <v>22</v>
      </c>
      <c r="P25" s="19"/>
      <c r="Q25" s="29">
        <v>17300</v>
      </c>
      <c r="R25" s="18">
        <f>59.25*E25</f>
        <v>14812.5</v>
      </c>
      <c r="S25" s="30">
        <f>-35*E25</f>
        <v>-8750</v>
      </c>
      <c r="T25" s="101">
        <f>W25*F25*0.0045</f>
        <v>3771.3096762112195</v>
      </c>
      <c r="U25" s="18">
        <f>E25*5</f>
        <v>1250</v>
      </c>
      <c r="V25" s="14"/>
      <c r="W25" s="18">
        <f>((O25*F25)+Q25+R25+S25+U25)/G25</f>
        <v>28.520293242668934</v>
      </c>
      <c r="X25" s="18">
        <f>((O25*F25)+Q25+R25+S25+T25+U25)/G25</f>
        <v>28.680569896991553</v>
      </c>
      <c r="Y25" s="21">
        <f t="shared" si="3"/>
        <v>842778.54642309679</v>
      </c>
      <c r="Z25" s="32">
        <v>42481</v>
      </c>
      <c r="AA25" s="2">
        <v>30.5</v>
      </c>
      <c r="AB25" s="2"/>
    </row>
    <row r="26" spans="1:28" s="12" customFormat="1" x14ac:dyDescent="0.25">
      <c r="A26" s="91"/>
      <c r="B26" s="24" t="s">
        <v>32</v>
      </c>
      <c r="C26" s="14" t="s">
        <v>33</v>
      </c>
      <c r="D26" s="25" t="s">
        <v>1102</v>
      </c>
      <c r="E26" s="14">
        <v>130</v>
      </c>
      <c r="F26" s="26">
        <v>17055</v>
      </c>
      <c r="G26" s="27">
        <v>13710</v>
      </c>
      <c r="H26" s="27">
        <f t="shared" si="2"/>
        <v>-3345</v>
      </c>
      <c r="I26" s="25" t="s">
        <v>1968</v>
      </c>
      <c r="J26" s="14"/>
      <c r="K26" s="17"/>
      <c r="L26" s="17">
        <v>42468</v>
      </c>
      <c r="M26" s="25" t="s">
        <v>84</v>
      </c>
      <c r="N26" s="14"/>
      <c r="O26" s="18">
        <v>22</v>
      </c>
      <c r="P26" s="19"/>
      <c r="Q26" s="29">
        <v>13600</v>
      </c>
      <c r="R26" s="18">
        <f>59.25*E26</f>
        <v>7702.5</v>
      </c>
      <c r="S26" s="30">
        <f>-35*E26</f>
        <v>-4550</v>
      </c>
      <c r="T26" s="101">
        <f>W26*F26*0.0045</f>
        <v>2197.8138471006559</v>
      </c>
      <c r="U26" s="18">
        <f>E26*5</f>
        <v>650</v>
      </c>
      <c r="V26" s="14"/>
      <c r="W26" s="18">
        <f>((O26*F26)+Q26+R26+S26+U26)/G26</f>
        <v>28.636943836615607</v>
      </c>
      <c r="X26" s="18">
        <f>((O26*F26)+Q26+R26+S26+T26+U26)/G26</f>
        <v>28.7972511923487</v>
      </c>
      <c r="Y26" s="21">
        <f t="shared" si="3"/>
        <v>491137.11908550706</v>
      </c>
      <c r="Z26" s="32">
        <v>42481</v>
      </c>
      <c r="AA26" s="2"/>
      <c r="AB26" s="2" t="s">
        <v>1969</v>
      </c>
    </row>
    <row r="27" spans="1:28" s="12" customFormat="1" x14ac:dyDescent="0.25">
      <c r="A27" s="91"/>
      <c r="B27" s="24" t="s">
        <v>25</v>
      </c>
      <c r="C27" s="25" t="s">
        <v>26</v>
      </c>
      <c r="D27" s="25" t="s">
        <v>26</v>
      </c>
      <c r="E27" s="14" t="s">
        <v>27</v>
      </c>
      <c r="F27" s="26">
        <f>41388*0.4536</f>
        <v>18773.596799999999</v>
      </c>
      <c r="G27" s="27">
        <v>18720.13</v>
      </c>
      <c r="H27" s="27">
        <f t="shared" si="2"/>
        <v>-53.466799999998329</v>
      </c>
      <c r="I27" s="12" t="s">
        <v>1901</v>
      </c>
      <c r="J27" s="93" t="s">
        <v>29</v>
      </c>
      <c r="K27" s="17">
        <v>42468</v>
      </c>
      <c r="L27" s="17">
        <v>42469</v>
      </c>
      <c r="M27" s="25" t="s">
        <v>30</v>
      </c>
      <c r="N27" s="25" t="s">
        <v>851</v>
      </c>
      <c r="O27" s="18"/>
      <c r="P27" s="28">
        <v>0.66010000000000002</v>
      </c>
      <c r="Q27" s="29">
        <v>18500</v>
      </c>
      <c r="R27" s="18">
        <v>8952</v>
      </c>
      <c r="S27" s="30">
        <v>17.21</v>
      </c>
      <c r="T27" s="101">
        <f>W27*F27*0.005</f>
        <v>2497.9590780972571</v>
      </c>
      <c r="V27" s="18">
        <v>0.1</v>
      </c>
      <c r="W27" s="18">
        <f>IF(O27&gt;0,O27,((P27*2.2046*S27)+(Q27+R27)/G27)+V27)</f>
        <v>26.611406484422389</v>
      </c>
      <c r="X27" s="18">
        <f>IF(O27&gt;0,O27,((P27*2.2046*S27)+(Q27+R27+T27)/G27)+V27)</f>
        <v>26.744843542717241</v>
      </c>
      <c r="Y27" s="21">
        <f t="shared" si="3"/>
        <v>502096.90915005706</v>
      </c>
      <c r="Z27" s="32">
        <v>42460</v>
      </c>
      <c r="AA27" s="2"/>
      <c r="AB27" s="2"/>
    </row>
    <row r="28" spans="1:28" s="12" customFormat="1" x14ac:dyDescent="0.25">
      <c r="A28" s="91"/>
      <c r="B28" s="24" t="s">
        <v>25</v>
      </c>
      <c r="C28" s="25" t="s">
        <v>115</v>
      </c>
      <c r="D28" s="25" t="s">
        <v>115</v>
      </c>
      <c r="E28" s="14" t="s">
        <v>1940</v>
      </c>
      <c r="F28" s="26">
        <f>41892.273*0.4536</f>
        <v>19002.335032800001</v>
      </c>
      <c r="G28" s="27">
        <v>18996.96</v>
      </c>
      <c r="H28" s="27">
        <f t="shared" si="2"/>
        <v>-5.3750328000023728</v>
      </c>
      <c r="I28" s="12" t="s">
        <v>1900</v>
      </c>
      <c r="J28" s="93" t="s">
        <v>74</v>
      </c>
      <c r="K28" s="17">
        <v>42468</v>
      </c>
      <c r="L28" s="17">
        <v>42469</v>
      </c>
      <c r="M28" s="25" t="s">
        <v>30</v>
      </c>
      <c r="N28" s="25" t="s">
        <v>1965</v>
      </c>
      <c r="O28" s="18"/>
      <c r="P28" s="28">
        <f>0.557+0.095</f>
        <v>0.65200000000000002</v>
      </c>
      <c r="Q28" s="29">
        <v>18500</v>
      </c>
      <c r="R28" s="18">
        <v>9847</v>
      </c>
      <c r="S28" s="30">
        <v>17.655000000000001</v>
      </c>
      <c r="T28" s="101">
        <f>W28*F28*0.005</f>
        <v>2562.4144274224977</v>
      </c>
      <c r="V28" s="18">
        <v>0.1</v>
      </c>
      <c r="W28" s="18">
        <f>IF(O28&gt;0,O28,((P28*2.2046*S28)+(Q28+R28)/G28)+V28)</f>
        <v>26.969468994199971</v>
      </c>
      <c r="X28" s="18">
        <f>IF(O28&gt;0,O28,((P28*2.2046*S28)+(Q28+R28+T28)/G28)+V28)</f>
        <v>27.10435449311256</v>
      </c>
      <c r="Y28" s="21">
        <f t="shared" si="3"/>
        <v>515046.02492590289</v>
      </c>
      <c r="Z28" s="32">
        <v>42475</v>
      </c>
      <c r="AA28" s="37"/>
      <c r="AB28" s="37"/>
    </row>
    <row r="29" spans="1:28" s="12" customFormat="1" ht="15.75" thickBot="1" x14ac:dyDescent="0.3">
      <c r="A29" s="91"/>
      <c r="B29" s="41"/>
      <c r="C29" s="4"/>
      <c r="D29" s="4"/>
      <c r="E29" s="4"/>
      <c r="F29" s="42"/>
      <c r="G29" s="42"/>
      <c r="H29" s="42"/>
      <c r="I29" s="6"/>
      <c r="J29" s="4"/>
      <c r="K29" s="7"/>
      <c r="L29" s="7"/>
      <c r="M29" s="4"/>
      <c r="N29" s="4"/>
      <c r="O29" s="8"/>
      <c r="P29" s="9"/>
      <c r="Q29" s="8"/>
      <c r="R29" s="8"/>
      <c r="S29" s="8"/>
      <c r="T29" s="8"/>
      <c r="U29" s="8"/>
      <c r="V29" s="8"/>
      <c r="W29" s="8"/>
      <c r="X29" s="8"/>
      <c r="Y29" s="8"/>
      <c r="Z29" s="43"/>
      <c r="AA29" s="2"/>
      <c r="AB29" s="2"/>
    </row>
    <row r="30" spans="1:28" s="12" customFormat="1" x14ac:dyDescent="0.25">
      <c r="A30" s="126"/>
      <c r="B30" s="14" t="s">
        <v>32</v>
      </c>
      <c r="C30" s="14" t="s">
        <v>33</v>
      </c>
      <c r="D30" s="25" t="s">
        <v>87</v>
      </c>
      <c r="E30" s="14">
        <v>249</v>
      </c>
      <c r="F30" s="26">
        <v>28490</v>
      </c>
      <c r="G30" s="27">
        <v>22760</v>
      </c>
      <c r="H30" s="27">
        <f t="shared" ref="H30:H51" si="4">G30-F30</f>
        <v>-5730</v>
      </c>
      <c r="I30" s="25" t="s">
        <v>2004</v>
      </c>
      <c r="J30" s="14"/>
      <c r="K30" s="17"/>
      <c r="L30" s="17">
        <v>42470</v>
      </c>
      <c r="M30" s="25" t="s">
        <v>36</v>
      </c>
      <c r="N30" s="14"/>
      <c r="O30" s="18">
        <v>22.5</v>
      </c>
      <c r="P30" s="19"/>
      <c r="Q30" s="29">
        <v>17300</v>
      </c>
      <c r="R30" s="18">
        <f>59.25*E30</f>
        <v>14753.25</v>
      </c>
      <c r="S30" s="30">
        <f>-35*E30</f>
        <v>-8715</v>
      </c>
      <c r="T30" s="101">
        <f>W30*F30*0.0045</f>
        <v>3749.3104433765375</v>
      </c>
      <c r="U30" s="18">
        <f>E30*5</f>
        <v>1245</v>
      </c>
      <c r="V30" s="14"/>
      <c r="W30" s="18">
        <f>((O30*F30)+Q30+R30+S30+U30)/G30</f>
        <v>29.244650702987698</v>
      </c>
      <c r="X30" s="18">
        <f>((O30*F30)+Q30+R30+S30+T30+U30)/G30</f>
        <v>29.40938314777577</v>
      </c>
      <c r="Y30" s="21">
        <f t="shared" ref="Y30:Y51" si="5">X30*F30</f>
        <v>837873.32588013168</v>
      </c>
      <c r="Z30" s="32">
        <v>42485</v>
      </c>
      <c r="AA30" s="2">
        <v>31</v>
      </c>
      <c r="AB30" s="2"/>
    </row>
    <row r="31" spans="1:28" s="12" customFormat="1" x14ac:dyDescent="0.25">
      <c r="A31" s="126"/>
      <c r="B31" s="14" t="s">
        <v>32</v>
      </c>
      <c r="C31" s="14" t="s">
        <v>1991</v>
      </c>
      <c r="D31" s="25" t="s">
        <v>1510</v>
      </c>
      <c r="E31" s="14">
        <v>130</v>
      </c>
      <c r="F31" s="26">
        <v>15360</v>
      </c>
      <c r="G31" s="27">
        <f>6680+5500</f>
        <v>12180</v>
      </c>
      <c r="H31" s="27">
        <f t="shared" si="4"/>
        <v>-3180</v>
      </c>
      <c r="I31" s="25" t="s">
        <v>2005</v>
      </c>
      <c r="J31" s="14"/>
      <c r="K31" s="17"/>
      <c r="L31" s="17">
        <v>42470</v>
      </c>
      <c r="M31" s="25" t="s">
        <v>36</v>
      </c>
      <c r="N31" s="14"/>
      <c r="O31" s="18">
        <v>22.5</v>
      </c>
      <c r="P31" s="19"/>
      <c r="Q31" s="29">
        <v>13600</v>
      </c>
      <c r="R31" s="18">
        <f>59.25*E31</f>
        <v>7702.5</v>
      </c>
      <c r="S31" s="30">
        <f>-35*E31</f>
        <v>-4550</v>
      </c>
      <c r="T31" s="101">
        <f>W31*F31*0.0045</f>
        <v>2059.9944827586205</v>
      </c>
      <c r="U31" s="18">
        <f>E31*5</f>
        <v>650</v>
      </c>
      <c r="V31" s="14"/>
      <c r="W31" s="18">
        <f>((O31*F31)+Q31+R31+S31+U31)/G31</f>
        <v>29.803160919540229</v>
      </c>
      <c r="X31" s="18">
        <f>((O31*F31)+Q31+R31+S31+T31+U31)/G31</f>
        <v>29.972290187418608</v>
      </c>
      <c r="Y31" s="21">
        <f t="shared" si="5"/>
        <v>460374.37727874983</v>
      </c>
      <c r="Z31" s="32">
        <v>42485</v>
      </c>
      <c r="AA31" s="2">
        <v>31</v>
      </c>
      <c r="AB31" s="2" t="s">
        <v>2010</v>
      </c>
    </row>
    <row r="32" spans="1:28" s="12" customFormat="1" x14ac:dyDescent="0.25">
      <c r="A32" s="126"/>
      <c r="B32" s="24" t="s">
        <v>32</v>
      </c>
      <c r="C32" s="14" t="s">
        <v>33</v>
      </c>
      <c r="D32" s="25" t="s">
        <v>1510</v>
      </c>
      <c r="E32" s="14">
        <v>250</v>
      </c>
      <c r="F32" s="26">
        <v>27075</v>
      </c>
      <c r="G32" s="27">
        <f>6070+15270</f>
        <v>21340</v>
      </c>
      <c r="H32" s="27">
        <f t="shared" si="4"/>
        <v>-5735</v>
      </c>
      <c r="I32" s="25" t="s">
        <v>2006</v>
      </c>
      <c r="J32" s="14"/>
      <c r="K32" s="17"/>
      <c r="L32" s="17">
        <v>42471</v>
      </c>
      <c r="M32" s="25" t="s">
        <v>39</v>
      </c>
      <c r="N32" s="14"/>
      <c r="O32" s="18">
        <v>22.5</v>
      </c>
      <c r="P32" s="19"/>
      <c r="Q32" s="29">
        <v>17300</v>
      </c>
      <c r="R32" s="18">
        <f>59.25*E32</f>
        <v>14812.5</v>
      </c>
      <c r="S32" s="30">
        <f>-35*E32</f>
        <v>-8750</v>
      </c>
      <c r="T32" s="101">
        <f>W32*F32*0.0045</f>
        <v>3618.5851686972824</v>
      </c>
      <c r="U32" s="18">
        <f>E32*5</f>
        <v>1250</v>
      </c>
      <c r="V32" s="14"/>
      <c r="W32" s="18">
        <f>((O32*F32)+Q32+R32+S32+U32)/G32</f>
        <v>29.700093720712278</v>
      </c>
      <c r="X32" s="18">
        <f>((O32*F32)+Q32+R32+S32+T32+U32)/G32</f>
        <v>29.869661910435674</v>
      </c>
      <c r="Y32" s="21">
        <f t="shared" si="5"/>
        <v>808721.09622504585</v>
      </c>
      <c r="Z32" s="32">
        <v>42485</v>
      </c>
      <c r="AA32" s="2">
        <v>31</v>
      </c>
      <c r="AB32" s="2" t="s">
        <v>2011</v>
      </c>
    </row>
    <row r="33" spans="1:28" s="12" customFormat="1" x14ac:dyDescent="0.25">
      <c r="A33" s="91"/>
      <c r="B33" s="24" t="s">
        <v>25</v>
      </c>
      <c r="C33" s="25" t="s">
        <v>72</v>
      </c>
      <c r="D33" s="25" t="s">
        <v>72</v>
      </c>
      <c r="E33" s="14" t="s">
        <v>1973</v>
      </c>
      <c r="F33" s="26">
        <f>42576*0.4536</f>
        <v>19312.473600000001</v>
      </c>
      <c r="G33" s="27">
        <v>19250.78</v>
      </c>
      <c r="H33" s="27">
        <f t="shared" si="4"/>
        <v>-61.693600000002334</v>
      </c>
      <c r="I33" s="39" t="s">
        <v>1899</v>
      </c>
      <c r="J33" s="93" t="s">
        <v>44</v>
      </c>
      <c r="K33" s="17">
        <v>42471</v>
      </c>
      <c r="L33" s="17">
        <v>42473</v>
      </c>
      <c r="M33" s="25" t="s">
        <v>50</v>
      </c>
      <c r="N33" s="25" t="s">
        <v>1987</v>
      </c>
      <c r="O33" s="18"/>
      <c r="P33" s="28">
        <f>0.5776+0.105</f>
        <v>0.68259999999999998</v>
      </c>
      <c r="Q33" s="29">
        <v>18500</v>
      </c>
      <c r="R33" s="18">
        <v>8939</v>
      </c>
      <c r="S33" s="30">
        <v>17.445</v>
      </c>
      <c r="T33" s="101">
        <f>W33*F33*0.005</f>
        <v>2682.2734256092967</v>
      </c>
      <c r="V33" s="18">
        <v>0.1</v>
      </c>
      <c r="W33" s="18">
        <f>IF(O33&gt;0,O33,((P33*2.2046*S33)+(Q33+R33)/G33)+V33)</f>
        <v>27.777626845369994</v>
      </c>
      <c r="X33" s="18">
        <f>IF(O33&gt;0,O33,((P33*2.2046*S33)+(Q33+R33+T33)/G33)+V33)</f>
        <v>27.916960078912183</v>
      </c>
      <c r="Y33" s="21">
        <f t="shared" si="5"/>
        <v>539145.55451624549</v>
      </c>
      <c r="Z33" s="32">
        <v>42464</v>
      </c>
      <c r="AA33" s="2"/>
      <c r="AB33" s="2" t="s">
        <v>2020</v>
      </c>
    </row>
    <row r="34" spans="1:28" s="12" customFormat="1" x14ac:dyDescent="0.25">
      <c r="A34" s="126"/>
      <c r="B34" s="24" t="s">
        <v>25</v>
      </c>
      <c r="C34" s="25" t="s">
        <v>26</v>
      </c>
      <c r="D34" s="25" t="s">
        <v>26</v>
      </c>
      <c r="E34" s="14" t="s">
        <v>27</v>
      </c>
      <c r="F34" s="26">
        <f>41545*0.4536</f>
        <v>18844.812000000002</v>
      </c>
      <c r="G34" s="27">
        <v>18780.13</v>
      </c>
      <c r="H34" s="27">
        <f t="shared" si="4"/>
        <v>-64.682000000000698</v>
      </c>
      <c r="I34" s="12" t="s">
        <v>1995</v>
      </c>
      <c r="J34" s="93" t="s">
        <v>49</v>
      </c>
      <c r="K34" s="17">
        <v>42471</v>
      </c>
      <c r="L34" s="17">
        <v>42472</v>
      </c>
      <c r="M34" s="25" t="s">
        <v>45</v>
      </c>
      <c r="N34" s="25" t="s">
        <v>1986</v>
      </c>
      <c r="O34" s="18"/>
      <c r="P34" s="136">
        <f>0.5676+0.1075-0.01</f>
        <v>0.66510000000000002</v>
      </c>
      <c r="Q34" s="29">
        <v>18500</v>
      </c>
      <c r="R34" s="18">
        <v>8939</v>
      </c>
      <c r="S34" s="30">
        <v>17.850000000000001</v>
      </c>
      <c r="T34" s="101">
        <f>W34*F34*0.005</f>
        <v>2613.2245773050304</v>
      </c>
      <c r="V34" s="18">
        <v>0.1</v>
      </c>
      <c r="W34" s="18">
        <f>IF(O34&gt;0,O34,((P34*2.2046*S34)+(Q34+R34)/G34)+V34)</f>
        <v>27.734153859481648</v>
      </c>
      <c r="X34" s="18">
        <f>IF(O34&gt;0,O34,((P34*2.2046*S34)+(Q34+R34+T34)/G34)+V34)</f>
        <v>27.873302234775377</v>
      </c>
      <c r="Y34" s="21">
        <f t="shared" si="5"/>
        <v>525267.14043352194</v>
      </c>
      <c r="Z34" s="32">
        <v>42466</v>
      </c>
      <c r="AA34" s="37"/>
      <c r="AB34" s="137" t="s">
        <v>2009</v>
      </c>
    </row>
    <row r="35" spans="1:28" s="12" customFormat="1" x14ac:dyDescent="0.25">
      <c r="A35" s="126"/>
      <c r="B35" s="24" t="s">
        <v>32</v>
      </c>
      <c r="C35" s="14" t="s">
        <v>33</v>
      </c>
      <c r="D35" s="25" t="s">
        <v>1510</v>
      </c>
      <c r="E35" s="14">
        <v>248</v>
      </c>
      <c r="F35" s="26">
        <v>27820</v>
      </c>
      <c r="G35" s="27">
        <f>15780+6330</f>
        <v>22110</v>
      </c>
      <c r="H35" s="27">
        <f t="shared" si="4"/>
        <v>-5710</v>
      </c>
      <c r="I35" s="25" t="s">
        <v>2021</v>
      </c>
      <c r="J35" s="14"/>
      <c r="K35" s="17"/>
      <c r="L35" s="17">
        <v>42472</v>
      </c>
      <c r="M35" s="25" t="s">
        <v>45</v>
      </c>
      <c r="N35" s="14"/>
      <c r="O35" s="18">
        <v>22.5</v>
      </c>
      <c r="P35" s="19"/>
      <c r="Q35" s="29">
        <v>17300</v>
      </c>
      <c r="R35" s="18">
        <f>59.25*E35</f>
        <v>14694</v>
      </c>
      <c r="S35" s="30">
        <f>-35*E35</f>
        <v>-8680</v>
      </c>
      <c r="T35" s="101">
        <f>W35*F35*0.0045</f>
        <v>3683.2472075983715</v>
      </c>
      <c r="U35" s="18">
        <f>E35*5</f>
        <v>1240</v>
      </c>
      <c r="V35" s="14"/>
      <c r="W35" s="18">
        <f>((O35*F35)+Q35+R35+S35+U35)/G35</f>
        <v>29.421257349615558</v>
      </c>
      <c r="X35" s="18">
        <f>((O35*F35)+Q35+R35+S35+T35+U35)/G35</f>
        <v>29.587844740280346</v>
      </c>
      <c r="Y35" s="21">
        <f t="shared" si="5"/>
        <v>823133.84067459917</v>
      </c>
      <c r="Z35" s="32">
        <v>42485</v>
      </c>
      <c r="AA35" s="37"/>
      <c r="AB35" s="37"/>
    </row>
    <row r="36" spans="1:28" s="12" customFormat="1" x14ac:dyDescent="0.25">
      <c r="A36" s="126"/>
      <c r="B36" s="24" t="s">
        <v>25</v>
      </c>
      <c r="C36" s="14" t="s">
        <v>856</v>
      </c>
      <c r="D36" s="25" t="s">
        <v>98</v>
      </c>
      <c r="E36" s="14" t="s">
        <v>831</v>
      </c>
      <c r="F36" s="26">
        <v>18536.7</v>
      </c>
      <c r="G36" s="27">
        <v>18548.48</v>
      </c>
      <c r="H36" s="27">
        <f t="shared" si="4"/>
        <v>11.779999999998836</v>
      </c>
      <c r="I36" s="94" t="s">
        <v>2023</v>
      </c>
      <c r="J36" s="14"/>
      <c r="K36" s="17"/>
      <c r="L36" s="17">
        <v>42473</v>
      </c>
      <c r="M36" s="25" t="s">
        <v>50</v>
      </c>
      <c r="N36" s="14"/>
      <c r="O36" s="18">
        <v>29.5</v>
      </c>
      <c r="P36" s="19"/>
      <c r="Q36" s="18"/>
      <c r="R36" s="18"/>
      <c r="S36" s="30"/>
      <c r="T36" s="31"/>
      <c r="U36" s="18"/>
      <c r="V36" s="18"/>
      <c r="W36" s="18">
        <f>IF(O36&gt;0,O36,((P36*2.2046*S36)+(Q36+R36)/G36)+V36)</f>
        <v>29.5</v>
      </c>
      <c r="X36" s="18">
        <f>IF(O36&gt;0,O36,((P36*2.2046*S36)+(Q36+R36+T36)/G36)+V36)</f>
        <v>29.5</v>
      </c>
      <c r="Y36" s="21">
        <f t="shared" si="5"/>
        <v>546832.65</v>
      </c>
      <c r="Z36" s="32">
        <v>42480</v>
      </c>
      <c r="AA36" s="37"/>
      <c r="AB36" s="37"/>
    </row>
    <row r="37" spans="1:28" s="12" customFormat="1" x14ac:dyDescent="0.25">
      <c r="A37" s="126"/>
      <c r="B37" s="24" t="s">
        <v>25</v>
      </c>
      <c r="C37" s="25" t="s">
        <v>115</v>
      </c>
      <c r="D37" s="25" t="s">
        <v>115</v>
      </c>
      <c r="E37" s="14" t="s">
        <v>47</v>
      </c>
      <c r="F37" s="26">
        <f>41531.817*0.4536</f>
        <v>18838.832191200003</v>
      </c>
      <c r="G37" s="27">
        <v>18858.189999999999</v>
      </c>
      <c r="H37" s="27">
        <f t="shared" si="4"/>
        <v>19.357808799995837</v>
      </c>
      <c r="I37" s="12" t="s">
        <v>2001</v>
      </c>
      <c r="J37" s="93" t="s">
        <v>44</v>
      </c>
      <c r="K37" s="17">
        <v>42472</v>
      </c>
      <c r="L37" s="17">
        <v>42473</v>
      </c>
      <c r="M37" s="25" t="s">
        <v>50</v>
      </c>
      <c r="N37" s="25" t="s">
        <v>1988</v>
      </c>
      <c r="O37" s="18"/>
      <c r="P37" s="28">
        <v>0.66300000000000003</v>
      </c>
      <c r="Q37" s="29">
        <v>18500</v>
      </c>
      <c r="R37" s="18">
        <v>9829</v>
      </c>
      <c r="S37" s="30">
        <v>17.495000000000001</v>
      </c>
      <c r="T37" s="101">
        <f>W37*F37*0.005</f>
        <v>2559.6109631899553</v>
      </c>
      <c r="V37" s="18">
        <v>0.1</v>
      </c>
      <c r="W37" s="18">
        <f>IF(O37&gt;0,O37,((P37*2.2046*S37)+(Q37+R37)/G37)+V37)</f>
        <v>27.173775287255872</v>
      </c>
      <c r="X37" s="18">
        <f>IF(O37&gt;0,O37,((P37*2.2046*S37)+(Q37+R37+T37)/G37)+V37)</f>
        <v>27.309504695178369</v>
      </c>
      <c r="Y37" s="21">
        <f t="shared" si="5"/>
        <v>514479.17617725389</v>
      </c>
      <c r="Z37" s="32">
        <v>42479</v>
      </c>
      <c r="AA37" s="37"/>
      <c r="AB37" s="37"/>
    </row>
    <row r="38" spans="1:28" s="12" customFormat="1" x14ac:dyDescent="0.25">
      <c r="A38" s="126"/>
      <c r="B38" s="24" t="s">
        <v>32</v>
      </c>
      <c r="C38" s="14" t="s">
        <v>68</v>
      </c>
      <c r="D38" s="25" t="s">
        <v>68</v>
      </c>
      <c r="E38" s="14">
        <v>259</v>
      </c>
      <c r="F38" s="26">
        <f>12260+12340</f>
        <v>24600</v>
      </c>
      <c r="G38" s="27">
        <f>9520+9720</f>
        <v>19240</v>
      </c>
      <c r="H38" s="27">
        <f t="shared" si="4"/>
        <v>-5360</v>
      </c>
      <c r="I38" s="25" t="s">
        <v>2019</v>
      </c>
      <c r="J38" s="14"/>
      <c r="K38" s="17">
        <v>42472</v>
      </c>
      <c r="L38" s="17">
        <v>42473</v>
      </c>
      <c r="M38" s="25" t="s">
        <v>50</v>
      </c>
      <c r="N38" s="14"/>
      <c r="O38" s="18">
        <v>22</v>
      </c>
      <c r="P38" s="19"/>
      <c r="Q38" s="29">
        <v>22000</v>
      </c>
      <c r="R38" s="99">
        <f>98*E38</f>
        <v>25382</v>
      </c>
      <c r="S38" s="30">
        <f>-38*E38</f>
        <v>-9842</v>
      </c>
      <c r="T38" s="31"/>
      <c r="U38" s="18">
        <f>E38*10</f>
        <v>2590</v>
      </c>
      <c r="V38" s="14"/>
      <c r="W38" s="18">
        <f>((O38*F38)+Q38+R38+S38+U38)/G38</f>
        <v>30.214656964656964</v>
      </c>
      <c r="X38" s="18">
        <f>((O38*F38)+Q38+R38+S38+T38+U38)/G38</f>
        <v>30.214656964656964</v>
      </c>
      <c r="Y38" s="21">
        <f t="shared" si="5"/>
        <v>743280.56133056129</v>
      </c>
      <c r="Z38" s="32">
        <v>42473</v>
      </c>
      <c r="AA38" s="37">
        <v>31</v>
      </c>
      <c r="AB38" s="37"/>
    </row>
    <row r="39" spans="1:28" s="12" customFormat="1" x14ac:dyDescent="0.25">
      <c r="A39" s="126"/>
      <c r="B39" s="24" t="s">
        <v>25</v>
      </c>
      <c r="C39" s="25" t="s">
        <v>72</v>
      </c>
      <c r="D39" s="25" t="s">
        <v>72</v>
      </c>
      <c r="E39" s="14" t="s">
        <v>42</v>
      </c>
      <c r="F39" s="26">
        <f>42672*0.4536</f>
        <v>19356.019199999999</v>
      </c>
      <c r="G39" s="27">
        <v>19312.009999999998</v>
      </c>
      <c r="H39" s="27">
        <f t="shared" si="4"/>
        <v>-44.009200000000419</v>
      </c>
      <c r="I39" s="12" t="s">
        <v>1998</v>
      </c>
      <c r="J39" s="93" t="s">
        <v>44</v>
      </c>
      <c r="K39" s="17">
        <v>42473</v>
      </c>
      <c r="L39" s="17">
        <v>42474</v>
      </c>
      <c r="M39" s="25" t="s">
        <v>65</v>
      </c>
      <c r="N39" s="25" t="s">
        <v>1989</v>
      </c>
      <c r="O39" s="18"/>
      <c r="P39" s="28">
        <f>0.5635+0.105</f>
        <v>0.66849999999999998</v>
      </c>
      <c r="Q39" s="29">
        <v>18500</v>
      </c>
      <c r="R39" s="18">
        <v>8926</v>
      </c>
      <c r="S39" s="30">
        <v>17.934999999999999</v>
      </c>
      <c r="T39" s="101">
        <f>W39*F39*0.005</f>
        <v>2705.2271441546477</v>
      </c>
      <c r="V39" s="18">
        <v>0.1</v>
      </c>
      <c r="W39" s="18">
        <f>IF(O39&gt;0,O39,((P39*2.2046*S39)+(Q39+R39)/G39)+V39)</f>
        <v>27.952308955703536</v>
      </c>
      <c r="X39" s="18">
        <f>IF(O39&gt;0,O39,((P39*2.2046*S39)+(Q39+R39+T39)/G39)+V39)</f>
        <v>28.092388996266617</v>
      </c>
      <c r="Y39" s="21">
        <f t="shared" si="5"/>
        <v>543756.82078560535</v>
      </c>
      <c r="Z39" s="32">
        <v>42467</v>
      </c>
      <c r="AA39" s="37"/>
      <c r="AB39" s="37"/>
    </row>
    <row r="40" spans="1:28" s="12" customFormat="1" x14ac:dyDescent="0.25">
      <c r="A40" s="126"/>
      <c r="B40" s="24" t="s">
        <v>25</v>
      </c>
      <c r="C40" s="25" t="s">
        <v>72</v>
      </c>
      <c r="D40" s="25" t="s">
        <v>72</v>
      </c>
      <c r="E40" s="14" t="s">
        <v>42</v>
      </c>
      <c r="F40" s="26">
        <f>42916*0.4536</f>
        <v>19466.6976</v>
      </c>
      <c r="G40" s="27">
        <v>19360.2</v>
      </c>
      <c r="H40" s="27">
        <f t="shared" si="4"/>
        <v>-106.49759999999878</v>
      </c>
      <c r="I40" s="12" t="s">
        <v>1999</v>
      </c>
      <c r="J40" s="93" t="s">
        <v>29</v>
      </c>
      <c r="K40" s="17">
        <v>42474</v>
      </c>
      <c r="L40" s="17">
        <v>42475</v>
      </c>
      <c r="M40" s="25" t="s">
        <v>84</v>
      </c>
      <c r="N40" s="25" t="s">
        <v>1989</v>
      </c>
      <c r="O40" s="18"/>
      <c r="P40" s="28">
        <v>0.66849999999999998</v>
      </c>
      <c r="Q40" s="29">
        <v>18500</v>
      </c>
      <c r="R40" s="18">
        <v>8913</v>
      </c>
      <c r="S40" s="30">
        <v>17.934999999999999</v>
      </c>
      <c r="T40" s="101">
        <f>W40*F40*0.005</f>
        <v>2720.2863026897476</v>
      </c>
      <c r="V40" s="18">
        <v>0.1</v>
      </c>
      <c r="W40" s="18">
        <f>IF(O40&gt;0,O40,((P40*2.2046*S40)+(Q40+R40)/G40)+V40)</f>
        <v>27.94810253475913</v>
      </c>
      <c r="X40" s="18">
        <f>IF(O40&gt;0,O40,((P40*2.2046*S40)+(Q40+R40+T40)/G40)+V40)</f>
        <v>28.08861173934843</v>
      </c>
      <c r="Y40" s="21">
        <f t="shared" si="5"/>
        <v>546792.51073370595</v>
      </c>
      <c r="Z40" s="32">
        <v>42467</v>
      </c>
      <c r="AA40" s="37"/>
      <c r="AB40" s="37"/>
    </row>
    <row r="41" spans="1:28" s="12" customFormat="1" x14ac:dyDescent="0.25">
      <c r="A41" s="126"/>
      <c r="B41" s="24" t="s">
        <v>32</v>
      </c>
      <c r="C41" s="14" t="s">
        <v>33</v>
      </c>
      <c r="D41" s="25" t="s">
        <v>87</v>
      </c>
      <c r="E41" s="14">
        <v>249</v>
      </c>
      <c r="F41" s="26">
        <v>30285</v>
      </c>
      <c r="G41" s="27">
        <v>24250</v>
      </c>
      <c r="H41" s="27">
        <f t="shared" si="4"/>
        <v>-6035</v>
      </c>
      <c r="I41" s="94" t="s">
        <v>2024</v>
      </c>
      <c r="J41" s="14"/>
      <c r="K41" s="17"/>
      <c r="L41" s="17">
        <v>42474</v>
      </c>
      <c r="M41" s="25" t="s">
        <v>65</v>
      </c>
      <c r="N41" s="14"/>
      <c r="O41" s="18">
        <v>22.5</v>
      </c>
      <c r="P41" s="19"/>
      <c r="Q41" s="29">
        <v>17300</v>
      </c>
      <c r="R41" s="18">
        <f>59.25*E41</f>
        <v>14753.25</v>
      </c>
      <c r="S41" s="30">
        <f>-35*E41</f>
        <v>-8715</v>
      </c>
      <c r="T41" s="101">
        <f>W41*F41*0.0045</f>
        <v>3967.6233319329899</v>
      </c>
      <c r="U41" s="18">
        <f>E41*5</f>
        <v>1245</v>
      </c>
      <c r="V41" s="14"/>
      <c r="W41" s="18">
        <f>((O41*F41)+Q41+R41+S41+U41)/G41</f>
        <v>29.113226804123713</v>
      </c>
      <c r="X41" s="18">
        <f>((O41*F41)+Q41+R41+S41+T41+U41)/G41</f>
        <v>29.276840137399297</v>
      </c>
      <c r="Y41" s="21">
        <f t="shared" si="5"/>
        <v>886649.10356113769</v>
      </c>
      <c r="Z41" s="32">
        <v>42487</v>
      </c>
      <c r="AA41" s="37">
        <v>31</v>
      </c>
      <c r="AB41" s="37"/>
    </row>
    <row r="42" spans="1:28" s="12" customFormat="1" x14ac:dyDescent="0.25">
      <c r="A42" s="126"/>
      <c r="B42" s="24" t="s">
        <v>32</v>
      </c>
      <c r="C42" s="14" t="s">
        <v>33</v>
      </c>
      <c r="D42" s="25" t="s">
        <v>1510</v>
      </c>
      <c r="E42" s="14">
        <v>250</v>
      </c>
      <c r="F42" s="26">
        <v>32530</v>
      </c>
      <c r="G42" s="27">
        <v>26180</v>
      </c>
      <c r="H42" s="27">
        <f t="shared" si="4"/>
        <v>-6350</v>
      </c>
      <c r="I42" s="94" t="s">
        <v>2025</v>
      </c>
      <c r="J42" s="14"/>
      <c r="K42" s="17"/>
      <c r="L42" s="17">
        <v>42474</v>
      </c>
      <c r="M42" s="25" t="s">
        <v>65</v>
      </c>
      <c r="N42" s="14"/>
      <c r="O42" s="18">
        <v>22.5</v>
      </c>
      <c r="P42" s="19"/>
      <c r="Q42" s="29">
        <v>17300</v>
      </c>
      <c r="R42" s="18">
        <f>59.25*E42</f>
        <v>14812.5</v>
      </c>
      <c r="S42" s="30">
        <f>-35*E42</f>
        <v>-8750</v>
      </c>
      <c r="T42" s="101">
        <f>W42*F42*0.0045</f>
        <v>4230.1658494079447</v>
      </c>
      <c r="U42" s="18">
        <f>E42*5</f>
        <v>1250</v>
      </c>
      <c r="V42" s="14"/>
      <c r="W42" s="18">
        <f>((O42*F42)+Q42+R42+S42+U42)/G42</f>
        <v>28.897536287242168</v>
      </c>
      <c r="X42" s="18">
        <f>((O42*F42)+Q42+R42+S42+T42+U42)/G42</f>
        <v>29.059116342605343</v>
      </c>
      <c r="Y42" s="21">
        <f t="shared" si="5"/>
        <v>945293.05462495179</v>
      </c>
      <c r="Z42" s="32">
        <v>42487</v>
      </c>
      <c r="AA42" s="37">
        <v>31</v>
      </c>
      <c r="AB42" s="37"/>
    </row>
    <row r="43" spans="1:28" s="12" customFormat="1" x14ac:dyDescent="0.25">
      <c r="A43" s="126"/>
      <c r="B43" s="24" t="s">
        <v>2077</v>
      </c>
      <c r="C43" s="14" t="s">
        <v>1001</v>
      </c>
      <c r="D43" s="25" t="s">
        <v>57</v>
      </c>
      <c r="E43" s="14" t="s">
        <v>2078</v>
      </c>
      <c r="F43" s="26">
        <v>935.3</v>
      </c>
      <c r="G43" s="27">
        <v>935.3</v>
      </c>
      <c r="H43" s="27">
        <f t="shared" si="4"/>
        <v>0</v>
      </c>
      <c r="I43" s="94" t="s">
        <v>2126</v>
      </c>
      <c r="J43" s="14"/>
      <c r="K43" s="17"/>
      <c r="L43" s="17">
        <v>42474</v>
      </c>
      <c r="M43" s="25" t="s">
        <v>65</v>
      </c>
      <c r="N43" s="14"/>
      <c r="O43" s="18">
        <v>15.5</v>
      </c>
      <c r="P43" s="19"/>
      <c r="Q43" s="18"/>
      <c r="R43" s="18"/>
      <c r="S43" s="30"/>
      <c r="T43" s="31"/>
      <c r="U43" s="18"/>
      <c r="V43" s="18"/>
      <c r="W43" s="18">
        <f>IF(O43&gt;0,O43,((P43*2.2046*S43)+(Q43+R43)/G43)+V43)</f>
        <v>15.5</v>
      </c>
      <c r="X43" s="18">
        <f>IF(O43&gt;0,O43,((P43*2.2046*S43)+(Q43+R43+T43)/G43)+V43)</f>
        <v>15.5</v>
      </c>
      <c r="Y43" s="21">
        <f t="shared" si="5"/>
        <v>14497.15</v>
      </c>
      <c r="Z43" s="32">
        <v>42482</v>
      </c>
      <c r="AA43" s="37"/>
      <c r="AB43" s="37"/>
    </row>
    <row r="44" spans="1:28" s="12" customFormat="1" x14ac:dyDescent="0.25">
      <c r="A44" s="126"/>
      <c r="B44" s="24" t="s">
        <v>25</v>
      </c>
      <c r="C44" s="25" t="s">
        <v>72</v>
      </c>
      <c r="D44" s="25" t="s">
        <v>72</v>
      </c>
      <c r="E44" s="14" t="s">
        <v>42</v>
      </c>
      <c r="F44" s="26">
        <f>42652*0.4536</f>
        <v>19346.947199999999</v>
      </c>
      <c r="G44" s="27">
        <v>19361.12</v>
      </c>
      <c r="H44" s="27">
        <f t="shared" si="4"/>
        <v>14.172800000000279</v>
      </c>
      <c r="I44" s="12" t="s">
        <v>2000</v>
      </c>
      <c r="J44" s="93" t="s">
        <v>44</v>
      </c>
      <c r="K44" s="17">
        <v>42474</v>
      </c>
      <c r="L44" s="17">
        <v>42475</v>
      </c>
      <c r="M44" s="25" t="s">
        <v>84</v>
      </c>
      <c r="N44" s="25" t="s">
        <v>1990</v>
      </c>
      <c r="O44" s="18"/>
      <c r="P44" s="28">
        <f>0.5644+0.105</f>
        <v>0.6694</v>
      </c>
      <c r="Q44" s="29">
        <v>18500</v>
      </c>
      <c r="R44" s="18">
        <v>8913</v>
      </c>
      <c r="S44" s="30">
        <v>17.795000000000002</v>
      </c>
      <c r="T44" s="101">
        <f>W44*F44*0.005</f>
        <v>2687.0021654210414</v>
      </c>
      <c r="V44" s="18">
        <v>0.1</v>
      </c>
      <c r="W44" s="18">
        <f>IF(O44&gt;0,O44,((P44*2.2046*S44)+(Q44+R44)/G44)+V44)</f>
        <v>27.777014509255924</v>
      </c>
      <c r="X44" s="18">
        <f>IF(O44&gt;0,O44,((P44*2.2046*S44)+(Q44+R44+T44)/G44)+V44)</f>
        <v>27.915797914628186</v>
      </c>
      <c r="Y44" s="21">
        <f t="shared" si="5"/>
        <v>540085.46830018156</v>
      </c>
      <c r="Z44" s="32">
        <v>42468</v>
      </c>
      <c r="AA44" s="2"/>
      <c r="AB44" s="2"/>
    </row>
    <row r="45" spans="1:28" s="12" customFormat="1" x14ac:dyDescent="0.25">
      <c r="A45" s="126"/>
      <c r="B45" s="24" t="s">
        <v>32</v>
      </c>
      <c r="C45" s="14" t="s">
        <v>33</v>
      </c>
      <c r="D45" s="25" t="s">
        <v>1510</v>
      </c>
      <c r="E45" s="14">
        <v>249</v>
      </c>
      <c r="F45" s="26">
        <f>12840+17485</f>
        <v>30325</v>
      </c>
      <c r="G45" s="27">
        <v>24320</v>
      </c>
      <c r="H45" s="27">
        <f t="shared" si="4"/>
        <v>-6005</v>
      </c>
      <c r="I45" s="94" t="s">
        <v>2027</v>
      </c>
      <c r="J45" s="14"/>
      <c r="K45" s="17"/>
      <c r="L45" s="17">
        <v>42475</v>
      </c>
      <c r="M45" s="25" t="s">
        <v>84</v>
      </c>
      <c r="N45" s="14"/>
      <c r="O45" s="18">
        <v>22.5</v>
      </c>
      <c r="P45" s="19"/>
      <c r="Q45" s="29">
        <v>17300</v>
      </c>
      <c r="R45" s="18">
        <f>59.25*E45</f>
        <v>14753.25</v>
      </c>
      <c r="S45" s="30">
        <f>-35*E45</f>
        <v>-8715</v>
      </c>
      <c r="T45" s="101">
        <f>W45*F45*0.0045</f>
        <v>3966.4786712325244</v>
      </c>
      <c r="U45" s="18">
        <f>E45*5</f>
        <v>1245</v>
      </c>
      <c r="V45" s="14"/>
      <c r="W45" s="18">
        <f>((O45*F45)+Q45+R45+S45+U45)/G45</f>
        <v>29.066437088815789</v>
      </c>
      <c r="X45" s="18">
        <f>((O45*F45)+Q45+R45+S45+T45+U45)/G45</f>
        <v>29.22953242891581</v>
      </c>
      <c r="Y45" s="21">
        <f t="shared" si="5"/>
        <v>886385.57090687193</v>
      </c>
      <c r="Z45" s="32">
        <v>42488</v>
      </c>
      <c r="AA45" s="2">
        <v>31</v>
      </c>
      <c r="AB45" s="2"/>
    </row>
    <row r="46" spans="1:28" s="12" customFormat="1" x14ac:dyDescent="0.25">
      <c r="A46" s="126"/>
      <c r="B46" s="24" t="s">
        <v>2079</v>
      </c>
      <c r="C46" s="14" t="s">
        <v>856</v>
      </c>
      <c r="D46" s="25" t="s">
        <v>57</v>
      </c>
      <c r="E46" s="14" t="s">
        <v>2082</v>
      </c>
      <c r="F46" s="26">
        <v>2013.42</v>
      </c>
      <c r="G46" s="27">
        <v>2013.42</v>
      </c>
      <c r="H46" s="27">
        <f t="shared" si="4"/>
        <v>0</v>
      </c>
      <c r="I46" s="94" t="s">
        <v>2085</v>
      </c>
      <c r="J46" s="14"/>
      <c r="K46" s="17"/>
      <c r="L46" s="17">
        <v>42475</v>
      </c>
      <c r="M46" s="25" t="s">
        <v>84</v>
      </c>
      <c r="N46" s="14"/>
      <c r="O46" s="18">
        <v>36.5</v>
      </c>
      <c r="P46" s="19"/>
      <c r="Q46" s="18"/>
      <c r="R46" s="18"/>
      <c r="S46" s="30"/>
      <c r="T46" s="31"/>
      <c r="U46" s="18"/>
      <c r="V46" s="18"/>
      <c r="W46" s="18">
        <f t="shared" ref="W46:W51" si="6">IF(O46&gt;0,O46,((P46*2.2046*S46)+(Q46+R46)/G46)+V46)</f>
        <v>36.5</v>
      </c>
      <c r="X46" s="18">
        <f t="shared" ref="X46:X51" si="7">IF(O46&gt;0,O46,((P46*2.2046*S46)+(Q46+R46+T46)/G46)+V46)</f>
        <v>36.5</v>
      </c>
      <c r="Y46" s="21">
        <f t="shared" si="5"/>
        <v>73489.83</v>
      </c>
      <c r="Z46" s="32">
        <v>42482</v>
      </c>
      <c r="AA46" s="2"/>
      <c r="AB46" s="2"/>
    </row>
    <row r="47" spans="1:28" s="12" customFormat="1" x14ac:dyDescent="0.25">
      <c r="A47" s="126"/>
      <c r="B47" s="24" t="s">
        <v>2080</v>
      </c>
      <c r="C47" s="14" t="s">
        <v>856</v>
      </c>
      <c r="D47" s="25" t="s">
        <v>57</v>
      </c>
      <c r="E47" s="14" t="s">
        <v>2083</v>
      </c>
      <c r="F47" s="26">
        <v>776.34</v>
      </c>
      <c r="G47" s="27">
        <v>776.34</v>
      </c>
      <c r="H47" s="27">
        <f t="shared" si="4"/>
        <v>0</v>
      </c>
      <c r="I47" s="94" t="s">
        <v>2085</v>
      </c>
      <c r="J47" s="14"/>
      <c r="K47" s="17"/>
      <c r="L47" s="17">
        <v>42475</v>
      </c>
      <c r="M47" s="25" t="s">
        <v>84</v>
      </c>
      <c r="N47" s="14"/>
      <c r="O47" s="18">
        <v>36.5</v>
      </c>
      <c r="P47" s="19"/>
      <c r="Q47" s="18"/>
      <c r="R47" s="18"/>
      <c r="S47" s="30"/>
      <c r="T47" s="31"/>
      <c r="U47" s="18"/>
      <c r="V47" s="18"/>
      <c r="W47" s="18">
        <f t="shared" si="6"/>
        <v>36.5</v>
      </c>
      <c r="X47" s="18">
        <f t="shared" si="7"/>
        <v>36.5</v>
      </c>
      <c r="Y47" s="21">
        <f t="shared" si="5"/>
        <v>28336.41</v>
      </c>
      <c r="Z47" s="32">
        <v>42482</v>
      </c>
      <c r="AA47" s="2"/>
      <c r="AB47" s="2"/>
    </row>
    <row r="48" spans="1:28" s="12" customFormat="1" x14ac:dyDescent="0.25">
      <c r="A48" s="126"/>
      <c r="B48" s="24" t="s">
        <v>2081</v>
      </c>
      <c r="C48" s="14" t="s">
        <v>856</v>
      </c>
      <c r="D48" s="25" t="s">
        <v>57</v>
      </c>
      <c r="E48" s="14" t="s">
        <v>2084</v>
      </c>
      <c r="F48" s="26">
        <v>503.94</v>
      </c>
      <c r="G48" s="27">
        <v>503.94</v>
      </c>
      <c r="H48" s="27">
        <f t="shared" si="4"/>
        <v>0</v>
      </c>
      <c r="I48" s="94" t="s">
        <v>2085</v>
      </c>
      <c r="J48" s="14"/>
      <c r="K48" s="17"/>
      <c r="L48" s="17">
        <v>42475</v>
      </c>
      <c r="M48" s="25" t="s">
        <v>84</v>
      </c>
      <c r="N48" s="14"/>
      <c r="O48" s="18">
        <v>41</v>
      </c>
      <c r="P48" s="19"/>
      <c r="Q48" s="18"/>
      <c r="R48" s="18"/>
      <c r="S48" s="30"/>
      <c r="T48" s="31"/>
      <c r="U48" s="18"/>
      <c r="V48" s="18"/>
      <c r="W48" s="18">
        <f t="shared" si="6"/>
        <v>41</v>
      </c>
      <c r="X48" s="18">
        <f t="shared" si="7"/>
        <v>41</v>
      </c>
      <c r="Y48" s="21">
        <f t="shared" si="5"/>
        <v>20661.54</v>
      </c>
      <c r="Z48" s="32">
        <v>42482</v>
      </c>
      <c r="AA48" s="2"/>
      <c r="AB48" s="2"/>
    </row>
    <row r="49" spans="1:28" s="12" customFormat="1" x14ac:dyDescent="0.25">
      <c r="A49" s="126"/>
      <c r="B49" s="24" t="s">
        <v>25</v>
      </c>
      <c r="C49" s="25" t="s">
        <v>26</v>
      </c>
      <c r="D49" s="25" t="s">
        <v>26</v>
      </c>
      <c r="E49" s="14" t="s">
        <v>27</v>
      </c>
      <c r="F49" s="26">
        <f>40873*0.4536</f>
        <v>18539.9928</v>
      </c>
      <c r="G49" s="27">
        <v>18490.13</v>
      </c>
      <c r="H49" s="27">
        <f t="shared" si="4"/>
        <v>-49.86279999999897</v>
      </c>
      <c r="I49" s="12" t="s">
        <v>1996</v>
      </c>
      <c r="J49" s="93" t="s">
        <v>991</v>
      </c>
      <c r="K49" s="17">
        <v>42475</v>
      </c>
      <c r="L49" s="17">
        <v>42477</v>
      </c>
      <c r="M49" s="25" t="s">
        <v>36</v>
      </c>
      <c r="N49" s="25" t="s">
        <v>1993</v>
      </c>
      <c r="O49" s="18"/>
      <c r="P49" s="28">
        <f>0.5644+0.1075</f>
        <v>0.67190000000000005</v>
      </c>
      <c r="Q49" s="29">
        <v>21000</v>
      </c>
      <c r="R49" s="18">
        <v>8913</v>
      </c>
      <c r="S49" s="30">
        <v>17.795000000000002</v>
      </c>
      <c r="T49" s="101">
        <f>W49*F49*0.005</f>
        <v>2602.7364114331517</v>
      </c>
      <c r="V49" s="18">
        <v>0.1</v>
      </c>
      <c r="W49" s="18">
        <f t="shared" si="6"/>
        <v>28.076994845792516</v>
      </c>
      <c r="X49" s="18">
        <f t="shared" si="7"/>
        <v>28.217758399722811</v>
      </c>
      <c r="Y49" s="21">
        <f t="shared" si="5"/>
        <v>523157.03756300046</v>
      </c>
      <c r="Z49" s="32">
        <v>42468</v>
      </c>
      <c r="AA49" s="2"/>
      <c r="AB49" s="2"/>
    </row>
    <row r="50" spans="1:28" s="12" customFormat="1" x14ac:dyDescent="0.25">
      <c r="A50" s="126"/>
      <c r="B50" s="24" t="s">
        <v>25</v>
      </c>
      <c r="C50" s="25" t="s">
        <v>115</v>
      </c>
      <c r="D50" s="25" t="s">
        <v>115</v>
      </c>
      <c r="E50" s="14" t="s">
        <v>2028</v>
      </c>
      <c r="F50" s="26">
        <f>41887.864*0.4536</f>
        <v>19000.335110399999</v>
      </c>
      <c r="G50" s="27">
        <v>19016</v>
      </c>
      <c r="H50" s="27">
        <f t="shared" si="4"/>
        <v>15.664889600000606</v>
      </c>
      <c r="I50" s="12" t="s">
        <v>2002</v>
      </c>
      <c r="J50" s="93" t="s">
        <v>74</v>
      </c>
      <c r="K50" s="17">
        <v>42475</v>
      </c>
      <c r="L50" s="17">
        <v>42476</v>
      </c>
      <c r="M50" s="25" t="s">
        <v>30</v>
      </c>
      <c r="N50" s="25" t="s">
        <v>1994</v>
      </c>
      <c r="O50" s="18"/>
      <c r="P50" s="28">
        <f>0.5635+0.0955</f>
        <v>0.65900000000000003</v>
      </c>
      <c r="Q50" s="29">
        <v>18500</v>
      </c>
      <c r="R50" s="18">
        <v>9793</v>
      </c>
      <c r="S50" s="30">
        <v>17.484999999999999</v>
      </c>
      <c r="T50" s="101">
        <f>W50*F50*0.005</f>
        <v>2564.153113737711</v>
      </c>
      <c r="V50" s="18">
        <v>0.1</v>
      </c>
      <c r="W50" s="18">
        <f t="shared" si="6"/>
        <v>26.990609363875897</v>
      </c>
      <c r="X50" s="18">
        <f t="shared" si="7"/>
        <v>27.125451239861263</v>
      </c>
      <c r="Y50" s="21">
        <f t="shared" si="5"/>
        <v>515392.66357817914</v>
      </c>
      <c r="Z50" s="32">
        <v>42482</v>
      </c>
      <c r="AA50" s="37">
        <v>31.5</v>
      </c>
      <c r="AB50" s="37"/>
    </row>
    <row r="51" spans="1:28" s="12" customFormat="1" x14ac:dyDescent="0.25">
      <c r="A51" s="126"/>
      <c r="B51" s="24" t="s">
        <v>25</v>
      </c>
      <c r="C51" s="25" t="s">
        <v>26</v>
      </c>
      <c r="D51" s="25" t="s">
        <v>1952</v>
      </c>
      <c r="E51" s="14" t="s">
        <v>27</v>
      </c>
      <c r="F51" s="26">
        <f>40838*0.4536</f>
        <v>18524.1168</v>
      </c>
      <c r="G51" s="27">
        <v>18490.13</v>
      </c>
      <c r="H51" s="27">
        <f t="shared" si="4"/>
        <v>-33.986799999998766</v>
      </c>
      <c r="I51" s="12">
        <v>6813</v>
      </c>
      <c r="J51" s="14"/>
      <c r="K51" s="17">
        <v>42474</v>
      </c>
      <c r="L51" s="17">
        <v>42476</v>
      </c>
      <c r="M51" s="25" t="s">
        <v>30</v>
      </c>
      <c r="N51" s="25" t="s">
        <v>2136</v>
      </c>
      <c r="O51" s="18"/>
      <c r="P51" s="28">
        <f>0.5635+0.15</f>
        <v>0.71350000000000002</v>
      </c>
      <c r="Q51" s="18"/>
      <c r="R51" s="18"/>
      <c r="S51" s="30">
        <v>17.484999999999999</v>
      </c>
      <c r="T51" s="31"/>
      <c r="V51" s="18"/>
      <c r="W51" s="18">
        <f t="shared" si="6"/>
        <v>27.503592018500001</v>
      </c>
      <c r="X51" s="18">
        <f t="shared" si="7"/>
        <v>27.503592018500001</v>
      </c>
      <c r="Y51" s="21">
        <f t="shared" si="5"/>
        <v>509479.75097024179</v>
      </c>
      <c r="Z51" s="32">
        <v>42482</v>
      </c>
      <c r="AA51" s="37"/>
      <c r="AB51" s="37"/>
    </row>
    <row r="52" spans="1:28" s="12" customFormat="1" ht="15.75" thickBot="1" x14ac:dyDescent="0.3">
      <c r="A52" s="126"/>
      <c r="B52" s="41"/>
      <c r="C52" s="4"/>
      <c r="D52" s="4"/>
      <c r="E52" s="4"/>
      <c r="F52" s="42"/>
      <c r="G52" s="42"/>
      <c r="H52" s="42"/>
      <c r="I52" s="6"/>
      <c r="J52" s="4"/>
      <c r="K52" s="7"/>
      <c r="L52" s="7"/>
      <c r="M52" s="4"/>
      <c r="N52" s="4"/>
      <c r="O52" s="8"/>
      <c r="P52" s="9"/>
      <c r="Q52" s="8"/>
      <c r="R52" s="8"/>
      <c r="S52" s="8"/>
      <c r="T52" s="8"/>
      <c r="U52" s="8"/>
      <c r="V52" s="8"/>
      <c r="W52" s="8"/>
      <c r="X52" s="8"/>
      <c r="Y52" s="8"/>
      <c r="Z52" s="43"/>
      <c r="AA52" s="2"/>
      <c r="AB52" s="2"/>
    </row>
    <row r="53" spans="1:28" s="12" customFormat="1" x14ac:dyDescent="0.25">
      <c r="A53" s="134"/>
      <c r="B53" s="14" t="s">
        <v>32</v>
      </c>
      <c r="C53" s="14" t="s">
        <v>33</v>
      </c>
      <c r="D53" s="25" t="s">
        <v>87</v>
      </c>
      <c r="E53" s="14">
        <v>258</v>
      </c>
      <c r="F53" s="26">
        <v>28270</v>
      </c>
      <c r="G53" s="27">
        <f>10980+11350</f>
        <v>22330</v>
      </c>
      <c r="H53" s="27">
        <f t="shared" ref="H53:H70" si="8">G53-F53</f>
        <v>-5940</v>
      </c>
      <c r="I53" s="25" t="s">
        <v>2123</v>
      </c>
      <c r="J53" s="133">
        <v>257</v>
      </c>
      <c r="K53" s="17"/>
      <c r="L53" s="17">
        <v>42477</v>
      </c>
      <c r="M53" s="25" t="s">
        <v>36</v>
      </c>
      <c r="N53" s="14"/>
      <c r="O53" s="18">
        <v>23</v>
      </c>
      <c r="P53" s="19"/>
      <c r="Q53" s="29">
        <v>17300</v>
      </c>
      <c r="R53" s="18">
        <f>59.25*E53</f>
        <v>15286.5</v>
      </c>
      <c r="S53" s="30">
        <f>-35*E53</f>
        <v>-9030</v>
      </c>
      <c r="T53" s="163">
        <f>W53*F53*0.0045</f>
        <v>3845.8268091133004</v>
      </c>
      <c r="U53" s="18">
        <f>E53*5</f>
        <v>1290</v>
      </c>
      <c r="V53" s="14"/>
      <c r="W53" s="18">
        <f>((O53*F53)+Q53+R53+S53+U53)/G53</f>
        <v>30.230922525750113</v>
      </c>
      <c r="X53" s="18">
        <f>((O53*F53)+Q53+R53+S53+T53+U53)/G53</f>
        <v>30.403149431666513</v>
      </c>
      <c r="Y53" s="21">
        <f t="shared" ref="Y53:Y74" si="9">X53*F53</f>
        <v>859497.03443321236</v>
      </c>
      <c r="Z53" s="32">
        <v>42492</v>
      </c>
      <c r="AA53" s="2">
        <v>31.5</v>
      </c>
      <c r="AB53" s="2" t="s">
        <v>2131</v>
      </c>
    </row>
    <row r="54" spans="1:28" s="12" customFormat="1" x14ac:dyDescent="0.25">
      <c r="A54" s="134"/>
      <c r="B54" s="24" t="s">
        <v>32</v>
      </c>
      <c r="C54" s="14" t="s">
        <v>33</v>
      </c>
      <c r="D54" s="25" t="s">
        <v>87</v>
      </c>
      <c r="E54" s="14">
        <v>254</v>
      </c>
      <c r="F54" s="26">
        <v>29885</v>
      </c>
      <c r="G54" s="27">
        <f>17140+6450</f>
        <v>23590</v>
      </c>
      <c r="H54" s="27">
        <f t="shared" si="8"/>
        <v>-6295</v>
      </c>
      <c r="I54" s="25" t="s">
        <v>2130</v>
      </c>
      <c r="J54" s="133">
        <v>253</v>
      </c>
      <c r="K54" s="17"/>
      <c r="L54" s="17">
        <v>42478</v>
      </c>
      <c r="M54" s="25" t="s">
        <v>39</v>
      </c>
      <c r="N54" s="14"/>
      <c r="O54" s="18">
        <v>23</v>
      </c>
      <c r="P54" s="19"/>
      <c r="Q54" s="29">
        <v>17300</v>
      </c>
      <c r="R54" s="18">
        <f>59.25*E54</f>
        <v>15049.5</v>
      </c>
      <c r="S54" s="30">
        <f>-35*E54</f>
        <v>-8890</v>
      </c>
      <c r="T54" s="163">
        <f>W54*F54*0.0045</f>
        <v>4059.4702743217463</v>
      </c>
      <c r="U54" s="18">
        <f>E54*5</f>
        <v>1270</v>
      </c>
      <c r="V54" s="14"/>
      <c r="W54" s="18">
        <f>((O54*F54)+Q54+R54+S54+U54)/G54</f>
        <v>30.185862653666806</v>
      </c>
      <c r="X54" s="18">
        <f>((O54*F54)+Q54+R54+S54+T54+U54)/G54</f>
        <v>30.357947023074257</v>
      </c>
      <c r="Y54" s="21">
        <f t="shared" si="9"/>
        <v>907247.24678457412</v>
      </c>
      <c r="Z54" s="32">
        <v>42492</v>
      </c>
      <c r="AA54" s="2">
        <v>31.5</v>
      </c>
      <c r="AB54" s="2" t="s">
        <v>2132</v>
      </c>
    </row>
    <row r="55" spans="1:28" s="12" customFormat="1" x14ac:dyDescent="0.25">
      <c r="A55" s="134"/>
      <c r="B55" s="24" t="s">
        <v>25</v>
      </c>
      <c r="C55" s="25" t="s">
        <v>72</v>
      </c>
      <c r="D55" s="25" t="s">
        <v>72</v>
      </c>
      <c r="E55" s="14" t="s">
        <v>42</v>
      </c>
      <c r="F55" s="26">
        <f>42606*0.4536</f>
        <v>19326.081600000001</v>
      </c>
      <c r="G55" s="27">
        <v>19267.45</v>
      </c>
      <c r="H55" s="27">
        <f t="shared" si="8"/>
        <v>-58.631600000000617</v>
      </c>
      <c r="I55" s="12" t="s">
        <v>1997</v>
      </c>
      <c r="J55" s="93" t="s">
        <v>29</v>
      </c>
      <c r="K55" s="17">
        <v>42478</v>
      </c>
      <c r="L55" s="17">
        <v>42479</v>
      </c>
      <c r="M55" s="25" t="s">
        <v>30</v>
      </c>
      <c r="N55" s="25" t="s">
        <v>1992</v>
      </c>
      <c r="O55" s="18"/>
      <c r="P55" s="28">
        <f>0.5739+0.105</f>
        <v>0.67889999999999995</v>
      </c>
      <c r="Q55" s="29">
        <v>18500</v>
      </c>
      <c r="R55" s="18">
        <v>8939</v>
      </c>
      <c r="S55" s="30">
        <v>17.850000000000001</v>
      </c>
      <c r="T55" s="163">
        <f>W55*F55*0.005</f>
        <v>2728.8677616068685</v>
      </c>
      <c r="V55" s="18">
        <v>0.1</v>
      </c>
      <c r="W55" s="18">
        <f>IF(O55&gt;0,O55,((P55*2.2046*S55)+(Q55+R55)/G55)+V55)</f>
        <v>28.240259128439863</v>
      </c>
      <c r="X55" s="18">
        <f>IF(O55&gt;0,O55,((P55*2.2046*S55)+(Q55+R55+T55)/G55)+V55)</f>
        <v>28.381890105118504</v>
      </c>
      <c r="Y55" s="21">
        <f t="shared" si="9"/>
        <v>548510.72413375287</v>
      </c>
      <c r="Z55" s="32">
        <v>42466</v>
      </c>
      <c r="AA55" s="2">
        <v>32</v>
      </c>
      <c r="AB55" s="2"/>
    </row>
    <row r="56" spans="1:28" s="12" customFormat="1" x14ac:dyDescent="0.25">
      <c r="A56" s="134"/>
      <c r="B56" s="24" t="s">
        <v>25</v>
      </c>
      <c r="C56" s="25" t="s">
        <v>72</v>
      </c>
      <c r="D56" s="25" t="s">
        <v>72</v>
      </c>
      <c r="E56" s="14" t="s">
        <v>42</v>
      </c>
      <c r="F56" s="26">
        <f>42732*0.4536</f>
        <v>19383.235199999999</v>
      </c>
      <c r="G56" s="27">
        <v>19380</v>
      </c>
      <c r="H56" s="27">
        <f t="shared" si="8"/>
        <v>-3.2351999999991676</v>
      </c>
      <c r="I56" s="39" t="s">
        <v>2007</v>
      </c>
      <c r="J56" s="93" t="s">
        <v>44</v>
      </c>
      <c r="K56" s="17">
        <v>42478</v>
      </c>
      <c r="L56" s="17">
        <v>42479</v>
      </c>
      <c r="M56" s="25" t="s">
        <v>45</v>
      </c>
      <c r="N56" s="25" t="s">
        <v>2062</v>
      </c>
      <c r="O56" s="18"/>
      <c r="P56" s="28">
        <f>0.6225+0.105</f>
        <v>0.72750000000000004</v>
      </c>
      <c r="Q56" s="29">
        <v>18500</v>
      </c>
      <c r="R56" s="18">
        <v>8939</v>
      </c>
      <c r="S56" s="30">
        <v>17.54</v>
      </c>
      <c r="T56" s="163">
        <f>W56*F56*0.005</f>
        <v>2873.3037862742603</v>
      </c>
      <c r="V56" s="18">
        <v>0.1</v>
      </c>
      <c r="W56" s="18">
        <f>IF(O56&gt;0,O56,((P56*2.2046*S56)+(Q56+R56)/G56)+V56)</f>
        <v>29.647308683271415</v>
      </c>
      <c r="X56" s="18">
        <f>IF(O56&gt;0,O56,((P56*2.2046*S56)+(Q56+R56+T56)/G56)+V56)</f>
        <v>29.795569972552855</v>
      </c>
      <c r="Y56" s="21">
        <f t="shared" si="9"/>
        <v>577534.54069604946</v>
      </c>
      <c r="Z56" s="32">
        <v>42473</v>
      </c>
      <c r="AA56" s="37">
        <v>32</v>
      </c>
      <c r="AB56" s="37" t="s">
        <v>2135</v>
      </c>
    </row>
    <row r="57" spans="1:28" s="12" customFormat="1" x14ac:dyDescent="0.25">
      <c r="A57" s="134"/>
      <c r="B57" s="24" t="s">
        <v>25</v>
      </c>
      <c r="C57" s="25" t="s">
        <v>26</v>
      </c>
      <c r="D57" s="25" t="s">
        <v>26</v>
      </c>
      <c r="E57" s="14" t="s">
        <v>27</v>
      </c>
      <c r="F57" s="26">
        <f>42188*0.4536</f>
        <v>19136.4768</v>
      </c>
      <c r="G57" s="27">
        <v>19100.13</v>
      </c>
      <c r="H57" s="27">
        <f t="shared" si="8"/>
        <v>-36.346799999999348</v>
      </c>
      <c r="I57" s="12" t="s">
        <v>2008</v>
      </c>
      <c r="J57" s="93" t="s">
        <v>44</v>
      </c>
      <c r="K57" s="17">
        <v>42478</v>
      </c>
      <c r="L57" s="17">
        <v>42479</v>
      </c>
      <c r="M57" s="25" t="s">
        <v>45</v>
      </c>
      <c r="N57" s="25" t="s">
        <v>2063</v>
      </c>
      <c r="O57" s="18"/>
      <c r="P57" s="28">
        <f>0.6225+0.1075</f>
        <v>0.73000000000000009</v>
      </c>
      <c r="Q57" s="29">
        <v>18500</v>
      </c>
      <c r="R57" s="18">
        <v>8939</v>
      </c>
      <c r="S57" s="30">
        <v>17.54</v>
      </c>
      <c r="T57" s="163">
        <f>W57*F57*0.005</f>
        <v>2847.9599811382855</v>
      </c>
      <c r="V57" s="18">
        <v>0.1</v>
      </c>
      <c r="W57" s="18">
        <f>IF(O57&gt;0,O57,((P57*2.2046*S57)+(Q57+R57)/G57)+V57)</f>
        <v>29.764726400820923</v>
      </c>
      <c r="X57" s="18">
        <f>IF(O57&gt;0,O57,((P57*2.2046*S57)+(Q57+R57+T57)/G57)+V57)</f>
        <v>29.913833238373247</v>
      </c>
      <c r="Y57" s="21">
        <f t="shared" si="9"/>
        <v>572445.37576519849</v>
      </c>
      <c r="Z57" s="32">
        <v>42473</v>
      </c>
      <c r="AA57" s="37">
        <v>32</v>
      </c>
      <c r="AB57" s="37"/>
    </row>
    <row r="58" spans="1:28" s="12" customFormat="1" x14ac:dyDescent="0.25">
      <c r="A58" s="134"/>
      <c r="B58" s="24" t="s">
        <v>32</v>
      </c>
      <c r="C58" s="14" t="s">
        <v>33</v>
      </c>
      <c r="D58" s="25" t="s">
        <v>1510</v>
      </c>
      <c r="E58" s="14">
        <v>250</v>
      </c>
      <c r="F58" s="26">
        <v>28485</v>
      </c>
      <c r="G58" s="27">
        <f>16370+6460</f>
        <v>22830</v>
      </c>
      <c r="H58" s="27">
        <f t="shared" si="8"/>
        <v>-5655</v>
      </c>
      <c r="I58" s="12" t="s">
        <v>2145</v>
      </c>
      <c r="J58" s="14"/>
      <c r="K58" s="17"/>
      <c r="L58" s="17">
        <v>42479</v>
      </c>
      <c r="M58" s="25" t="s">
        <v>45</v>
      </c>
      <c r="N58" s="14"/>
      <c r="O58" s="18">
        <v>23</v>
      </c>
      <c r="P58" s="19"/>
      <c r="Q58" s="29">
        <v>17300</v>
      </c>
      <c r="R58" s="18">
        <f>59.25*E58</f>
        <v>14812.5</v>
      </c>
      <c r="S58" s="30">
        <f>-35*E58</f>
        <v>-8750</v>
      </c>
      <c r="T58" s="163">
        <f>W58*F58*0.0045</f>
        <v>3816.6577997700392</v>
      </c>
      <c r="U58" s="18">
        <f>E58*5</f>
        <v>1250</v>
      </c>
      <c r="V58" s="14"/>
      <c r="W58" s="18">
        <f>((O58*F58)+Q58+R58+S58+U58)/G58</f>
        <v>29.775186158563294</v>
      </c>
      <c r="X58" s="18">
        <f>((O58*F58)+Q58+R58+S58+T58+U58)/G58</f>
        <v>29.942363460349103</v>
      </c>
      <c r="Y58" s="21">
        <f t="shared" si="9"/>
        <v>852908.22316804423</v>
      </c>
      <c r="Z58" s="32">
        <v>42492</v>
      </c>
      <c r="AA58" s="37">
        <v>31.5</v>
      </c>
      <c r="AB58" s="37" t="s">
        <v>2148</v>
      </c>
    </row>
    <row r="59" spans="1:28" s="12" customFormat="1" x14ac:dyDescent="0.25">
      <c r="A59" s="134"/>
      <c r="B59" s="24" t="s">
        <v>855</v>
      </c>
      <c r="C59" s="25" t="s">
        <v>856</v>
      </c>
      <c r="D59" s="25" t="s">
        <v>1959</v>
      </c>
      <c r="E59" s="14">
        <v>149</v>
      </c>
      <c r="F59" s="26">
        <v>4334.5</v>
      </c>
      <c r="G59" s="27">
        <v>4334.1000000000004</v>
      </c>
      <c r="H59" s="27">
        <f t="shared" si="8"/>
        <v>-0.3999999999996362</v>
      </c>
      <c r="I59" s="12" t="s">
        <v>2155</v>
      </c>
      <c r="J59" s="14"/>
      <c r="K59" s="17"/>
      <c r="L59" s="17">
        <v>42479</v>
      </c>
      <c r="M59" s="25" t="s">
        <v>45</v>
      </c>
      <c r="N59" s="14"/>
      <c r="O59" s="18">
        <v>79.5</v>
      </c>
      <c r="P59" s="19"/>
      <c r="Q59" s="18"/>
      <c r="R59" s="18"/>
      <c r="S59" s="30"/>
      <c r="T59" s="31"/>
      <c r="U59" s="18"/>
      <c r="V59" s="18"/>
      <c r="W59" s="18">
        <f>IF(O59&gt;0,O59,((P59*2.2046*S59)+(Q59+R59)/G59)+V59)</f>
        <v>79.5</v>
      </c>
      <c r="X59" s="18">
        <f>IF(O59&gt;0,O59,((P59*2.2046*S59)+(Q59+R59+T59)/G59)+V59)</f>
        <v>79.5</v>
      </c>
      <c r="Y59" s="21">
        <f t="shared" si="9"/>
        <v>344592.75</v>
      </c>
      <c r="Z59" s="32">
        <v>42480</v>
      </c>
      <c r="AA59" s="37"/>
      <c r="AB59" s="37"/>
    </row>
    <row r="60" spans="1:28" s="12" customFormat="1" x14ac:dyDescent="0.25">
      <c r="A60" s="134"/>
      <c r="B60" s="24" t="s">
        <v>25</v>
      </c>
      <c r="C60" s="25" t="s">
        <v>115</v>
      </c>
      <c r="D60" s="25" t="s">
        <v>115</v>
      </c>
      <c r="E60" s="14" t="s">
        <v>47</v>
      </c>
      <c r="F60" s="26">
        <f>41829.441*0.4536</f>
        <v>18973.834437599999</v>
      </c>
      <c r="G60" s="27">
        <v>18986.38</v>
      </c>
      <c r="H60" s="27">
        <f t="shared" si="8"/>
        <v>12.545562400002382</v>
      </c>
      <c r="I60" s="12" t="s">
        <v>2056</v>
      </c>
      <c r="J60" s="93" t="s">
        <v>49</v>
      </c>
      <c r="K60" s="17">
        <v>42479</v>
      </c>
      <c r="L60" s="17">
        <v>42480</v>
      </c>
      <c r="M60" s="25" t="s">
        <v>50</v>
      </c>
      <c r="N60" s="25" t="s">
        <v>2064</v>
      </c>
      <c r="O60" s="18"/>
      <c r="P60" s="28">
        <f>0.6225+0.0955</f>
        <v>0.71800000000000008</v>
      </c>
      <c r="Q60" s="29">
        <v>18500</v>
      </c>
      <c r="R60" s="18">
        <v>9775</v>
      </c>
      <c r="S60" s="30">
        <v>18.097999999999999</v>
      </c>
      <c r="T60" s="163">
        <f>W60*F60*0.005</f>
        <v>2868.5212410593745</v>
      </c>
      <c r="V60" s="18">
        <v>0.1</v>
      </c>
      <c r="W60" s="18">
        <f>IF(O60&gt;0,O60,((P60*2.2046*S60)+(Q60+R60)/G60)+V60)</f>
        <v>30.236600308632333</v>
      </c>
      <c r="X60" s="18">
        <f>IF(O60&gt;0,O60,((P60*2.2046*S60)+(Q60+R60+T60)/G60)+V60)</f>
        <v>30.387683413524336</v>
      </c>
      <c r="Y60" s="21">
        <f t="shared" si="9"/>
        <v>576570.87403041427</v>
      </c>
      <c r="Z60" s="32">
        <v>42487</v>
      </c>
      <c r="AA60" s="37"/>
      <c r="AB60" s="37"/>
    </row>
    <row r="61" spans="1:28" s="12" customFormat="1" x14ac:dyDescent="0.25">
      <c r="A61" s="134"/>
      <c r="B61" s="24" t="s">
        <v>32</v>
      </c>
      <c r="C61" s="14" t="s">
        <v>68</v>
      </c>
      <c r="D61" s="25" t="s">
        <v>68</v>
      </c>
      <c r="E61" s="14">
        <v>260</v>
      </c>
      <c r="F61" s="26">
        <f>12420+12230</f>
        <v>24650</v>
      </c>
      <c r="G61" s="27">
        <f>9660+5100+4480</f>
        <v>19240</v>
      </c>
      <c r="H61" s="27">
        <f t="shared" si="8"/>
        <v>-5410</v>
      </c>
      <c r="I61" s="25" t="s">
        <v>2138</v>
      </c>
      <c r="J61" s="14"/>
      <c r="K61" s="17">
        <v>42479</v>
      </c>
      <c r="L61" s="17">
        <v>42480</v>
      </c>
      <c r="M61" s="25" t="s">
        <v>50</v>
      </c>
      <c r="N61" s="14"/>
      <c r="O61" s="18">
        <v>22.5</v>
      </c>
      <c r="P61" s="19"/>
      <c r="Q61" s="29">
        <v>22000</v>
      </c>
      <c r="R61" s="99">
        <f>98*E61</f>
        <v>25480</v>
      </c>
      <c r="S61" s="30">
        <f>-38*E61</f>
        <v>-9880</v>
      </c>
      <c r="T61" s="31"/>
      <c r="U61" s="18">
        <f>E61*10</f>
        <v>2600</v>
      </c>
      <c r="V61" s="14"/>
      <c r="W61" s="18">
        <f>((O61*F61)+Q61+R61+S61+U61)/G61</f>
        <v>30.91606029106029</v>
      </c>
      <c r="X61" s="18">
        <f>((O61*F61)+Q61+R61+S61+T61+U61)/G61</f>
        <v>30.91606029106029</v>
      </c>
      <c r="Y61" s="21">
        <f t="shared" si="9"/>
        <v>762080.88617463619</v>
      </c>
      <c r="Z61" s="32">
        <v>42480</v>
      </c>
      <c r="AA61" s="37">
        <v>31.5</v>
      </c>
      <c r="AB61" s="37" t="s">
        <v>2149</v>
      </c>
    </row>
    <row r="62" spans="1:28" s="12" customFormat="1" x14ac:dyDescent="0.25">
      <c r="A62" s="134"/>
      <c r="B62" s="24" t="s">
        <v>25</v>
      </c>
      <c r="C62" s="25" t="s">
        <v>72</v>
      </c>
      <c r="D62" s="25" t="s">
        <v>72</v>
      </c>
      <c r="E62" s="14" t="s">
        <v>42</v>
      </c>
      <c r="F62" s="26">
        <f>42564*0.4536</f>
        <v>19307.0304</v>
      </c>
      <c r="G62" s="27">
        <v>19252.009999999998</v>
      </c>
      <c r="H62" s="27">
        <f t="shared" si="8"/>
        <v>-55.020400000001246</v>
      </c>
      <c r="I62" s="12" t="s">
        <v>2058</v>
      </c>
      <c r="J62" s="93" t="s">
        <v>44</v>
      </c>
      <c r="K62" s="17">
        <v>42480</v>
      </c>
      <c r="L62" s="17">
        <v>42481</v>
      </c>
      <c r="M62" s="25" t="s">
        <v>65</v>
      </c>
      <c r="N62" s="25" t="s">
        <v>2065</v>
      </c>
      <c r="O62" s="18"/>
      <c r="P62" s="28">
        <f>0.6524+0.105</f>
        <v>0.75739999999999996</v>
      </c>
      <c r="Q62" s="29">
        <v>18500</v>
      </c>
      <c r="R62" s="18">
        <v>8900</v>
      </c>
      <c r="S62" s="30">
        <v>17.574999999999999</v>
      </c>
      <c r="T62" s="163">
        <f>W62*F62*0.005</f>
        <v>2979.975562075972</v>
      </c>
      <c r="V62" s="18">
        <v>0.1</v>
      </c>
      <c r="W62" s="18">
        <f>IF(O62&gt;0,O62,((P62*2.2046*S62)+(Q62+R62)/G62)+V62)</f>
        <v>30.869331019191556</v>
      </c>
      <c r="X62" s="18">
        <f>IF(O62&gt;0,O62,((P62*2.2046*S62)+(Q62+R62+T62)/G62)+V62)</f>
        <v>31.024118782239466</v>
      </c>
      <c r="Y62" s="21">
        <f t="shared" si="9"/>
        <v>598983.60446190834</v>
      </c>
      <c r="Z62" s="32">
        <v>42474</v>
      </c>
      <c r="AA62" s="37"/>
      <c r="AB62" s="37"/>
    </row>
    <row r="63" spans="1:28" s="12" customFormat="1" x14ac:dyDescent="0.25">
      <c r="A63" s="134"/>
      <c r="B63" s="24" t="s">
        <v>25</v>
      </c>
      <c r="C63" s="25" t="s">
        <v>72</v>
      </c>
      <c r="D63" s="25" t="s">
        <v>72</v>
      </c>
      <c r="E63" s="14" t="s">
        <v>42</v>
      </c>
      <c r="F63" s="26">
        <f>42546*0.4536</f>
        <v>19298.865600000001</v>
      </c>
      <c r="G63" s="27">
        <v>19261.080000000002</v>
      </c>
      <c r="H63" s="27">
        <f t="shared" si="8"/>
        <v>-37.785599999999249</v>
      </c>
      <c r="I63" s="12" t="s">
        <v>2059</v>
      </c>
      <c r="J63" s="93" t="s">
        <v>29</v>
      </c>
      <c r="K63" s="17">
        <v>42480</v>
      </c>
      <c r="L63" s="17">
        <v>42482</v>
      </c>
      <c r="M63" s="25" t="s">
        <v>84</v>
      </c>
      <c r="N63" s="25" t="s">
        <v>2065</v>
      </c>
      <c r="O63" s="18"/>
      <c r="P63" s="28">
        <v>0.75739999999999996</v>
      </c>
      <c r="Q63" s="29">
        <v>18500</v>
      </c>
      <c r="R63" s="18">
        <v>8900</v>
      </c>
      <c r="S63" s="30">
        <v>17.574999999999999</v>
      </c>
      <c r="T63" s="163">
        <f>W63*F63*0.005</f>
        <v>2978.650682497323</v>
      </c>
      <c r="V63" s="18">
        <v>0.1</v>
      </c>
      <c r="W63" s="18">
        <f>IF(O63&gt;0,O63,((P63*2.2046*S63)+(Q63+R63)/G63)+V63)</f>
        <v>30.868660824264438</v>
      </c>
      <c r="X63" s="18">
        <f>IF(O63&gt;0,O63,((P63*2.2046*S63)+(Q63+R63+T63)/G63)+V63)</f>
        <v>31.023306912775428</v>
      </c>
      <c r="Y63" s="21">
        <f t="shared" si="9"/>
        <v>598714.63057720393</v>
      </c>
      <c r="Z63" s="32">
        <v>42474</v>
      </c>
      <c r="AA63" s="37"/>
      <c r="AB63" s="37"/>
    </row>
    <row r="64" spans="1:28" s="12" customFormat="1" x14ac:dyDescent="0.25">
      <c r="A64" s="134"/>
      <c r="B64" s="24" t="s">
        <v>32</v>
      </c>
      <c r="C64" s="14" t="s">
        <v>33</v>
      </c>
      <c r="D64" s="25" t="s">
        <v>1228</v>
      </c>
      <c r="E64" s="14">
        <v>250</v>
      </c>
      <c r="F64" s="26">
        <f>27475</f>
        <v>27475</v>
      </c>
      <c r="G64" s="27">
        <f>17370</f>
        <v>17370</v>
      </c>
      <c r="H64" s="27">
        <f t="shared" si="8"/>
        <v>-10105</v>
      </c>
      <c r="I64" s="12" t="s">
        <v>2146</v>
      </c>
      <c r="J64" s="14"/>
      <c r="K64" s="17"/>
      <c r="L64" s="17">
        <v>42481</v>
      </c>
      <c r="M64" s="25" t="s">
        <v>65</v>
      </c>
      <c r="N64" s="14"/>
      <c r="O64" s="18">
        <v>23</v>
      </c>
      <c r="P64" s="19"/>
      <c r="Q64" s="29">
        <f>17300+13600</f>
        <v>30900</v>
      </c>
      <c r="R64" s="18">
        <f>59.25*E64</f>
        <v>14812.5</v>
      </c>
      <c r="S64" s="30">
        <f>-35*E64</f>
        <v>-8750</v>
      </c>
      <c r="T64" s="163">
        <f>W64*F64*0.0045</f>
        <v>4769.9553918393776</v>
      </c>
      <c r="U64" s="18">
        <f>E64*5</f>
        <v>1250</v>
      </c>
      <c r="V64" s="14"/>
      <c r="W64" s="18">
        <f>((O64*F64)+Q64+R64+S64+U64)/G64</f>
        <v>38.580166954519285</v>
      </c>
      <c r="X64" s="18">
        <f>((O64*F64)+Q64+R64+S64+T64+U64)/G64</f>
        <v>38.854775785367842</v>
      </c>
      <c r="Y64" s="21">
        <f t="shared" si="9"/>
        <v>1067534.9647029815</v>
      </c>
      <c r="Z64" s="32">
        <v>42494</v>
      </c>
      <c r="AA64" s="37">
        <v>32</v>
      </c>
      <c r="AB64" s="37" t="s">
        <v>2150</v>
      </c>
    </row>
    <row r="65" spans="1:28" s="12" customFormat="1" x14ac:dyDescent="0.25">
      <c r="A65" s="134"/>
      <c r="B65" s="24" t="s">
        <v>32</v>
      </c>
      <c r="C65" s="14" t="s">
        <v>33</v>
      </c>
      <c r="D65" s="25" t="s">
        <v>80</v>
      </c>
      <c r="E65" s="14">
        <v>80</v>
      </c>
      <c r="F65" s="26">
        <v>9425</v>
      </c>
      <c r="G65" s="27">
        <v>12090</v>
      </c>
      <c r="H65" s="27">
        <f t="shared" si="8"/>
        <v>2665</v>
      </c>
      <c r="I65" s="25" t="s">
        <v>2147</v>
      </c>
      <c r="J65" s="14"/>
      <c r="K65" s="17"/>
      <c r="L65" s="17">
        <v>42481</v>
      </c>
      <c r="M65" s="25" t="s">
        <v>65</v>
      </c>
      <c r="N65" s="14"/>
      <c r="O65" s="18">
        <v>23</v>
      </c>
      <c r="P65" s="19"/>
      <c r="Q65" s="29">
        <v>13600</v>
      </c>
      <c r="R65" s="18">
        <f>59.25*E65</f>
        <v>4740</v>
      </c>
      <c r="S65" s="30">
        <f>-35*E65</f>
        <v>-2800</v>
      </c>
      <c r="T65" s="163">
        <f>W65*F65*0.0045</f>
        <v>816.3792338709676</v>
      </c>
      <c r="U65" s="18">
        <f>E65*5</f>
        <v>400</v>
      </c>
      <c r="V65" s="14"/>
      <c r="W65" s="18">
        <f>((O65*F65)+Q65+R65+S65+U65)/G65</f>
        <v>19.248552522746071</v>
      </c>
      <c r="X65" s="18">
        <f>((O65*F65)+Q65+R65+S65+T65+U65)/G65</f>
        <v>19.316077686837964</v>
      </c>
      <c r="Y65" s="21">
        <f t="shared" si="9"/>
        <v>182054.03219844782</v>
      </c>
      <c r="Z65" s="32">
        <v>42494</v>
      </c>
      <c r="AA65" s="37"/>
      <c r="AB65" s="37"/>
    </row>
    <row r="66" spans="1:28" s="12" customFormat="1" x14ac:dyDescent="0.25">
      <c r="A66" s="134"/>
      <c r="B66" s="24" t="s">
        <v>25</v>
      </c>
      <c r="C66" s="25" t="s">
        <v>72</v>
      </c>
      <c r="D66" s="25" t="s">
        <v>72</v>
      </c>
      <c r="E66" s="14" t="s">
        <v>42</v>
      </c>
      <c r="F66" s="26">
        <f>42608*0.4536</f>
        <v>19326.988799999999</v>
      </c>
      <c r="G66" s="27">
        <v>19292.419999999998</v>
      </c>
      <c r="H66" s="27">
        <f t="shared" si="8"/>
        <v>-34.56880000000092</v>
      </c>
      <c r="I66" s="12" t="s">
        <v>2060</v>
      </c>
      <c r="J66" s="93" t="s">
        <v>74</v>
      </c>
      <c r="K66" s="17">
        <v>42481</v>
      </c>
      <c r="L66" s="17">
        <v>42482</v>
      </c>
      <c r="M66" s="25" t="s">
        <v>84</v>
      </c>
      <c r="N66" s="25" t="s">
        <v>2066</v>
      </c>
      <c r="O66" s="18"/>
      <c r="P66" s="28">
        <f>0.6597+0.105</f>
        <v>0.76469999999999994</v>
      </c>
      <c r="Q66" s="29">
        <v>18500</v>
      </c>
      <c r="R66" s="18">
        <v>8900</v>
      </c>
      <c r="S66" s="30">
        <v>17.43</v>
      </c>
      <c r="T66" s="163">
        <f>W66*F66*0.005</f>
        <v>2986.4783248506201</v>
      </c>
      <c r="V66" s="18">
        <v>0.1</v>
      </c>
      <c r="W66" s="18">
        <f>IF(O66&gt;0,O66,((P66*2.2046*S66)+(Q66+R66)/G66)+V66)</f>
        <v>30.904745232228002</v>
      </c>
      <c r="X66" s="18">
        <f>IF(O66&gt;0,O66,((P66*2.2046*S66)+(Q66+R66+T66)/G66)+V66)</f>
        <v>31.059545839142565</v>
      </c>
      <c r="Y66" s="21">
        <f t="shared" si="9"/>
        <v>600287.49456619495</v>
      </c>
      <c r="Z66" s="32">
        <v>42475</v>
      </c>
      <c r="AA66" s="2">
        <v>33</v>
      </c>
      <c r="AB66" s="2"/>
    </row>
    <row r="67" spans="1:28" s="12" customFormat="1" x14ac:dyDescent="0.25">
      <c r="A67" s="134"/>
      <c r="B67" s="24" t="s">
        <v>32</v>
      </c>
      <c r="C67" s="14" t="s">
        <v>33</v>
      </c>
      <c r="D67" s="25" t="s">
        <v>2154</v>
      </c>
      <c r="E67" s="14">
        <v>250</v>
      </c>
      <c r="F67" s="26">
        <v>28575</v>
      </c>
      <c r="G67" s="27">
        <v>22750</v>
      </c>
      <c r="H67" s="27">
        <f t="shared" si="8"/>
        <v>-5825</v>
      </c>
      <c r="I67" s="12" t="s">
        <v>78</v>
      </c>
      <c r="J67" s="133">
        <v>249</v>
      </c>
      <c r="K67" s="17"/>
      <c r="L67" s="17">
        <v>42482</v>
      </c>
      <c r="M67" s="25" t="s">
        <v>84</v>
      </c>
      <c r="N67" s="14"/>
      <c r="O67" s="18">
        <v>23</v>
      </c>
      <c r="P67" s="19"/>
      <c r="Q67" s="29">
        <v>17300</v>
      </c>
      <c r="R67" s="18">
        <f>59.25*E67</f>
        <v>14812.5</v>
      </c>
      <c r="S67" s="30">
        <f>-35*E67</f>
        <v>-8750</v>
      </c>
      <c r="T67" s="163">
        <f>W67*F67*0.0045</f>
        <v>3853.8804189560437</v>
      </c>
      <c r="U67" s="18">
        <f>E67*5</f>
        <v>1250</v>
      </c>
      <c r="V67" s="14"/>
      <c r="W67" s="18">
        <f>((O67*F67)+Q67+R67+S67+U67)/G67</f>
        <v>29.970879120879122</v>
      </c>
      <c r="X67" s="18">
        <f>((O67*F67)+Q67+R67+S67+T67+U67)/G67</f>
        <v>30.14028045797609</v>
      </c>
      <c r="Y67" s="21">
        <f t="shared" si="9"/>
        <v>861258.51408666675</v>
      </c>
      <c r="Z67" s="32">
        <v>42495</v>
      </c>
      <c r="AA67" s="2">
        <v>31.5</v>
      </c>
      <c r="AB67" s="2"/>
    </row>
    <row r="68" spans="1:28" s="12" customFormat="1" x14ac:dyDescent="0.25">
      <c r="A68" s="134"/>
      <c r="B68" s="24" t="s">
        <v>32</v>
      </c>
      <c r="C68" s="14" t="s">
        <v>33</v>
      </c>
      <c r="D68" s="25" t="s">
        <v>2154</v>
      </c>
      <c r="E68" s="14">
        <v>130</v>
      </c>
      <c r="F68" s="26">
        <v>14725</v>
      </c>
      <c r="G68" s="27">
        <v>11790</v>
      </c>
      <c r="H68" s="27">
        <f t="shared" si="8"/>
        <v>-2935</v>
      </c>
      <c r="I68" s="25" t="s">
        <v>89</v>
      </c>
      <c r="J68" s="14"/>
      <c r="K68" s="17"/>
      <c r="L68" s="17">
        <v>42482</v>
      </c>
      <c r="M68" s="25" t="s">
        <v>84</v>
      </c>
      <c r="N68" s="14"/>
      <c r="O68" s="18">
        <v>23</v>
      </c>
      <c r="P68" s="19"/>
      <c r="Q68" s="29">
        <v>13600</v>
      </c>
      <c r="R68" s="18">
        <f>59.25*E68</f>
        <v>7702.5</v>
      </c>
      <c r="S68" s="30">
        <f>-35*E68</f>
        <v>-4550</v>
      </c>
      <c r="T68" s="163">
        <f>W68*F68*0.0045</f>
        <v>2001.2370944656486</v>
      </c>
      <c r="U68" s="18">
        <f>E68*5</f>
        <v>650</v>
      </c>
      <c r="V68" s="14"/>
      <c r="W68" s="18">
        <f>((O68*F68)+Q68+R68+S68+U68)/G68</f>
        <v>30.201653944020357</v>
      </c>
      <c r="X68" s="18">
        <f>((O68*F68)+Q68+R68+S68+T68+U68)/G68</f>
        <v>30.371394155595052</v>
      </c>
      <c r="Y68" s="21">
        <f t="shared" si="9"/>
        <v>447218.77894113713</v>
      </c>
      <c r="Z68" s="32">
        <v>42495</v>
      </c>
      <c r="AA68" s="37">
        <v>31.5</v>
      </c>
      <c r="AB68" s="37" t="s">
        <v>2177</v>
      </c>
    </row>
    <row r="69" spans="1:28" s="12" customFormat="1" x14ac:dyDescent="0.25">
      <c r="A69" s="134"/>
      <c r="B69" s="24" t="s">
        <v>25</v>
      </c>
      <c r="C69" s="25" t="s">
        <v>26</v>
      </c>
      <c r="D69" s="25" t="s">
        <v>26</v>
      </c>
      <c r="E69" s="14" t="s">
        <v>27</v>
      </c>
      <c r="F69" s="26">
        <f>42253*0.4536</f>
        <v>19165.960800000001</v>
      </c>
      <c r="G69" s="27">
        <v>19080.13</v>
      </c>
      <c r="H69" s="27">
        <f t="shared" si="8"/>
        <v>-85.830799999999726</v>
      </c>
      <c r="I69" s="39" t="s">
        <v>2055</v>
      </c>
      <c r="J69" s="93" t="s">
        <v>74</v>
      </c>
      <c r="K69" s="17">
        <v>42482</v>
      </c>
      <c r="L69" s="17">
        <v>42483</v>
      </c>
      <c r="M69" s="25" t="s">
        <v>30</v>
      </c>
      <c r="N69" s="25" t="s">
        <v>2067</v>
      </c>
      <c r="O69" s="18"/>
      <c r="P69" s="28">
        <f>0.6597+0.1075</f>
        <v>0.76719999999999999</v>
      </c>
      <c r="Q69" s="29">
        <v>18500</v>
      </c>
      <c r="R69" s="18">
        <v>11581</v>
      </c>
      <c r="S69" s="30">
        <v>17.43</v>
      </c>
      <c r="T69" s="163">
        <f>W69*F69*0.005</f>
        <v>2985.7812151941966</v>
      </c>
      <c r="V69" s="18">
        <v>0.1</v>
      </c>
      <c r="W69" s="18">
        <f t="shared" ref="W69:W74" si="10">IF(O69&gt;0,O69,((P69*2.2046*S69)+(Q69+R69)/G69)+V69)</f>
        <v>31.157125346872217</v>
      </c>
      <c r="X69" s="18">
        <f t="shared" ref="X69:X74" si="11">IF(O69&gt;0,O69,((P69*2.2046*S69)+(Q69+R69+T69)/G69)+V69)</f>
        <v>31.313611765738035</v>
      </c>
      <c r="Y69" s="21">
        <f t="shared" si="9"/>
        <v>600155.45560855395</v>
      </c>
      <c r="Z69" s="32">
        <v>42475</v>
      </c>
      <c r="AA69" s="2">
        <v>33.5</v>
      </c>
      <c r="AB69" s="2" t="s">
        <v>2178</v>
      </c>
    </row>
    <row r="70" spans="1:28" s="12" customFormat="1" x14ac:dyDescent="0.25">
      <c r="A70" s="134"/>
      <c r="B70" s="24" t="s">
        <v>25</v>
      </c>
      <c r="C70" s="25" t="s">
        <v>72</v>
      </c>
      <c r="D70" s="25" t="s">
        <v>72</v>
      </c>
      <c r="E70" s="14" t="s">
        <v>42</v>
      </c>
      <c r="F70" s="26">
        <f>42638*0.4536</f>
        <v>19340.596799999999</v>
      </c>
      <c r="G70" s="27">
        <v>19338.34</v>
      </c>
      <c r="H70" s="27">
        <f t="shared" si="8"/>
        <v>-2.2567999999992026</v>
      </c>
      <c r="I70" s="12" t="s">
        <v>2061</v>
      </c>
      <c r="J70" s="93" t="s">
        <v>991</v>
      </c>
      <c r="K70" s="17">
        <v>42482</v>
      </c>
      <c r="L70" s="17">
        <v>42484</v>
      </c>
      <c r="M70" s="25" t="s">
        <v>36</v>
      </c>
      <c r="N70" s="25" t="s">
        <v>2068</v>
      </c>
      <c r="O70" s="18"/>
      <c r="P70" s="28">
        <f>0.6749+0.105</f>
        <v>0.77990000000000004</v>
      </c>
      <c r="Q70" s="29">
        <v>21000</v>
      </c>
      <c r="R70" s="18">
        <v>8926</v>
      </c>
      <c r="S70" s="30">
        <v>17.635000000000002</v>
      </c>
      <c r="T70" s="163">
        <f>W70*F70*0.005</f>
        <v>3091.4534414615378</v>
      </c>
      <c r="V70" s="18">
        <v>0.1</v>
      </c>
      <c r="W70" s="18">
        <f t="shared" si="10"/>
        <v>31.968542371572916</v>
      </c>
      <c r="X70" s="18">
        <f t="shared" si="11"/>
        <v>32.128403737205211</v>
      </c>
      <c r="Y70" s="21">
        <f t="shared" si="9"/>
        <v>621382.50250889908</v>
      </c>
      <c r="Z70" s="32">
        <v>42478</v>
      </c>
      <c r="AA70" s="2">
        <v>33.5</v>
      </c>
      <c r="AB70" s="2"/>
    </row>
    <row r="71" spans="1:28" s="12" customFormat="1" x14ac:dyDescent="0.25">
      <c r="A71" s="134"/>
      <c r="B71" s="24" t="s">
        <v>2187</v>
      </c>
      <c r="C71" s="25" t="s">
        <v>72</v>
      </c>
      <c r="D71" s="25" t="s">
        <v>57</v>
      </c>
      <c r="E71" s="14" t="s">
        <v>832</v>
      </c>
      <c r="F71" s="26">
        <v>1845.7</v>
      </c>
      <c r="G71" s="27">
        <v>1845.7</v>
      </c>
      <c r="H71" s="27"/>
      <c r="I71" s="12" t="s">
        <v>2188</v>
      </c>
      <c r="J71" s="14"/>
      <c r="K71" s="17"/>
      <c r="L71" s="17">
        <v>42483</v>
      </c>
      <c r="M71" s="25" t="s">
        <v>30</v>
      </c>
      <c r="N71" s="25"/>
      <c r="O71" s="18">
        <v>15.5</v>
      </c>
      <c r="P71" s="28"/>
      <c r="Q71" s="18"/>
      <c r="R71" s="18"/>
      <c r="S71" s="30"/>
      <c r="T71" s="31"/>
      <c r="V71" s="18"/>
      <c r="W71" s="18">
        <f t="shared" si="10"/>
        <v>15.5</v>
      </c>
      <c r="X71" s="18">
        <f t="shared" si="11"/>
        <v>15.5</v>
      </c>
      <c r="Y71" s="21">
        <f t="shared" si="9"/>
        <v>28608.350000000002</v>
      </c>
      <c r="Z71" s="32">
        <v>42489</v>
      </c>
      <c r="AA71" s="2"/>
      <c r="AB71" s="2"/>
    </row>
    <row r="72" spans="1:28" s="12" customFormat="1" x14ac:dyDescent="0.25">
      <c r="A72" s="134"/>
      <c r="B72" s="24" t="s">
        <v>25</v>
      </c>
      <c r="C72" s="25" t="s">
        <v>115</v>
      </c>
      <c r="D72" s="25" t="s">
        <v>115</v>
      </c>
      <c r="E72" s="14" t="s">
        <v>47</v>
      </c>
      <c r="F72" s="26">
        <f>41721.415*0.4536</f>
        <v>18924.833844000001</v>
      </c>
      <c r="G72" s="27">
        <v>18900.919999999998</v>
      </c>
      <c r="H72" s="27">
        <f>G72-F72</f>
        <v>-23.913844000002427</v>
      </c>
      <c r="I72" s="12" t="s">
        <v>2057</v>
      </c>
      <c r="J72" s="93" t="s">
        <v>29</v>
      </c>
      <c r="K72" s="17">
        <v>42482</v>
      </c>
      <c r="L72" s="17">
        <v>42483</v>
      </c>
      <c r="M72" s="25" t="s">
        <v>30</v>
      </c>
      <c r="N72" s="25" t="s">
        <v>2069</v>
      </c>
      <c r="O72" s="18"/>
      <c r="P72" s="28">
        <f>0.652+0.095</f>
        <v>0.747</v>
      </c>
      <c r="Q72" s="29">
        <v>18500</v>
      </c>
      <c r="R72" s="18">
        <v>9811</v>
      </c>
      <c r="S72" s="30">
        <v>18.097999999999999</v>
      </c>
      <c r="T72" s="163">
        <f>W72*F72*0.005</f>
        <v>2971.417035811548</v>
      </c>
      <c r="V72" s="18">
        <v>0.1</v>
      </c>
      <c r="W72" s="18">
        <f t="shared" si="10"/>
        <v>31.40230514365776</v>
      </c>
      <c r="X72" s="18">
        <f t="shared" si="11"/>
        <v>31.559515323681353</v>
      </c>
      <c r="Y72" s="21">
        <f t="shared" si="9"/>
        <v>597258.5836978415</v>
      </c>
      <c r="Z72" s="32">
        <v>42489</v>
      </c>
      <c r="AA72" s="37">
        <v>33.5</v>
      </c>
      <c r="AB72" s="37"/>
    </row>
    <row r="73" spans="1:28" s="12" customFormat="1" x14ac:dyDescent="0.25">
      <c r="A73" s="134"/>
      <c r="B73" s="24" t="s">
        <v>25</v>
      </c>
      <c r="C73" s="25" t="s">
        <v>2181</v>
      </c>
      <c r="D73" s="25" t="s">
        <v>886</v>
      </c>
      <c r="E73" s="14" t="s">
        <v>42</v>
      </c>
      <c r="F73" s="26">
        <v>18097.73</v>
      </c>
      <c r="G73" s="27">
        <v>17970.669999999998</v>
      </c>
      <c r="H73" s="27">
        <f>G73-F73</f>
        <v>-127.06000000000131</v>
      </c>
      <c r="I73" s="12" t="s">
        <v>2180</v>
      </c>
      <c r="J73" s="14"/>
      <c r="K73" s="17"/>
      <c r="L73" s="17">
        <v>42483</v>
      </c>
      <c r="M73" s="25" t="s">
        <v>30</v>
      </c>
      <c r="N73" s="25"/>
      <c r="O73" s="18">
        <v>32.799999999999997</v>
      </c>
      <c r="P73" s="28"/>
      <c r="Q73" s="18"/>
      <c r="R73" s="18"/>
      <c r="S73" s="30"/>
      <c r="T73" s="31"/>
      <c r="V73" s="18"/>
      <c r="W73" s="18">
        <f t="shared" si="10"/>
        <v>32.799999999999997</v>
      </c>
      <c r="X73" s="18">
        <f t="shared" si="11"/>
        <v>32.799999999999997</v>
      </c>
      <c r="Y73" s="21">
        <f t="shared" si="9"/>
        <v>593605.54399999988</v>
      </c>
      <c r="Z73" s="32">
        <v>42489</v>
      </c>
      <c r="AA73" s="37">
        <v>33.5</v>
      </c>
      <c r="AB73" s="37"/>
    </row>
    <row r="74" spans="1:28" s="12" customFormat="1" x14ac:dyDescent="0.25">
      <c r="A74" s="134"/>
      <c r="B74" s="24" t="s">
        <v>25</v>
      </c>
      <c r="C74" s="25" t="s">
        <v>72</v>
      </c>
      <c r="D74" s="25" t="s">
        <v>1952</v>
      </c>
      <c r="E74" s="14" t="s">
        <v>42</v>
      </c>
      <c r="F74" s="26">
        <f>42626*0.4536</f>
        <v>19335.153600000001</v>
      </c>
      <c r="G74" s="27">
        <v>19338.77</v>
      </c>
      <c r="H74" s="27">
        <f>G74-F74</f>
        <v>3.6163999999989755</v>
      </c>
      <c r="I74" s="12">
        <v>6815</v>
      </c>
      <c r="J74" s="14"/>
      <c r="K74" s="17">
        <v>42481</v>
      </c>
      <c r="L74" s="17">
        <v>42483</v>
      </c>
      <c r="M74" s="25" t="s">
        <v>30</v>
      </c>
      <c r="N74" s="25" t="s">
        <v>2137</v>
      </c>
      <c r="O74" s="18"/>
      <c r="P74" s="28">
        <f>0.6524+0.15</f>
        <v>0.8024</v>
      </c>
      <c r="Q74" s="18"/>
      <c r="R74" s="18"/>
      <c r="S74" s="30">
        <v>18.097999999999999</v>
      </c>
      <c r="T74" s="31"/>
      <c r="V74" s="18"/>
      <c r="W74" s="18">
        <f t="shared" si="10"/>
        <v>32.014837881920002</v>
      </c>
      <c r="X74" s="18">
        <f t="shared" si="11"/>
        <v>32.014837881920002</v>
      </c>
      <c r="Y74" s="21">
        <f t="shared" si="9"/>
        <v>619011.80792602198</v>
      </c>
      <c r="Z74" s="32">
        <v>42489</v>
      </c>
      <c r="AA74" s="37">
        <v>33.5</v>
      </c>
      <c r="AB74" s="37"/>
    </row>
    <row r="75" spans="1:28" s="12" customFormat="1" ht="15.75" thickBot="1" x14ac:dyDescent="0.3">
      <c r="A75" s="134"/>
      <c r="B75" s="41"/>
      <c r="C75" s="4"/>
      <c r="D75" s="4"/>
      <c r="E75" s="4"/>
      <c r="F75" s="42"/>
      <c r="G75" s="42"/>
      <c r="H75" s="42"/>
      <c r="I75" s="6"/>
      <c r="J75" s="4"/>
      <c r="K75" s="7"/>
      <c r="L75" s="7"/>
      <c r="M75" s="4"/>
      <c r="N75" s="4"/>
      <c r="O75" s="8"/>
      <c r="P75" s="9"/>
      <c r="Q75" s="8"/>
      <c r="R75" s="8"/>
      <c r="S75" s="8"/>
      <c r="T75" s="8"/>
      <c r="U75" s="8"/>
      <c r="V75" s="8"/>
      <c r="W75" s="8"/>
      <c r="X75" s="8"/>
      <c r="Y75" s="8"/>
      <c r="Z75" s="43"/>
      <c r="AA75" s="2"/>
      <c r="AB75" s="2"/>
    </row>
    <row r="76" spans="1:28" s="12" customFormat="1" x14ac:dyDescent="0.25">
      <c r="A76" s="104"/>
      <c r="B76" s="14" t="s">
        <v>32</v>
      </c>
      <c r="C76" s="14" t="s">
        <v>33</v>
      </c>
      <c r="D76" s="25" t="s">
        <v>2197</v>
      </c>
      <c r="E76" s="14">
        <f>253+7</f>
        <v>260</v>
      </c>
      <c r="F76" s="26">
        <f>29680+815</f>
        <v>30495</v>
      </c>
      <c r="G76" s="27">
        <f>11820+11990</f>
        <v>23810</v>
      </c>
      <c r="H76" s="27">
        <f t="shared" ref="H76:H94" si="12">G76-F76</f>
        <v>-6685</v>
      </c>
      <c r="I76" s="25" t="s">
        <v>2198</v>
      </c>
      <c r="J76" s="133">
        <v>259</v>
      </c>
      <c r="K76" s="17"/>
      <c r="L76" s="17">
        <v>42484</v>
      </c>
      <c r="M76" s="25" t="s">
        <v>36</v>
      </c>
      <c r="N76" s="14"/>
      <c r="O76" s="18">
        <v>23.5</v>
      </c>
      <c r="P76" s="19"/>
      <c r="Q76" s="29">
        <v>17300</v>
      </c>
      <c r="R76" s="18">
        <f>59.25*E76</f>
        <v>15405</v>
      </c>
      <c r="S76" s="30">
        <f>-35*E76</f>
        <v>-9100</v>
      </c>
      <c r="T76" s="163">
        <f>W76*F76*0.0045</f>
        <v>4273.8066896787068</v>
      </c>
      <c r="U76" s="18">
        <f>E76*5</f>
        <v>1300</v>
      </c>
      <c r="V76" s="14"/>
      <c r="W76" s="18">
        <f>((O76*F76)+Q76+R76+S76+U76)/G76</f>
        <v>31.143952120957582</v>
      </c>
      <c r="X76" s="18">
        <f>((O76*F76)+Q76+R76+S76+T76+U76)/G76</f>
        <v>31.323448411998264</v>
      </c>
      <c r="Y76" s="21">
        <f t="shared" ref="Y76:Y86" si="13">X76*F76</f>
        <v>955208.55932388711</v>
      </c>
      <c r="Z76" s="32">
        <v>42499</v>
      </c>
      <c r="AA76" s="2">
        <v>32</v>
      </c>
      <c r="AB76" s="2" t="s">
        <v>2179</v>
      </c>
    </row>
    <row r="77" spans="1:28" s="12" customFormat="1" x14ac:dyDescent="0.25">
      <c r="A77" s="104"/>
      <c r="B77" s="24" t="s">
        <v>32</v>
      </c>
      <c r="C77" s="14" t="s">
        <v>33</v>
      </c>
      <c r="D77" s="25" t="s">
        <v>87</v>
      </c>
      <c r="E77" s="14">
        <v>248</v>
      </c>
      <c r="F77" s="26">
        <v>28190</v>
      </c>
      <c r="G77" s="27">
        <f>16010+6620</f>
        <v>22630</v>
      </c>
      <c r="H77" s="27">
        <f t="shared" si="12"/>
        <v>-5560</v>
      </c>
      <c r="I77" s="25" t="s">
        <v>2199</v>
      </c>
      <c r="J77" s="14"/>
      <c r="K77" s="17"/>
      <c r="L77" s="17">
        <v>42485</v>
      </c>
      <c r="M77" s="25" t="s">
        <v>39</v>
      </c>
      <c r="N77" s="14"/>
      <c r="O77" s="18">
        <v>23.5</v>
      </c>
      <c r="P77" s="19"/>
      <c r="Q77" s="29">
        <v>17300</v>
      </c>
      <c r="R77" s="18">
        <f>59.25*E77</f>
        <v>14694</v>
      </c>
      <c r="S77" s="30">
        <f>-35*E77</f>
        <v>-8680</v>
      </c>
      <c r="T77" s="163">
        <f>W77*F77*0.0045</f>
        <v>3851.1619639858591</v>
      </c>
      <c r="U77" s="18">
        <f>E77*5</f>
        <v>1240</v>
      </c>
      <c r="V77" s="14"/>
      <c r="W77" s="18">
        <f>((O77*F77)+Q77+R77+S77+U77)/G77</f>
        <v>30.358771542200618</v>
      </c>
      <c r="X77" s="18">
        <f>((O77*F77)+Q77+R77+S77+T77+U77)/G77</f>
        <v>30.528951036853112</v>
      </c>
      <c r="Y77" s="21">
        <f t="shared" si="13"/>
        <v>860611.12972888921</v>
      </c>
      <c r="Z77" s="32">
        <v>42499</v>
      </c>
      <c r="AA77" s="2">
        <v>32</v>
      </c>
      <c r="AB77" s="2" t="s">
        <v>2201</v>
      </c>
    </row>
    <row r="78" spans="1:28" s="12" customFormat="1" x14ac:dyDescent="0.25">
      <c r="A78" s="104"/>
      <c r="B78" s="24" t="s">
        <v>25</v>
      </c>
      <c r="C78" s="25" t="s">
        <v>72</v>
      </c>
      <c r="D78" s="25" t="s">
        <v>72</v>
      </c>
      <c r="E78" s="14" t="s">
        <v>42</v>
      </c>
      <c r="F78" s="26">
        <f>42322*0.4536</f>
        <v>19197.2592</v>
      </c>
      <c r="G78" s="27">
        <v>19108.36</v>
      </c>
      <c r="H78" s="27">
        <f t="shared" si="12"/>
        <v>-88.899199999999837</v>
      </c>
      <c r="I78" s="12" t="s">
        <v>2109</v>
      </c>
      <c r="J78" s="93" t="s">
        <v>44</v>
      </c>
      <c r="K78" s="17">
        <v>42485</v>
      </c>
      <c r="L78" s="17">
        <v>42486</v>
      </c>
      <c r="M78" s="25" t="s">
        <v>45</v>
      </c>
      <c r="N78" s="25" t="s">
        <v>2102</v>
      </c>
      <c r="O78" s="18"/>
      <c r="P78" s="28">
        <f>0.6904+0.105</f>
        <v>0.7954</v>
      </c>
      <c r="Q78" s="29">
        <v>18500</v>
      </c>
      <c r="R78" s="18">
        <v>8926</v>
      </c>
      <c r="S78" s="30">
        <v>17.344999999999999</v>
      </c>
      <c r="T78" s="163">
        <f>W78*F78*0.005</f>
        <v>3066.8023936824338</v>
      </c>
      <c r="V78" s="18">
        <v>0.1</v>
      </c>
      <c r="W78" s="18">
        <f>IF(O78&gt;0,O78,((P78*2.2046*S78)+(Q78+R78)/G78)+V78)</f>
        <v>31.950419189864704</v>
      </c>
      <c r="X78" s="18">
        <f>IF(O78&gt;0,O78,((P78*2.2046*S78)+(Q78+R78+T78)/G78)+V78)</f>
        <v>32.110914512000278</v>
      </c>
      <c r="Y78" s="21">
        <f t="shared" si="13"/>
        <v>616441.54903591087</v>
      </c>
      <c r="Z78" s="32">
        <v>42480</v>
      </c>
      <c r="AA78" s="37">
        <v>33.5</v>
      </c>
      <c r="AB78" s="37"/>
    </row>
    <row r="79" spans="1:28" s="12" customFormat="1" x14ac:dyDescent="0.25">
      <c r="A79" s="104"/>
      <c r="B79" s="24" t="s">
        <v>25</v>
      </c>
      <c r="C79" s="25" t="s">
        <v>72</v>
      </c>
      <c r="D79" s="25" t="s">
        <v>72</v>
      </c>
      <c r="E79" s="14" t="s">
        <v>42</v>
      </c>
      <c r="F79" s="26">
        <f>42308*0.4536</f>
        <v>19190.908800000001</v>
      </c>
      <c r="G79" s="27">
        <v>19255.62</v>
      </c>
      <c r="H79" s="27">
        <f t="shared" si="12"/>
        <v>64.711199999997916</v>
      </c>
      <c r="I79" s="12" t="s">
        <v>2110</v>
      </c>
      <c r="J79" s="93" t="s">
        <v>44</v>
      </c>
      <c r="K79" s="17">
        <v>42485</v>
      </c>
      <c r="L79" s="17">
        <v>42486</v>
      </c>
      <c r="M79" s="25" t="s">
        <v>45</v>
      </c>
      <c r="N79" s="25" t="s">
        <v>2102</v>
      </c>
      <c r="O79" s="18"/>
      <c r="P79" s="28">
        <f>0.6904+0.105</f>
        <v>0.7954</v>
      </c>
      <c r="Q79" s="29">
        <v>18500</v>
      </c>
      <c r="R79" s="18">
        <v>8926</v>
      </c>
      <c r="S79" s="30">
        <v>17.344999999999999</v>
      </c>
      <c r="T79" s="163">
        <f>W79*F79*0.005</f>
        <v>3064.7346529430947</v>
      </c>
      <c r="V79" s="18">
        <v>0.1</v>
      </c>
      <c r="W79" s="18">
        <f>IF(O79&gt;0,O79,((P79*2.2046*S79)+(Q79+R79)/G79)+V79)</f>
        <v>31.939442627574728</v>
      </c>
      <c r="X79" s="18">
        <f>IF(O79&gt;0,O79,((P79*2.2046*S79)+(Q79+R79+T79)/G79)+V79)</f>
        <v>32.098603155926611</v>
      </c>
      <c r="Y79" s="21">
        <f t="shared" si="13"/>
        <v>616001.3657727798</v>
      </c>
      <c r="Z79" s="32">
        <v>42480</v>
      </c>
      <c r="AA79" s="37">
        <v>33.5</v>
      </c>
      <c r="AB79" s="37"/>
    </row>
    <row r="80" spans="1:28" s="12" customFormat="1" x14ac:dyDescent="0.25">
      <c r="A80" s="104"/>
      <c r="B80" s="24" t="s">
        <v>25</v>
      </c>
      <c r="C80" s="25" t="s">
        <v>26</v>
      </c>
      <c r="D80" s="25" t="s">
        <v>26</v>
      </c>
      <c r="E80" s="14" t="s">
        <v>27</v>
      </c>
      <c r="F80" s="26">
        <f>41482*0.4536</f>
        <v>18816.235199999999</v>
      </c>
      <c r="G80" s="27">
        <v>18750.13</v>
      </c>
      <c r="H80" s="27">
        <f t="shared" si="12"/>
        <v>-66.105199999998149</v>
      </c>
      <c r="I80" s="12" t="s">
        <v>2111</v>
      </c>
      <c r="J80" s="93" t="s">
        <v>74</v>
      </c>
      <c r="K80" s="17">
        <v>42485</v>
      </c>
      <c r="L80" s="17">
        <v>42486</v>
      </c>
      <c r="M80" s="25" t="s">
        <v>45</v>
      </c>
      <c r="N80" s="25" t="s">
        <v>2101</v>
      </c>
      <c r="O80" s="18"/>
      <c r="P80" s="28">
        <f>0.6904+0.1075</f>
        <v>0.79790000000000005</v>
      </c>
      <c r="Q80" s="29">
        <v>18500</v>
      </c>
      <c r="R80" s="18">
        <v>8926</v>
      </c>
      <c r="S80" s="30">
        <v>17.344999999999999</v>
      </c>
      <c r="T80" s="163">
        <f>W80*F80*0.005</f>
        <v>3017.5067659529905</v>
      </c>
      <c r="V80" s="18">
        <v>0.1</v>
      </c>
      <c r="W80" s="18">
        <f>IF(O80&gt;0,O80,((P80*2.2046*S80)+(Q80+R80)/G80)+V80)</f>
        <v>32.073438005844977</v>
      </c>
      <c r="X80" s="18">
        <f>IF(O80&gt;0,O80,((P80*2.2046*S80)+(Q80+R80+T80)/G80)+V80)</f>
        <v>32.234370584229929</v>
      </c>
      <c r="Y80" s="21">
        <f t="shared" si="13"/>
        <v>606529.49843683175</v>
      </c>
      <c r="Z80" s="32">
        <v>42480</v>
      </c>
      <c r="AA80" s="37">
        <v>33.5</v>
      </c>
      <c r="AB80" s="37"/>
    </row>
    <row r="81" spans="1:28" s="12" customFormat="1" x14ac:dyDescent="0.25">
      <c r="A81" s="104"/>
      <c r="B81" s="24" t="s">
        <v>32</v>
      </c>
      <c r="C81" s="14" t="s">
        <v>33</v>
      </c>
      <c r="D81" s="25" t="s">
        <v>1510</v>
      </c>
      <c r="E81" s="14">
        <v>249</v>
      </c>
      <c r="F81" s="26">
        <v>30100</v>
      </c>
      <c r="G81" s="27">
        <f>17280+6910</f>
        <v>24190</v>
      </c>
      <c r="H81" s="27">
        <f t="shared" si="12"/>
        <v>-5910</v>
      </c>
      <c r="I81" s="12" t="s">
        <v>2210</v>
      </c>
      <c r="J81" s="14"/>
      <c r="K81" s="17"/>
      <c r="L81" s="17">
        <v>42486</v>
      </c>
      <c r="M81" s="25" t="s">
        <v>45</v>
      </c>
      <c r="N81" s="14"/>
      <c r="O81" s="18">
        <v>23.5</v>
      </c>
      <c r="P81" s="19"/>
      <c r="Q81" s="29">
        <v>17300</v>
      </c>
      <c r="R81" s="18">
        <f>59.25*E81</f>
        <v>14753.25</v>
      </c>
      <c r="S81" s="30">
        <f>-35*E81</f>
        <v>-8715</v>
      </c>
      <c r="T81" s="163">
        <f>W81*F81*0.0045</f>
        <v>4098.4025924968992</v>
      </c>
      <c r="U81" s="18">
        <f>E81*5</f>
        <v>1245</v>
      </c>
      <c r="V81" s="14"/>
      <c r="W81" s="18">
        <f>((O81*F81)+Q81+R81+S81+U81)/G81</f>
        <v>30.257678792889624</v>
      </c>
      <c r="X81" s="18">
        <f>((O81*F81)+Q81+R81+S81+T81+U81)/G81</f>
        <v>30.4271042824513</v>
      </c>
      <c r="Y81" s="21">
        <f t="shared" si="13"/>
        <v>915855.83890178415</v>
      </c>
      <c r="Z81" s="32">
        <v>42499</v>
      </c>
      <c r="AA81" s="37"/>
      <c r="AB81" s="37" t="s">
        <v>2211</v>
      </c>
    </row>
    <row r="82" spans="1:28" s="12" customFormat="1" x14ac:dyDescent="0.25">
      <c r="A82" s="104"/>
      <c r="B82" s="24" t="s">
        <v>25</v>
      </c>
      <c r="C82" s="25" t="s">
        <v>115</v>
      </c>
      <c r="D82" s="25" t="s">
        <v>115</v>
      </c>
      <c r="E82" s="14" t="s">
        <v>47</v>
      </c>
      <c r="F82" s="26">
        <f>41882.511*0.4536</f>
        <v>18997.9069896</v>
      </c>
      <c r="G82" s="27">
        <v>18977.29</v>
      </c>
      <c r="H82" s="27">
        <f t="shared" si="12"/>
        <v>-20.616989599999215</v>
      </c>
      <c r="I82" s="12" t="s">
        <v>2113</v>
      </c>
      <c r="J82" s="93" t="s">
        <v>29</v>
      </c>
      <c r="K82" s="17">
        <v>42488</v>
      </c>
      <c r="L82" s="17">
        <v>42489</v>
      </c>
      <c r="M82" s="25" t="s">
        <v>84</v>
      </c>
      <c r="N82" s="25" t="s">
        <v>2103</v>
      </c>
      <c r="O82" s="18"/>
      <c r="P82" s="28">
        <f>0.6904+0.095</f>
        <v>0.78539999999999999</v>
      </c>
      <c r="Q82" s="29">
        <v>18500</v>
      </c>
      <c r="R82" s="18">
        <v>9793</v>
      </c>
      <c r="S82" s="30">
        <v>18.402000000000001</v>
      </c>
      <c r="T82" s="163">
        <f>W82*F82*0.005</f>
        <v>3177.7626622583507</v>
      </c>
      <c r="V82" s="18">
        <v>0.1</v>
      </c>
      <c r="W82" s="18">
        <f>IF(O82&gt;0,O82,((P82*2.2046*S82)+(Q82+R82)/G82)+V82)</f>
        <v>33.45381850745926</v>
      </c>
      <c r="X82" s="18">
        <f>IF(O82&gt;0,O82,((P82*2.2046*S82)+(Q82+R82+T82)/G82)+V82)</f>
        <v>33.621269321682909</v>
      </c>
      <c r="Y82" s="21">
        <f t="shared" si="13"/>
        <v>638733.74744562386</v>
      </c>
      <c r="Z82" s="32">
        <v>42494</v>
      </c>
      <c r="AA82" s="37">
        <v>33.5</v>
      </c>
      <c r="AB82" s="37"/>
    </row>
    <row r="83" spans="1:28" s="12" customFormat="1" x14ac:dyDescent="0.25">
      <c r="A83" s="104"/>
      <c r="B83" s="24" t="s">
        <v>32</v>
      </c>
      <c r="C83" s="14" t="s">
        <v>33</v>
      </c>
      <c r="D83" s="25" t="s">
        <v>87</v>
      </c>
      <c r="E83" s="14">
        <v>249</v>
      </c>
      <c r="F83" s="26">
        <v>28840</v>
      </c>
      <c r="G83" s="27">
        <f>5620+17430</f>
        <v>23050</v>
      </c>
      <c r="H83" s="27">
        <f t="shared" si="12"/>
        <v>-5790</v>
      </c>
      <c r="I83" s="12" t="s">
        <v>2209</v>
      </c>
      <c r="J83" s="14"/>
      <c r="K83" s="17"/>
      <c r="L83" s="17">
        <v>42487</v>
      </c>
      <c r="M83" s="25" t="s">
        <v>50</v>
      </c>
      <c r="N83" s="14"/>
      <c r="O83" s="18">
        <v>23.5</v>
      </c>
      <c r="P83" s="19"/>
      <c r="Q83" s="29">
        <v>17300</v>
      </c>
      <c r="R83" s="18">
        <f>59.25*E83</f>
        <v>14753.25</v>
      </c>
      <c r="S83" s="30">
        <f>-35*E83</f>
        <v>-8715</v>
      </c>
      <c r="T83" s="163">
        <f>W83*F83*0.0045</f>
        <v>3954.3388887201731</v>
      </c>
      <c r="U83" s="18">
        <f>E83*5</f>
        <v>1245</v>
      </c>
      <c r="V83" s="14"/>
      <c r="W83" s="18">
        <f>((O83*F83)+Q83+R83+S83+U83)/G83</f>
        <v>30.469555314533622</v>
      </c>
      <c r="X83" s="18">
        <f>((O83*F83)+Q83+R83+S83+T83+U83)/G83</f>
        <v>30.641110147016057</v>
      </c>
      <c r="Y83" s="21">
        <f t="shared" si="13"/>
        <v>883689.61663994309</v>
      </c>
      <c r="Z83" s="32">
        <v>42500</v>
      </c>
      <c r="AA83" s="37"/>
      <c r="AB83" s="37" t="s">
        <v>2212</v>
      </c>
    </row>
    <row r="84" spans="1:28" s="12" customFormat="1" x14ac:dyDescent="0.25">
      <c r="A84" s="104"/>
      <c r="B84" s="24" t="s">
        <v>25</v>
      </c>
      <c r="C84" s="25" t="s">
        <v>72</v>
      </c>
      <c r="D84" s="25" t="s">
        <v>72</v>
      </c>
      <c r="E84" s="14" t="s">
        <v>42</v>
      </c>
      <c r="F84" s="26">
        <f>42722*0.4536</f>
        <v>19378.699199999999</v>
      </c>
      <c r="G84" s="27">
        <v>19310.22</v>
      </c>
      <c r="H84" s="27">
        <f t="shared" si="12"/>
        <v>-68.479199999997945</v>
      </c>
      <c r="I84" s="12" t="s">
        <v>2115</v>
      </c>
      <c r="J84" s="93" t="s">
        <v>44</v>
      </c>
      <c r="K84" s="17">
        <v>42487</v>
      </c>
      <c r="L84" s="17">
        <v>42488</v>
      </c>
      <c r="M84" s="25" t="s">
        <v>65</v>
      </c>
      <c r="N84" s="25" t="s">
        <v>2104</v>
      </c>
      <c r="O84" s="18"/>
      <c r="P84" s="28">
        <f>0.6985+0.105</f>
        <v>0.80349999999999999</v>
      </c>
      <c r="Q84" s="29">
        <v>18500</v>
      </c>
      <c r="R84" s="18">
        <v>8900</v>
      </c>
      <c r="S84" s="30">
        <v>17.29</v>
      </c>
      <c r="T84" s="163">
        <f>W84*F84*0.005</f>
        <v>3114.7747846833895</v>
      </c>
      <c r="V84" s="18">
        <v>0.1</v>
      </c>
      <c r="W84" s="18">
        <f>IF(O84&gt;0,O84,((P84*2.2046*S84)+(Q84+R84)/G84)+V84)</f>
        <v>32.146376312847558</v>
      </c>
      <c r="X84" s="18">
        <f>IF(O84&gt;0,O84,((P84*2.2046*S84)+(Q84+R84+T84)/G84)+V84)</f>
        <v>32.307678192612954</v>
      </c>
      <c r="Y84" s="21">
        <f t="shared" si="13"/>
        <v>626080.77754504606</v>
      </c>
      <c r="Z84" s="32">
        <v>42481</v>
      </c>
      <c r="AA84" s="37">
        <v>33.5</v>
      </c>
      <c r="AB84" s="37"/>
    </row>
    <row r="85" spans="1:28" s="12" customFormat="1" x14ac:dyDescent="0.25">
      <c r="A85" s="104"/>
      <c r="B85" s="24" t="s">
        <v>25</v>
      </c>
      <c r="C85" s="25" t="s">
        <v>72</v>
      </c>
      <c r="D85" s="25" t="s">
        <v>72</v>
      </c>
      <c r="E85" s="14" t="s">
        <v>42</v>
      </c>
      <c r="F85" s="26">
        <f>42804*0.4536</f>
        <v>19415.894400000001</v>
      </c>
      <c r="G85" s="27">
        <v>19365.64</v>
      </c>
      <c r="H85" s="27">
        <f t="shared" si="12"/>
        <v>-50.254400000001624</v>
      </c>
      <c r="I85" s="12" t="s">
        <v>2116</v>
      </c>
      <c r="J85" s="93" t="s">
        <v>44</v>
      </c>
      <c r="K85" s="17">
        <v>42487</v>
      </c>
      <c r="L85" s="17">
        <v>42488</v>
      </c>
      <c r="M85" s="25" t="s">
        <v>65</v>
      </c>
      <c r="N85" s="25" t="s">
        <v>2104</v>
      </c>
      <c r="O85" s="18"/>
      <c r="P85" s="28">
        <f>0.6985+0.105</f>
        <v>0.80349999999999999</v>
      </c>
      <c r="Q85" s="29">
        <v>18500</v>
      </c>
      <c r="R85" s="18">
        <v>8900</v>
      </c>
      <c r="S85" s="30">
        <v>17.29</v>
      </c>
      <c r="T85" s="163">
        <f>W85*F85*0.005</f>
        <v>3120.3590311823241</v>
      </c>
      <c r="V85" s="18">
        <v>0.1</v>
      </c>
      <c r="W85" s="18">
        <f>IF(O85&gt;0,O85,((P85*2.2046*S85)+(Q85+R85)/G85)+V85)</f>
        <v>32.142315639935944</v>
      </c>
      <c r="X85" s="18">
        <f>IF(O85&gt;0,O85,((P85*2.2046*S85)+(Q85+R85+T85)/G85)+V85)</f>
        <v>32.30344426936324</v>
      </c>
      <c r="Y85" s="21">
        <f t="shared" si="13"/>
        <v>627200.26269024191</v>
      </c>
      <c r="Z85" s="32">
        <v>42481</v>
      </c>
      <c r="AA85" s="37">
        <v>33.5</v>
      </c>
      <c r="AB85" s="37"/>
    </row>
    <row r="86" spans="1:28" s="12" customFormat="1" x14ac:dyDescent="0.25">
      <c r="A86" s="104"/>
      <c r="B86" s="24" t="s">
        <v>32</v>
      </c>
      <c r="C86" s="14" t="s">
        <v>33</v>
      </c>
      <c r="D86" s="25" t="s">
        <v>87</v>
      </c>
      <c r="E86" s="14">
        <f>250</f>
        <v>250</v>
      </c>
      <c r="F86" s="26">
        <f>27390</f>
        <v>27390</v>
      </c>
      <c r="G86" s="27">
        <f>22610</f>
        <v>22610</v>
      </c>
      <c r="H86" s="27">
        <f t="shared" si="12"/>
        <v>-4780</v>
      </c>
      <c r="I86" s="12" t="s">
        <v>2246</v>
      </c>
      <c r="J86" s="14"/>
      <c r="K86" s="17"/>
      <c r="L86" s="17">
        <v>42488</v>
      </c>
      <c r="M86" s="25" t="s">
        <v>65</v>
      </c>
      <c r="N86" s="14"/>
      <c r="O86" s="18">
        <v>23.5</v>
      </c>
      <c r="P86" s="19"/>
      <c r="Q86" s="29">
        <f>17300</f>
        <v>17300</v>
      </c>
      <c r="R86" s="18">
        <f>59.25*E86</f>
        <v>14812.5</v>
      </c>
      <c r="S86" s="30">
        <f>-35*E86</f>
        <v>-8750</v>
      </c>
      <c r="T86" s="163">
        <f>W86*F86*0.0045</f>
        <v>3643.0138550420165</v>
      </c>
      <c r="U86" s="18">
        <f>E86*5</f>
        <v>1250</v>
      </c>
      <c r="V86" s="14"/>
      <c r="W86" s="18">
        <f>((O86*F86)+Q86+R86+S86+U86)/G86</f>
        <v>29.556722689075631</v>
      </c>
      <c r="X86" s="18">
        <f>((O86*F86)+Q86+R86+S86+T86+U86)/G86</f>
        <v>29.717846698586555</v>
      </c>
      <c r="Y86" s="21">
        <f t="shared" si="13"/>
        <v>813971.82107428578</v>
      </c>
      <c r="Z86" s="32">
        <v>42501</v>
      </c>
      <c r="AA86" s="37"/>
    </row>
    <row r="87" spans="1:28" s="12" customFormat="1" x14ac:dyDescent="0.25">
      <c r="A87" s="104"/>
      <c r="B87" s="24" t="s">
        <v>32</v>
      </c>
      <c r="C87" s="14" t="s">
        <v>33</v>
      </c>
      <c r="D87" s="25" t="s">
        <v>1510</v>
      </c>
      <c r="E87" s="14">
        <v>128</v>
      </c>
      <c r="F87" s="26">
        <v>15140</v>
      </c>
      <c r="G87" s="27">
        <v>11070</v>
      </c>
      <c r="H87" s="27">
        <f t="shared" si="12"/>
        <v>-4070</v>
      </c>
      <c r="I87" s="12" t="s">
        <v>2247</v>
      </c>
      <c r="J87" s="14"/>
      <c r="K87" s="17"/>
      <c r="L87" s="17">
        <v>42488</v>
      </c>
      <c r="M87" s="25" t="s">
        <v>65</v>
      </c>
      <c r="N87" s="14"/>
      <c r="O87" s="18">
        <v>23.5</v>
      </c>
      <c r="P87" s="19"/>
      <c r="Q87" s="29">
        <v>13600</v>
      </c>
      <c r="R87" s="18">
        <f>59.25*E87</f>
        <v>7584</v>
      </c>
      <c r="S87" s="30">
        <f>-35*E87</f>
        <v>-4480</v>
      </c>
      <c r="T87" s="163">
        <f>W87*F87*0.0045</f>
        <v>2296.4425853658536</v>
      </c>
      <c r="U87" s="18">
        <f>E87*5</f>
        <v>640</v>
      </c>
      <c r="V87" s="14"/>
      <c r="W87" s="18">
        <f>((O87*F87)+Q87+R87+S87+U87)/G87</f>
        <v>33.706775067750677</v>
      </c>
      <c r="X87" s="18">
        <f>((O87*F87)+Q87+R87+S87+T87+U87)/G87</f>
        <v>33.91422245576927</v>
      </c>
      <c r="Y87" s="21">
        <f>X87*G87</f>
        <v>375430.44258536585</v>
      </c>
      <c r="Z87" s="32">
        <v>42501</v>
      </c>
      <c r="AA87" s="37"/>
      <c r="AB87" s="37" t="s">
        <v>2261</v>
      </c>
    </row>
    <row r="88" spans="1:28" s="12" customFormat="1" x14ac:dyDescent="0.25">
      <c r="A88" s="104"/>
      <c r="B88" s="24" t="s">
        <v>25</v>
      </c>
      <c r="C88" s="25" t="s">
        <v>72</v>
      </c>
      <c r="D88" s="25" t="s">
        <v>72</v>
      </c>
      <c r="E88" s="14" t="s">
        <v>42</v>
      </c>
      <c r="F88" s="26">
        <f>42914*0.4536</f>
        <v>19465.790400000002</v>
      </c>
      <c r="G88" s="27">
        <v>19302.009999999998</v>
      </c>
      <c r="H88" s="27">
        <f t="shared" si="12"/>
        <v>-163.78040000000328</v>
      </c>
      <c r="I88" s="12" t="s">
        <v>2117</v>
      </c>
      <c r="J88" s="93" t="s">
        <v>49</v>
      </c>
      <c r="K88" s="17">
        <v>42488</v>
      </c>
      <c r="L88" s="17">
        <v>42489</v>
      </c>
      <c r="M88" s="25" t="s">
        <v>84</v>
      </c>
      <c r="N88" s="25" t="s">
        <v>2105</v>
      </c>
      <c r="O88" s="18"/>
      <c r="P88" s="28">
        <f>0.7127+0.105</f>
        <v>0.81769999999999998</v>
      </c>
      <c r="Q88" s="29">
        <v>18500</v>
      </c>
      <c r="R88" s="147">
        <v>8900</v>
      </c>
      <c r="S88" s="30">
        <v>17.484999999999999</v>
      </c>
      <c r="T88" s="163">
        <f>W88*F88*0.005</f>
        <v>3215.7267344008346</v>
      </c>
      <c r="V88" s="18">
        <v>0.1</v>
      </c>
      <c r="W88" s="18">
        <f>IF(O88&gt;0,O88,((P88*2.2046*S88)+(Q88+R88)/G88)+V88)</f>
        <v>33.039775609633956</v>
      </c>
      <c r="X88" s="18">
        <f>IF(O88&gt;0,O88,((P88*2.2046*S88)+(Q88+R88+T88)/G88)+V88)</f>
        <v>33.206376224512965</v>
      </c>
      <c r="Y88" s="21">
        <f t="shared" ref="Y88:Y93" si="14">X88*F88</f>
        <v>646388.35952991282</v>
      </c>
      <c r="Z88" s="32">
        <v>42482</v>
      </c>
      <c r="AA88" s="2"/>
      <c r="AB88" s="2"/>
    </row>
    <row r="89" spans="1:28" s="12" customFormat="1" x14ac:dyDescent="0.25">
      <c r="A89" s="104"/>
      <c r="B89" s="24" t="s">
        <v>32</v>
      </c>
      <c r="C89" s="14" t="s">
        <v>33</v>
      </c>
      <c r="D89" s="25" t="s">
        <v>38</v>
      </c>
      <c r="E89" s="14">
        <v>244</v>
      </c>
      <c r="F89" s="26">
        <v>33010</v>
      </c>
      <c r="G89" s="27">
        <v>27390</v>
      </c>
      <c r="H89" s="27">
        <f t="shared" si="12"/>
        <v>-5620</v>
      </c>
      <c r="I89" s="12" t="s">
        <v>2259</v>
      </c>
      <c r="J89" s="133">
        <v>250</v>
      </c>
      <c r="K89" s="17"/>
      <c r="L89" s="17">
        <v>42489</v>
      </c>
      <c r="M89" s="25" t="s">
        <v>84</v>
      </c>
      <c r="N89" s="14"/>
      <c r="O89" s="18">
        <v>23.5</v>
      </c>
      <c r="P89" s="19"/>
      <c r="Q89" s="29">
        <v>17300</v>
      </c>
      <c r="R89" s="18">
        <f>59.25*E89</f>
        <v>14457</v>
      </c>
      <c r="S89" s="30">
        <f>-35*E89</f>
        <v>-8540</v>
      </c>
      <c r="T89" s="163">
        <f>W89*F89*0.0045</f>
        <v>4339.5965585980284</v>
      </c>
      <c r="U89" s="18">
        <f>E89*5</f>
        <v>1220</v>
      </c>
      <c r="V89" s="14"/>
      <c r="W89" s="18">
        <f>((O89*F89)+Q89+R89+S89+U89)/G89</f>
        <v>29.214019715224534</v>
      </c>
      <c r="X89" s="18">
        <f>((O89*F89)+Q89+R89+S89+T89+U89)/G89</f>
        <v>29.372456975487331</v>
      </c>
      <c r="Y89" s="21">
        <f t="shared" si="14"/>
        <v>969584.80476083676</v>
      </c>
      <c r="Z89" s="32">
        <v>42502</v>
      </c>
      <c r="AA89" s="2">
        <v>32.5</v>
      </c>
      <c r="AB89" s="2" t="s">
        <v>2262</v>
      </c>
    </row>
    <row r="90" spans="1:28" s="12" customFormat="1" x14ac:dyDescent="0.25">
      <c r="A90" s="104"/>
      <c r="B90" s="24" t="s">
        <v>32</v>
      </c>
      <c r="C90" s="14" t="s">
        <v>33</v>
      </c>
      <c r="D90" s="25" t="s">
        <v>1510</v>
      </c>
      <c r="E90" s="14">
        <v>250</v>
      </c>
      <c r="F90" s="26">
        <v>29835</v>
      </c>
      <c r="G90" s="27">
        <v>23360</v>
      </c>
      <c r="H90" s="27">
        <f t="shared" si="12"/>
        <v>-6475</v>
      </c>
      <c r="I90" s="12" t="s">
        <v>2260</v>
      </c>
      <c r="J90" s="14"/>
      <c r="K90" s="17"/>
      <c r="L90" s="17">
        <v>42489</v>
      </c>
      <c r="M90" s="25" t="s">
        <v>84</v>
      </c>
      <c r="N90" s="14"/>
      <c r="O90" s="18">
        <v>23.5</v>
      </c>
      <c r="P90" s="19"/>
      <c r="Q90" s="29">
        <v>17300</v>
      </c>
      <c r="R90" s="146">
        <f>59.25*E90</f>
        <v>14812.5</v>
      </c>
      <c r="S90" s="30">
        <f>-35*E90</f>
        <v>-8750</v>
      </c>
      <c r="T90" s="163">
        <f>W90*F90*0.0045</f>
        <v>4171.0345360659239</v>
      </c>
      <c r="U90" s="18">
        <f>E90*5</f>
        <v>1250</v>
      </c>
      <c r="V90" s="14"/>
      <c r="W90" s="18">
        <f>((O90*F90)+Q90+R90+S90+U90)/G90</f>
        <v>31.067422945205479</v>
      </c>
      <c r="X90" s="18">
        <f>((O90*F90)+Q90+R90+S90+T90+U90)/G90</f>
        <v>31.245977505824737</v>
      </c>
      <c r="Y90" s="21">
        <f t="shared" si="14"/>
        <v>932223.73888628103</v>
      </c>
      <c r="Z90" s="32">
        <v>42502</v>
      </c>
      <c r="AA90" s="37">
        <v>32.5</v>
      </c>
      <c r="AB90" s="37"/>
    </row>
    <row r="91" spans="1:28" s="12" customFormat="1" x14ac:dyDescent="0.25">
      <c r="A91" s="104"/>
      <c r="B91" s="24" t="s">
        <v>25</v>
      </c>
      <c r="C91" s="25" t="s">
        <v>26</v>
      </c>
      <c r="D91" s="25" t="s">
        <v>26</v>
      </c>
      <c r="E91" s="14" t="s">
        <v>27</v>
      </c>
      <c r="F91" s="26">
        <f>41343*0.4536</f>
        <v>18753.184799999999</v>
      </c>
      <c r="G91" s="27">
        <v>18680.13</v>
      </c>
      <c r="H91" s="27">
        <f t="shared" si="12"/>
        <v>-73.054799999998068</v>
      </c>
      <c r="I91" s="39" t="s">
        <v>2112</v>
      </c>
      <c r="J91" s="93" t="s">
        <v>44</v>
      </c>
      <c r="K91" s="17">
        <v>42489</v>
      </c>
      <c r="L91" s="17">
        <v>42490</v>
      </c>
      <c r="M91" s="25" t="s">
        <v>30</v>
      </c>
      <c r="N91" s="25" t="s">
        <v>2106</v>
      </c>
      <c r="O91" s="18"/>
      <c r="P91" s="28">
        <f>0.7127+0.1075</f>
        <v>0.82020000000000004</v>
      </c>
      <c r="Q91" s="29">
        <v>18500</v>
      </c>
      <c r="R91" s="18">
        <f>14064-5190</f>
        <v>8874</v>
      </c>
      <c r="S91" s="30">
        <v>17.484999999999999</v>
      </c>
      <c r="T91" s="163">
        <f>W91*F91*0.005</f>
        <v>3111.3418528491843</v>
      </c>
      <c r="V91" s="18">
        <v>0.1</v>
      </c>
      <c r="W91" s="18">
        <f>IF(O91&gt;0,O91,((P91*2.2046*S91)+(Q91+R91)/G91)+V91)</f>
        <v>33.182010266855414</v>
      </c>
      <c r="X91" s="18">
        <f>IF(O91&gt;0,O91,((P91*2.2046*S91)+(Q91+R91+T91)/G91)+V91)</f>
        <v>33.348569164081994</v>
      </c>
      <c r="Y91" s="21">
        <f t="shared" si="14"/>
        <v>625391.88034961117</v>
      </c>
      <c r="Z91" s="32">
        <v>42482</v>
      </c>
      <c r="AA91" s="2"/>
      <c r="AB91" s="2" t="s">
        <v>2216</v>
      </c>
    </row>
    <row r="92" spans="1:28" s="12" customFormat="1" x14ac:dyDescent="0.25">
      <c r="A92" s="104"/>
      <c r="B92" s="24" t="s">
        <v>25</v>
      </c>
      <c r="C92" s="25" t="s">
        <v>115</v>
      </c>
      <c r="D92" s="25" t="s">
        <v>115</v>
      </c>
      <c r="E92" s="14" t="s">
        <v>47</v>
      </c>
      <c r="F92" s="26">
        <f>41837.168*0.4536</f>
        <v>18977.339404800001</v>
      </c>
      <c r="G92" s="27">
        <v>18970.919999999998</v>
      </c>
      <c r="H92" s="27">
        <f t="shared" si="12"/>
        <v>-6.4194048000026669</v>
      </c>
      <c r="I92" s="12" t="s">
        <v>2114</v>
      </c>
      <c r="J92" s="93" t="s">
        <v>44</v>
      </c>
      <c r="K92" s="17">
        <v>42489</v>
      </c>
      <c r="L92" s="17">
        <v>42490</v>
      </c>
      <c r="M92" s="25" t="s">
        <v>30</v>
      </c>
      <c r="N92" s="25" t="s">
        <v>2151</v>
      </c>
      <c r="O92" s="18"/>
      <c r="P92" s="28">
        <f>0.698+0.095</f>
        <v>0.79299999999999993</v>
      </c>
      <c r="Q92" s="29">
        <v>18500</v>
      </c>
      <c r="R92" s="18">
        <v>9739</v>
      </c>
      <c r="S92" s="30">
        <v>18.481000000000002</v>
      </c>
      <c r="T92" s="163">
        <f>W92*F92*0.005</f>
        <v>3216.4606211719238</v>
      </c>
      <c r="V92" s="18">
        <v>0.1</v>
      </c>
      <c r="W92" s="18">
        <f t="shared" ref="W92:W93" si="15">IF(O92&gt;0,O92,((P92*2.2046*S92)+(Q92+R92)/G92)+V92)</f>
        <v>33.897909001494419</v>
      </c>
      <c r="X92" s="18">
        <f t="shared" ref="X92:X93" si="16">IF(O92&gt;0,O92,((P92*2.2046*S92)+(Q92+R92+T92)/G92)+V92)</f>
        <v>34.067455898596506</v>
      </c>
      <c r="Y92" s="21">
        <f t="shared" si="14"/>
        <v>646509.67324572173</v>
      </c>
      <c r="Z92" s="32">
        <v>42496</v>
      </c>
      <c r="AA92" s="37"/>
      <c r="AB92" s="37"/>
    </row>
    <row r="93" spans="1:28" s="12" customFormat="1" x14ac:dyDescent="0.25">
      <c r="A93" s="104"/>
      <c r="B93" s="24" t="s">
        <v>25</v>
      </c>
      <c r="C93" s="25" t="s">
        <v>72</v>
      </c>
      <c r="D93" s="25" t="s">
        <v>1952</v>
      </c>
      <c r="E93" s="14" t="s">
        <v>42</v>
      </c>
      <c r="F93" s="26">
        <f>42840*0.4536</f>
        <v>19432.223999999998</v>
      </c>
      <c r="G93" s="27">
        <v>19391.099999999999</v>
      </c>
      <c r="H93" s="27">
        <f t="shared" si="12"/>
        <v>-41.123999999999796</v>
      </c>
      <c r="I93" s="12">
        <v>6817</v>
      </c>
      <c r="J93" s="14"/>
      <c r="K93" s="17">
        <v>42488</v>
      </c>
      <c r="L93" s="17">
        <v>42490</v>
      </c>
      <c r="M93" s="25" t="s">
        <v>30</v>
      </c>
      <c r="N93" s="25" t="s">
        <v>2108</v>
      </c>
      <c r="O93" s="18"/>
      <c r="P93" s="28">
        <f>0.7127+0.15</f>
        <v>0.86270000000000002</v>
      </c>
      <c r="Q93" s="18"/>
      <c r="R93" s="18"/>
      <c r="S93" s="30">
        <v>18.187000000000001</v>
      </c>
      <c r="T93" s="31"/>
      <c r="V93" s="18"/>
      <c r="W93" s="18">
        <f t="shared" si="15"/>
        <v>34.590008434540003</v>
      </c>
      <c r="X93" s="18">
        <f t="shared" si="16"/>
        <v>34.590008434540003</v>
      </c>
      <c r="Y93" s="21">
        <f t="shared" si="14"/>
        <v>672160.79206187057</v>
      </c>
      <c r="Z93" s="32">
        <v>42496</v>
      </c>
      <c r="AA93" s="37"/>
      <c r="AB93" s="37"/>
    </row>
    <row r="94" spans="1:28" s="12" customFormat="1" x14ac:dyDescent="0.25">
      <c r="A94" s="104"/>
      <c r="B94" s="24" t="s">
        <v>2187</v>
      </c>
      <c r="C94" s="25" t="s">
        <v>72</v>
      </c>
      <c r="D94" s="25" t="s">
        <v>57</v>
      </c>
      <c r="E94" s="14" t="s">
        <v>832</v>
      </c>
      <c r="F94" s="26">
        <f>920.8+947.5</f>
        <v>1868.3</v>
      </c>
      <c r="G94" s="27">
        <v>1868.3</v>
      </c>
      <c r="H94" s="27">
        <f t="shared" si="12"/>
        <v>0</v>
      </c>
      <c r="I94" s="12" t="s">
        <v>2311</v>
      </c>
      <c r="J94" s="14"/>
      <c r="K94" s="17"/>
      <c r="L94" s="17">
        <v>42490</v>
      </c>
      <c r="M94" s="25"/>
      <c r="N94" s="25"/>
      <c r="O94" s="18">
        <v>15.5</v>
      </c>
      <c r="P94" s="28"/>
      <c r="Q94" s="18"/>
      <c r="R94" s="18"/>
      <c r="S94" s="30"/>
      <c r="T94" s="31"/>
      <c r="V94" s="18"/>
      <c r="W94" s="18">
        <f t="shared" ref="W94" si="17">IF(O94&gt;0,O94,((P94*2.2046*S94)+(Q94+R94)/G94)+V94)</f>
        <v>15.5</v>
      </c>
      <c r="X94" s="18">
        <f t="shared" ref="X94" si="18">IF(O94&gt;0,O94,((P94*2.2046*S94)+(Q94+R94+T94)/G94)+V94)</f>
        <v>15.5</v>
      </c>
      <c r="Y94" s="21">
        <f t="shared" ref="Y94" si="19">X94*F94</f>
        <v>28958.649999999998</v>
      </c>
      <c r="Z94" s="32">
        <v>42496</v>
      </c>
      <c r="AA94" s="37"/>
      <c r="AB94" s="37"/>
    </row>
    <row r="95" spans="1:28" s="12" customFormat="1" ht="15.75" thickBot="1" x14ac:dyDescent="0.3">
      <c r="A95" s="104"/>
      <c r="B95" s="41"/>
      <c r="C95" s="4"/>
      <c r="D95" s="4"/>
      <c r="E95" s="4"/>
      <c r="F95" s="42"/>
      <c r="G95" s="42"/>
      <c r="H95" s="42"/>
      <c r="I95" s="6"/>
      <c r="J95" s="4"/>
      <c r="K95" s="7"/>
      <c r="L95" s="7"/>
      <c r="M95" s="4"/>
      <c r="N95" s="4"/>
      <c r="O95" s="8"/>
      <c r="P95" s="9"/>
      <c r="Q95" s="8"/>
      <c r="R95" s="8"/>
      <c r="S95" s="8"/>
      <c r="T95" s="8"/>
      <c r="U95" s="8"/>
      <c r="V95" s="8"/>
      <c r="W95" s="8"/>
      <c r="X95" s="8"/>
      <c r="Y95" s="8"/>
      <c r="Z95" s="43"/>
      <c r="AA95" s="2"/>
      <c r="AB95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107"/>
  <sheetViews>
    <sheetView topLeftCell="A31" zoomScale="73" zoomScaleNormal="73" workbookViewId="0">
      <selection activeCell="B2" sqref="B2"/>
    </sheetView>
  </sheetViews>
  <sheetFormatPr baseColWidth="10" defaultRowHeight="15" x14ac:dyDescent="0.25"/>
  <cols>
    <col min="1" max="1" width="2" customWidth="1"/>
    <col min="2" max="2" width="16" customWidth="1"/>
    <col min="3" max="3" width="11" bestFit="1" customWidth="1"/>
    <col min="4" max="4" width="19.7109375" customWidth="1"/>
    <col min="5" max="5" width="11" bestFit="1" customWidth="1"/>
    <col min="8" max="8" width="9.7109375" bestFit="1" customWidth="1"/>
    <col min="9" max="9" width="14.140625" customWidth="1"/>
    <col min="13" max="13" width="4.42578125" customWidth="1"/>
    <col min="17" max="18" width="12.5703125" customWidth="1"/>
    <col min="19" max="19" width="13.85546875" customWidth="1"/>
    <col min="23" max="23" width="11.42578125" hidden="1" customWidth="1"/>
    <col min="25" max="25" width="15.7109375" style="2" customWidth="1"/>
    <col min="26" max="26" width="12.5703125" customWidth="1"/>
  </cols>
  <sheetData>
    <row r="2" spans="1:28" x14ac:dyDescent="0.25">
      <c r="A2" s="1" t="s">
        <v>2070</v>
      </c>
      <c r="AA2" s="2"/>
      <c r="AB2" s="2"/>
    </row>
    <row r="3" spans="1:28" s="12" customFormat="1" ht="30.75" thickBot="1" x14ac:dyDescent="0.3">
      <c r="A3" s="3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4" t="s">
        <v>9</v>
      </c>
      <c r="K3" s="7" t="s">
        <v>10</v>
      </c>
      <c r="L3" s="7" t="s">
        <v>11</v>
      </c>
      <c r="M3" s="4" t="s">
        <v>12</v>
      </c>
      <c r="N3" s="4" t="s">
        <v>13</v>
      </c>
      <c r="O3" s="8" t="s">
        <v>14</v>
      </c>
      <c r="P3" s="9" t="s">
        <v>15</v>
      </c>
      <c r="Q3" s="8" t="s">
        <v>16</v>
      </c>
      <c r="R3" s="10" t="s">
        <v>17</v>
      </c>
      <c r="S3" s="10" t="s">
        <v>18</v>
      </c>
      <c r="T3" s="10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11" t="s">
        <v>24</v>
      </c>
      <c r="Z3" s="8"/>
      <c r="AA3" s="2"/>
      <c r="AB3" s="2"/>
    </row>
    <row r="4" spans="1:28" s="12" customFormat="1" x14ac:dyDescent="0.25">
      <c r="A4" s="104"/>
      <c r="B4" s="24" t="s">
        <v>25</v>
      </c>
      <c r="C4" s="25" t="s">
        <v>72</v>
      </c>
      <c r="D4" s="25" t="s">
        <v>72</v>
      </c>
      <c r="E4" s="14" t="s">
        <v>42</v>
      </c>
      <c r="F4" s="26">
        <f>42768*0.4536</f>
        <v>19399.5648</v>
      </c>
      <c r="G4" s="27">
        <v>19339.310000000001</v>
      </c>
      <c r="H4" s="27">
        <f>G4-F4</f>
        <v>-60.254799999998795</v>
      </c>
      <c r="I4" s="12" t="s">
        <v>2118</v>
      </c>
      <c r="J4" s="93" t="s">
        <v>991</v>
      </c>
      <c r="K4" s="17">
        <v>42489</v>
      </c>
      <c r="L4" s="17">
        <v>42491</v>
      </c>
      <c r="M4" s="25" t="s">
        <v>36</v>
      </c>
      <c r="N4" s="25" t="s">
        <v>2107</v>
      </c>
      <c r="O4" s="18"/>
      <c r="P4" s="28">
        <f>0.7162+0.105</f>
        <v>0.82119999999999993</v>
      </c>
      <c r="Q4" s="29">
        <v>21000</v>
      </c>
      <c r="R4" s="18">
        <v>11469</v>
      </c>
      <c r="S4" s="30">
        <v>17.600000000000001</v>
      </c>
      <c r="T4" s="163">
        <f>W4*F4*0.005</f>
        <v>3263.2260504376268</v>
      </c>
      <c r="V4" s="18">
        <v>0.1</v>
      </c>
      <c r="W4" s="18">
        <f>IF(O4&gt;0,O4,((P4*2.2046*S4)+(Q4+R4)/G4)+V4)</f>
        <v>33.642260371094785</v>
      </c>
      <c r="X4" s="18">
        <f>IF(O4&gt;0,O4,((P4*2.2046*S4)+(Q4+R4+T4)/G4)+V4)</f>
        <v>33.810995762917848</v>
      </c>
      <c r="Y4" s="21">
        <f>X4*F4</f>
        <v>655918.60325525026</v>
      </c>
      <c r="Z4" s="32">
        <v>42485</v>
      </c>
      <c r="AA4" s="2"/>
    </row>
    <row r="5" spans="1:28" s="12" customFormat="1" x14ac:dyDescent="0.25">
      <c r="A5" s="104"/>
      <c r="B5" s="14" t="s">
        <v>32</v>
      </c>
      <c r="C5" s="14" t="s">
        <v>33</v>
      </c>
      <c r="D5" s="25" t="s">
        <v>2276</v>
      </c>
      <c r="E5" s="14">
        <v>257</v>
      </c>
      <c r="F5" s="26">
        <v>31335</v>
      </c>
      <c r="G5" s="27">
        <v>25068</v>
      </c>
      <c r="H5" s="27">
        <f t="shared" ref="H5:H10" si="0">G5-F5</f>
        <v>-6267</v>
      </c>
      <c r="I5" s="25" t="s">
        <v>2278</v>
      </c>
      <c r="J5" s="105" t="s">
        <v>2309</v>
      </c>
      <c r="K5" s="133">
        <v>254</v>
      </c>
      <c r="L5" s="17">
        <v>42491</v>
      </c>
      <c r="M5" s="25" t="s">
        <v>36</v>
      </c>
      <c r="N5" s="105"/>
      <c r="O5" s="18">
        <v>24</v>
      </c>
      <c r="P5" s="19"/>
      <c r="Q5" s="29">
        <v>17300</v>
      </c>
      <c r="R5" s="18">
        <f>59.25*E5</f>
        <v>15227.25</v>
      </c>
      <c r="S5" s="30">
        <f t="shared" ref="S5:S8" si="1">-35*E5</f>
        <v>-8995</v>
      </c>
      <c r="T5" s="163">
        <f>W5*F5*0.0045</f>
        <v>4369.8220312499998</v>
      </c>
      <c r="U5" s="18">
        <f>E5*5</f>
        <v>1285</v>
      </c>
      <c r="V5" s="14"/>
      <c r="W5" s="18">
        <f>((O5*F5)+Q5+R5+S5+U5)/G5</f>
        <v>30.989997207595341</v>
      </c>
      <c r="X5" s="18">
        <f>((O5*F5)+Q5+R5+S5+T5+U5)/G5</f>
        <v>31.164315941888063</v>
      </c>
      <c r="Y5" s="21">
        <f>X5*G5</f>
        <v>781227.07203124999</v>
      </c>
      <c r="Z5" s="32">
        <v>42506</v>
      </c>
      <c r="AA5" s="2"/>
      <c r="AB5" s="2"/>
    </row>
    <row r="6" spans="1:28" s="94" customFormat="1" x14ac:dyDescent="0.25">
      <c r="A6" s="104"/>
      <c r="B6" s="14" t="s">
        <v>855</v>
      </c>
      <c r="C6" s="14" t="s">
        <v>856</v>
      </c>
      <c r="D6" s="25" t="s">
        <v>1128</v>
      </c>
      <c r="E6" s="14" t="s">
        <v>2411</v>
      </c>
      <c r="F6" s="26">
        <v>7669.61</v>
      </c>
      <c r="G6" s="27">
        <v>7669.61</v>
      </c>
      <c r="H6" s="27">
        <f t="shared" si="0"/>
        <v>0</v>
      </c>
      <c r="I6" s="25" t="s">
        <v>2412</v>
      </c>
      <c r="J6" s="14"/>
      <c r="K6" s="17"/>
      <c r="L6" s="17">
        <v>42492</v>
      </c>
      <c r="M6" s="25" t="s">
        <v>39</v>
      </c>
      <c r="N6" s="14"/>
      <c r="O6" s="18">
        <v>80</v>
      </c>
      <c r="P6" s="19"/>
      <c r="Q6" s="18"/>
      <c r="R6" s="18"/>
      <c r="S6" s="30"/>
      <c r="T6" s="31"/>
      <c r="U6" s="18"/>
      <c r="V6" s="18"/>
      <c r="W6" s="18">
        <f t="shared" ref="W6:W7" si="2">IF(O6&gt;0,O6,((P6*2.2046*S6)+(Q6+R6)/G6)+V6)</f>
        <v>80</v>
      </c>
      <c r="X6" s="18">
        <f t="shared" ref="X6:X7" si="3">IF(O6&gt;0,O6,((P6*2.2046*S6)+(Q6+R6+T6)/G6)+V6)</f>
        <v>80</v>
      </c>
      <c r="Y6" s="21">
        <f t="shared" ref="Y6:Y7" si="4">X6*F6</f>
        <v>613568.79999999993</v>
      </c>
      <c r="Z6" s="32">
        <v>42510</v>
      </c>
      <c r="AA6" s="37"/>
      <c r="AB6" s="37"/>
    </row>
    <row r="7" spans="1:28" s="94" customFormat="1" x14ac:dyDescent="0.25">
      <c r="A7" s="104"/>
      <c r="B7" s="14" t="s">
        <v>2363</v>
      </c>
      <c r="C7" s="14" t="s">
        <v>2364</v>
      </c>
      <c r="D7" s="25" t="s">
        <v>1128</v>
      </c>
      <c r="E7" s="14" t="s">
        <v>2413</v>
      </c>
      <c r="F7" s="26">
        <v>8000</v>
      </c>
      <c r="G7" s="27">
        <v>8000</v>
      </c>
      <c r="H7" s="27">
        <f t="shared" si="0"/>
        <v>0</v>
      </c>
      <c r="I7" s="25" t="s">
        <v>2414</v>
      </c>
      <c r="J7" s="14"/>
      <c r="K7" s="17"/>
      <c r="L7" s="17">
        <v>42492</v>
      </c>
      <c r="M7" s="25" t="s">
        <v>39</v>
      </c>
      <c r="N7" s="14"/>
      <c r="O7" s="18">
        <v>34</v>
      </c>
      <c r="P7" s="19"/>
      <c r="Q7" s="18"/>
      <c r="R7" s="18"/>
      <c r="S7" s="30"/>
      <c r="T7" s="31"/>
      <c r="U7" s="18"/>
      <c r="V7" s="18"/>
      <c r="W7" s="18">
        <f t="shared" si="2"/>
        <v>34</v>
      </c>
      <c r="X7" s="18">
        <f t="shared" si="3"/>
        <v>34</v>
      </c>
      <c r="Y7" s="21">
        <f t="shared" si="4"/>
        <v>272000</v>
      </c>
      <c r="Z7" s="32">
        <v>42510</v>
      </c>
      <c r="AA7" s="37"/>
      <c r="AB7" s="37"/>
    </row>
    <row r="8" spans="1:28" s="12" customFormat="1" x14ac:dyDescent="0.25">
      <c r="A8" s="104"/>
      <c r="B8" s="24" t="s">
        <v>32</v>
      </c>
      <c r="C8" s="14" t="s">
        <v>33</v>
      </c>
      <c r="D8" s="25" t="s">
        <v>80</v>
      </c>
      <c r="E8" s="14">
        <v>247</v>
      </c>
      <c r="F8" s="26">
        <v>28335</v>
      </c>
      <c r="G8" s="27">
        <f>16200+6230</f>
        <v>22430</v>
      </c>
      <c r="H8" s="27">
        <f t="shared" si="0"/>
        <v>-5905</v>
      </c>
      <c r="I8" s="25" t="s">
        <v>2322</v>
      </c>
      <c r="J8" s="133">
        <v>246</v>
      </c>
      <c r="K8" s="17"/>
      <c r="L8" s="17">
        <v>42492</v>
      </c>
      <c r="M8" s="25" t="s">
        <v>39</v>
      </c>
      <c r="N8" s="14"/>
      <c r="O8" s="18">
        <v>24</v>
      </c>
      <c r="P8" s="19"/>
      <c r="Q8" s="29">
        <v>17300</v>
      </c>
      <c r="R8" s="18">
        <f>59.25*E8</f>
        <v>14634.75</v>
      </c>
      <c r="S8" s="30">
        <f t="shared" si="1"/>
        <v>-8645</v>
      </c>
      <c r="T8" s="163">
        <f>W8*F8*0.0045</f>
        <v>4005.229151164734</v>
      </c>
      <c r="U8" s="18">
        <f>E8*5</f>
        <v>1235</v>
      </c>
      <c r="V8" s="14"/>
      <c r="W8" s="18">
        <f>((O8*F8)+Q8+R8+S8+U8)/G8</f>
        <v>31.411714222024074</v>
      </c>
      <c r="X8" s="18">
        <f>((O8*F8)+Q8+R8+S8+T8+U8)/G8</f>
        <v>31.590279944322994</v>
      </c>
      <c r="Y8" s="21">
        <f>X8*G8</f>
        <v>708569.97915116476</v>
      </c>
      <c r="Z8" s="32">
        <v>42506</v>
      </c>
      <c r="AA8" s="2">
        <v>32.5</v>
      </c>
      <c r="AB8" s="2" t="s">
        <v>2347</v>
      </c>
    </row>
    <row r="9" spans="1:28" s="94" customFormat="1" x14ac:dyDescent="0.25">
      <c r="A9" s="104"/>
      <c r="B9" s="24" t="s">
        <v>2079</v>
      </c>
      <c r="C9" s="14" t="s">
        <v>72</v>
      </c>
      <c r="D9" s="25" t="s">
        <v>2416</v>
      </c>
      <c r="E9" s="14" t="s">
        <v>2417</v>
      </c>
      <c r="F9" s="26">
        <v>3983.7</v>
      </c>
      <c r="G9" s="27">
        <v>3983.7</v>
      </c>
      <c r="H9" s="27">
        <f t="shared" si="0"/>
        <v>0</v>
      </c>
      <c r="I9" s="25" t="s">
        <v>2418</v>
      </c>
      <c r="J9" s="14"/>
      <c r="K9" s="17"/>
      <c r="L9" s="17">
        <v>42493</v>
      </c>
      <c r="M9" s="25" t="s">
        <v>45</v>
      </c>
      <c r="N9" s="14"/>
      <c r="O9" s="18">
        <v>34</v>
      </c>
      <c r="P9" s="19"/>
      <c r="Q9" s="18"/>
      <c r="R9" s="18"/>
      <c r="S9" s="30"/>
      <c r="T9" s="31"/>
      <c r="U9" s="18"/>
      <c r="V9" s="18"/>
      <c r="W9" s="18">
        <f t="shared" ref="W9" si="5">IF(O9&gt;0,O9,((P9*2.2046*S9)+(Q9+R9)/G9)+V9)</f>
        <v>34</v>
      </c>
      <c r="X9" s="18">
        <f t="shared" ref="X9" si="6">IF(O9&gt;0,O9,((P9*2.2046*S9)+(Q9+R9+T9)/G9)+V9)</f>
        <v>34</v>
      </c>
      <c r="Y9" s="21">
        <f>X9*F9</f>
        <v>135445.79999999999</v>
      </c>
      <c r="Z9" s="32">
        <v>42500</v>
      </c>
      <c r="AA9" s="37"/>
      <c r="AB9" s="37"/>
    </row>
    <row r="10" spans="1:28" s="12" customFormat="1" x14ac:dyDescent="0.25">
      <c r="A10" s="104"/>
      <c r="B10" s="24" t="s">
        <v>25</v>
      </c>
      <c r="C10" s="25" t="s">
        <v>40</v>
      </c>
      <c r="D10" s="25" t="s">
        <v>40</v>
      </c>
      <c r="E10" s="14" t="s">
        <v>831</v>
      </c>
      <c r="F10" s="26">
        <f>40187*0.4536</f>
        <v>18228.823199999999</v>
      </c>
      <c r="G10" s="27">
        <v>18113.72</v>
      </c>
      <c r="H10" s="27">
        <f t="shared" si="0"/>
        <v>-115.10319999999774</v>
      </c>
      <c r="I10" s="12" t="s">
        <v>2220</v>
      </c>
      <c r="J10" s="93" t="s">
        <v>74</v>
      </c>
      <c r="K10" s="17">
        <v>42492</v>
      </c>
      <c r="L10" s="17">
        <v>42493</v>
      </c>
      <c r="M10" s="25" t="s">
        <v>45</v>
      </c>
      <c r="N10" s="25" t="s">
        <v>2223</v>
      </c>
      <c r="O10" s="18"/>
      <c r="P10" s="28">
        <f>0.7172+0.1</f>
        <v>0.81719999999999993</v>
      </c>
      <c r="Q10" s="29">
        <v>18500</v>
      </c>
      <c r="R10" s="18">
        <v>8887</v>
      </c>
      <c r="S10" s="30">
        <v>18.187000000000001</v>
      </c>
      <c r="T10" s="163">
        <f>W10*F10*0.005</f>
        <v>3133.3187917629725</v>
      </c>
      <c r="V10" s="18">
        <v>0.1</v>
      </c>
      <c r="W10" s="18">
        <f t="shared" ref="W10:W11" si="7">IF(O10&gt;0,O10,((P10*2.2046*S10)+(Q10+R10)/G10)+V10)</f>
        <v>34.377631044915425</v>
      </c>
      <c r="X10" s="18">
        <f t="shared" ref="X10:X11" si="8">IF(O10&gt;0,O10,((P10*2.2046*S10)+(Q10+R10+T10)/G10)+V10)</f>
        <v>34.550611459306445</v>
      </c>
      <c r="Y10" s="21">
        <f>X10*F10</f>
        <v>629816.98774359119</v>
      </c>
      <c r="Z10" s="32">
        <v>42505</v>
      </c>
      <c r="AA10" s="37">
        <v>34.5</v>
      </c>
      <c r="AB10" s="37"/>
    </row>
    <row r="11" spans="1:28" s="12" customFormat="1" x14ac:dyDescent="0.25">
      <c r="A11" s="104"/>
      <c r="B11" s="24" t="s">
        <v>25</v>
      </c>
      <c r="C11" s="25" t="s">
        <v>26</v>
      </c>
      <c r="D11" s="25" t="s">
        <v>26</v>
      </c>
      <c r="E11" s="14" t="s">
        <v>27</v>
      </c>
      <c r="F11" s="26">
        <f>41093*0.4536</f>
        <v>18639.784800000001</v>
      </c>
      <c r="G11" s="27">
        <v>18600.13</v>
      </c>
      <c r="H11" s="27">
        <f t="shared" ref="H11" si="9">G11-F11</f>
        <v>-39.65480000000025</v>
      </c>
      <c r="I11" s="12" t="s">
        <v>2219</v>
      </c>
      <c r="J11" s="93" t="s">
        <v>44</v>
      </c>
      <c r="K11" s="17">
        <v>42492</v>
      </c>
      <c r="L11" s="17">
        <v>42493</v>
      </c>
      <c r="M11" s="25" t="s">
        <v>45</v>
      </c>
      <c r="N11" s="25" t="s">
        <v>2221</v>
      </c>
      <c r="O11" s="18"/>
      <c r="P11" s="28">
        <f>0.7196+0.1075</f>
        <v>0.82710000000000006</v>
      </c>
      <c r="Q11" s="29">
        <v>18500</v>
      </c>
      <c r="R11" s="18">
        <v>8887</v>
      </c>
      <c r="S11" s="30">
        <v>17.48</v>
      </c>
      <c r="T11" s="163">
        <f t="shared" ref="T11" si="10">W11*F11*0.005</f>
        <v>3117.1192938822292</v>
      </c>
      <c r="V11" s="18">
        <v>0.1</v>
      </c>
      <c r="W11" s="18">
        <f t="shared" si="7"/>
        <v>33.445872120607625</v>
      </c>
      <c r="X11" s="18">
        <f t="shared" si="8"/>
        <v>33.613458008119281</v>
      </c>
      <c r="Y11" s="21">
        <f t="shared" ref="Y11:Y16" si="11">X11*F11</f>
        <v>626547.6236551801</v>
      </c>
      <c r="Z11" s="32">
        <v>42487</v>
      </c>
      <c r="AA11" s="37">
        <v>34.5</v>
      </c>
      <c r="AB11" s="37"/>
    </row>
    <row r="12" spans="1:28" s="12" customFormat="1" x14ac:dyDescent="0.25">
      <c r="A12" s="104"/>
      <c r="B12" s="24" t="s">
        <v>32</v>
      </c>
      <c r="C12" s="14" t="s">
        <v>33</v>
      </c>
      <c r="D12" s="25" t="s">
        <v>1510</v>
      </c>
      <c r="E12" s="14">
        <v>250</v>
      </c>
      <c r="F12" s="26">
        <v>29565</v>
      </c>
      <c r="G12" s="27">
        <f>17200+6720</f>
        <v>23920</v>
      </c>
      <c r="H12" s="27">
        <f>G12-F12</f>
        <v>-5645</v>
      </c>
      <c r="I12" s="12" t="s">
        <v>2323</v>
      </c>
      <c r="J12" s="14"/>
      <c r="K12" s="17"/>
      <c r="L12" s="17">
        <v>42493</v>
      </c>
      <c r="M12" s="25" t="s">
        <v>45</v>
      </c>
      <c r="N12" s="14"/>
      <c r="O12" s="18">
        <v>24</v>
      </c>
      <c r="P12" s="19"/>
      <c r="Q12" s="29">
        <v>17300</v>
      </c>
      <c r="R12" s="18">
        <f>59.25*E12</f>
        <v>14812.5</v>
      </c>
      <c r="S12" s="30">
        <f t="shared" ref="S12" si="12">-35*E12</f>
        <v>-8750</v>
      </c>
      <c r="T12" s="163">
        <f>W12*F12*0.0045</f>
        <v>4083.4508708716548</v>
      </c>
      <c r="U12" s="18">
        <f>E12*5</f>
        <v>1250</v>
      </c>
      <c r="V12" s="14"/>
      <c r="W12" s="18">
        <f>((O12*F12)+Q12+R12+S12+U12)/G12</f>
        <v>30.692830267558527</v>
      </c>
      <c r="X12" s="18">
        <f>((O12*F12)+Q12+R12+S12+T12+U12)/G12</f>
        <v>30.863543096608346</v>
      </c>
      <c r="Y12" s="21">
        <f>X12*G12</f>
        <v>738255.95087087166</v>
      </c>
      <c r="Z12" s="32">
        <v>42506</v>
      </c>
      <c r="AA12" s="37">
        <v>32.5</v>
      </c>
      <c r="AB12" s="37" t="s">
        <v>2348</v>
      </c>
    </row>
    <row r="13" spans="1:28" s="12" customFormat="1" x14ac:dyDescent="0.25">
      <c r="A13" s="104"/>
      <c r="B13" s="24" t="s">
        <v>25</v>
      </c>
      <c r="C13" s="25" t="s">
        <v>72</v>
      </c>
      <c r="D13" s="25" t="s">
        <v>72</v>
      </c>
      <c r="E13" s="14" t="s">
        <v>42</v>
      </c>
      <c r="F13" s="26">
        <f>42440*0.4536</f>
        <v>19250.784</v>
      </c>
      <c r="G13" s="27">
        <v>19101.97</v>
      </c>
      <c r="H13" s="27">
        <f>G13-F13</f>
        <v>-148.81399999999849</v>
      </c>
      <c r="I13" s="12" t="s">
        <v>2225</v>
      </c>
      <c r="J13" s="93" t="s">
        <v>49</v>
      </c>
      <c r="K13" s="17">
        <v>42493</v>
      </c>
      <c r="L13" s="17">
        <v>42494</v>
      </c>
      <c r="M13" s="25" t="s">
        <v>50</v>
      </c>
      <c r="N13" s="25" t="s">
        <v>2222</v>
      </c>
      <c r="O13" s="18"/>
      <c r="P13" s="28">
        <f>0.7172+0.105</f>
        <v>0.82219999999999993</v>
      </c>
      <c r="Q13" s="29">
        <v>18500</v>
      </c>
      <c r="R13" s="18">
        <v>8926</v>
      </c>
      <c r="S13" s="30">
        <v>17.478000000000002</v>
      </c>
      <c r="T13" s="163">
        <f>W13*F13*0.005</f>
        <v>3197.2450495951753</v>
      </c>
      <c r="V13" s="18">
        <v>0.1</v>
      </c>
      <c r="W13" s="18">
        <f t="shared" ref="W13" si="13">IF(O13&gt;0,O13,((P13*2.2046*S13)+(Q13+R13)/G13)+V13)</f>
        <v>33.216777556645745</v>
      </c>
      <c r="X13" s="18">
        <f t="shared" ref="X13" si="14">IF(O13&gt;0,O13,((P13*2.2046*S13)+(Q13+R13+T13)/G13)+V13)</f>
        <v>33.384155321849818</v>
      </c>
      <c r="Y13" s="21">
        <f t="shared" ref="Y13" si="15">X13*F13</f>
        <v>642671.16312338132</v>
      </c>
      <c r="Z13" s="32">
        <v>42487</v>
      </c>
      <c r="AA13" s="37">
        <v>34.5</v>
      </c>
      <c r="AB13" s="37"/>
    </row>
    <row r="14" spans="1:28" s="12" customFormat="1" x14ac:dyDescent="0.25">
      <c r="A14" s="104"/>
      <c r="B14" s="24" t="s">
        <v>32</v>
      </c>
      <c r="C14" s="14" t="s">
        <v>33</v>
      </c>
      <c r="D14" s="25" t="s">
        <v>87</v>
      </c>
      <c r="E14" s="14">
        <v>249</v>
      </c>
      <c r="F14" s="26">
        <v>28040</v>
      </c>
      <c r="G14" s="27">
        <f>16830+5300</f>
        <v>22130</v>
      </c>
      <c r="H14" s="27">
        <f t="shared" ref="H14:H16" si="16">G14-F14</f>
        <v>-5910</v>
      </c>
      <c r="I14" s="12" t="s">
        <v>2349</v>
      </c>
      <c r="J14" s="133">
        <v>248</v>
      </c>
      <c r="K14" s="17"/>
      <c r="L14" s="17">
        <v>42494</v>
      </c>
      <c r="M14" s="25" t="s">
        <v>50</v>
      </c>
      <c r="N14" s="14"/>
      <c r="O14" s="18">
        <v>24</v>
      </c>
      <c r="P14" s="19"/>
      <c r="Q14" s="29">
        <v>17300</v>
      </c>
      <c r="R14" s="18">
        <f t="shared" ref="R14" si="17">59.25*E14</f>
        <v>14753.25</v>
      </c>
      <c r="S14" s="30">
        <f t="shared" ref="S14" si="18">-35*E14</f>
        <v>-8715</v>
      </c>
      <c r="T14" s="163">
        <f t="shared" ref="T14" si="19">W14*F14*0.0045</f>
        <v>3977.2258149570716</v>
      </c>
      <c r="U14" s="18">
        <f t="shared" ref="U14" si="20">E14*5</f>
        <v>1245</v>
      </c>
      <c r="V14" s="14"/>
      <c r="W14" s="18">
        <f t="shared" ref="W14" si="21">((O14*F14)+Q14+R14+S14+U14)/G14</f>
        <v>31.520255309534569</v>
      </c>
      <c r="X14" s="18">
        <f t="shared" ref="X14" si="22">((O14*F14)+Q14+R14+S14+T14+U14)/G14</f>
        <v>31.699976313373568</v>
      </c>
      <c r="Y14" s="21">
        <f t="shared" ref="Y14" si="23">X14*G14</f>
        <v>701520.47581495706</v>
      </c>
      <c r="Z14" s="32">
        <v>42507</v>
      </c>
      <c r="AA14" s="37">
        <v>32.5</v>
      </c>
      <c r="AB14" s="37" t="s">
        <v>2370</v>
      </c>
    </row>
    <row r="15" spans="1:28" s="12" customFormat="1" x14ac:dyDescent="0.25">
      <c r="A15" s="104"/>
      <c r="B15" s="24" t="s">
        <v>60</v>
      </c>
      <c r="C15" s="25" t="s">
        <v>2421</v>
      </c>
      <c r="D15" s="25" t="s">
        <v>57</v>
      </c>
      <c r="E15" s="14" t="s">
        <v>889</v>
      </c>
      <c r="F15" s="26">
        <v>402.4</v>
      </c>
      <c r="G15" s="27">
        <v>402.4</v>
      </c>
      <c r="H15" s="27">
        <f t="shared" si="16"/>
        <v>0</v>
      </c>
      <c r="I15" s="12" t="s">
        <v>2422</v>
      </c>
      <c r="J15" s="14"/>
      <c r="K15" s="17"/>
      <c r="L15" s="17">
        <v>42494</v>
      </c>
      <c r="M15" s="25" t="s">
        <v>50</v>
      </c>
      <c r="N15" s="14"/>
      <c r="O15" s="18">
        <v>175</v>
      </c>
      <c r="P15" s="19"/>
      <c r="Q15" s="18"/>
      <c r="R15" s="18"/>
      <c r="S15" s="30"/>
      <c r="T15" s="31"/>
      <c r="U15" s="18"/>
      <c r="V15" s="18"/>
      <c r="W15" s="18">
        <f t="shared" ref="W15" si="24">IF(O15&gt;0,O15,((P15*2.2046*S15)+(Q15+R15)/G15)+V15)</f>
        <v>175</v>
      </c>
      <c r="X15" s="18">
        <f t="shared" ref="X15" si="25">IF(O15&gt;0,O15,((P15*2.2046*S15)+(Q15+R15+T15)/G15)+V15)</f>
        <v>175</v>
      </c>
      <c r="Y15" s="21">
        <f t="shared" ref="Y15" si="26">X15*F15</f>
        <v>70420</v>
      </c>
      <c r="Z15" s="32">
        <v>42501</v>
      </c>
      <c r="AA15" s="37"/>
      <c r="AB15" s="37"/>
    </row>
    <row r="16" spans="1:28" s="12" customFormat="1" x14ac:dyDescent="0.25">
      <c r="A16" s="104"/>
      <c r="B16" s="24" t="s">
        <v>25</v>
      </c>
      <c r="C16" s="25" t="s">
        <v>72</v>
      </c>
      <c r="D16" s="25" t="s">
        <v>72</v>
      </c>
      <c r="E16" s="14" t="s">
        <v>42</v>
      </c>
      <c r="F16" s="26">
        <f>42771*0.4536</f>
        <v>19400.925599999999</v>
      </c>
      <c r="G16" s="27">
        <v>19371.099999999999</v>
      </c>
      <c r="H16" s="27">
        <f t="shared" si="16"/>
        <v>-29.825600000000122</v>
      </c>
      <c r="I16" s="12" t="s">
        <v>2226</v>
      </c>
      <c r="J16" s="93" t="s">
        <v>837</v>
      </c>
      <c r="K16" s="17">
        <v>42494</v>
      </c>
      <c r="L16" s="17">
        <v>42495</v>
      </c>
      <c r="M16" s="25" t="s">
        <v>65</v>
      </c>
      <c r="N16" s="25" t="s">
        <v>2224</v>
      </c>
      <c r="O16" s="18"/>
      <c r="P16" s="28">
        <f>0.7154+0.105</f>
        <v>0.82040000000000002</v>
      </c>
      <c r="Q16" s="29">
        <v>18500</v>
      </c>
      <c r="R16" s="18">
        <v>8926</v>
      </c>
      <c r="S16" s="30">
        <v>17.399999999999999</v>
      </c>
      <c r="T16" s="163">
        <f>W16*F16*0.005</f>
        <v>3199.8331982572749</v>
      </c>
      <c r="V16" s="18">
        <v>0.1</v>
      </c>
      <c r="W16" s="18">
        <f t="shared" ref="W16" si="27">IF(O16&gt;0,O16,((P16*2.2046*S16)+(Q16+R16)/G16)+V16)</f>
        <v>32.986397290831064</v>
      </c>
      <c r="X16" s="18">
        <f t="shared" ref="X16" si="28">IF(O16&gt;0,O16,((P16*2.2046*S16)+(Q16+R16+T16)/G16)+V16)</f>
        <v>33.151583222360884</v>
      </c>
      <c r="Y16" s="21">
        <f t="shared" si="11"/>
        <v>643171.3996192317</v>
      </c>
      <c r="Z16" s="32">
        <v>42488</v>
      </c>
      <c r="AA16" s="37"/>
      <c r="AB16" s="37"/>
    </row>
    <row r="17" spans="1:28" s="12" customFormat="1" x14ac:dyDescent="0.25">
      <c r="A17" s="104"/>
      <c r="B17" s="24" t="s">
        <v>25</v>
      </c>
      <c r="C17" s="25" t="s">
        <v>72</v>
      </c>
      <c r="D17" s="25" t="s">
        <v>72</v>
      </c>
      <c r="E17" s="14" t="s">
        <v>42</v>
      </c>
      <c r="F17" s="26">
        <f>42664*0.4536</f>
        <v>19352.3904</v>
      </c>
      <c r="G17" s="27">
        <v>19281.12</v>
      </c>
      <c r="H17" s="27">
        <f>G17-F17</f>
        <v>-71.270400000001246</v>
      </c>
      <c r="I17" s="12" t="s">
        <v>2227</v>
      </c>
      <c r="J17" s="93" t="s">
        <v>44</v>
      </c>
      <c r="K17" s="17">
        <v>42494</v>
      </c>
      <c r="L17" s="17">
        <v>42495</v>
      </c>
      <c r="M17" s="25" t="s">
        <v>65</v>
      </c>
      <c r="N17" s="25" t="s">
        <v>2224</v>
      </c>
      <c r="O17" s="18"/>
      <c r="P17" s="28">
        <f>0.7154+0.105</f>
        <v>0.82040000000000002</v>
      </c>
      <c r="Q17" s="29">
        <v>18500</v>
      </c>
      <c r="R17" s="18">
        <v>8926</v>
      </c>
      <c r="S17" s="30">
        <v>17.399999999999999</v>
      </c>
      <c r="T17" s="163">
        <f t="shared" ref="T17" si="29">W17*F17*0.005</f>
        <v>3192.4675234531023</v>
      </c>
      <c r="V17" s="18">
        <v>0.1</v>
      </c>
      <c r="W17" s="18">
        <f>IF(O17&gt;0,O17,((P17*2.2046*S17)+(Q17+R17)/G17)+V17)</f>
        <v>32.993004558786723</v>
      </c>
      <c r="X17" s="18">
        <f>IF(O17&gt;0,O17,((P17*2.2046*S17)+(Q17+R17+T17)/G17)+V17)</f>
        <v>33.158579355450669</v>
      </c>
      <c r="Y17" s="21">
        <f>X17*F17</f>
        <v>641697.7727960617</v>
      </c>
      <c r="Z17" s="32">
        <v>42488</v>
      </c>
      <c r="AA17" s="37"/>
      <c r="AB17" s="37"/>
    </row>
    <row r="18" spans="1:28" s="12" customFormat="1" x14ac:dyDescent="0.25">
      <c r="A18" s="104"/>
      <c r="B18" s="24" t="s">
        <v>32</v>
      </c>
      <c r="C18" s="14" t="s">
        <v>33</v>
      </c>
      <c r="D18" s="25" t="s">
        <v>1102</v>
      </c>
      <c r="E18" s="14">
        <v>250</v>
      </c>
      <c r="F18" s="26">
        <v>29385</v>
      </c>
      <c r="G18" s="27">
        <v>23090</v>
      </c>
      <c r="H18" s="27">
        <f t="shared" ref="H18:H27" si="30">G18-F18</f>
        <v>-6295</v>
      </c>
      <c r="I18" s="12" t="s">
        <v>2360</v>
      </c>
      <c r="J18" s="14"/>
      <c r="K18" s="17"/>
      <c r="L18" s="17">
        <v>42495</v>
      </c>
      <c r="M18" s="25" t="s">
        <v>65</v>
      </c>
      <c r="N18" s="14"/>
      <c r="O18" s="18">
        <v>24</v>
      </c>
      <c r="P18" s="19"/>
      <c r="Q18" s="29">
        <v>17300</v>
      </c>
      <c r="R18" s="18">
        <f t="shared" ref="R18:R19" si="31">59.25*E18</f>
        <v>14812.5</v>
      </c>
      <c r="S18" s="30">
        <f t="shared" ref="S18:S19" si="32">-35*E18</f>
        <v>-8750</v>
      </c>
      <c r="T18" s="163">
        <f t="shared" ref="T18:T19" si="33">W18*F18*0.0045</f>
        <v>4179.7410440125595</v>
      </c>
      <c r="U18" s="18">
        <f t="shared" ref="U18:U19" si="34">E18*5</f>
        <v>1250</v>
      </c>
      <c r="V18" s="14"/>
      <c r="W18" s="18">
        <f t="shared" ref="W18:W19" si="35">((O18*F18)+Q18+R18+S18+U18)/G18</f>
        <v>31.609029883066263</v>
      </c>
      <c r="X18" s="18">
        <f t="shared" ref="X18:X19" si="36">((O18*F18)+Q18+R18+S18+T18+U18)/G18</f>
        <v>31.790049417237444</v>
      </c>
      <c r="Y18" s="21">
        <f t="shared" ref="Y18:Y19" si="37">X18*G18</f>
        <v>734032.2410440126</v>
      </c>
      <c r="Z18" s="32">
        <v>42508</v>
      </c>
      <c r="AA18" s="37">
        <v>33</v>
      </c>
      <c r="AB18" s="37"/>
    </row>
    <row r="19" spans="1:28" s="12" customFormat="1" x14ac:dyDescent="0.25">
      <c r="A19" s="104"/>
      <c r="B19" s="24" t="s">
        <v>32</v>
      </c>
      <c r="C19" s="14" t="s">
        <v>33</v>
      </c>
      <c r="D19" s="25" t="s">
        <v>87</v>
      </c>
      <c r="E19" s="14">
        <v>130</v>
      </c>
      <c r="F19" s="26">
        <v>14350</v>
      </c>
      <c r="G19" s="27">
        <v>11630</v>
      </c>
      <c r="H19" s="27">
        <f t="shared" si="30"/>
        <v>-2720</v>
      </c>
      <c r="I19" s="25" t="s">
        <v>2361</v>
      </c>
      <c r="J19" s="133">
        <v>131</v>
      </c>
      <c r="K19" s="17"/>
      <c r="L19" s="17">
        <v>42495</v>
      </c>
      <c r="M19" s="25" t="s">
        <v>65</v>
      </c>
      <c r="N19" s="14"/>
      <c r="O19" s="18">
        <v>24</v>
      </c>
      <c r="P19" s="19"/>
      <c r="Q19" s="29">
        <v>13600</v>
      </c>
      <c r="R19" s="18">
        <f t="shared" si="31"/>
        <v>7702.5</v>
      </c>
      <c r="S19" s="30">
        <f t="shared" si="32"/>
        <v>-4550</v>
      </c>
      <c r="T19" s="163">
        <f t="shared" si="33"/>
        <v>2008.8904933361994</v>
      </c>
      <c r="U19" s="18">
        <f t="shared" si="34"/>
        <v>650</v>
      </c>
      <c r="V19" s="14"/>
      <c r="W19" s="18">
        <f t="shared" si="35"/>
        <v>31.109415305245054</v>
      </c>
      <c r="X19" s="18">
        <f t="shared" si="36"/>
        <v>31.282148795643696</v>
      </c>
      <c r="Y19" s="21">
        <f t="shared" si="37"/>
        <v>363811.39049333619</v>
      </c>
      <c r="Z19" s="32">
        <v>42508</v>
      </c>
      <c r="AA19" s="37">
        <v>33</v>
      </c>
      <c r="AB19" s="37" t="s">
        <v>2369</v>
      </c>
    </row>
    <row r="20" spans="1:28" s="12" customFormat="1" x14ac:dyDescent="0.25">
      <c r="A20" s="104"/>
      <c r="B20" s="24" t="s">
        <v>25</v>
      </c>
      <c r="C20" s="25" t="s">
        <v>72</v>
      </c>
      <c r="D20" s="25" t="s">
        <v>72</v>
      </c>
      <c r="E20" s="14" t="s">
        <v>42</v>
      </c>
      <c r="F20" s="26">
        <f>43010*0.4536</f>
        <v>19509.335999999999</v>
      </c>
      <c r="G20" s="27">
        <f>19509-43.23</f>
        <v>19465.77</v>
      </c>
      <c r="H20" s="27">
        <f t="shared" si="30"/>
        <v>-43.565999999998894</v>
      </c>
      <c r="I20" s="12" t="s">
        <v>2228</v>
      </c>
      <c r="J20" s="93" t="s">
        <v>74</v>
      </c>
      <c r="K20" s="17">
        <v>42495</v>
      </c>
      <c r="L20" s="17">
        <v>42496</v>
      </c>
      <c r="M20" s="25" t="s">
        <v>84</v>
      </c>
      <c r="N20" s="25" t="s">
        <v>2105</v>
      </c>
      <c r="O20" s="18"/>
      <c r="P20" s="28">
        <f>0.7006+0.105</f>
        <v>0.80559999999999998</v>
      </c>
      <c r="Q20" s="29">
        <v>18500</v>
      </c>
      <c r="R20" s="18">
        <v>9926</v>
      </c>
      <c r="S20" s="30">
        <v>17.260000000000002</v>
      </c>
      <c r="T20" s="163">
        <f t="shared" ref="T20" si="38">W20*F20*0.005</f>
        <v>3142.4186551592184</v>
      </c>
      <c r="V20" s="18">
        <v>0.1</v>
      </c>
      <c r="W20" s="18">
        <f>IF(O20&gt;0,O20,((P20*2.2046*S20)+(Q20+R20)/G20)+V20)</f>
        <v>32.214511607767875</v>
      </c>
      <c r="X20" s="18">
        <f>IF(O20&gt;0,O20,((P20*2.2046*S20)+(Q20+R20+T20)/G20)+V20)</f>
        <v>32.375944659486827</v>
      </c>
      <c r="Y20" s="21">
        <f t="shared" ref="Y20:Y27" si="39">X20*F20</f>
        <v>631633.18267933407</v>
      </c>
      <c r="Z20" s="32">
        <v>42489</v>
      </c>
      <c r="AA20" s="2"/>
      <c r="AB20" s="2"/>
    </row>
    <row r="21" spans="1:28" s="12" customFormat="1" x14ac:dyDescent="0.25">
      <c r="A21" s="104"/>
      <c r="B21" s="24" t="s">
        <v>25</v>
      </c>
      <c r="C21" s="25" t="s">
        <v>72</v>
      </c>
      <c r="D21" s="25" t="s">
        <v>72</v>
      </c>
      <c r="E21" s="14" t="s">
        <v>42</v>
      </c>
      <c r="F21" s="26">
        <f>42670*0.4536</f>
        <v>19355.112000000001</v>
      </c>
      <c r="G21" s="27">
        <f>19355-63.07</f>
        <v>19291.93</v>
      </c>
      <c r="H21" s="27">
        <f t="shared" ref="H21" si="40">G21-F21</f>
        <v>-63.182000000000698</v>
      </c>
      <c r="I21" s="12" t="s">
        <v>2230</v>
      </c>
      <c r="J21" s="93" t="s">
        <v>991</v>
      </c>
      <c r="K21" s="17">
        <v>42495</v>
      </c>
      <c r="L21" s="17">
        <v>42496</v>
      </c>
      <c r="M21" s="25" t="s">
        <v>84</v>
      </c>
      <c r="N21" s="25" t="s">
        <v>2105</v>
      </c>
      <c r="O21" s="18"/>
      <c r="P21" s="28">
        <v>0.80559999999999998</v>
      </c>
      <c r="Q21" s="29">
        <v>21000</v>
      </c>
      <c r="R21" s="18">
        <v>9926</v>
      </c>
      <c r="S21" s="30">
        <v>17.14</v>
      </c>
      <c r="T21" s="163">
        <f t="shared" ref="T21" si="41">W21*F21*0.005</f>
        <v>3110.7666884212035</v>
      </c>
      <c r="V21" s="18">
        <v>0.1</v>
      </c>
      <c r="W21" s="18">
        <f>IF(O21&gt;0,O21,((P21*2.2046*S21)+(Q21+R21)/G21)+V21)</f>
        <v>32.144135238496197</v>
      </c>
      <c r="X21" s="18">
        <f>IF(O21&gt;0,O21,((P21*2.2046*S21)+(Q21+R21+T21)/G21)+V21)</f>
        <v>32.305382282644771</v>
      </c>
      <c r="Y21" s="21">
        <f t="shared" ref="Y21:Y22" si="42">X21*F21</f>
        <v>625274.2922834052</v>
      </c>
      <c r="Z21" s="32">
        <v>42489</v>
      </c>
      <c r="AA21" s="2"/>
      <c r="AB21" s="2"/>
    </row>
    <row r="22" spans="1:28" s="12" customFormat="1" x14ac:dyDescent="0.25">
      <c r="A22" s="104"/>
      <c r="B22" s="24" t="s">
        <v>25</v>
      </c>
      <c r="C22" s="25" t="s">
        <v>40</v>
      </c>
      <c r="D22" s="25" t="s">
        <v>40</v>
      </c>
      <c r="E22" s="14" t="s">
        <v>831</v>
      </c>
      <c r="F22" s="26">
        <f>41007*0.4536</f>
        <v>18600.7752</v>
      </c>
      <c r="G22" s="27">
        <v>18613.7</v>
      </c>
      <c r="H22" s="27">
        <f>G22-F22</f>
        <v>12.924800000000687</v>
      </c>
      <c r="I22" s="12" t="s">
        <v>2232</v>
      </c>
      <c r="J22" s="93" t="s">
        <v>74</v>
      </c>
      <c r="K22" s="17">
        <v>42495</v>
      </c>
      <c r="L22" s="17">
        <v>42496</v>
      </c>
      <c r="M22" s="25" t="s">
        <v>84</v>
      </c>
      <c r="N22" s="25" t="s">
        <v>2233</v>
      </c>
      <c r="O22" s="18"/>
      <c r="P22" s="28">
        <f>0.7154+0.1</f>
        <v>0.81540000000000001</v>
      </c>
      <c r="Q22" s="29">
        <v>18500</v>
      </c>
      <c r="R22" s="18">
        <v>9926</v>
      </c>
      <c r="S22" s="30">
        <v>18.37</v>
      </c>
      <c r="T22" s="163">
        <f>W22*F22*0.005</f>
        <v>3222.5501952439072</v>
      </c>
      <c r="V22" s="18">
        <v>0.1</v>
      </c>
      <c r="W22" s="18">
        <f t="shared" ref="W22" si="43">IF(O22&gt;0,O22,((P22*2.2046*S22)+(Q22+R22)/G22)+V22)</f>
        <v>34.649633260918144</v>
      </c>
      <c r="X22" s="18">
        <f t="shared" ref="X22" si="44">IF(O22&gt;0,O22,((P22*2.2046*S22)+(Q22+R22+T22)/G22)+V22)</f>
        <v>34.822761128845741</v>
      </c>
      <c r="Y22" s="21">
        <f t="shared" si="42"/>
        <v>647730.35160095792</v>
      </c>
      <c r="Z22" s="32">
        <v>42507</v>
      </c>
      <c r="AA22" s="37"/>
      <c r="AB22" s="37"/>
    </row>
    <row r="23" spans="1:28" s="12" customFormat="1" x14ac:dyDescent="0.25">
      <c r="A23" s="104"/>
      <c r="B23" s="24" t="s">
        <v>32</v>
      </c>
      <c r="C23" s="14" t="s">
        <v>33</v>
      </c>
      <c r="D23" s="25" t="s">
        <v>1102</v>
      </c>
      <c r="E23" s="14">
        <v>250</v>
      </c>
      <c r="F23" s="26">
        <v>26360</v>
      </c>
      <c r="G23" s="27">
        <v>20790</v>
      </c>
      <c r="H23" s="27">
        <f t="shared" si="30"/>
        <v>-5570</v>
      </c>
      <c r="I23" s="12" t="s">
        <v>2365</v>
      </c>
      <c r="J23" s="14"/>
      <c r="K23" s="17"/>
      <c r="L23" s="17">
        <v>42496</v>
      </c>
      <c r="M23" s="25" t="s">
        <v>84</v>
      </c>
      <c r="N23" s="14"/>
      <c r="O23" s="18">
        <v>24</v>
      </c>
      <c r="P23" s="19"/>
      <c r="Q23" s="29">
        <v>17300</v>
      </c>
      <c r="R23" s="18">
        <f>59.25*E23</f>
        <v>14812.5</v>
      </c>
      <c r="S23" s="30">
        <f>-35*E23</f>
        <v>-8750</v>
      </c>
      <c r="T23" s="163">
        <f>W23*F23*0.0045</f>
        <v>3750.0380735930735</v>
      </c>
      <c r="U23" s="18">
        <f>E23*5</f>
        <v>1250</v>
      </c>
      <c r="V23" s="14"/>
      <c r="W23" s="18">
        <f>((O23*F23)+Q23+R23+S23+U23)/G23</f>
        <v>31.613876863876865</v>
      </c>
      <c r="X23" s="18">
        <f>((O23*F23)+Q23+R23+S23+T23+U23)/G23</f>
        <v>31.7942538755937</v>
      </c>
      <c r="Y23" s="21">
        <f t="shared" ref="Y23:Y24" si="45">X23*G23</f>
        <v>661002.53807359305</v>
      </c>
      <c r="Z23" s="32">
        <v>42509</v>
      </c>
      <c r="AA23" s="2">
        <v>33</v>
      </c>
      <c r="AB23" s="2"/>
    </row>
    <row r="24" spans="1:28" s="12" customFormat="1" x14ac:dyDescent="0.25">
      <c r="A24" s="104"/>
      <c r="B24" s="24" t="s">
        <v>32</v>
      </c>
      <c r="C24" s="14" t="s">
        <v>33</v>
      </c>
      <c r="D24" s="25" t="s">
        <v>34</v>
      </c>
      <c r="E24" s="14">
        <v>249</v>
      </c>
      <c r="F24" s="26">
        <v>30320</v>
      </c>
      <c r="G24" s="27">
        <v>24300</v>
      </c>
      <c r="H24" s="27">
        <f t="shared" si="30"/>
        <v>-6020</v>
      </c>
      <c r="I24" s="25" t="s">
        <v>2366</v>
      </c>
      <c r="J24" s="133">
        <v>248</v>
      </c>
      <c r="K24" s="17"/>
      <c r="L24" s="17">
        <v>42496</v>
      </c>
      <c r="M24" s="25" t="s">
        <v>84</v>
      </c>
      <c r="N24" s="14"/>
      <c r="O24" s="18">
        <v>24</v>
      </c>
      <c r="P24" s="19"/>
      <c r="Q24" s="29">
        <v>17300</v>
      </c>
      <c r="R24" s="18">
        <f>59.25*E24</f>
        <v>14753.25</v>
      </c>
      <c r="S24" s="30">
        <f>-35*E24</f>
        <v>-8715</v>
      </c>
      <c r="T24" s="163">
        <f>W24*F24*0.0045</f>
        <v>4223.8188407407406</v>
      </c>
      <c r="U24" s="18">
        <f>E24*5</f>
        <v>1245</v>
      </c>
      <c r="V24" s="14"/>
      <c r="W24" s="18">
        <f>((O24*F24)+Q24+R24+S24+U24)/G24</f>
        <v>30.957335390946501</v>
      </c>
      <c r="X24" s="18">
        <f>((O24*F24)+Q24+R24+S24+T24+U24)/G24</f>
        <v>31.131155096326779</v>
      </c>
      <c r="Y24" s="21">
        <f t="shared" si="45"/>
        <v>756487.06884074071</v>
      </c>
      <c r="Z24" s="32">
        <v>42509</v>
      </c>
      <c r="AA24" s="2">
        <v>33</v>
      </c>
      <c r="AB24" s="2" t="s">
        <v>2409</v>
      </c>
    </row>
    <row r="25" spans="1:28" s="12" customFormat="1" x14ac:dyDescent="0.25">
      <c r="A25" s="104"/>
      <c r="B25" s="24" t="s">
        <v>2077</v>
      </c>
      <c r="C25" s="25" t="s">
        <v>72</v>
      </c>
      <c r="D25" s="25" t="s">
        <v>57</v>
      </c>
      <c r="E25" s="14" t="s">
        <v>832</v>
      </c>
      <c r="F25" s="26">
        <v>1837</v>
      </c>
      <c r="G25" s="27">
        <v>1837</v>
      </c>
      <c r="H25" s="27">
        <f t="shared" si="30"/>
        <v>0</v>
      </c>
      <c r="I25" s="25" t="s">
        <v>2424</v>
      </c>
      <c r="J25" s="14"/>
      <c r="K25" s="17"/>
      <c r="L25" s="17">
        <v>42497</v>
      </c>
      <c r="M25" s="25" t="s">
        <v>30</v>
      </c>
      <c r="N25" s="14"/>
      <c r="O25" s="18">
        <v>15.5</v>
      </c>
      <c r="P25" s="19"/>
      <c r="Q25" s="18"/>
      <c r="R25" s="18"/>
      <c r="S25" s="30"/>
      <c r="T25" s="31"/>
      <c r="U25" s="18"/>
      <c r="V25" s="18"/>
      <c r="W25" s="18">
        <f>IF(O25&gt;0,O25,((P25*2.2046*S25)+(Q25+R25)/G25)+V25)</f>
        <v>15.5</v>
      </c>
      <c r="X25" s="18">
        <f>IF(O25&gt;0,O25,((P25*2.2046*S25)+(Q25+R25+T25)/G25)+V25)</f>
        <v>15.5</v>
      </c>
      <c r="Y25" s="21">
        <f t="shared" ref="Y25" si="46">X25*F25</f>
        <v>28473.5</v>
      </c>
      <c r="Z25" s="32">
        <v>42503</v>
      </c>
      <c r="AA25" s="2"/>
      <c r="AB25" s="2"/>
    </row>
    <row r="26" spans="1:28" s="12" customFormat="1" x14ac:dyDescent="0.25">
      <c r="A26" s="104"/>
      <c r="B26" s="24" t="s">
        <v>25</v>
      </c>
      <c r="C26" s="25" t="s">
        <v>26</v>
      </c>
      <c r="D26" s="25" t="s">
        <v>26</v>
      </c>
      <c r="E26" s="14" t="s">
        <v>27</v>
      </c>
      <c r="F26" s="26">
        <f>41407*0.4536</f>
        <v>18782.215199999999</v>
      </c>
      <c r="G26" s="27">
        <v>18740.13</v>
      </c>
      <c r="H26" s="27">
        <f t="shared" si="30"/>
        <v>-42.085199999997712</v>
      </c>
      <c r="I26" s="39" t="s">
        <v>2234</v>
      </c>
      <c r="J26" s="93" t="s">
        <v>74</v>
      </c>
      <c r="K26" s="17">
        <v>42496</v>
      </c>
      <c r="L26" s="17">
        <v>42497</v>
      </c>
      <c r="M26" s="25" t="s">
        <v>30</v>
      </c>
      <c r="N26" s="25" t="s">
        <v>2235</v>
      </c>
      <c r="O26" s="18"/>
      <c r="P26" s="28">
        <f>0.7006+0.1075</f>
        <v>0.80810000000000004</v>
      </c>
      <c r="Q26" s="29">
        <v>18500</v>
      </c>
      <c r="R26" s="18">
        <v>8965</v>
      </c>
      <c r="S26" s="30">
        <v>17.260000000000002</v>
      </c>
      <c r="T26" s="163">
        <f t="shared" ref="T26:T27" si="47">W26*F26*0.005</f>
        <v>3034.7274603607225</v>
      </c>
      <c r="V26" s="18">
        <v>0.1</v>
      </c>
      <c r="W26" s="18">
        <f>IF(O26&gt;0,O26,((P26*2.2046*S26)+(Q26+R26)/G26)+V26)</f>
        <v>32.314904584425406</v>
      </c>
      <c r="X26" s="18">
        <f>IF(O26&gt;0,O26,((P26*2.2046*S26)+(Q26+R26+T26)/G26)+V26)</f>
        <v>32.476841959478875</v>
      </c>
      <c r="Y26" s="21">
        <f t="shared" si="39"/>
        <v>609987.03469932184</v>
      </c>
      <c r="Z26" s="32">
        <v>42489</v>
      </c>
      <c r="AA26" s="2"/>
      <c r="AB26" s="2" t="s">
        <v>2410</v>
      </c>
    </row>
    <row r="27" spans="1:28" s="12" customFormat="1" x14ac:dyDescent="0.25">
      <c r="A27" s="104"/>
      <c r="B27" s="24" t="s">
        <v>25</v>
      </c>
      <c r="C27" s="25" t="s">
        <v>72</v>
      </c>
      <c r="D27" s="25" t="s">
        <v>72</v>
      </c>
      <c r="E27" s="14" t="s">
        <v>42</v>
      </c>
      <c r="F27" s="26">
        <f>42728*0.4536</f>
        <v>19381.4208</v>
      </c>
      <c r="G27" s="27">
        <f>19381-74.68</f>
        <v>19306.32</v>
      </c>
      <c r="H27" s="27">
        <f t="shared" si="30"/>
        <v>-75.100800000000163</v>
      </c>
      <c r="I27" s="12" t="s">
        <v>2231</v>
      </c>
      <c r="J27" s="93" t="s">
        <v>837</v>
      </c>
      <c r="K27" s="17">
        <v>42496</v>
      </c>
      <c r="L27" s="17">
        <v>42497</v>
      </c>
      <c r="M27" s="25" t="s">
        <v>30</v>
      </c>
      <c r="N27" s="25" t="s">
        <v>2236</v>
      </c>
      <c r="O27" s="18"/>
      <c r="P27" s="28">
        <f>0.6545+0.105</f>
        <v>0.75949999999999995</v>
      </c>
      <c r="Q27" s="29">
        <v>18500</v>
      </c>
      <c r="R27" s="18">
        <v>8965</v>
      </c>
      <c r="S27" s="30">
        <v>17.245000000000001</v>
      </c>
      <c r="T27" s="163">
        <f t="shared" si="47"/>
        <v>2945.7347121397111</v>
      </c>
      <c r="V27" s="18">
        <v>0.1</v>
      </c>
      <c r="W27" s="18">
        <f>IF(O27&gt;0,O27,((P27*2.2046*S27)+(Q27+R27)/G27)+V27)</f>
        <v>30.397510507998579</v>
      </c>
      <c r="X27" s="18">
        <f>IF(O27&gt;0,O27,((P27*2.2046*S27)+(Q27+R27+T27)/G27)+V27)</f>
        <v>30.550089285939674</v>
      </c>
      <c r="Y27" s="21">
        <f t="shared" si="39"/>
        <v>592104.13592836831</v>
      </c>
      <c r="Z27" s="32">
        <v>42492</v>
      </c>
      <c r="AA27" s="2"/>
      <c r="AB27" s="2"/>
    </row>
    <row r="28" spans="1:28" s="12" customFormat="1" ht="15.75" thickBot="1" x14ac:dyDescent="0.3">
      <c r="A28" s="104"/>
      <c r="B28" s="41"/>
      <c r="C28" s="4"/>
      <c r="D28" s="4"/>
      <c r="E28" s="4"/>
      <c r="F28" s="42"/>
      <c r="G28" s="42"/>
      <c r="H28" s="42"/>
      <c r="I28" s="6"/>
      <c r="J28" s="4"/>
      <c r="K28" s="7"/>
      <c r="L28" s="7"/>
      <c r="M28" s="4"/>
      <c r="N28" s="4"/>
      <c r="O28" s="8"/>
      <c r="P28" s="9"/>
      <c r="Q28" s="8"/>
      <c r="R28" s="8"/>
      <c r="S28" s="8"/>
      <c r="T28" s="8"/>
      <c r="U28" s="8"/>
      <c r="V28" s="8"/>
      <c r="W28" s="8"/>
      <c r="X28" s="8"/>
      <c r="Y28" s="11"/>
      <c r="Z28" s="43"/>
      <c r="AA28" s="2"/>
      <c r="AB28" s="2"/>
    </row>
    <row r="29" spans="1:28" s="12" customFormat="1" x14ac:dyDescent="0.25">
      <c r="A29" s="109"/>
      <c r="B29" s="14" t="s">
        <v>32</v>
      </c>
      <c r="C29" s="14" t="s">
        <v>33</v>
      </c>
      <c r="D29" s="25" t="s">
        <v>38</v>
      </c>
      <c r="E29" s="14">
        <v>196</v>
      </c>
      <c r="F29" s="26">
        <v>25780</v>
      </c>
      <c r="G29" s="27">
        <f>21200-450</f>
        <v>20750</v>
      </c>
      <c r="H29" s="27">
        <f t="shared" ref="H29:H34" si="48">G29-F29</f>
        <v>-5030</v>
      </c>
      <c r="I29" s="25" t="s">
        <v>2377</v>
      </c>
      <c r="J29" s="120">
        <v>200</v>
      </c>
      <c r="K29" s="17"/>
      <c r="L29" s="17">
        <v>42498</v>
      </c>
      <c r="M29" s="25" t="s">
        <v>36</v>
      </c>
      <c r="N29" s="14"/>
      <c r="O29" s="18">
        <v>24.5</v>
      </c>
      <c r="P29" s="19"/>
      <c r="Q29" s="29">
        <v>17300</v>
      </c>
      <c r="R29" s="18">
        <f>59.25*E29</f>
        <v>11613</v>
      </c>
      <c r="S29" s="30">
        <f>-35*E29</f>
        <v>-6860</v>
      </c>
      <c r="T29" s="163">
        <f>W29*F29*0.0045</f>
        <v>3660.0064785542168</v>
      </c>
      <c r="U29" s="18">
        <f>E29*5</f>
        <v>980</v>
      </c>
      <c r="V29" s="14"/>
      <c r="W29" s="18">
        <f>((O29*F29)+Q29+R29+S29+U29)/G29</f>
        <v>31.549060240963854</v>
      </c>
      <c r="X29" s="18">
        <f>((O29*F29)+Q29+R29+S29+T29+U29)/G29</f>
        <v>31.725446095352012</v>
      </c>
      <c r="Y29" s="21">
        <f>X29*G29</f>
        <v>658303.00647855422</v>
      </c>
      <c r="Z29" s="32">
        <v>42513</v>
      </c>
      <c r="AA29" s="2">
        <v>33.5</v>
      </c>
      <c r="AB29" s="2"/>
    </row>
    <row r="30" spans="1:28" s="12" customFormat="1" x14ac:dyDescent="0.25">
      <c r="A30" s="109"/>
      <c r="B30" s="24" t="s">
        <v>32</v>
      </c>
      <c r="C30" s="14" t="s">
        <v>33</v>
      </c>
      <c r="D30" s="25" t="s">
        <v>87</v>
      </c>
      <c r="E30" s="14">
        <v>130</v>
      </c>
      <c r="F30" s="26">
        <v>15020</v>
      </c>
      <c r="G30" s="27">
        <f>11510+450</f>
        <v>11960</v>
      </c>
      <c r="H30" s="27">
        <f t="shared" ref="H30" si="49">G30-F30</f>
        <v>-3060</v>
      </c>
      <c r="I30" s="25" t="s">
        <v>2378</v>
      </c>
      <c r="J30" s="120">
        <v>126</v>
      </c>
      <c r="K30" s="17"/>
      <c r="L30" s="17">
        <v>42498</v>
      </c>
      <c r="M30" s="25" t="s">
        <v>36</v>
      </c>
      <c r="N30" s="14"/>
      <c r="O30" s="18">
        <v>24.5</v>
      </c>
      <c r="P30" s="19"/>
      <c r="Q30" s="29">
        <v>13600</v>
      </c>
      <c r="R30" s="18">
        <f>59.25*E30</f>
        <v>7702.5</v>
      </c>
      <c r="S30" s="30">
        <f t="shared" ref="S30" si="50">-35*E30</f>
        <v>-4550</v>
      </c>
      <c r="T30" s="163">
        <f>W30*F30*0.0045</f>
        <v>2177.983200250836</v>
      </c>
      <c r="U30" s="18">
        <f>E30*5</f>
        <v>650</v>
      </c>
      <c r="V30" s="14"/>
      <c r="W30" s="18">
        <f>((O30*F30)+Q30+R30+S30+U30)/G30</f>
        <v>32.223453177257525</v>
      </c>
      <c r="X30" s="18">
        <f>((O30*F30)+Q30+R30+S30+T30+U30)/G30</f>
        <v>32.405558796007597</v>
      </c>
      <c r="Y30" s="21">
        <f>X30*G30</f>
        <v>387570.48320025083</v>
      </c>
      <c r="Z30" s="32">
        <v>42513</v>
      </c>
      <c r="AA30" s="2">
        <v>33.5</v>
      </c>
      <c r="AB30" s="2" t="s">
        <v>2407</v>
      </c>
    </row>
    <row r="31" spans="1:28" s="12" customFormat="1" x14ac:dyDescent="0.25">
      <c r="A31" s="109"/>
      <c r="B31" s="24" t="s">
        <v>32</v>
      </c>
      <c r="C31" s="14" t="s">
        <v>33</v>
      </c>
      <c r="D31" s="25" t="s">
        <v>34</v>
      </c>
      <c r="E31" s="14">
        <v>250</v>
      </c>
      <c r="F31" s="26">
        <v>29015</v>
      </c>
      <c r="G31" s="27">
        <f>16700+6470</f>
        <v>23170</v>
      </c>
      <c r="H31" s="27">
        <f t="shared" si="48"/>
        <v>-5845</v>
      </c>
      <c r="I31" s="25" t="s">
        <v>2379</v>
      </c>
      <c r="J31" s="133">
        <v>249</v>
      </c>
      <c r="K31" s="17"/>
      <c r="L31" s="17">
        <v>42499</v>
      </c>
      <c r="M31" s="25" t="s">
        <v>39</v>
      </c>
      <c r="N31" s="14"/>
      <c r="O31" s="18">
        <v>24.5</v>
      </c>
      <c r="P31" s="19"/>
      <c r="Q31" s="29">
        <v>17300</v>
      </c>
      <c r="R31" s="18">
        <f>59.25*E31</f>
        <v>14812.5</v>
      </c>
      <c r="S31" s="30">
        <f t="shared" ref="S31" si="51">-35*E31</f>
        <v>-8750</v>
      </c>
      <c r="T31" s="163">
        <f>W31*F31*0.0045</f>
        <v>4144.5742296072503</v>
      </c>
      <c r="U31" s="18">
        <f>E31*5</f>
        <v>1250</v>
      </c>
      <c r="V31" s="14"/>
      <c r="W31" s="18">
        <f>((O31*F31)+Q31+R31+S31+U31)/G31</f>
        <v>31.742770824341822</v>
      </c>
      <c r="X31" s="18">
        <f>((O31*F31)+Q31+R31+S31+T31+U31)/G31</f>
        <v>31.921647571411619</v>
      </c>
      <c r="Y31" s="21">
        <f>X31*G31</f>
        <v>739624.57422960724</v>
      </c>
      <c r="Z31" s="32">
        <v>42513</v>
      </c>
      <c r="AA31" s="2">
        <v>33.5</v>
      </c>
      <c r="AB31" s="2" t="s">
        <v>2408</v>
      </c>
    </row>
    <row r="32" spans="1:28" s="12" customFormat="1" x14ac:dyDescent="0.25">
      <c r="A32" s="109"/>
      <c r="B32" s="24" t="s">
        <v>2427</v>
      </c>
      <c r="C32" s="14" t="s">
        <v>72</v>
      </c>
      <c r="D32" s="25" t="s">
        <v>57</v>
      </c>
      <c r="E32" s="14" t="s">
        <v>2429</v>
      </c>
      <c r="F32" s="26">
        <v>2180</v>
      </c>
      <c r="G32" s="27">
        <v>2180</v>
      </c>
      <c r="H32" s="27">
        <f t="shared" si="48"/>
        <v>0</v>
      </c>
      <c r="I32" s="25" t="s">
        <v>2431</v>
      </c>
      <c r="J32" s="14"/>
      <c r="K32" s="17"/>
      <c r="L32" s="17">
        <v>42499</v>
      </c>
      <c r="M32" s="25" t="s">
        <v>39</v>
      </c>
      <c r="N32" s="14"/>
      <c r="O32" s="18">
        <v>58</v>
      </c>
      <c r="P32" s="19"/>
      <c r="Q32" s="18"/>
      <c r="R32" s="18"/>
      <c r="S32" s="30"/>
      <c r="T32" s="31"/>
      <c r="U32" s="18"/>
      <c r="V32" s="18"/>
      <c r="W32" s="18">
        <f t="shared" ref="W32" si="52">IF(O32&gt;0,O32,((P32*2.2046*S32)+(Q32+R32)/G32)+V32)</f>
        <v>58</v>
      </c>
      <c r="X32" s="18">
        <f t="shared" ref="X32" si="53">IF(O32&gt;0,O32,((P32*2.2046*S32)+(Q32+R32+T32)/G32)+V32)</f>
        <v>58</v>
      </c>
      <c r="Y32" s="21">
        <f>X32*F32</f>
        <v>126440</v>
      </c>
      <c r="Z32" s="32">
        <v>42506</v>
      </c>
      <c r="AA32" s="2"/>
      <c r="AB32" s="2"/>
    </row>
    <row r="33" spans="1:28" s="12" customFormat="1" x14ac:dyDescent="0.25">
      <c r="A33" s="109"/>
      <c r="B33" s="24" t="s">
        <v>2428</v>
      </c>
      <c r="C33" s="14" t="s">
        <v>72</v>
      </c>
      <c r="D33" s="25" t="s">
        <v>57</v>
      </c>
      <c r="E33" s="14" t="s">
        <v>2430</v>
      </c>
      <c r="F33" s="26">
        <v>3977.04</v>
      </c>
      <c r="G33" s="27">
        <v>3977.04</v>
      </c>
      <c r="H33" s="27">
        <f t="shared" si="48"/>
        <v>0</v>
      </c>
      <c r="I33" s="25" t="s">
        <v>2431</v>
      </c>
      <c r="J33" s="14"/>
      <c r="K33" s="17"/>
      <c r="L33" s="17">
        <v>42499</v>
      </c>
      <c r="M33" s="25" t="s">
        <v>39</v>
      </c>
      <c r="N33" s="14"/>
      <c r="O33" s="18">
        <v>52.5</v>
      </c>
      <c r="P33" s="19"/>
      <c r="Q33" s="18"/>
      <c r="R33" s="18"/>
      <c r="S33" s="30"/>
      <c r="T33" s="31"/>
      <c r="U33" s="18"/>
      <c r="V33" s="18"/>
      <c r="W33" s="18">
        <f t="shared" ref="W33:W34" si="54">IF(O33&gt;0,O33,((P33*2.2046*S33)+(Q33+R33)/G33)+V33)</f>
        <v>52.5</v>
      </c>
      <c r="X33" s="18">
        <f t="shared" ref="X33:X34" si="55">IF(O33&gt;0,O33,((P33*2.2046*S33)+(Q33+R33+T33)/G33)+V33)</f>
        <v>52.5</v>
      </c>
      <c r="Y33" s="21">
        <f>X33*F33</f>
        <v>208794.6</v>
      </c>
      <c r="Z33" s="32">
        <v>42506</v>
      </c>
      <c r="AA33" s="2"/>
      <c r="AB33" s="2"/>
    </row>
    <row r="34" spans="1:28" s="12" customFormat="1" x14ac:dyDescent="0.25">
      <c r="A34" s="109"/>
      <c r="B34" s="24" t="s">
        <v>2754</v>
      </c>
      <c r="C34" s="14" t="s">
        <v>2755</v>
      </c>
      <c r="D34" s="25" t="s">
        <v>886</v>
      </c>
      <c r="E34" s="14" t="s">
        <v>2756</v>
      </c>
      <c r="F34" s="26">
        <v>896</v>
      </c>
      <c r="G34" s="27">
        <v>896</v>
      </c>
      <c r="H34" s="27">
        <f t="shared" si="48"/>
        <v>0</v>
      </c>
      <c r="I34" s="25" t="s">
        <v>2759</v>
      </c>
      <c r="J34" s="14"/>
      <c r="K34" s="17"/>
      <c r="L34" s="17">
        <v>42499</v>
      </c>
      <c r="M34" s="25" t="s">
        <v>39</v>
      </c>
      <c r="N34" s="14"/>
      <c r="O34" s="18">
        <v>43</v>
      </c>
      <c r="P34" s="19"/>
      <c r="Q34" s="18"/>
      <c r="R34" s="18"/>
      <c r="S34" s="30"/>
      <c r="T34" s="31"/>
      <c r="U34" s="18"/>
      <c r="V34" s="18"/>
      <c r="W34" s="18">
        <f t="shared" si="54"/>
        <v>43</v>
      </c>
      <c r="X34" s="18">
        <f t="shared" si="55"/>
        <v>43</v>
      </c>
      <c r="Y34" s="21">
        <f>X34*F34</f>
        <v>38528</v>
      </c>
      <c r="Z34" s="32">
        <v>42521</v>
      </c>
      <c r="AA34" s="2"/>
      <c r="AB34" s="2"/>
    </row>
    <row r="35" spans="1:28" s="12" customFormat="1" x14ac:dyDescent="0.25">
      <c r="A35" s="109"/>
      <c r="B35" s="24" t="s">
        <v>25</v>
      </c>
      <c r="C35" s="25" t="s">
        <v>40</v>
      </c>
      <c r="D35" s="25" t="s">
        <v>40</v>
      </c>
      <c r="E35" s="14" t="s">
        <v>831</v>
      </c>
      <c r="F35" s="26">
        <f>39935*0.4536</f>
        <v>18114.516</v>
      </c>
      <c r="G35" s="27">
        <v>18150.54</v>
      </c>
      <c r="H35" s="27">
        <f>G35-F35</f>
        <v>36.024000000001251</v>
      </c>
      <c r="I35" s="12" t="s">
        <v>2324</v>
      </c>
      <c r="J35" s="93" t="s">
        <v>44</v>
      </c>
      <c r="K35" s="17">
        <v>42499</v>
      </c>
      <c r="L35" s="17">
        <v>42500</v>
      </c>
      <c r="M35" s="25" t="s">
        <v>45</v>
      </c>
      <c r="N35" s="25" t="s">
        <v>2333</v>
      </c>
      <c r="O35" s="18"/>
      <c r="P35" s="28">
        <f>0.6792+0.1</f>
        <v>0.7792</v>
      </c>
      <c r="Q35" s="29">
        <v>18500</v>
      </c>
      <c r="R35" s="18">
        <v>8991</v>
      </c>
      <c r="S35" s="30">
        <v>18.46</v>
      </c>
      <c r="T35" s="163">
        <f>W35*F35*0.005</f>
        <v>3018.3898771247323</v>
      </c>
      <c r="V35" s="18">
        <v>0.1</v>
      </c>
      <c r="W35" s="18">
        <f t="shared" ref="W35:W36" si="56">IF(O35&gt;0,O35,((P35*2.2046*S35)+(Q35+R35)/G35)+V35)</f>
        <v>33.325647531788675</v>
      </c>
      <c r="X35" s="18">
        <f t="shared" ref="X35:X36" si="57">IF(O35&gt;0,O35,((P35*2.2046*S35)+(Q35+R35+T35)/G35)+V35)</f>
        <v>33.491945056662573</v>
      </c>
      <c r="Y35" s="21">
        <f>X35*F35</f>
        <v>606690.37460003502</v>
      </c>
      <c r="Z35" s="32">
        <v>42510</v>
      </c>
      <c r="AA35" s="37">
        <v>33</v>
      </c>
      <c r="AB35" s="37"/>
    </row>
    <row r="36" spans="1:28" s="12" customFormat="1" x14ac:dyDescent="0.25">
      <c r="A36" s="109"/>
      <c r="B36" s="24" t="s">
        <v>25</v>
      </c>
      <c r="C36" s="25" t="s">
        <v>26</v>
      </c>
      <c r="D36" s="25" t="s">
        <v>26</v>
      </c>
      <c r="E36" s="14" t="s">
        <v>27</v>
      </c>
      <c r="F36" s="26">
        <f>41939*0.4536</f>
        <v>19023.5304</v>
      </c>
      <c r="G36" s="27">
        <v>18990.13</v>
      </c>
      <c r="H36" s="27">
        <f t="shared" ref="H36" si="58">G36-F36</f>
        <v>-33.400399999998626</v>
      </c>
      <c r="I36" s="12" t="s">
        <v>2325</v>
      </c>
      <c r="J36" s="93" t="s">
        <v>44</v>
      </c>
      <c r="K36" s="17">
        <v>42499</v>
      </c>
      <c r="L36" s="17">
        <v>42500</v>
      </c>
      <c r="M36" s="25" t="s">
        <v>45</v>
      </c>
      <c r="N36" s="25" t="s">
        <v>2334</v>
      </c>
      <c r="O36" s="18"/>
      <c r="P36" s="28">
        <f>0.7048+0.1075</f>
        <v>0.81230000000000002</v>
      </c>
      <c r="Q36" s="29">
        <v>18500</v>
      </c>
      <c r="R36" s="18">
        <v>8991</v>
      </c>
      <c r="S36" s="30">
        <v>17.774999999999999</v>
      </c>
      <c r="T36" s="163">
        <f t="shared" ref="T36" si="59">W36*F36*0.005</f>
        <v>3174.9374289615657</v>
      </c>
      <c r="V36" s="18">
        <v>0.1</v>
      </c>
      <c r="W36" s="18">
        <f t="shared" si="56"/>
        <v>33.379055960733403</v>
      </c>
      <c r="X36" s="18">
        <f t="shared" si="57"/>
        <v>33.546244780871106</v>
      </c>
      <c r="Y36" s="21">
        <f t="shared" ref="Y36:Y40" si="60">X36*F36</f>
        <v>638168.0073947428</v>
      </c>
      <c r="Z36" s="32">
        <v>42494</v>
      </c>
      <c r="AA36" s="37">
        <v>33</v>
      </c>
      <c r="AB36" s="37"/>
    </row>
    <row r="37" spans="1:28" s="12" customFormat="1" x14ac:dyDescent="0.25">
      <c r="A37" s="109"/>
      <c r="B37" s="24" t="s">
        <v>32</v>
      </c>
      <c r="C37" s="14" t="s">
        <v>33</v>
      </c>
      <c r="D37" s="25" t="s">
        <v>38</v>
      </c>
      <c r="E37" s="14">
        <v>244</v>
      </c>
      <c r="F37" s="26">
        <v>33355</v>
      </c>
      <c r="G37" s="27">
        <f>19480+7810</f>
        <v>27290</v>
      </c>
      <c r="H37" s="27">
        <f>G37-F37</f>
        <v>-6065</v>
      </c>
      <c r="I37" s="25" t="s">
        <v>2380</v>
      </c>
      <c r="J37" s="14"/>
      <c r="K37" s="17"/>
      <c r="L37" s="17">
        <v>42500</v>
      </c>
      <c r="M37" s="25" t="s">
        <v>45</v>
      </c>
      <c r="N37" s="14"/>
      <c r="O37" s="18">
        <v>24.5</v>
      </c>
      <c r="P37" s="19"/>
      <c r="Q37" s="29">
        <v>17300</v>
      </c>
      <c r="R37" s="18">
        <f>59.25*E37</f>
        <v>14457</v>
      </c>
      <c r="S37" s="30">
        <f t="shared" ref="S37" si="61">-35*E37</f>
        <v>-8540</v>
      </c>
      <c r="T37" s="163">
        <f>W37*F37*0.0045</f>
        <v>4629.0668509985335</v>
      </c>
      <c r="U37" s="18">
        <f>E37*5</f>
        <v>1220</v>
      </c>
      <c r="V37" s="14"/>
      <c r="W37" s="18">
        <f>((O37*F37)+Q37+R37+S37+U37)/G37</f>
        <v>30.840399413704652</v>
      </c>
      <c r="X37" s="18">
        <f>((O37*F37)+Q37+R37+S37+T37+U37)/G37</f>
        <v>31.01002443572732</v>
      </c>
      <c r="Y37" s="21">
        <f>X37*G37</f>
        <v>846263.56685099856</v>
      </c>
      <c r="Z37" s="32">
        <v>42513</v>
      </c>
      <c r="AA37" s="37"/>
      <c r="AB37" s="37" t="s">
        <v>2406</v>
      </c>
    </row>
    <row r="38" spans="1:28" s="12" customFormat="1" x14ac:dyDescent="0.25">
      <c r="A38" s="109"/>
      <c r="B38" s="24" t="s">
        <v>25</v>
      </c>
      <c r="C38" s="25" t="s">
        <v>72</v>
      </c>
      <c r="D38" s="25" t="s">
        <v>72</v>
      </c>
      <c r="E38" s="14" t="s">
        <v>42</v>
      </c>
      <c r="F38" s="26">
        <f>42470*0.4536</f>
        <v>19264.392</v>
      </c>
      <c r="G38" s="27">
        <v>19187.47</v>
      </c>
      <c r="H38" s="27">
        <f>G38-F38</f>
        <v>-76.921999999998661</v>
      </c>
      <c r="I38" s="12" t="s">
        <v>2326</v>
      </c>
      <c r="J38" s="93" t="s">
        <v>991</v>
      </c>
      <c r="K38" s="17">
        <v>42500</v>
      </c>
      <c r="L38" s="17">
        <v>42502</v>
      </c>
      <c r="M38" s="25" t="s">
        <v>65</v>
      </c>
      <c r="N38" s="25" t="s">
        <v>2335</v>
      </c>
      <c r="O38" s="18"/>
      <c r="P38" s="28">
        <f>0.6792+0.105</f>
        <v>0.78420000000000001</v>
      </c>
      <c r="Q38" s="29">
        <v>21000</v>
      </c>
      <c r="R38" s="18">
        <v>8952</v>
      </c>
      <c r="S38" s="30">
        <v>17.774999999999999</v>
      </c>
      <c r="T38" s="163">
        <f>W38*F38*0.005</f>
        <v>3119.9915611286578</v>
      </c>
      <c r="V38" s="18">
        <v>0.1</v>
      </c>
      <c r="W38" s="18">
        <f t="shared" ref="W38" si="62">IF(O38&gt;0,O38,((P38*2.2046*S38)+(Q38+R38)/G38)+V38)</f>
        <v>32.391279840325694</v>
      </c>
      <c r="X38" s="18">
        <f t="shared" ref="X38" si="63">IF(O38&gt;0,O38,((P38*2.2046*S38)+(Q38+R38+T38)/G38)+V38)</f>
        <v>32.553885517943883</v>
      </c>
      <c r="Y38" s="21">
        <f t="shared" ref="Y38" si="64">X38*F38</f>
        <v>627130.81174079399</v>
      </c>
      <c r="Z38" s="32">
        <v>42494</v>
      </c>
      <c r="AA38" s="37">
        <v>33</v>
      </c>
      <c r="AB38" s="37"/>
    </row>
    <row r="39" spans="1:28" s="12" customFormat="1" x14ac:dyDescent="0.25">
      <c r="A39" s="109"/>
      <c r="B39" s="24" t="s">
        <v>32</v>
      </c>
      <c r="C39" s="14" t="s">
        <v>33</v>
      </c>
      <c r="D39" s="25" t="s">
        <v>38</v>
      </c>
      <c r="E39" s="14">
        <v>245</v>
      </c>
      <c r="F39" s="26">
        <v>32660</v>
      </c>
      <c r="G39" s="27">
        <f>20090+6550</f>
        <v>26640</v>
      </c>
      <c r="H39" s="27">
        <f>G39-F39</f>
        <v>-6020</v>
      </c>
      <c r="I39" s="12" t="s">
        <v>2402</v>
      </c>
      <c r="J39" s="133">
        <v>244</v>
      </c>
      <c r="K39" s="17"/>
      <c r="L39" s="17">
        <v>42501</v>
      </c>
      <c r="M39" s="25" t="s">
        <v>50</v>
      </c>
      <c r="N39" s="14"/>
      <c r="O39" s="18">
        <v>24.5</v>
      </c>
      <c r="P39" s="19"/>
      <c r="Q39" s="29">
        <v>17300</v>
      </c>
      <c r="R39" s="18">
        <f>59.25*E39</f>
        <v>14516.25</v>
      </c>
      <c r="S39" s="30">
        <f t="shared" ref="S39" si="65">-35*E39</f>
        <v>-8575</v>
      </c>
      <c r="T39" s="163">
        <f>W39*F39*0.0045</f>
        <v>4549.429041385135</v>
      </c>
      <c r="U39" s="18">
        <f>E39*5</f>
        <v>1225</v>
      </c>
      <c r="V39" s="14"/>
      <c r="W39" s="18">
        <f>((O39*F39)+Q39+R39+S39+U39)/G39</f>
        <v>30.954814189189189</v>
      </c>
      <c r="X39" s="18">
        <f>((O39*F39)+Q39+R39+S39+T39+U39)/G39</f>
        <v>31.125588552604547</v>
      </c>
      <c r="Y39" s="21">
        <f>X39*G39</f>
        <v>829185.67904138518</v>
      </c>
      <c r="Z39" s="32">
        <v>42514</v>
      </c>
      <c r="AA39" s="37">
        <v>34.5</v>
      </c>
      <c r="AB39" s="37" t="s">
        <v>2437</v>
      </c>
    </row>
    <row r="40" spans="1:28" s="12" customFormat="1" x14ac:dyDescent="0.25">
      <c r="A40" s="109"/>
      <c r="B40" s="24" t="s">
        <v>25</v>
      </c>
      <c r="C40" s="25" t="s">
        <v>72</v>
      </c>
      <c r="D40" s="25" t="s">
        <v>72</v>
      </c>
      <c r="E40" s="14" t="s">
        <v>42</v>
      </c>
      <c r="F40" s="26">
        <f>42794*0.4536</f>
        <v>19411.358400000001</v>
      </c>
      <c r="G40" s="27">
        <v>19378.36</v>
      </c>
      <c r="H40" s="27">
        <f>G40-F40</f>
        <v>-32.998400000000402</v>
      </c>
      <c r="I40" s="12" t="s">
        <v>2327</v>
      </c>
      <c r="J40" s="93" t="s">
        <v>44</v>
      </c>
      <c r="K40" s="17">
        <v>42501</v>
      </c>
      <c r="L40" s="17">
        <v>42502</v>
      </c>
      <c r="M40" s="25" t="s">
        <v>65</v>
      </c>
      <c r="N40" s="25" t="s">
        <v>2336</v>
      </c>
      <c r="O40" s="18"/>
      <c r="P40" s="28">
        <f>0.6879+0.105</f>
        <v>0.79289999999999994</v>
      </c>
      <c r="Q40" s="29">
        <v>18500</v>
      </c>
      <c r="R40" s="18">
        <v>8991</v>
      </c>
      <c r="S40" s="30">
        <v>17.779</v>
      </c>
      <c r="T40" s="163">
        <f>W40*F40*0.005</f>
        <v>3163.7430096025273</v>
      </c>
      <c r="V40" s="18">
        <v>0.1</v>
      </c>
      <c r="W40" s="18">
        <f t="shared" ref="W40" si="66">IF(O40&gt;0,O40,((P40*2.2046*S40)+(Q40+R40)/G40)+V40)</f>
        <v>32.596822380061013</v>
      </c>
      <c r="X40" s="18">
        <f t="shared" ref="X40" si="67">IF(O40&gt;0,O40,((P40*2.2046*S40)+(Q40+R40+T40)/G40)+V40)</f>
        <v>32.760084029117102</v>
      </c>
      <c r="Y40" s="21">
        <f t="shared" si="60"/>
        <v>635917.73230330809</v>
      </c>
      <c r="Z40" s="32">
        <v>42495</v>
      </c>
      <c r="AA40" s="37">
        <v>33</v>
      </c>
      <c r="AB40" s="37"/>
    </row>
    <row r="41" spans="1:28" s="12" customFormat="1" x14ac:dyDescent="0.25">
      <c r="A41" s="109"/>
      <c r="B41" s="24" t="s">
        <v>25</v>
      </c>
      <c r="C41" s="25" t="s">
        <v>72</v>
      </c>
      <c r="D41" s="25" t="s">
        <v>72</v>
      </c>
      <c r="E41" s="14" t="s">
        <v>42</v>
      </c>
      <c r="F41" s="26">
        <f>42624*0.4536</f>
        <v>19334.2464</v>
      </c>
      <c r="G41" s="27">
        <v>19189.29</v>
      </c>
      <c r="H41" s="27">
        <f>G41-F41</f>
        <v>-144.95639999999912</v>
      </c>
      <c r="I41" s="12" t="s">
        <v>2328</v>
      </c>
      <c r="J41" s="93" t="s">
        <v>44</v>
      </c>
      <c r="K41" s="17">
        <v>42501</v>
      </c>
      <c r="L41" s="17">
        <v>42502</v>
      </c>
      <c r="M41" s="25" t="s">
        <v>65</v>
      </c>
      <c r="N41" s="25" t="s">
        <v>2336</v>
      </c>
      <c r="O41" s="18"/>
      <c r="P41" s="28">
        <f>0.6879+0.105</f>
        <v>0.79289999999999994</v>
      </c>
      <c r="Q41" s="29">
        <v>18500</v>
      </c>
      <c r="R41" s="18">
        <v>8991</v>
      </c>
      <c r="S41" s="30">
        <v>17.779</v>
      </c>
      <c r="T41" s="163">
        <f t="shared" ref="T41" si="68">W41*F41*0.005</f>
        <v>3152.5262249775983</v>
      </c>
      <c r="V41" s="18">
        <v>0.1</v>
      </c>
      <c r="W41" s="18">
        <f>IF(O41&gt;0,O41,((P41*2.2046*S41)+(Q41+R41)/G41)+V41)</f>
        <v>32.610800129014578</v>
      </c>
      <c r="X41" s="18">
        <f>IF(O41&gt;0,O41,((P41*2.2046*S41)+(Q41+R41+T41)/G41)+V41)</f>
        <v>32.775085843857468</v>
      </c>
      <c r="Y41" s="21">
        <f>X41*F41</f>
        <v>633681.58548629226</v>
      </c>
      <c r="Z41" s="32">
        <v>42495</v>
      </c>
      <c r="AA41" s="37">
        <v>33</v>
      </c>
      <c r="AB41" s="37"/>
    </row>
    <row r="42" spans="1:28" s="12" customFormat="1" x14ac:dyDescent="0.25">
      <c r="A42" s="109"/>
      <c r="B42" s="24" t="s">
        <v>32</v>
      </c>
      <c r="C42" s="14" t="s">
        <v>33</v>
      </c>
      <c r="D42" s="25" t="s">
        <v>87</v>
      </c>
      <c r="E42" s="14">
        <v>247</v>
      </c>
      <c r="F42" s="26">
        <v>27850</v>
      </c>
      <c r="G42" s="27">
        <v>22390</v>
      </c>
      <c r="H42" s="27">
        <f t="shared" ref="H42:H45" si="69">G42-F42</f>
        <v>-5460</v>
      </c>
      <c r="I42" s="12" t="s">
        <v>2404</v>
      </c>
      <c r="J42" s="120">
        <v>250</v>
      </c>
      <c r="K42" s="17"/>
      <c r="L42" s="17">
        <v>42502</v>
      </c>
      <c r="M42" s="25" t="s">
        <v>65</v>
      </c>
      <c r="N42" s="14"/>
      <c r="O42" s="18">
        <v>25.5</v>
      </c>
      <c r="P42" s="19"/>
      <c r="Q42" s="29">
        <v>17300</v>
      </c>
      <c r="R42" s="18">
        <f t="shared" ref="R42:R43" si="70">59.25*E42</f>
        <v>14634.75</v>
      </c>
      <c r="S42" s="30">
        <f t="shared" ref="S42:S43" si="71">-35*E42</f>
        <v>-8645</v>
      </c>
      <c r="T42" s="163">
        <f t="shared" ref="T42:T43" si="72">W42*F42*0.0045</f>
        <v>4112.3825890464495</v>
      </c>
      <c r="U42" s="18">
        <f t="shared" ref="U42:U43" si="73">E42*5</f>
        <v>1235</v>
      </c>
      <c r="V42" s="14"/>
      <c r="W42" s="18">
        <f t="shared" ref="W42:W43" si="74">((O42*F42)+Q42+R42+S42+U42)/G42</f>
        <v>32.813744975435462</v>
      </c>
      <c r="X42" s="18">
        <f t="shared" ref="X42:X43" si="75">((O42*F42)+Q42+R42+S42+T42+U42)/G42</f>
        <v>32.997415479635841</v>
      </c>
      <c r="Y42" s="21">
        <f t="shared" ref="Y42:Y43" si="76">X42*G42</f>
        <v>738812.13258904649</v>
      </c>
      <c r="Z42" s="32">
        <v>42515</v>
      </c>
      <c r="AA42" s="37">
        <v>34.5</v>
      </c>
      <c r="AB42" s="37"/>
    </row>
    <row r="43" spans="1:28" s="12" customFormat="1" x14ac:dyDescent="0.25">
      <c r="A43" s="109"/>
      <c r="B43" s="24" t="s">
        <v>32</v>
      </c>
      <c r="C43" s="14" t="s">
        <v>33</v>
      </c>
      <c r="D43" s="25" t="s">
        <v>1510</v>
      </c>
      <c r="E43" s="14">
        <v>129</v>
      </c>
      <c r="F43" s="26">
        <v>16505</v>
      </c>
      <c r="G43" s="27">
        <v>13000</v>
      </c>
      <c r="H43" s="27">
        <f t="shared" si="69"/>
        <v>-3505</v>
      </c>
      <c r="I43" s="12" t="s">
        <v>2405</v>
      </c>
      <c r="J43" s="120">
        <v>126</v>
      </c>
      <c r="K43" s="17"/>
      <c r="L43" s="17">
        <v>42502</v>
      </c>
      <c r="M43" s="25" t="s">
        <v>65</v>
      </c>
      <c r="N43" s="14"/>
      <c r="O43" s="18">
        <v>25.5</v>
      </c>
      <c r="P43" s="19"/>
      <c r="Q43" s="29">
        <v>13600</v>
      </c>
      <c r="R43" s="18">
        <f t="shared" si="70"/>
        <v>7643.25</v>
      </c>
      <c r="S43" s="30">
        <f t="shared" si="71"/>
        <v>-4515</v>
      </c>
      <c r="T43" s="163">
        <f t="shared" si="72"/>
        <v>2503.844525336538</v>
      </c>
      <c r="U43" s="18">
        <f t="shared" si="73"/>
        <v>645</v>
      </c>
      <c r="V43" s="14"/>
      <c r="W43" s="18">
        <f t="shared" si="74"/>
        <v>33.711596153846152</v>
      </c>
      <c r="X43" s="18">
        <f t="shared" si="75"/>
        <v>33.904199578872039</v>
      </c>
      <c r="Y43" s="21">
        <f t="shared" si="76"/>
        <v>440754.59452533652</v>
      </c>
      <c r="Z43" s="32">
        <v>42515</v>
      </c>
      <c r="AA43" s="37">
        <v>34.5</v>
      </c>
      <c r="AB43" s="37" t="s">
        <v>2438</v>
      </c>
    </row>
    <row r="44" spans="1:28" s="12" customFormat="1" x14ac:dyDescent="0.25">
      <c r="A44" s="109"/>
      <c r="B44" s="24" t="s">
        <v>25</v>
      </c>
      <c r="C44" s="25" t="s">
        <v>72</v>
      </c>
      <c r="D44" s="25" t="s">
        <v>72</v>
      </c>
      <c r="E44" s="14" t="s">
        <v>42</v>
      </c>
      <c r="F44" s="26">
        <f>42764*0.4536</f>
        <v>19397.750400000001</v>
      </c>
      <c r="G44" s="27">
        <v>19542.03</v>
      </c>
      <c r="H44" s="27">
        <f t="shared" si="69"/>
        <v>144.27959999999803</v>
      </c>
      <c r="I44" s="12" t="s">
        <v>2329</v>
      </c>
      <c r="J44" s="93" t="s">
        <v>74</v>
      </c>
      <c r="K44" s="17">
        <v>42502</v>
      </c>
      <c r="L44" s="17">
        <v>42503</v>
      </c>
      <c r="M44" s="25" t="s">
        <v>84</v>
      </c>
      <c r="N44" s="25" t="s">
        <v>2337</v>
      </c>
      <c r="O44" s="18"/>
      <c r="P44" s="28">
        <f>0.6791+0.105</f>
        <v>0.78410000000000002</v>
      </c>
      <c r="Q44" s="29">
        <v>18500</v>
      </c>
      <c r="R44" s="18">
        <v>8991</v>
      </c>
      <c r="S44" s="30">
        <v>17.888999999999999</v>
      </c>
      <c r="T44" s="163">
        <f t="shared" ref="T44:T45" si="77">W44*F44*0.005</f>
        <v>3145.3615850494657</v>
      </c>
      <c r="V44" s="18">
        <v>0.1</v>
      </c>
      <c r="W44" s="18">
        <f>IF(O44&gt;0,O44,((P44*2.2046*S44)+(Q44+R44)/G44)+V44)</f>
        <v>32.430168655530956</v>
      </c>
      <c r="X44" s="18">
        <f>IF(O44&gt;0,O44,((P44*2.2046*S44)+(Q44+R44+T44)/G44)+V44)</f>
        <v>32.591122332556807</v>
      </c>
      <c r="Y44" s="21">
        <f t="shared" ref="Y44:Y52" si="78">X44*F44</f>
        <v>632194.45626280282</v>
      </c>
      <c r="Z44" s="32">
        <v>42496</v>
      </c>
      <c r="AA44" s="2"/>
      <c r="AB44" s="2"/>
    </row>
    <row r="45" spans="1:28" s="12" customFormat="1" x14ac:dyDescent="0.25">
      <c r="A45" s="109"/>
      <c r="B45" s="24" t="s">
        <v>25</v>
      </c>
      <c r="C45" s="25" t="s">
        <v>72</v>
      </c>
      <c r="D45" s="25" t="s">
        <v>72</v>
      </c>
      <c r="E45" s="14" t="s">
        <v>42</v>
      </c>
      <c r="F45" s="26">
        <f>42578*0.4536</f>
        <v>19313.380799999999</v>
      </c>
      <c r="G45" s="27">
        <v>19255</v>
      </c>
      <c r="H45" s="27">
        <f t="shared" si="69"/>
        <v>-58.380799999998999</v>
      </c>
      <c r="I45" s="12" t="s">
        <v>2330</v>
      </c>
      <c r="J45" s="93" t="s">
        <v>49</v>
      </c>
      <c r="K45" s="17">
        <v>42502</v>
      </c>
      <c r="L45" s="17">
        <v>42503</v>
      </c>
      <c r="M45" s="25" t="s">
        <v>84</v>
      </c>
      <c r="N45" s="25" t="s">
        <v>2337</v>
      </c>
      <c r="O45" s="18"/>
      <c r="P45" s="28">
        <f>0.6791+0.105</f>
        <v>0.78410000000000002</v>
      </c>
      <c r="Q45" s="29">
        <v>18500</v>
      </c>
      <c r="R45" s="18">
        <v>8991</v>
      </c>
      <c r="S45" s="30">
        <v>17.888999999999999</v>
      </c>
      <c r="T45" s="163">
        <f t="shared" si="77"/>
        <v>3133.7060201474269</v>
      </c>
      <c r="V45" s="18">
        <v>0.1</v>
      </c>
      <c r="W45" s="18">
        <f>IF(O45&gt;0,O45,((P45*2.2046*S45)+(Q45+R45)/G45)+V45)</f>
        <v>32.451138954889004</v>
      </c>
      <c r="X45" s="18">
        <f>IF(O45&gt;0,O45,((P45*2.2046*S45)+(Q45+R45+T45)/G45)+V45)</f>
        <v>32.613886605896397</v>
      </c>
      <c r="Y45" s="21">
        <f t="shared" si="78"/>
        <v>629884.41138769663</v>
      </c>
      <c r="Z45" s="32">
        <v>42496</v>
      </c>
      <c r="AA45" s="2"/>
      <c r="AB45" s="2"/>
    </row>
    <row r="46" spans="1:28" s="12" customFormat="1" x14ac:dyDescent="0.25">
      <c r="A46" s="109"/>
      <c r="B46" s="24" t="s">
        <v>25</v>
      </c>
      <c r="C46" s="25" t="s">
        <v>40</v>
      </c>
      <c r="D46" s="25" t="s">
        <v>40</v>
      </c>
      <c r="E46" s="14" t="s">
        <v>831</v>
      </c>
      <c r="F46" s="26">
        <f>39590*0.4536</f>
        <v>17958.024000000001</v>
      </c>
      <c r="G46" s="27">
        <v>18071.02</v>
      </c>
      <c r="H46" s="27">
        <f>G46-F46</f>
        <v>112.99599999999919</v>
      </c>
      <c r="I46" s="12" t="s">
        <v>2331</v>
      </c>
      <c r="J46" s="93" t="s">
        <v>74</v>
      </c>
      <c r="K46" s="17">
        <v>42502</v>
      </c>
      <c r="L46" s="17">
        <v>42503</v>
      </c>
      <c r="M46" s="25" t="s">
        <v>84</v>
      </c>
      <c r="N46" s="25" t="s">
        <v>2338</v>
      </c>
      <c r="O46" s="18"/>
      <c r="P46" s="28">
        <f>0.6879+0.1</f>
        <v>0.78789999999999993</v>
      </c>
      <c r="Q46" s="29">
        <v>18500</v>
      </c>
      <c r="R46" s="18">
        <v>8991</v>
      </c>
      <c r="S46" s="30">
        <v>18.481000000000002</v>
      </c>
      <c r="T46" s="163">
        <f>W46*F46*0.005</f>
        <v>3027.9789914218545</v>
      </c>
      <c r="V46" s="18">
        <v>0.1</v>
      </c>
      <c r="W46" s="18">
        <f t="shared" ref="W46" si="79">IF(O46&gt;0,O46,((P46*2.2046*S46)+(Q46+R46)/G46)+V46)</f>
        <v>33.722852708314171</v>
      </c>
      <c r="X46" s="18">
        <f t="shared" ref="X46" si="80">IF(O46&gt;0,O46,((P46*2.2046*S46)+(Q46+R46+T46)/G46)+V46)</f>
        <v>33.890412646348764</v>
      </c>
      <c r="Y46" s="21">
        <f t="shared" si="78"/>
        <v>608604.84367303469</v>
      </c>
      <c r="Z46" s="32">
        <v>42514</v>
      </c>
      <c r="AA46" s="37"/>
      <c r="AB46" s="37"/>
    </row>
    <row r="47" spans="1:28" s="12" customFormat="1" x14ac:dyDescent="0.25">
      <c r="A47" s="109"/>
      <c r="B47" s="24" t="s">
        <v>32</v>
      </c>
      <c r="C47" s="14" t="s">
        <v>33</v>
      </c>
      <c r="D47" s="25" t="s">
        <v>34</v>
      </c>
      <c r="E47" s="14">
        <v>250</v>
      </c>
      <c r="F47" s="26">
        <v>29230</v>
      </c>
      <c r="G47" s="27">
        <f>23740</f>
        <v>23740</v>
      </c>
      <c r="H47" s="27">
        <f t="shared" ref="H47:H52" si="81">G47-F47</f>
        <v>-5490</v>
      </c>
      <c r="I47" s="12" t="s">
        <v>2434</v>
      </c>
      <c r="J47" s="14"/>
      <c r="K47" s="17"/>
      <c r="L47" s="17">
        <v>42503</v>
      </c>
      <c r="M47" s="25" t="s">
        <v>84</v>
      </c>
      <c r="N47" s="14"/>
      <c r="O47" s="18">
        <v>25.5</v>
      </c>
      <c r="P47" s="19"/>
      <c r="Q47" s="29">
        <v>17300</v>
      </c>
      <c r="R47" s="18">
        <f>59.25*E47</f>
        <v>14812.5</v>
      </c>
      <c r="S47" s="30">
        <f>-35*E47</f>
        <v>-8750</v>
      </c>
      <c r="T47" s="163">
        <f>W47*F47*0.0045</f>
        <v>4266.1748299283909</v>
      </c>
      <c r="U47" s="18">
        <f>E47*5</f>
        <v>1250</v>
      </c>
      <c r="V47" s="14"/>
      <c r="W47" s="18">
        <f>((O47*F47)+Q47+R47+S47+U47)/G47</f>
        <v>32.433761583824769</v>
      </c>
      <c r="X47" s="18">
        <f>((O47*F47)+Q47+R47+S47+T47+U47)/G47</f>
        <v>32.613465662591764</v>
      </c>
      <c r="Y47" s="21">
        <f t="shared" ref="Y47:Y48" si="82">X47*G47</f>
        <v>774243.67482992844</v>
      </c>
      <c r="Z47" s="32">
        <v>42516</v>
      </c>
      <c r="AA47" s="2">
        <v>34.5</v>
      </c>
      <c r="AB47" s="2"/>
    </row>
    <row r="48" spans="1:28" s="12" customFormat="1" x14ac:dyDescent="0.25">
      <c r="A48" s="109"/>
      <c r="B48" s="24" t="s">
        <v>32</v>
      </c>
      <c r="C48" s="14" t="s">
        <v>33</v>
      </c>
      <c r="D48" s="25" t="s">
        <v>2435</v>
      </c>
      <c r="E48" s="14">
        <f>129+120</f>
        <v>249</v>
      </c>
      <c r="F48" s="26">
        <f>16190+14620</f>
        <v>30810</v>
      </c>
      <c r="G48" s="27">
        <f>24350</f>
        <v>24350</v>
      </c>
      <c r="H48" s="27">
        <f t="shared" si="81"/>
        <v>-6460</v>
      </c>
      <c r="I48" s="25" t="s">
        <v>2436</v>
      </c>
      <c r="J48" s="14"/>
      <c r="K48" s="17"/>
      <c r="L48" s="17">
        <v>42503</v>
      </c>
      <c r="M48" s="25" t="s">
        <v>84</v>
      </c>
      <c r="N48" s="14"/>
      <c r="O48" s="18">
        <v>25.5</v>
      </c>
      <c r="P48" s="19"/>
      <c r="Q48" s="29">
        <v>17300</v>
      </c>
      <c r="R48" s="18">
        <f>59.25*E48</f>
        <v>14753.25</v>
      </c>
      <c r="S48" s="30">
        <f>-35*E48</f>
        <v>-8715</v>
      </c>
      <c r="T48" s="163">
        <f>W48*F48*0.0045</f>
        <v>4613.3668242813137</v>
      </c>
      <c r="U48" s="18">
        <f>E48*5</f>
        <v>1245</v>
      </c>
      <c r="V48" s="14"/>
      <c r="W48" s="18">
        <f>((O48*F48)+Q48+R48+S48+U48)/G48</f>
        <v>33.274671457905541</v>
      </c>
      <c r="X48" s="18">
        <f>((O48*F48)+Q48+R48+S48+T48+U48)/G48</f>
        <v>33.464132107773359</v>
      </c>
      <c r="Y48" s="21">
        <f t="shared" si="82"/>
        <v>814851.61682428129</v>
      </c>
      <c r="Z48" s="32">
        <v>42546</v>
      </c>
      <c r="AA48" s="2">
        <v>34.5</v>
      </c>
      <c r="AB48" s="2" t="s">
        <v>2439</v>
      </c>
    </row>
    <row r="49" spans="1:28" s="12" customFormat="1" x14ac:dyDescent="0.25">
      <c r="A49" s="109"/>
      <c r="B49" s="24" t="s">
        <v>25</v>
      </c>
      <c r="C49" s="25" t="s">
        <v>26</v>
      </c>
      <c r="D49" s="25" t="s">
        <v>26</v>
      </c>
      <c r="E49" s="14" t="s">
        <v>27</v>
      </c>
      <c r="F49" s="26">
        <f>42372*0.4536</f>
        <v>19219.939200000001</v>
      </c>
      <c r="G49" s="27">
        <v>19460.13</v>
      </c>
      <c r="H49" s="27">
        <f t="shared" si="81"/>
        <v>240.19080000000031</v>
      </c>
      <c r="I49" s="12" t="s">
        <v>2332</v>
      </c>
      <c r="J49" s="93" t="s">
        <v>29</v>
      </c>
      <c r="K49" s="17">
        <v>42502</v>
      </c>
      <c r="L49" s="17">
        <v>42503</v>
      </c>
      <c r="M49" s="25" t="s">
        <v>84</v>
      </c>
      <c r="N49" s="25" t="s">
        <v>2339</v>
      </c>
      <c r="O49" s="18"/>
      <c r="P49" s="28">
        <f>0.6791+0.1075</f>
        <v>0.78660000000000008</v>
      </c>
      <c r="Q49" s="29">
        <v>18500</v>
      </c>
      <c r="R49" s="18">
        <v>8991</v>
      </c>
      <c r="S49" s="30">
        <v>17.888999999999999</v>
      </c>
      <c r="T49" s="163">
        <f t="shared" ref="T49:T52" si="83">W49*F49*0.005</f>
        <v>3126.5732791209875</v>
      </c>
      <c r="V49" s="18">
        <v>0.1</v>
      </c>
      <c r="W49" s="18">
        <f>IF(O49&gt;0,O49,((P49*2.2046*S49)+(Q49+R49)/G49)+V49)</f>
        <v>32.534684387773581</v>
      </c>
      <c r="X49" s="18">
        <f>IF(O49&gt;0,O49,((P49*2.2046*S49)+(Q49+R49+T49)/G49)+V49)</f>
        <v>32.695349978348823</v>
      </c>
      <c r="Y49" s="21">
        <f t="shared" si="78"/>
        <v>628402.63870658574</v>
      </c>
      <c r="Z49" s="32">
        <v>42496</v>
      </c>
      <c r="AA49" s="2"/>
    </row>
    <row r="50" spans="1:28" s="12" customFormat="1" x14ac:dyDescent="0.25">
      <c r="A50" s="109"/>
      <c r="B50" s="24" t="s">
        <v>2077</v>
      </c>
      <c r="C50" s="25" t="s">
        <v>72</v>
      </c>
      <c r="D50" s="25" t="s">
        <v>57</v>
      </c>
      <c r="E50" s="14" t="s">
        <v>67</v>
      </c>
      <c r="F50" s="26">
        <v>3670.1</v>
      </c>
      <c r="G50" s="27">
        <v>3670.1</v>
      </c>
      <c r="H50" s="27">
        <f t="shared" si="81"/>
        <v>0</v>
      </c>
      <c r="I50" s="94" t="s">
        <v>2559</v>
      </c>
      <c r="J50" s="14"/>
      <c r="K50" s="17"/>
      <c r="L50" s="17">
        <v>42504</v>
      </c>
      <c r="M50" s="25" t="s">
        <v>30</v>
      </c>
      <c r="N50" s="25"/>
      <c r="O50" s="18">
        <v>15.8</v>
      </c>
      <c r="P50" s="28"/>
      <c r="Q50" s="18"/>
      <c r="R50" s="18"/>
      <c r="S50" s="30"/>
      <c r="T50" s="31"/>
      <c r="V50" s="18"/>
      <c r="W50" s="18">
        <f t="shared" ref="W50:W51" si="84">IF(O50&gt;0,O50,((P50*2.2046*S50)+(Q50+R50)/G50)+V50)</f>
        <v>15.8</v>
      </c>
      <c r="X50" s="18">
        <f t="shared" ref="X50:X51" si="85">IF(O50&gt;0,O50,((P50*2.2046*S50)+(Q50+R50+T50)/G50)+V50)</f>
        <v>15.8</v>
      </c>
      <c r="Y50" s="21">
        <f t="shared" ref="Y50:Y51" si="86">X50*F50</f>
        <v>57987.58</v>
      </c>
      <c r="Z50" s="32">
        <v>42510</v>
      </c>
      <c r="AA50" s="2"/>
    </row>
    <row r="51" spans="1:28" s="12" customFormat="1" x14ac:dyDescent="0.25">
      <c r="A51" s="109"/>
      <c r="B51" s="24" t="s">
        <v>2473</v>
      </c>
      <c r="C51" s="25" t="s">
        <v>2474</v>
      </c>
      <c r="D51" s="25" t="s">
        <v>2475</v>
      </c>
      <c r="E51" s="14" t="s">
        <v>2521</v>
      </c>
      <c r="F51" s="26">
        <v>15003.6</v>
      </c>
      <c r="G51" s="27">
        <v>15003.6</v>
      </c>
      <c r="H51" s="27">
        <f t="shared" si="81"/>
        <v>0</v>
      </c>
      <c r="I51" s="12" t="s">
        <v>2476</v>
      </c>
      <c r="J51" s="14"/>
      <c r="K51" s="17"/>
      <c r="L51" s="17">
        <v>42504</v>
      </c>
      <c r="M51" s="25" t="s">
        <v>30</v>
      </c>
      <c r="N51" s="25"/>
      <c r="O51" s="18">
        <v>85.5</v>
      </c>
      <c r="P51" s="28"/>
      <c r="Q51" s="18"/>
      <c r="R51" s="18"/>
      <c r="S51" s="30"/>
      <c r="T51" s="31"/>
      <c r="V51" s="18"/>
      <c r="W51" s="18">
        <f t="shared" si="84"/>
        <v>85.5</v>
      </c>
      <c r="X51" s="18">
        <f t="shared" si="85"/>
        <v>85.5</v>
      </c>
      <c r="Y51" s="21">
        <f t="shared" si="86"/>
        <v>1282807.8</v>
      </c>
      <c r="Z51" s="32">
        <v>42524</v>
      </c>
      <c r="AA51" s="2"/>
    </row>
    <row r="52" spans="1:28" s="12" customFormat="1" x14ac:dyDescent="0.25">
      <c r="A52" s="109"/>
      <c r="B52" s="24" t="s">
        <v>25</v>
      </c>
      <c r="C52" s="25" t="s">
        <v>72</v>
      </c>
      <c r="D52" s="25" t="s">
        <v>72</v>
      </c>
      <c r="E52" s="14" t="s">
        <v>42</v>
      </c>
      <c r="F52" s="26">
        <f>42596*0.4536</f>
        <v>19321.545600000001</v>
      </c>
      <c r="G52" s="27">
        <v>19210</v>
      </c>
      <c r="H52" s="27">
        <f t="shared" si="81"/>
        <v>-111.54560000000129</v>
      </c>
      <c r="I52" s="39" t="s">
        <v>2525</v>
      </c>
      <c r="J52" s="93" t="s">
        <v>44</v>
      </c>
      <c r="K52" s="17">
        <v>42503</v>
      </c>
      <c r="L52" s="17">
        <v>42505</v>
      </c>
      <c r="M52" s="25" t="s">
        <v>36</v>
      </c>
      <c r="N52" s="25" t="s">
        <v>2340</v>
      </c>
      <c r="O52" s="18"/>
      <c r="P52" s="28">
        <f>0.6706+0.105</f>
        <v>0.77559999999999996</v>
      </c>
      <c r="Q52" s="29">
        <v>18500</v>
      </c>
      <c r="R52" s="18">
        <v>9004</v>
      </c>
      <c r="S52" s="30">
        <v>18.07</v>
      </c>
      <c r="T52" s="163">
        <f t="shared" si="83"/>
        <v>3132.9331775882101</v>
      </c>
      <c r="V52" s="18">
        <v>0.1</v>
      </c>
      <c r="W52" s="18">
        <f>IF(O52&gt;0,O52,((P52*2.2046*S52)+(Q52+R52)/G52)+V52)</f>
        <v>32.429426117838211</v>
      </c>
      <c r="X52" s="18">
        <f>IF(O52&gt;0,O52,((P52*2.2046*S52)+(Q52+R52+T52)/G52)+V52)</f>
        <v>32.592514778826661</v>
      </c>
      <c r="Y52" s="21">
        <f t="shared" si="78"/>
        <v>629737.76051777333</v>
      </c>
      <c r="Z52" s="32">
        <v>42499</v>
      </c>
      <c r="AA52" s="2"/>
      <c r="AB52" s="2" t="s">
        <v>2558</v>
      </c>
    </row>
    <row r="53" spans="1:28" s="12" customFormat="1" ht="15.75" thickBot="1" x14ac:dyDescent="0.3">
      <c r="A53" s="109"/>
      <c r="B53" s="41"/>
      <c r="C53" s="4"/>
      <c r="D53" s="4"/>
      <c r="E53" s="4"/>
      <c r="F53" s="42"/>
      <c r="G53" s="42"/>
      <c r="H53" s="42"/>
      <c r="I53" s="6"/>
      <c r="J53" s="4"/>
      <c r="K53" s="7"/>
      <c r="L53" s="7"/>
      <c r="M53" s="4"/>
      <c r="N53" s="4"/>
      <c r="O53" s="8"/>
      <c r="P53" s="9"/>
      <c r="Q53" s="8"/>
      <c r="R53" s="8"/>
      <c r="S53" s="8"/>
      <c r="T53" s="8"/>
      <c r="U53" s="8"/>
      <c r="V53" s="8"/>
      <c r="W53" s="8"/>
      <c r="X53" s="8"/>
      <c r="Y53" s="11"/>
      <c r="Z53" s="43"/>
      <c r="AA53" s="2"/>
      <c r="AB53" s="2"/>
    </row>
    <row r="54" spans="1:28" s="12" customFormat="1" x14ac:dyDescent="0.25">
      <c r="A54" s="139"/>
      <c r="B54" s="14" t="s">
        <v>32</v>
      </c>
      <c r="C54" s="14" t="s">
        <v>33</v>
      </c>
      <c r="D54" s="25" t="s">
        <v>2522</v>
      </c>
      <c r="E54" s="14">
        <v>200</v>
      </c>
      <c r="F54" s="26">
        <v>25495</v>
      </c>
      <c r="G54" s="27">
        <v>20470</v>
      </c>
      <c r="H54" s="27">
        <f t="shared" ref="H54:H57" si="87">G54-F54</f>
        <v>-5025</v>
      </c>
      <c r="I54" s="25" t="s">
        <v>2524</v>
      </c>
      <c r="J54" s="120">
        <v>201</v>
      </c>
      <c r="K54" s="17"/>
      <c r="L54" s="17">
        <v>42505</v>
      </c>
      <c r="M54" s="25" t="s">
        <v>36</v>
      </c>
      <c r="N54" s="14"/>
      <c r="O54" s="18">
        <v>26</v>
      </c>
      <c r="P54" s="19"/>
      <c r="Q54" s="29">
        <v>17300</v>
      </c>
      <c r="R54" s="18">
        <f>61.75*E54</f>
        <v>12350</v>
      </c>
      <c r="S54" s="30">
        <f>-35*E54</f>
        <v>-7000</v>
      </c>
      <c r="T54" s="163">
        <f>W54*F54*0.0045</f>
        <v>3847.7148656570585</v>
      </c>
      <c r="U54" s="18">
        <f>E54*5</f>
        <v>1000</v>
      </c>
      <c r="V54" s="14"/>
      <c r="W54" s="18">
        <f>((O54*F54)+Q54+R54+S54+U54)/G54</f>
        <v>33.537860283341473</v>
      </c>
      <c r="X54" s="18">
        <f>((O54*F54)+Q54+R54+S54+T54+U54)/G54</f>
        <v>33.725828767252423</v>
      </c>
      <c r="Y54" s="21">
        <f>X54*G54</f>
        <v>690367.71486565715</v>
      </c>
      <c r="Z54" s="32">
        <v>42520</v>
      </c>
      <c r="AA54" s="2">
        <v>34.5</v>
      </c>
      <c r="AB54" s="2"/>
    </row>
    <row r="55" spans="1:28" s="12" customFormat="1" x14ac:dyDescent="0.25">
      <c r="A55" s="139"/>
      <c r="B55" s="24" t="s">
        <v>32</v>
      </c>
      <c r="C55" s="14" t="s">
        <v>2467</v>
      </c>
      <c r="D55" s="25" t="s">
        <v>1102</v>
      </c>
      <c r="E55" s="14">
        <v>129</v>
      </c>
      <c r="F55" s="26">
        <v>14265</v>
      </c>
      <c r="G55" s="27">
        <v>11460</v>
      </c>
      <c r="H55" s="27">
        <f t="shared" ref="H55" si="88">G55-F55</f>
        <v>-2805</v>
      </c>
      <c r="I55" s="25" t="s">
        <v>2523</v>
      </c>
      <c r="J55" s="120">
        <v>128</v>
      </c>
      <c r="K55" s="17"/>
      <c r="L55" s="17">
        <v>42505</v>
      </c>
      <c r="M55" s="25" t="s">
        <v>36</v>
      </c>
      <c r="N55" s="14"/>
      <c r="O55" s="18">
        <v>26</v>
      </c>
      <c r="P55" s="19"/>
      <c r="Q55" s="29">
        <v>13600</v>
      </c>
      <c r="R55" s="18">
        <f t="shared" ref="R55:R56" si="89">61.75*E55</f>
        <v>7965.75</v>
      </c>
      <c r="S55" s="30">
        <f t="shared" ref="S55" si="90">-35*E55</f>
        <v>-4515</v>
      </c>
      <c r="T55" s="163">
        <f>W55*F55*0.0045</f>
        <v>2176.6396821007852</v>
      </c>
      <c r="U55" s="18">
        <f>E55*5</f>
        <v>645</v>
      </c>
      <c r="V55" s="14"/>
      <c r="W55" s="18">
        <f>((O55*F55)+Q55+R55+S55+U55)/G55</f>
        <v>33.908006108202443</v>
      </c>
      <c r="X55" s="18">
        <f>((O55*F55)+Q55+R55+S55+T55+U55)/G55</f>
        <v>34.09793976283602</v>
      </c>
      <c r="Y55" s="21">
        <f>X55*G55</f>
        <v>390762.38968210079</v>
      </c>
      <c r="Z55" s="32">
        <v>42520</v>
      </c>
      <c r="AA55" s="2">
        <v>34.5</v>
      </c>
      <c r="AB55" s="2" t="s">
        <v>2526</v>
      </c>
    </row>
    <row r="56" spans="1:28" s="12" customFormat="1" x14ac:dyDescent="0.25">
      <c r="A56" s="139"/>
      <c r="B56" s="24" t="s">
        <v>32</v>
      </c>
      <c r="C56" s="14" t="s">
        <v>33</v>
      </c>
      <c r="D56" s="25" t="s">
        <v>2522</v>
      </c>
      <c r="E56" s="14">
        <v>250</v>
      </c>
      <c r="F56" s="26">
        <v>29175</v>
      </c>
      <c r="G56" s="27">
        <f>16590+6770</f>
        <v>23360</v>
      </c>
      <c r="H56" s="27">
        <f t="shared" si="87"/>
        <v>-5815</v>
      </c>
      <c r="I56" s="25" t="s">
        <v>2557</v>
      </c>
      <c r="J56" s="95">
        <v>249</v>
      </c>
      <c r="K56" s="17"/>
      <c r="L56" s="17">
        <v>42506</v>
      </c>
      <c r="M56" s="25" t="s">
        <v>39</v>
      </c>
      <c r="N56" s="14"/>
      <c r="O56" s="18">
        <v>26</v>
      </c>
      <c r="P56" s="19"/>
      <c r="Q56" s="29">
        <v>17300</v>
      </c>
      <c r="R56" s="18">
        <f t="shared" si="89"/>
        <v>15437.5</v>
      </c>
      <c r="S56" s="30">
        <f t="shared" ref="S56" si="91">-35*E56</f>
        <v>-8750</v>
      </c>
      <c r="T56" s="163">
        <f>W56*F56*0.0045</f>
        <v>4405.0300259524829</v>
      </c>
      <c r="U56" s="18">
        <f>E56*5</f>
        <v>1250</v>
      </c>
      <c r="V56" s="14"/>
      <c r="W56" s="18">
        <f>((O56*F56)+Q56+R56+S56+U56)/G56</f>
        <v>33.552547089041099</v>
      </c>
      <c r="X56" s="18">
        <f>((O56*F56)+Q56+R56+S56+T56+U56)/G56</f>
        <v>33.741118579878105</v>
      </c>
      <c r="Y56" s="21">
        <f>X56*G56</f>
        <v>788192.5300259525</v>
      </c>
      <c r="Z56" s="32">
        <v>42520</v>
      </c>
      <c r="AA56" s="2">
        <v>34.5</v>
      </c>
      <c r="AB56" s="2" t="s">
        <v>2560</v>
      </c>
    </row>
    <row r="57" spans="1:28" s="12" customFormat="1" x14ac:dyDescent="0.25">
      <c r="A57" s="139"/>
      <c r="B57" s="24" t="s">
        <v>2473</v>
      </c>
      <c r="C57" s="25" t="s">
        <v>2474</v>
      </c>
      <c r="D57" s="25" t="s">
        <v>2475</v>
      </c>
      <c r="E57" s="14" t="s">
        <v>2653</v>
      </c>
      <c r="F57" s="26">
        <v>5244.58</v>
      </c>
      <c r="G57" s="27">
        <v>5244.58</v>
      </c>
      <c r="H57" s="27">
        <f t="shared" si="87"/>
        <v>0</v>
      </c>
      <c r="I57" s="25" t="s">
        <v>2654</v>
      </c>
      <c r="J57" s="14"/>
      <c r="K57" s="17"/>
      <c r="L57" s="17">
        <v>42506</v>
      </c>
      <c r="M57" s="25" t="s">
        <v>39</v>
      </c>
      <c r="N57" s="14"/>
      <c r="O57" s="18">
        <v>85.5</v>
      </c>
      <c r="P57" s="19"/>
      <c r="Q57" s="18"/>
      <c r="R57" s="18"/>
      <c r="S57" s="30"/>
      <c r="T57" s="31"/>
      <c r="U57" s="18"/>
      <c r="V57" s="18"/>
      <c r="W57" s="18">
        <f t="shared" ref="W57" si="92">IF(O57&gt;0,O57,((P57*2.2046*S57)+(Q57+R57)/G57)+V57)</f>
        <v>85.5</v>
      </c>
      <c r="X57" s="18">
        <f t="shared" ref="X57" si="93">IF(O57&gt;0,O57,((P57*2.2046*S57)+(Q57+R57+T57)/G57)+V57)</f>
        <v>85.5</v>
      </c>
      <c r="Y57" s="21">
        <f>X57*F57</f>
        <v>448411.58999999997</v>
      </c>
      <c r="Z57" s="32">
        <v>42527</v>
      </c>
      <c r="AA57" s="2"/>
      <c r="AB57" s="2"/>
    </row>
    <row r="58" spans="1:28" s="12" customFormat="1" x14ac:dyDescent="0.25">
      <c r="A58" s="139"/>
      <c r="B58" s="24" t="s">
        <v>25</v>
      </c>
      <c r="C58" s="25" t="s">
        <v>40</v>
      </c>
      <c r="D58" s="25" t="s">
        <v>40</v>
      </c>
      <c r="E58" s="14" t="s">
        <v>831</v>
      </c>
      <c r="F58" s="26">
        <f>40952*0.4536</f>
        <v>18575.8272</v>
      </c>
      <c r="G58" s="27">
        <v>18630.48</v>
      </c>
      <c r="H58" s="27">
        <f>G58-F58</f>
        <v>54.652799999999843</v>
      </c>
      <c r="I58" s="12" t="s">
        <v>2454</v>
      </c>
      <c r="J58" s="93" t="s">
        <v>44</v>
      </c>
      <c r="K58" s="17">
        <v>42506</v>
      </c>
      <c r="L58" s="17">
        <v>42507</v>
      </c>
      <c r="M58" s="25" t="s">
        <v>45</v>
      </c>
      <c r="N58" s="25" t="s">
        <v>2464</v>
      </c>
      <c r="O58" s="18"/>
      <c r="P58" s="28">
        <f>0.6433+0.1</f>
        <v>0.74329999999999996</v>
      </c>
      <c r="Q58" s="29">
        <v>18500</v>
      </c>
      <c r="R58" s="18">
        <v>9004</v>
      </c>
      <c r="S58" s="30">
        <v>18.510000000000002</v>
      </c>
      <c r="T58" s="163">
        <f>W58*F58*0.005</f>
        <v>2963.6099563886969</v>
      </c>
      <c r="V58" s="18">
        <v>0.1</v>
      </c>
      <c r="W58" s="18">
        <f t="shared" ref="W58:W59" si="94">IF(O58&gt;0,O58,((P58*2.2046*S58)+(Q58+R58)/G58)+V58)</f>
        <v>31.908242087746132</v>
      </c>
      <c r="X58" s="18">
        <f t="shared" ref="X58:X59" si="95">IF(O58&gt;0,O58,((P58*2.2046*S58)+(Q58+R58+T58)/G58)+V58)</f>
        <v>32.067315281587014</v>
      </c>
      <c r="Y58" s="21">
        <f>X58*F58</f>
        <v>595676.90743867971</v>
      </c>
      <c r="Z58" s="32">
        <v>42517</v>
      </c>
      <c r="AA58" s="37">
        <v>32</v>
      </c>
      <c r="AB58" s="37"/>
    </row>
    <row r="59" spans="1:28" s="12" customFormat="1" x14ac:dyDescent="0.25">
      <c r="A59" s="139"/>
      <c r="B59" s="24" t="s">
        <v>25</v>
      </c>
      <c r="C59" s="25" t="s">
        <v>26</v>
      </c>
      <c r="D59" s="25" t="s">
        <v>26</v>
      </c>
      <c r="E59" s="14" t="s">
        <v>27</v>
      </c>
      <c r="F59" s="26">
        <f>41240*0.4536</f>
        <v>18706.464</v>
      </c>
      <c r="G59" s="27">
        <v>18670.13</v>
      </c>
      <c r="H59" s="27">
        <f t="shared" ref="H59:H60" si="96">G59-F59</f>
        <v>-36.333999999998923</v>
      </c>
      <c r="I59" s="12" t="s">
        <v>2456</v>
      </c>
      <c r="J59" s="93" t="s">
        <v>74</v>
      </c>
      <c r="K59" s="17">
        <v>42506</v>
      </c>
      <c r="L59" s="17">
        <v>42508</v>
      </c>
      <c r="M59" s="25" t="s">
        <v>50</v>
      </c>
      <c r="N59" s="25" t="s">
        <v>2465</v>
      </c>
      <c r="O59" s="18"/>
      <c r="P59" s="28">
        <f>0.6803+0.1075</f>
        <v>0.78780000000000006</v>
      </c>
      <c r="Q59" s="29">
        <v>18500</v>
      </c>
      <c r="R59" s="18">
        <v>9004</v>
      </c>
      <c r="S59" s="30">
        <v>17.96</v>
      </c>
      <c r="T59" s="163">
        <f t="shared" ref="T59" si="97">W59*F59*0.005</f>
        <v>3064.660704518627</v>
      </c>
      <c r="V59" s="18">
        <v>0.1</v>
      </c>
      <c r="W59" s="18">
        <f t="shared" si="94"/>
        <v>32.765793733317288</v>
      </c>
      <c r="X59" s="18">
        <f t="shared" si="95"/>
        <v>32.929941530066351</v>
      </c>
      <c r="Y59" s="21">
        <f t="shared" ref="Y59:Y64" si="98">X59*F59</f>
        <v>616002.76575429109</v>
      </c>
      <c r="Z59" s="32">
        <v>42501</v>
      </c>
      <c r="AA59" s="37">
        <v>32</v>
      </c>
      <c r="AB59" s="37"/>
    </row>
    <row r="60" spans="1:28" s="12" customFormat="1" x14ac:dyDescent="0.25">
      <c r="A60" s="139"/>
      <c r="B60" s="24" t="s">
        <v>2372</v>
      </c>
      <c r="C60" s="25" t="s">
        <v>2373</v>
      </c>
      <c r="D60" s="25" t="s">
        <v>2374</v>
      </c>
      <c r="E60" s="14" t="s">
        <v>2649</v>
      </c>
      <c r="F60" s="26">
        <f>39975*0.4536</f>
        <v>18132.66</v>
      </c>
      <c r="G60" s="27">
        <v>18132.66</v>
      </c>
      <c r="H60" s="27">
        <f t="shared" si="96"/>
        <v>0</v>
      </c>
      <c r="I60" s="12">
        <v>473820</v>
      </c>
      <c r="J60" s="93" t="s">
        <v>74</v>
      </c>
      <c r="K60" s="17">
        <v>42506</v>
      </c>
      <c r="L60" s="17">
        <v>42507</v>
      </c>
      <c r="M60" s="25" t="s">
        <v>45</v>
      </c>
      <c r="N60" s="25"/>
      <c r="O60" s="18"/>
      <c r="P60" s="28">
        <v>0.46</v>
      </c>
      <c r="Q60" s="29">
        <v>18500</v>
      </c>
      <c r="R60" s="18">
        <v>9004</v>
      </c>
      <c r="S60" s="30">
        <v>17.957999999999998</v>
      </c>
      <c r="T60" s="163">
        <f t="shared" ref="T60" si="99">W60*F60*0.005</f>
        <v>1797.7005762384024</v>
      </c>
      <c r="V60" s="18">
        <v>0.1</v>
      </c>
      <c r="W60" s="18">
        <f t="shared" ref="W60" si="100">IF(O60&gt;0,O60,((P60*2.2046*S60)+(Q60+R60)/G60)+V60)</f>
        <v>19.82831615701615</v>
      </c>
      <c r="X60" s="18">
        <f t="shared" ref="X60" si="101">IF(O60&gt;0,O60,((P60*2.2046*S60)+(Q60+R60+T60)/G60)+V60)</f>
        <v>19.927457737801234</v>
      </c>
      <c r="Y60" s="21">
        <f t="shared" ref="Y60" si="102">X60*F60</f>
        <v>361337.81582391891</v>
      </c>
      <c r="Z60" s="32">
        <v>42501</v>
      </c>
      <c r="AA60" s="37">
        <v>25</v>
      </c>
      <c r="AB60" s="37"/>
    </row>
    <row r="61" spans="1:28" s="12" customFormat="1" x14ac:dyDescent="0.25">
      <c r="A61" s="139"/>
      <c r="B61" s="24" t="s">
        <v>32</v>
      </c>
      <c r="C61" s="14" t="s">
        <v>33</v>
      </c>
      <c r="D61" s="25" t="s">
        <v>87</v>
      </c>
      <c r="E61" s="14">
        <v>246</v>
      </c>
      <c r="F61" s="26">
        <v>31000</v>
      </c>
      <c r="G61" s="27">
        <f>17720+7060</f>
        <v>24780</v>
      </c>
      <c r="H61" s="27">
        <f>G61-F61</f>
        <v>-6220</v>
      </c>
      <c r="I61" s="12" t="s">
        <v>2025</v>
      </c>
      <c r="J61" s="14"/>
      <c r="K61" s="17"/>
      <c r="L61" s="17">
        <v>42507</v>
      </c>
      <c r="M61" s="25" t="s">
        <v>45</v>
      </c>
      <c r="N61" s="14"/>
      <c r="O61" s="18">
        <v>26</v>
      </c>
      <c r="P61" s="19"/>
      <c r="Q61" s="29">
        <v>17300</v>
      </c>
      <c r="R61" s="18">
        <f t="shared" ref="R61" si="103">61.75*E61</f>
        <v>15190.5</v>
      </c>
      <c r="S61" s="30">
        <f t="shared" ref="S61" si="104">-35*E61</f>
        <v>-8610</v>
      </c>
      <c r="T61" s="163">
        <f>W61*F61*0.0045</f>
        <v>4678.7697639225171</v>
      </c>
      <c r="U61" s="18">
        <f>E61*5</f>
        <v>1230</v>
      </c>
      <c r="V61" s="14"/>
      <c r="W61" s="18">
        <f>((O61*F61)+Q61+R61+S61+U61)/G61</f>
        <v>33.539568200161419</v>
      </c>
      <c r="X61" s="18">
        <f>((O61*F61)+Q61+R61+S61+T61+U61)/G61</f>
        <v>33.728380539302769</v>
      </c>
      <c r="Y61" s="21">
        <f>X61*G61</f>
        <v>835789.26976392267</v>
      </c>
      <c r="Z61" s="32">
        <v>42520</v>
      </c>
      <c r="AA61" s="37"/>
      <c r="AB61" s="37" t="s">
        <v>2641</v>
      </c>
    </row>
    <row r="62" spans="1:28" s="12" customFormat="1" x14ac:dyDescent="0.25">
      <c r="A62" s="139"/>
      <c r="B62" s="24" t="s">
        <v>25</v>
      </c>
      <c r="C62" s="25" t="s">
        <v>72</v>
      </c>
      <c r="D62" s="25" t="s">
        <v>72</v>
      </c>
      <c r="E62" s="14" t="s">
        <v>42</v>
      </c>
      <c r="F62" s="26">
        <f>42592*0.4536</f>
        <v>19319.731199999998</v>
      </c>
      <c r="G62" s="27">
        <v>19253.41</v>
      </c>
      <c r="H62" s="27">
        <f>G62-F62</f>
        <v>-66.321199999998498</v>
      </c>
      <c r="I62" s="12" t="s">
        <v>2458</v>
      </c>
      <c r="J62" s="93" t="s">
        <v>29</v>
      </c>
      <c r="K62" s="17">
        <v>42507</v>
      </c>
      <c r="L62" s="17">
        <v>42508</v>
      </c>
      <c r="M62" s="25" t="s">
        <v>50</v>
      </c>
      <c r="N62" s="25" t="s">
        <v>2466</v>
      </c>
      <c r="O62" s="18"/>
      <c r="P62" s="28">
        <f>0.6433+0.105</f>
        <v>0.74829999999999997</v>
      </c>
      <c r="Q62" s="29">
        <v>18500</v>
      </c>
      <c r="R62" s="18">
        <v>9004</v>
      </c>
      <c r="S62" s="30">
        <v>17.96</v>
      </c>
      <c r="T62" s="163">
        <f>W62*F62*0.005</f>
        <v>3009.7414539016549</v>
      </c>
      <c r="V62" s="18">
        <v>0.1</v>
      </c>
      <c r="W62" s="18">
        <f t="shared" ref="W62" si="105">IF(O62&gt;0,O62,((P62*2.2046*S62)+(Q62+R62)/G62)+V62)</f>
        <v>31.157177320372398</v>
      </c>
      <c r="X62" s="18">
        <f t="shared" ref="X62" si="106">IF(O62&gt;0,O62,((P62*2.2046*S62)+(Q62+R62+T62)/G62)+V62)</f>
        <v>31.313499834353124</v>
      </c>
      <c r="Y62" s="21">
        <f t="shared" ref="Y62" si="107">X62*F62</f>
        <v>604968.39973094687</v>
      </c>
      <c r="Z62" s="32">
        <v>42501</v>
      </c>
      <c r="AA62" s="37"/>
      <c r="AB62" s="37"/>
    </row>
    <row r="63" spans="1:28" s="12" customFormat="1" x14ac:dyDescent="0.25">
      <c r="A63" s="139"/>
      <c r="B63" s="24" t="s">
        <v>32</v>
      </c>
      <c r="C63" s="14" t="s">
        <v>33</v>
      </c>
      <c r="D63" s="25" t="s">
        <v>87</v>
      </c>
      <c r="E63" s="14">
        <v>246</v>
      </c>
      <c r="F63" s="26">
        <v>30120</v>
      </c>
      <c r="G63" s="27">
        <f>18290+5890</f>
        <v>24180</v>
      </c>
      <c r="H63" s="27">
        <f>G63-F63</f>
        <v>-5940</v>
      </c>
      <c r="I63" s="12" t="s">
        <v>2574</v>
      </c>
      <c r="J63" s="14"/>
      <c r="K63" s="17"/>
      <c r="L63" s="17">
        <v>42508</v>
      </c>
      <c r="M63" s="25" t="s">
        <v>50</v>
      </c>
      <c r="N63" s="14"/>
      <c r="O63" s="18">
        <v>26</v>
      </c>
      <c r="P63" s="19"/>
      <c r="Q63" s="29">
        <v>17300</v>
      </c>
      <c r="R63" s="18">
        <f t="shared" ref="R63" si="108">61.75*E63</f>
        <v>15190.5</v>
      </c>
      <c r="S63" s="30">
        <f t="shared" ref="S63" si="109">-35*E63</f>
        <v>-8610</v>
      </c>
      <c r="T63" s="163">
        <f>W63*F63*0.0045</f>
        <v>4530.5029764267983</v>
      </c>
      <c r="U63" s="18">
        <f>E63*5</f>
        <v>1230</v>
      </c>
      <c r="V63" s="14"/>
      <c r="W63" s="18">
        <f>((O63*F63)+Q63+R63+S63+U63)/G63</f>
        <v>33.42557899090157</v>
      </c>
      <c r="X63" s="18">
        <f>((O63*F63)+Q63+R63+S63+T63+U63)/G63</f>
        <v>33.612944705394</v>
      </c>
      <c r="Y63" s="21">
        <f>X63*G63</f>
        <v>812761.00297642697</v>
      </c>
      <c r="Z63" s="32">
        <v>42521</v>
      </c>
      <c r="AA63" s="37"/>
      <c r="AB63" s="37" t="s">
        <v>2642</v>
      </c>
    </row>
    <row r="64" spans="1:28" s="12" customFormat="1" x14ac:dyDescent="0.25">
      <c r="A64" s="139"/>
      <c r="B64" s="24" t="s">
        <v>25</v>
      </c>
      <c r="C64" s="25" t="s">
        <v>72</v>
      </c>
      <c r="D64" s="25" t="s">
        <v>72</v>
      </c>
      <c r="E64" s="14" t="s">
        <v>42</v>
      </c>
      <c r="F64" s="26">
        <f>42544*0.4536</f>
        <v>19297.9584</v>
      </c>
      <c r="G64" s="27">
        <v>19185.62</v>
      </c>
      <c r="H64" s="27">
        <f>G64-F64</f>
        <v>-112.33840000000055</v>
      </c>
      <c r="I64" s="12" t="s">
        <v>2459</v>
      </c>
      <c r="J64" s="93" t="s">
        <v>49</v>
      </c>
      <c r="K64" s="17">
        <v>42507</v>
      </c>
      <c r="L64" s="17">
        <v>42508</v>
      </c>
      <c r="M64" s="25" t="s">
        <v>50</v>
      </c>
      <c r="N64" s="25" t="s">
        <v>2468</v>
      </c>
      <c r="O64" s="18"/>
      <c r="P64" s="28">
        <f>0.6442+0.105</f>
        <v>0.74919999999999998</v>
      </c>
      <c r="Q64" s="29">
        <v>18500</v>
      </c>
      <c r="R64" s="18">
        <v>9004</v>
      </c>
      <c r="S64" s="30">
        <v>17.97</v>
      </c>
      <c r="T64" s="163">
        <f>W64*F64*0.005</f>
        <v>3011.8687303762122</v>
      </c>
      <c r="V64" s="18">
        <v>0.1</v>
      </c>
      <c r="W64" s="18">
        <f t="shared" ref="W64" si="110">IF(O64&gt;0,O64,((P64*2.2046*S64)+(Q64+R64)/G64)+V64)</f>
        <v>31.214376857359294</v>
      </c>
      <c r="X64" s="18">
        <f t="shared" ref="X64" si="111">IF(O64&gt;0,O64,((P64*2.2046*S64)+(Q64+R64+T64)/G64)+V64)</f>
        <v>31.371362596177025</v>
      </c>
      <c r="Y64" s="21">
        <f t="shared" si="98"/>
        <v>605403.25033234025</v>
      </c>
      <c r="Z64" s="32">
        <v>42502</v>
      </c>
      <c r="AA64" s="37"/>
      <c r="AB64" s="37"/>
    </row>
    <row r="65" spans="1:28" s="12" customFormat="1" x14ac:dyDescent="0.25">
      <c r="A65" s="139"/>
      <c r="B65" s="24" t="s">
        <v>25</v>
      </c>
      <c r="C65" s="25" t="s">
        <v>72</v>
      </c>
      <c r="D65" s="25" t="s">
        <v>72</v>
      </c>
      <c r="E65" s="14" t="s">
        <v>42</v>
      </c>
      <c r="F65" s="26">
        <f>42612*0.4536</f>
        <v>19328.803199999998</v>
      </c>
      <c r="G65" s="27">
        <v>19267.740000000002</v>
      </c>
      <c r="H65" s="27">
        <f>G65-F65</f>
        <v>-61.063199999996868</v>
      </c>
      <c r="I65" s="12" t="s">
        <v>2460</v>
      </c>
      <c r="J65" s="93" t="s">
        <v>44</v>
      </c>
      <c r="K65" s="17">
        <v>42508</v>
      </c>
      <c r="L65" s="17">
        <v>42509</v>
      </c>
      <c r="M65" s="25" t="s">
        <v>65</v>
      </c>
      <c r="N65" s="25" t="s">
        <v>2468</v>
      </c>
      <c r="O65" s="18"/>
      <c r="P65" s="28">
        <v>0.74919999999999998</v>
      </c>
      <c r="Q65" s="29">
        <v>18500</v>
      </c>
      <c r="R65" s="18">
        <v>9082</v>
      </c>
      <c r="S65" s="30">
        <v>17.97</v>
      </c>
      <c r="T65" s="163">
        <f t="shared" ref="T65" si="112">W65*F65*0.005</f>
        <v>3016.4834815945715</v>
      </c>
      <c r="V65" s="18">
        <v>0.1</v>
      </c>
      <c r="W65" s="18">
        <f>IF(O65&gt;0,O65,((P65*2.2046*S65)+(Q65+R65)/G65)+V65)</f>
        <v>31.212315117312297</v>
      </c>
      <c r="X65" s="18">
        <f>IF(O65&gt;0,O65,((P65*2.2046*S65)+(Q65+R65+T65)/G65)+V65)</f>
        <v>31.368871282259228</v>
      </c>
      <c r="Y65" s="21">
        <f>X65*F65</f>
        <v>606322.73962092027</v>
      </c>
      <c r="Z65" s="32">
        <v>42502</v>
      </c>
      <c r="AA65" s="37"/>
      <c r="AB65" s="37"/>
    </row>
    <row r="66" spans="1:28" s="12" customFormat="1" x14ac:dyDescent="0.25">
      <c r="A66" s="139"/>
      <c r="B66" s="24" t="s">
        <v>32</v>
      </c>
      <c r="C66" s="14" t="s">
        <v>33</v>
      </c>
      <c r="D66" s="25" t="s">
        <v>87</v>
      </c>
      <c r="E66" s="14">
        <v>246</v>
      </c>
      <c r="F66" s="26">
        <v>28695</v>
      </c>
      <c r="G66" s="27">
        <f>24500-1400</f>
        <v>23100</v>
      </c>
      <c r="H66" s="27">
        <f t="shared" ref="H66:H69" si="113">G66-F66</f>
        <v>-5595</v>
      </c>
      <c r="I66" s="94" t="s">
        <v>2145</v>
      </c>
      <c r="J66" s="120">
        <v>250</v>
      </c>
      <c r="K66" s="17"/>
      <c r="L66" s="17">
        <v>42509</v>
      </c>
      <c r="M66" s="25" t="s">
        <v>65</v>
      </c>
      <c r="N66" s="14"/>
      <c r="O66" s="18">
        <v>26</v>
      </c>
      <c r="P66" s="19"/>
      <c r="Q66" s="29">
        <v>17300</v>
      </c>
      <c r="R66" s="18">
        <f t="shared" ref="R66:R67" si="114">61.75*E66</f>
        <v>15190.5</v>
      </c>
      <c r="S66" s="30">
        <f t="shared" ref="S66:S67" si="115">-35*E66</f>
        <v>-8610</v>
      </c>
      <c r="T66" s="163">
        <f t="shared" ref="T66:T67" si="116">W66*F66*0.0045</f>
        <v>4310.8489183441552</v>
      </c>
      <c r="U66" s="18">
        <f t="shared" ref="U66:U67" si="117">E66*5</f>
        <v>1230</v>
      </c>
      <c r="V66" s="14"/>
      <c r="W66" s="18">
        <f t="shared" ref="W66:W67" si="118">((O66*F66)+Q66+R66+S66+U66)/G66</f>
        <v>33.384437229437232</v>
      </c>
      <c r="X66" s="18">
        <f t="shared" ref="X66:X67" si="119">((O66*F66)+Q66+R66+S66+T66+U66)/G66</f>
        <v>33.571054065729186</v>
      </c>
      <c r="Y66" s="21">
        <f t="shared" ref="Y66:Y67" si="120">X66*G66</f>
        <v>775491.34891834424</v>
      </c>
      <c r="Z66" s="32">
        <v>42522</v>
      </c>
      <c r="AA66" s="37">
        <v>34.5</v>
      </c>
      <c r="AB66" s="37"/>
    </row>
    <row r="67" spans="1:28" s="12" customFormat="1" x14ac:dyDescent="0.25">
      <c r="A67" s="139"/>
      <c r="B67" s="24" t="s">
        <v>32</v>
      </c>
      <c r="C67" s="14" t="s">
        <v>33</v>
      </c>
      <c r="D67" s="25" t="s">
        <v>38</v>
      </c>
      <c r="E67" s="14">
        <v>130</v>
      </c>
      <c r="F67" s="26">
        <v>16600</v>
      </c>
      <c r="G67" s="27">
        <f>11990+1400</f>
        <v>13390</v>
      </c>
      <c r="H67" s="27">
        <f t="shared" si="113"/>
        <v>-3210</v>
      </c>
      <c r="I67" s="94" t="s">
        <v>2638</v>
      </c>
      <c r="J67" s="120">
        <v>126</v>
      </c>
      <c r="K67" s="17"/>
      <c r="L67" s="17">
        <v>42509</v>
      </c>
      <c r="M67" s="25" t="s">
        <v>65</v>
      </c>
      <c r="N67" s="14"/>
      <c r="O67" s="18">
        <v>26</v>
      </c>
      <c r="P67" s="19"/>
      <c r="Q67" s="29">
        <v>13600</v>
      </c>
      <c r="R67" s="18">
        <f t="shared" si="114"/>
        <v>8027.5</v>
      </c>
      <c r="S67" s="30">
        <f t="shared" si="115"/>
        <v>-4550</v>
      </c>
      <c r="T67" s="163">
        <f t="shared" si="116"/>
        <v>2506.7038274831962</v>
      </c>
      <c r="U67" s="18">
        <f t="shared" si="117"/>
        <v>650</v>
      </c>
      <c r="V67" s="14"/>
      <c r="W67" s="18">
        <f t="shared" si="118"/>
        <v>33.556945481702762</v>
      </c>
      <c r="X67" s="18">
        <f t="shared" si="119"/>
        <v>33.744152638348261</v>
      </c>
      <c r="Y67" s="21">
        <f t="shared" si="120"/>
        <v>451834.20382748323</v>
      </c>
      <c r="Z67" s="32">
        <v>42522</v>
      </c>
      <c r="AA67" s="37">
        <v>34.5</v>
      </c>
      <c r="AB67" s="37" t="s">
        <v>2647</v>
      </c>
    </row>
    <row r="68" spans="1:28" s="12" customFormat="1" x14ac:dyDescent="0.25">
      <c r="A68" s="139"/>
      <c r="B68" s="24" t="s">
        <v>25</v>
      </c>
      <c r="C68" s="25" t="s">
        <v>72</v>
      </c>
      <c r="D68" s="25" t="s">
        <v>72</v>
      </c>
      <c r="E68" s="14" t="s">
        <v>42</v>
      </c>
      <c r="F68" s="26">
        <f>42776*0.4536</f>
        <v>19403.193599999999</v>
      </c>
      <c r="G68" s="27">
        <v>19341.099999999999</v>
      </c>
      <c r="H68" s="27">
        <f t="shared" si="113"/>
        <v>-62.093600000000151</v>
      </c>
      <c r="I68" s="12" t="s">
        <v>2461</v>
      </c>
      <c r="J68" s="93" t="s">
        <v>991</v>
      </c>
      <c r="K68" s="17">
        <v>42509</v>
      </c>
      <c r="L68" s="17">
        <v>42510</v>
      </c>
      <c r="M68" s="25" t="s">
        <v>84</v>
      </c>
      <c r="N68" s="25" t="s">
        <v>2469</v>
      </c>
      <c r="O68" s="18"/>
      <c r="P68" s="28">
        <f>0.6409+0.105</f>
        <v>0.74590000000000001</v>
      </c>
      <c r="Q68" s="29">
        <v>21000</v>
      </c>
      <c r="R68" s="18">
        <v>9056</v>
      </c>
      <c r="S68" s="30">
        <v>18.18</v>
      </c>
      <c r="T68" s="163">
        <f t="shared" ref="T68:T69" si="121">W68*F68*0.005</f>
        <v>3060.794701562153</v>
      </c>
      <c r="V68" s="18">
        <v>0.1</v>
      </c>
      <c r="W68" s="18">
        <f>IF(O68&gt;0,O68,((P68*2.2046*S68)+(Q68+R68)/G68)+V68)</f>
        <v>31.549390936986303</v>
      </c>
      <c r="X68" s="18">
        <f>IF(O68&gt;0,O68,((P68*2.2046*S68)+(Q68+R68+T68)/G68)+V68)</f>
        <v>31.707644330100557</v>
      </c>
      <c r="Y68" s="21">
        <f t="shared" ref="Y68:Y75" si="122">X68*F68</f>
        <v>615229.56153688335</v>
      </c>
      <c r="Z68" s="32">
        <v>42503</v>
      </c>
      <c r="AA68" s="2">
        <v>32.5</v>
      </c>
      <c r="AB68" s="2"/>
    </row>
    <row r="69" spans="1:28" s="12" customFormat="1" x14ac:dyDescent="0.25">
      <c r="A69" s="139"/>
      <c r="B69" s="24" t="s">
        <v>25</v>
      </c>
      <c r="C69" s="25" t="s">
        <v>72</v>
      </c>
      <c r="D69" s="25" t="s">
        <v>72</v>
      </c>
      <c r="E69" s="14" t="s">
        <v>831</v>
      </c>
      <c r="F69" s="26">
        <f>41026*0.4536</f>
        <v>18609.393599999999</v>
      </c>
      <c r="G69" s="27">
        <v>18631.95</v>
      </c>
      <c r="H69" s="27">
        <f t="shared" si="113"/>
        <v>22.556400000001304</v>
      </c>
      <c r="I69" s="12" t="s">
        <v>2462</v>
      </c>
      <c r="J69" s="93" t="s">
        <v>74</v>
      </c>
      <c r="K69" s="17">
        <v>42509</v>
      </c>
      <c r="L69" s="17">
        <v>42510</v>
      </c>
      <c r="M69" s="25" t="s">
        <v>84</v>
      </c>
      <c r="N69" s="25" t="s">
        <v>2469</v>
      </c>
      <c r="O69" s="18"/>
      <c r="P69" s="28">
        <f>0.6409+0.105</f>
        <v>0.74590000000000001</v>
      </c>
      <c r="Q69" s="29">
        <v>18500</v>
      </c>
      <c r="R69" s="18">
        <v>9056</v>
      </c>
      <c r="S69" s="30">
        <v>18.18</v>
      </c>
      <c r="T69" s="163">
        <f t="shared" si="121"/>
        <v>2928.5937139147231</v>
      </c>
      <c r="V69" s="18">
        <v>0.1</v>
      </c>
      <c r="W69" s="18">
        <f>IF(O69&gt;0,O69,((P69*2.2046*S69)+(Q69+R69)/G69)+V69)</f>
        <v>31.474359421520568</v>
      </c>
      <c r="X69" s="18">
        <f>IF(O69&gt;0,O69,((P69*2.2046*S69)+(Q69+R69+T69)/G69)+V69)</f>
        <v>31.631540699589408</v>
      </c>
      <c r="Y69" s="21">
        <f t="shared" si="122"/>
        <v>588643.7910530786</v>
      </c>
      <c r="Z69" s="32">
        <v>42503</v>
      </c>
      <c r="AA69" s="2">
        <v>32.5</v>
      </c>
      <c r="AB69" s="2"/>
    </row>
    <row r="70" spans="1:28" s="12" customFormat="1" x14ac:dyDescent="0.25">
      <c r="A70" s="139"/>
      <c r="B70" s="24" t="s">
        <v>25</v>
      </c>
      <c r="C70" s="25" t="s">
        <v>40</v>
      </c>
      <c r="D70" s="25" t="s">
        <v>40</v>
      </c>
      <c r="E70" s="14" t="s">
        <v>831</v>
      </c>
      <c r="F70" s="26">
        <f>41214*0.4536</f>
        <v>18694.670399999999</v>
      </c>
      <c r="G70" s="27">
        <v>18684.09</v>
      </c>
      <c r="H70" s="27">
        <f>G70-F70</f>
        <v>-10.580399999998917</v>
      </c>
      <c r="I70" s="12" t="s">
        <v>2455</v>
      </c>
      <c r="J70" s="93" t="s">
        <v>29</v>
      </c>
      <c r="K70" s="17">
        <v>42509</v>
      </c>
      <c r="L70" s="17">
        <v>42510</v>
      </c>
      <c r="M70" s="25" t="s">
        <v>84</v>
      </c>
      <c r="N70" s="25" t="s">
        <v>2470</v>
      </c>
      <c r="O70" s="18"/>
      <c r="P70" s="28">
        <f>0.6442+0.1</f>
        <v>0.74419999999999997</v>
      </c>
      <c r="Q70" s="29">
        <v>18500</v>
      </c>
      <c r="R70" s="18">
        <v>9056</v>
      </c>
      <c r="S70" s="30">
        <v>18.510000000000002</v>
      </c>
      <c r="T70" s="163">
        <f>W70*F70*0.005</f>
        <v>2985.8674905045318</v>
      </c>
      <c r="V70" s="18">
        <v>0.1</v>
      </c>
      <c r="W70" s="18">
        <f t="shared" ref="W70" si="123">IF(O70&gt;0,O70,((P70*2.2046*S70)+(Q70+R70)/G70)+V70)</f>
        <v>31.94351573595576</v>
      </c>
      <c r="X70" s="18">
        <f t="shared" ref="X70" si="124">IF(O70&gt;0,O70,((P70*2.2046*S70)+(Q70+R70+T70)/G70)+V70)</f>
        <v>32.10332375927959</v>
      </c>
      <c r="Y70" s="21">
        <f t="shared" si="122"/>
        <v>600161.05642422079</v>
      </c>
      <c r="Z70" s="32">
        <v>42521</v>
      </c>
      <c r="AA70" s="37">
        <v>32.5</v>
      </c>
      <c r="AB70" s="37"/>
    </row>
    <row r="71" spans="1:28" s="12" customFormat="1" x14ac:dyDescent="0.25">
      <c r="A71" s="139"/>
      <c r="B71" s="24" t="s">
        <v>2077</v>
      </c>
      <c r="C71" s="25" t="s">
        <v>72</v>
      </c>
      <c r="D71" s="25" t="s">
        <v>57</v>
      </c>
      <c r="E71" s="14" t="s">
        <v>67</v>
      </c>
      <c r="F71" s="26">
        <v>3746.7</v>
      </c>
      <c r="G71" s="27">
        <v>3746.7</v>
      </c>
      <c r="H71" s="27">
        <f>G71-F71</f>
        <v>0</v>
      </c>
      <c r="I71" s="12" t="s">
        <v>2650</v>
      </c>
      <c r="J71" s="14"/>
      <c r="K71" s="17"/>
      <c r="L71" s="17">
        <v>42510</v>
      </c>
      <c r="M71" s="25" t="s">
        <v>84</v>
      </c>
      <c r="N71" s="25"/>
      <c r="O71" s="18">
        <v>15.8</v>
      </c>
      <c r="P71" s="28"/>
      <c r="Q71" s="18"/>
      <c r="R71" s="18"/>
      <c r="S71" s="30"/>
      <c r="T71" s="31"/>
      <c r="V71" s="18"/>
      <c r="W71" s="18">
        <f t="shared" ref="W71" si="125">IF(O71&gt;0,O71,((P71*2.2046*S71)+(Q71+R71)/G71)+V71)</f>
        <v>15.8</v>
      </c>
      <c r="X71" s="18">
        <f t="shared" ref="X71" si="126">IF(O71&gt;0,O71,((P71*2.2046*S71)+(Q71+R71+T71)/G71)+V71)</f>
        <v>15.8</v>
      </c>
      <c r="Y71" s="21">
        <f t="shared" ref="Y71" si="127">X71*F71</f>
        <v>59197.86</v>
      </c>
      <c r="Z71" s="32">
        <v>42517</v>
      </c>
      <c r="AA71" s="37"/>
      <c r="AB71" s="37"/>
    </row>
    <row r="72" spans="1:28" s="12" customFormat="1" x14ac:dyDescent="0.25">
      <c r="A72" s="139"/>
      <c r="B72" s="24" t="s">
        <v>32</v>
      </c>
      <c r="C72" s="14" t="s">
        <v>33</v>
      </c>
      <c r="D72" s="25" t="s">
        <v>1228</v>
      </c>
      <c r="E72" s="14">
        <v>249</v>
      </c>
      <c r="F72" s="26">
        <v>27885</v>
      </c>
      <c r="G72" s="27">
        <v>22210</v>
      </c>
      <c r="H72" s="27">
        <f t="shared" ref="H72:H75" si="128">G72-F72</f>
        <v>-5675</v>
      </c>
      <c r="I72" s="12" t="s">
        <v>2645</v>
      </c>
      <c r="J72" s="120">
        <v>250</v>
      </c>
      <c r="K72" s="17"/>
      <c r="L72" s="17">
        <v>42510</v>
      </c>
      <c r="M72" s="25" t="s">
        <v>84</v>
      </c>
      <c r="N72" s="14"/>
      <c r="O72" s="18">
        <v>26</v>
      </c>
      <c r="P72" s="19"/>
      <c r="Q72" s="29">
        <v>17300</v>
      </c>
      <c r="R72" s="18">
        <f t="shared" ref="R72:R73" si="129">61.75*E72</f>
        <v>15375.75</v>
      </c>
      <c r="S72" s="30">
        <f>-35*E72</f>
        <v>-8715</v>
      </c>
      <c r="T72" s="163">
        <f>W72*F72*0.0045</f>
        <v>4238.5838743527684</v>
      </c>
      <c r="U72" s="18">
        <f>E72*5</f>
        <v>1245</v>
      </c>
      <c r="V72" s="14"/>
      <c r="W72" s="18">
        <f>((O72*F72)+Q72+R72+S72+U72)/G72</f>
        <v>33.778286807744259</v>
      </c>
      <c r="X72" s="18">
        <f>((O72*F72)+Q72+R72+S72+T72+U72)/G72</f>
        <v>33.9691280447705</v>
      </c>
      <c r="Y72" s="21">
        <f t="shared" ref="Y72:Y73" si="130">X72*G72</f>
        <v>754454.33387435274</v>
      </c>
      <c r="Z72" s="32">
        <v>42523</v>
      </c>
      <c r="AA72" s="2">
        <v>34.5</v>
      </c>
      <c r="AB72" s="2"/>
    </row>
    <row r="73" spans="1:28" s="12" customFormat="1" x14ac:dyDescent="0.25">
      <c r="A73" s="139"/>
      <c r="B73" s="24" t="s">
        <v>32</v>
      </c>
      <c r="C73" s="14" t="s">
        <v>33</v>
      </c>
      <c r="D73" s="25" t="s">
        <v>1510</v>
      </c>
      <c r="E73" s="14">
        <v>130</v>
      </c>
      <c r="F73" s="26">
        <v>14625</v>
      </c>
      <c r="G73" s="27">
        <v>11540</v>
      </c>
      <c r="H73" s="27">
        <f t="shared" si="128"/>
        <v>-3085</v>
      </c>
      <c r="I73" s="25" t="s">
        <v>2646</v>
      </c>
      <c r="J73" s="120">
        <v>129</v>
      </c>
      <c r="K73" s="17"/>
      <c r="L73" s="17">
        <v>42510</v>
      </c>
      <c r="M73" s="25" t="s">
        <v>84</v>
      </c>
      <c r="N73" s="14"/>
      <c r="O73" s="18">
        <v>26</v>
      </c>
      <c r="P73" s="19"/>
      <c r="Q73" s="29">
        <v>13600</v>
      </c>
      <c r="R73" s="18">
        <f t="shared" si="129"/>
        <v>8027.5</v>
      </c>
      <c r="S73" s="30">
        <f>-35*E73</f>
        <v>-4550</v>
      </c>
      <c r="T73" s="163">
        <f>W73*F73*0.0045</f>
        <v>2269.6615440857886</v>
      </c>
      <c r="U73" s="18">
        <f>E73*5</f>
        <v>650</v>
      </c>
      <c r="V73" s="14"/>
      <c r="W73" s="18">
        <f>((O73*F73)+Q73+R73+S73+U73)/G73</f>
        <v>34.486785095320627</v>
      </c>
      <c r="X73" s="18">
        <f>((O73*F73)+Q73+R73+S73+T73+U73)/G73</f>
        <v>34.683462872104485</v>
      </c>
      <c r="Y73" s="21">
        <f t="shared" si="130"/>
        <v>400247.16154408577</v>
      </c>
      <c r="Z73" s="32">
        <v>42523</v>
      </c>
      <c r="AA73" s="2">
        <v>34.5</v>
      </c>
      <c r="AB73" s="2" t="s">
        <v>2648</v>
      </c>
    </row>
    <row r="74" spans="1:28" s="12" customFormat="1" x14ac:dyDescent="0.25">
      <c r="A74" s="139"/>
      <c r="B74" s="24" t="s">
        <v>25</v>
      </c>
      <c r="C74" s="25" t="s">
        <v>26</v>
      </c>
      <c r="D74" s="25" t="s">
        <v>26</v>
      </c>
      <c r="E74" s="14" t="s">
        <v>27</v>
      </c>
      <c r="F74" s="26">
        <f>41570*0.4536</f>
        <v>18856.152000000002</v>
      </c>
      <c r="G74" s="27">
        <v>18856.150000000001</v>
      </c>
      <c r="H74" s="27">
        <f t="shared" si="128"/>
        <v>-2.0000000004074536E-3</v>
      </c>
      <c r="I74" s="39" t="s">
        <v>2457</v>
      </c>
      <c r="J74" s="93" t="s">
        <v>44</v>
      </c>
      <c r="K74" s="17">
        <v>42510</v>
      </c>
      <c r="L74" s="17">
        <v>42511</v>
      </c>
      <c r="M74" s="25" t="s">
        <v>30</v>
      </c>
      <c r="N74" s="25" t="s">
        <v>2471</v>
      </c>
      <c r="O74" s="18"/>
      <c r="P74" s="28">
        <f>0.6409+0.1075</f>
        <v>0.74840000000000007</v>
      </c>
      <c r="Q74" s="29">
        <v>18500</v>
      </c>
      <c r="R74" s="18">
        <v>9043</v>
      </c>
      <c r="S74" s="30">
        <v>18.18</v>
      </c>
      <c r="T74" s="163">
        <f t="shared" ref="T74:T75" si="131">W74*F74*0.005</f>
        <v>2975.1504514134945</v>
      </c>
      <c r="V74" s="18">
        <v>0.1</v>
      </c>
      <c r="W74" s="18">
        <f>IF(O74&gt;0,O74,((P74*2.2046*S74)+(Q74+R74)/G74)+V74)</f>
        <v>31.556284139133947</v>
      </c>
      <c r="X74" s="18">
        <f>IF(O74&gt;0,O74,((P74*2.2046*S74)+(Q74+R74+T74)/G74)+V74)</f>
        <v>31.714065576564892</v>
      </c>
      <c r="Y74" s="21">
        <f t="shared" si="122"/>
        <v>598005.24104967527</v>
      </c>
      <c r="Z74" s="32">
        <v>42503</v>
      </c>
      <c r="AA74" s="2">
        <v>32.5</v>
      </c>
      <c r="AB74" s="2" t="s">
        <v>2665</v>
      </c>
    </row>
    <row r="75" spans="1:28" s="12" customFormat="1" x14ac:dyDescent="0.25">
      <c r="A75" s="139"/>
      <c r="B75" s="24" t="s">
        <v>25</v>
      </c>
      <c r="C75" s="25" t="s">
        <v>72</v>
      </c>
      <c r="D75" s="25" t="s">
        <v>72</v>
      </c>
      <c r="E75" s="14" t="s">
        <v>42</v>
      </c>
      <c r="F75" s="26">
        <f>42816*0.4536</f>
        <v>19421.337599999999</v>
      </c>
      <c r="G75" s="27">
        <v>19412.919999999998</v>
      </c>
      <c r="H75" s="27">
        <f t="shared" si="128"/>
        <v>-8.4176000000006752</v>
      </c>
      <c r="I75" s="12" t="s">
        <v>2463</v>
      </c>
      <c r="J75" s="93" t="s">
        <v>837</v>
      </c>
      <c r="K75" s="17">
        <v>42510</v>
      </c>
      <c r="L75" s="17">
        <v>42511</v>
      </c>
      <c r="M75" s="25" t="s">
        <v>30</v>
      </c>
      <c r="N75" s="25" t="s">
        <v>2472</v>
      </c>
      <c r="O75" s="18"/>
      <c r="P75" s="28">
        <f>0.6678+0.105</f>
        <v>0.77279999999999993</v>
      </c>
      <c r="Q75" s="153">
        <v>18500</v>
      </c>
      <c r="R75" s="18">
        <v>9043</v>
      </c>
      <c r="S75" s="30">
        <v>18.187000000000001</v>
      </c>
      <c r="T75" s="163">
        <f t="shared" si="131"/>
        <v>3156.381024857983</v>
      </c>
      <c r="V75" s="18">
        <v>0.1</v>
      </c>
      <c r="W75" s="18">
        <f>IF(O75&gt;0,O75,((P75*2.2046*S75)+(Q75+R75)/G75)+V75)</f>
        <v>32.504259900800889</v>
      </c>
      <c r="X75" s="18">
        <f>IF(O75&gt;0,O75,((P75*2.2046*S75)+(Q75+R75+T75)/G75)+V75)</f>
        <v>32.666851670862165</v>
      </c>
      <c r="Y75" s="21">
        <f t="shared" si="122"/>
        <v>634433.95462893811</v>
      </c>
      <c r="Z75" s="32">
        <v>42506</v>
      </c>
      <c r="AA75" s="2">
        <v>32.5</v>
      </c>
      <c r="AB75" s="2"/>
    </row>
    <row r="76" spans="1:28" s="12" customFormat="1" ht="15.75" thickBot="1" x14ac:dyDescent="0.3">
      <c r="A76" s="139"/>
      <c r="B76" s="41"/>
      <c r="C76" s="4"/>
      <c r="D76" s="4"/>
      <c r="E76" s="4"/>
      <c r="F76" s="42"/>
      <c r="G76" s="42"/>
      <c r="H76" s="42"/>
      <c r="I76" s="6"/>
      <c r="J76" s="4"/>
      <c r="K76" s="7"/>
      <c r="L76" s="7"/>
      <c r="M76" s="4"/>
      <c r="N76" s="4"/>
      <c r="O76" s="8"/>
      <c r="P76" s="9"/>
      <c r="Q76" s="8"/>
      <c r="R76" s="8"/>
      <c r="S76" s="8"/>
      <c r="T76" s="8"/>
      <c r="U76" s="8"/>
      <c r="V76" s="8"/>
      <c r="W76" s="8"/>
      <c r="X76" s="8"/>
      <c r="Y76" s="11"/>
      <c r="Z76" s="43"/>
      <c r="AA76" s="2"/>
      <c r="AB76" s="2"/>
    </row>
    <row r="77" spans="1:28" s="12" customFormat="1" x14ac:dyDescent="0.25">
      <c r="A77" s="148"/>
      <c r="B77" s="14" t="s">
        <v>32</v>
      </c>
      <c r="C77" s="14" t="s">
        <v>33</v>
      </c>
      <c r="D77" s="25" t="s">
        <v>34</v>
      </c>
      <c r="E77" s="14">
        <v>195</v>
      </c>
      <c r="F77" s="26">
        <v>24080</v>
      </c>
      <c r="G77" s="27">
        <f>19410</f>
        <v>19410</v>
      </c>
      <c r="H77" s="27">
        <f t="shared" ref="H77:H79" si="132">G77-F77</f>
        <v>-4670</v>
      </c>
      <c r="I77" s="25" t="s">
        <v>2659</v>
      </c>
      <c r="J77" s="133">
        <v>200</v>
      </c>
      <c r="K77" s="17"/>
      <c r="L77" s="17">
        <v>42512</v>
      </c>
      <c r="M77" s="25" t="s">
        <v>36</v>
      </c>
      <c r="N77" s="14"/>
      <c r="O77" s="18">
        <v>26.5</v>
      </c>
      <c r="P77" s="19"/>
      <c r="Q77" s="153">
        <v>17300</v>
      </c>
      <c r="R77" s="18">
        <f t="shared" ref="R77:R79" si="133">61.75*E77</f>
        <v>12041.25</v>
      </c>
      <c r="S77" s="30">
        <f>-35*E77</f>
        <v>-6825</v>
      </c>
      <c r="T77" s="163">
        <f>W77*F77*0.0045</f>
        <v>3693.5700695517767</v>
      </c>
      <c r="U77" s="18">
        <f>E77*5</f>
        <v>975</v>
      </c>
      <c r="V77" s="14"/>
      <c r="W77" s="18">
        <f>((O77*F77)+Q77+R77+S77+U77)/G77</f>
        <v>34.086102524471919</v>
      </c>
      <c r="X77" s="18">
        <f>((O77*F77)+Q77+R77+S77+T77+U77)/G77</f>
        <v>34.27639464552044</v>
      </c>
      <c r="Y77" s="21">
        <f>X77*G77</f>
        <v>665304.8200695517</v>
      </c>
      <c r="Z77" s="32">
        <v>42527</v>
      </c>
      <c r="AA77" s="2">
        <v>35.5</v>
      </c>
      <c r="AB77" s="2"/>
    </row>
    <row r="78" spans="1:28" s="12" customFormat="1" x14ac:dyDescent="0.25">
      <c r="A78" s="148"/>
      <c r="B78" s="24" t="s">
        <v>32</v>
      </c>
      <c r="C78" s="14" t="s">
        <v>33</v>
      </c>
      <c r="D78" s="25" t="s">
        <v>87</v>
      </c>
      <c r="E78" s="14">
        <v>130</v>
      </c>
      <c r="F78" s="26">
        <v>15025</v>
      </c>
      <c r="G78" s="27">
        <f>11830</f>
        <v>11830</v>
      </c>
      <c r="H78" s="27">
        <f t="shared" ref="H78" si="134">G78-F78</f>
        <v>-3195</v>
      </c>
      <c r="I78" s="25" t="s">
        <v>2658</v>
      </c>
      <c r="J78" s="93">
        <v>122</v>
      </c>
      <c r="K78" s="17"/>
      <c r="L78" s="17">
        <v>42512</v>
      </c>
      <c r="M78" s="25" t="s">
        <v>36</v>
      </c>
      <c r="N78" s="14"/>
      <c r="O78" s="18">
        <v>26.5</v>
      </c>
      <c r="P78" s="19"/>
      <c r="Q78" s="153">
        <v>13600</v>
      </c>
      <c r="R78" s="18">
        <f t="shared" si="133"/>
        <v>8027.5</v>
      </c>
      <c r="S78" s="30">
        <f t="shared" ref="S78" si="135">-35*E78</f>
        <v>-4550</v>
      </c>
      <c r="T78" s="163">
        <f>W78*F78*0.0045</f>
        <v>2376.9537299239223</v>
      </c>
      <c r="U78" s="18">
        <f>E78*5</f>
        <v>650</v>
      </c>
      <c r="V78" s="14"/>
      <c r="W78" s="18">
        <f>((O78*F78)+Q78+R78+S78+U78)/G78</f>
        <v>35.155536770921387</v>
      </c>
      <c r="X78" s="18">
        <f>((O78*F78)+Q78+R78+S78+T78+U78)/G78</f>
        <v>35.356462699063734</v>
      </c>
      <c r="Y78" s="21">
        <f>X78*G78</f>
        <v>418266.95372992399</v>
      </c>
      <c r="Z78" s="32">
        <v>42527</v>
      </c>
      <c r="AA78" s="2">
        <v>35.5</v>
      </c>
      <c r="AB78" s="2" t="s">
        <v>2663</v>
      </c>
    </row>
    <row r="79" spans="1:28" s="12" customFormat="1" x14ac:dyDescent="0.25">
      <c r="A79" s="148"/>
      <c r="B79" s="24" t="s">
        <v>32</v>
      </c>
      <c r="C79" s="14" t="s">
        <v>33</v>
      </c>
      <c r="D79" s="25" t="s">
        <v>1510</v>
      </c>
      <c r="E79" s="14">
        <f>180+70</f>
        <v>250</v>
      </c>
      <c r="F79" s="26">
        <v>28790</v>
      </c>
      <c r="G79" s="27">
        <f>16410+6630</f>
        <v>23040</v>
      </c>
      <c r="H79" s="27">
        <f t="shared" si="132"/>
        <v>-5750</v>
      </c>
      <c r="I79" s="25" t="s">
        <v>2662</v>
      </c>
      <c r="J79" s="14"/>
      <c r="K79" s="17"/>
      <c r="L79" s="17">
        <v>42513</v>
      </c>
      <c r="M79" s="25" t="s">
        <v>39</v>
      </c>
      <c r="N79" s="14"/>
      <c r="O79" s="18">
        <v>26.5</v>
      </c>
      <c r="P79" s="19"/>
      <c r="Q79" s="153">
        <v>17300</v>
      </c>
      <c r="R79" s="18">
        <f t="shared" si="133"/>
        <v>15437.5</v>
      </c>
      <c r="S79" s="30">
        <f t="shared" ref="S79" si="136">-35*E79</f>
        <v>-8750</v>
      </c>
      <c r="T79" s="163">
        <f>W79*F79*0.0045</f>
        <v>4431.9309130859374</v>
      </c>
      <c r="U79" s="18">
        <f>E79*5</f>
        <v>1250</v>
      </c>
      <c r="V79" s="14"/>
      <c r="W79" s="18">
        <f>((O79*F79)+Q79+R79+S79+U79)/G79</f>
        <v>34.208875868055557</v>
      </c>
      <c r="X79" s="18">
        <f>((O79*F79)+Q79+R79+S79+T79+U79)/G79</f>
        <v>34.40123398060269</v>
      </c>
      <c r="Y79" s="21">
        <f>X79*G79</f>
        <v>792604.43091308593</v>
      </c>
      <c r="Z79" s="32">
        <v>42527</v>
      </c>
      <c r="AA79" s="2">
        <v>35.5</v>
      </c>
      <c r="AB79" s="2" t="s">
        <v>2664</v>
      </c>
    </row>
    <row r="80" spans="1:28" s="12" customFormat="1" x14ac:dyDescent="0.25">
      <c r="A80" s="148"/>
      <c r="B80" s="24" t="s">
        <v>25</v>
      </c>
      <c r="C80" s="25" t="s">
        <v>40</v>
      </c>
      <c r="D80" s="25" t="s">
        <v>40</v>
      </c>
      <c r="E80" s="14" t="s">
        <v>831</v>
      </c>
      <c r="F80" s="26">
        <f>40860*0.4536</f>
        <v>18534.096000000001</v>
      </c>
      <c r="G80" s="27">
        <v>18694.61</v>
      </c>
      <c r="H80" s="27">
        <f>G80-F80</f>
        <v>160.51399999999921</v>
      </c>
      <c r="I80" s="12" t="s">
        <v>2572</v>
      </c>
      <c r="J80" s="93" t="s">
        <v>74</v>
      </c>
      <c r="K80" s="17">
        <v>42513</v>
      </c>
      <c r="L80" s="17">
        <v>42514</v>
      </c>
      <c r="M80" s="25" t="s">
        <v>45</v>
      </c>
      <c r="N80" s="25" t="s">
        <v>2591</v>
      </c>
      <c r="O80" s="18"/>
      <c r="P80" s="28">
        <f>0.6693+0.1</f>
        <v>0.76929999999999998</v>
      </c>
      <c r="Q80" s="153">
        <v>18500</v>
      </c>
      <c r="R80" s="18">
        <v>9056</v>
      </c>
      <c r="S80" s="30">
        <v>18.48</v>
      </c>
      <c r="T80" s="163">
        <f>W80*F80*0.005</f>
        <v>3050.3475620879067</v>
      </c>
      <c r="V80" s="18">
        <v>0.1</v>
      </c>
      <c r="W80" s="18">
        <f t="shared" ref="W80:W81" si="137">IF(O80&gt;0,O80,((P80*2.2046*S80)+(Q80+R80)/G80)+V80)</f>
        <v>32.916065203157537</v>
      </c>
      <c r="X80" s="18">
        <f t="shared" ref="X80:X81" si="138">IF(O80&gt;0,O80,((P80*2.2046*S80)+(Q80+R80+T80)/G80)+V80)</f>
        <v>33.079232424195467</v>
      </c>
      <c r="Y80" s="21">
        <f>X80*F80</f>
        <v>613093.6693563516</v>
      </c>
      <c r="Z80" s="32">
        <v>42524</v>
      </c>
      <c r="AA80" s="37"/>
      <c r="AB80" s="37"/>
    </row>
    <row r="81" spans="1:28" s="12" customFormat="1" x14ac:dyDescent="0.25">
      <c r="A81" s="148"/>
      <c r="B81" s="24" t="s">
        <v>25</v>
      </c>
      <c r="C81" s="25" t="s">
        <v>26</v>
      </c>
      <c r="D81" s="25" t="s">
        <v>26</v>
      </c>
      <c r="E81" s="14" t="s">
        <v>27</v>
      </c>
      <c r="F81" s="26">
        <f>40702*0.4536</f>
        <v>18462.427200000002</v>
      </c>
      <c r="G81" s="27">
        <v>18432.419999999998</v>
      </c>
      <c r="H81" s="27">
        <f t="shared" ref="H81" si="139">G81-F81</f>
        <v>-30.00720000000365</v>
      </c>
      <c r="I81" s="12" t="s">
        <v>2564</v>
      </c>
      <c r="J81" s="93" t="s">
        <v>44</v>
      </c>
      <c r="K81" s="17">
        <v>42513</v>
      </c>
      <c r="L81" s="17">
        <v>42514</v>
      </c>
      <c r="M81" s="25" t="s">
        <v>45</v>
      </c>
      <c r="N81" s="25" t="s">
        <v>2593</v>
      </c>
      <c r="O81" s="18"/>
      <c r="P81" s="28">
        <f>0.6418+0.1075</f>
        <v>0.74930000000000008</v>
      </c>
      <c r="Q81" s="153">
        <v>18500</v>
      </c>
      <c r="R81" s="18">
        <v>9056</v>
      </c>
      <c r="S81" s="30">
        <v>18.39</v>
      </c>
      <c r="T81" s="163">
        <f t="shared" ref="T81" si="140">W81*F81*0.005</f>
        <v>2951.5458005361975</v>
      </c>
      <c r="V81" s="18">
        <v>0.1</v>
      </c>
      <c r="W81" s="18">
        <f t="shared" si="137"/>
        <v>31.973540299578779</v>
      </c>
      <c r="X81" s="18">
        <f t="shared" si="138"/>
        <v>32.133668258931714</v>
      </c>
      <c r="Y81" s="21">
        <f t="shared" ref="Y81" si="141">X81*F81</f>
        <v>593265.51089947752</v>
      </c>
      <c r="Z81" s="32">
        <v>42508</v>
      </c>
      <c r="AA81" s="37"/>
      <c r="AB81" s="37"/>
    </row>
    <row r="82" spans="1:28" s="12" customFormat="1" x14ac:dyDescent="0.25">
      <c r="A82" s="148"/>
      <c r="B82" s="24" t="s">
        <v>32</v>
      </c>
      <c r="C82" s="14" t="s">
        <v>33</v>
      </c>
      <c r="D82" s="25" t="s">
        <v>34</v>
      </c>
      <c r="E82" s="14">
        <v>249</v>
      </c>
      <c r="F82" s="26">
        <v>30100</v>
      </c>
      <c r="G82" s="27">
        <f>17600+6720</f>
        <v>24320</v>
      </c>
      <c r="H82" s="27">
        <f>G82-F82</f>
        <v>-5780</v>
      </c>
      <c r="I82" s="25" t="s">
        <v>2666</v>
      </c>
      <c r="J82" s="14"/>
      <c r="K82" s="17"/>
      <c r="L82" s="17">
        <v>42514</v>
      </c>
      <c r="M82" s="25" t="s">
        <v>45</v>
      </c>
      <c r="N82" s="14"/>
      <c r="O82" s="18">
        <v>26.5</v>
      </c>
      <c r="P82" s="19"/>
      <c r="Q82" s="153">
        <v>17300</v>
      </c>
      <c r="R82" s="18">
        <f t="shared" ref="R82" si="142">61.75*E82</f>
        <v>15375.75</v>
      </c>
      <c r="S82" s="30">
        <f t="shared" ref="S82" si="143">-35*E82</f>
        <v>-8715</v>
      </c>
      <c r="T82" s="163">
        <f>W82*F82*0.0045</f>
        <v>4582.8869793379927</v>
      </c>
      <c r="U82" s="18">
        <f>E82*5</f>
        <v>1245</v>
      </c>
      <c r="V82" s="14"/>
      <c r="W82" s="18">
        <f>((O82*F82)+Q82+R82+S82+U82)/G82</f>
        <v>33.834529194078947</v>
      </c>
      <c r="X82" s="18">
        <f>((O82*F82)+Q82+R82+S82+T82+U82)/G82</f>
        <v>34.022970270531992</v>
      </c>
      <c r="Y82" s="21">
        <f>X82*G82</f>
        <v>827438.63697933801</v>
      </c>
      <c r="Z82" s="32">
        <v>42589</v>
      </c>
      <c r="AA82" s="37">
        <v>35.5</v>
      </c>
      <c r="AB82" s="37" t="s">
        <v>2689</v>
      </c>
    </row>
    <row r="83" spans="1:28" s="12" customFormat="1" x14ac:dyDescent="0.25">
      <c r="A83" s="148"/>
      <c r="B83" s="24" t="s">
        <v>66</v>
      </c>
      <c r="C83" s="25" t="s">
        <v>72</v>
      </c>
      <c r="D83" s="25" t="s">
        <v>57</v>
      </c>
      <c r="E83" s="14" t="s">
        <v>67</v>
      </c>
      <c r="F83" s="26">
        <v>3716.4</v>
      </c>
      <c r="G83" s="27">
        <v>3716.4</v>
      </c>
      <c r="H83" s="27">
        <f t="shared" ref="H83:H84" si="144">G83-F83</f>
        <v>0</v>
      </c>
      <c r="I83" s="25" t="s">
        <v>2764</v>
      </c>
      <c r="J83" s="14"/>
      <c r="K83" s="17"/>
      <c r="L83" s="17">
        <v>42514</v>
      </c>
      <c r="M83" s="25" t="s">
        <v>45</v>
      </c>
      <c r="N83" s="14"/>
      <c r="O83" s="18">
        <v>15.8</v>
      </c>
      <c r="P83" s="19"/>
      <c r="Q83" s="18"/>
      <c r="R83" s="18"/>
      <c r="S83" s="30"/>
      <c r="T83" s="31"/>
      <c r="U83" s="18"/>
      <c r="V83" s="18"/>
      <c r="W83" s="18">
        <f t="shared" ref="W83:W84" si="145">IF(O83&gt;0,O83,((P83*2.2046*S83)+(Q83+R83)/G83)+V83)</f>
        <v>15.8</v>
      </c>
      <c r="X83" s="18">
        <f t="shared" ref="X83:X84" si="146">IF(O83&gt;0,O83,((P83*2.2046*S83)+(Q83+R83+T83)/G83)+V83)</f>
        <v>15.8</v>
      </c>
      <c r="Y83" s="21">
        <f t="shared" ref="Y83:Y84" si="147">X83*F83</f>
        <v>58719.12</v>
      </c>
      <c r="Z83" s="32">
        <v>42521</v>
      </c>
      <c r="AA83" s="37"/>
      <c r="AB83" s="37"/>
    </row>
    <row r="84" spans="1:28" s="12" customFormat="1" x14ac:dyDescent="0.25">
      <c r="A84" s="148"/>
      <c r="B84" s="24" t="s">
        <v>1000</v>
      </c>
      <c r="C84" s="25" t="s">
        <v>1001</v>
      </c>
      <c r="D84" s="25" t="s">
        <v>57</v>
      </c>
      <c r="E84" s="14" t="s">
        <v>2765</v>
      </c>
      <c r="F84" s="26">
        <v>4004.28</v>
      </c>
      <c r="G84" s="27">
        <v>4004.28</v>
      </c>
      <c r="H84" s="27">
        <f t="shared" si="144"/>
        <v>0</v>
      </c>
      <c r="I84" s="25" t="s">
        <v>2766</v>
      </c>
      <c r="J84" s="14"/>
      <c r="K84" s="17"/>
      <c r="L84" s="17">
        <v>42515</v>
      </c>
      <c r="M84" s="25" t="s">
        <v>50</v>
      </c>
      <c r="N84" s="14"/>
      <c r="O84" s="18">
        <v>51</v>
      </c>
      <c r="P84" s="19"/>
      <c r="Q84" s="18"/>
      <c r="R84" s="18"/>
      <c r="S84" s="30"/>
      <c r="T84" s="31"/>
      <c r="U84" s="18"/>
      <c r="V84" s="18"/>
      <c r="W84" s="18">
        <f t="shared" si="145"/>
        <v>51</v>
      </c>
      <c r="X84" s="18">
        <f t="shared" si="146"/>
        <v>51</v>
      </c>
      <c r="Y84" s="21">
        <f t="shared" si="147"/>
        <v>204218.28</v>
      </c>
      <c r="Z84" s="32">
        <v>42521</v>
      </c>
      <c r="AA84" s="37"/>
      <c r="AB84" s="37"/>
    </row>
    <row r="85" spans="1:28" s="12" customFormat="1" x14ac:dyDescent="0.25">
      <c r="A85" s="148"/>
      <c r="B85" s="24" t="s">
        <v>25</v>
      </c>
      <c r="C85" s="25" t="s">
        <v>72</v>
      </c>
      <c r="D85" s="25" t="s">
        <v>72</v>
      </c>
      <c r="E85" s="14" t="s">
        <v>42</v>
      </c>
      <c r="F85" s="26">
        <f>42516*0.4536</f>
        <v>19285.257600000001</v>
      </c>
      <c r="G85" s="27">
        <v>19172.900000000001</v>
      </c>
      <c r="H85" s="27">
        <f>G85-F85</f>
        <v>-112.35759999999937</v>
      </c>
      <c r="I85" s="12" t="s">
        <v>2565</v>
      </c>
      <c r="J85" s="93" t="s">
        <v>44</v>
      </c>
      <c r="K85" s="17">
        <v>42514</v>
      </c>
      <c r="L85" s="17">
        <v>42515</v>
      </c>
      <c r="M85" s="25" t="s">
        <v>50</v>
      </c>
      <c r="N85" s="25" t="s">
        <v>2592</v>
      </c>
      <c r="O85" s="18"/>
      <c r="P85" s="28">
        <f>0.6693+0.105</f>
        <v>0.77429999999999999</v>
      </c>
      <c r="Q85" s="153">
        <v>18500</v>
      </c>
      <c r="R85" s="18">
        <v>9056</v>
      </c>
      <c r="S85" s="30">
        <v>18.39</v>
      </c>
      <c r="T85" s="163">
        <f>W85*F85*0.005</f>
        <v>3175.2566710866931</v>
      </c>
      <c r="V85" s="18">
        <v>0.1</v>
      </c>
      <c r="W85" s="18">
        <f t="shared" ref="W85" si="148">IF(O85&gt;0,O85,((P85*2.2046*S85)+(Q85+R85)/G85)+V85)</f>
        <v>32.929367467579929</v>
      </c>
      <c r="X85" s="18">
        <f t="shared" ref="X85" si="149">IF(O85&gt;0,O85,((P85*2.2046*S85)+(Q85+R85+T85)/G85)+V85)</f>
        <v>33.094979173221056</v>
      </c>
      <c r="Y85" s="21">
        <f t="shared" ref="Y85" si="150">X85*F85</f>
        <v>638245.19862220308</v>
      </c>
      <c r="Z85" s="32">
        <v>42508</v>
      </c>
      <c r="AA85" s="37"/>
      <c r="AB85" s="37"/>
    </row>
    <row r="86" spans="1:28" s="12" customFormat="1" x14ac:dyDescent="0.25">
      <c r="A86" s="148"/>
      <c r="B86" s="24" t="s">
        <v>32</v>
      </c>
      <c r="C86" s="14" t="s">
        <v>33</v>
      </c>
      <c r="D86" s="25" t="s">
        <v>34</v>
      </c>
      <c r="E86" s="14">
        <v>200</v>
      </c>
      <c r="F86" s="26">
        <v>23825</v>
      </c>
      <c r="G86" s="27">
        <v>18960</v>
      </c>
      <c r="H86" s="27">
        <f>G86-F86</f>
        <v>-4865</v>
      </c>
      <c r="I86" s="12" t="s">
        <v>2667</v>
      </c>
      <c r="J86" s="14"/>
      <c r="K86" s="17"/>
      <c r="L86" s="17">
        <v>42515</v>
      </c>
      <c r="M86" s="25" t="s">
        <v>50</v>
      </c>
      <c r="N86" s="14"/>
      <c r="O86" s="18">
        <v>26.5</v>
      </c>
      <c r="P86" s="19"/>
      <c r="Q86" s="153">
        <v>17300</v>
      </c>
      <c r="R86" s="18">
        <f t="shared" ref="R86" si="151">61.75*E86</f>
        <v>12350</v>
      </c>
      <c r="S86" s="30">
        <f t="shared" ref="S86" si="152">-35*E86</f>
        <v>-7000</v>
      </c>
      <c r="T86" s="163">
        <f>W86*F86*0.0045</f>
        <v>3703.8780409414553</v>
      </c>
      <c r="U86" s="18">
        <f>E86*5</f>
        <v>1000</v>
      </c>
      <c r="V86" s="14"/>
      <c r="W86" s="18">
        <f>((O86*F86)+Q86+R86+S86+U86)/G86</f>
        <v>34.547072784810126</v>
      </c>
      <c r="X86" s="18">
        <f>((O86*F86)+Q86+R86+S86+T86+U86)/G86</f>
        <v>34.742425002159358</v>
      </c>
      <c r="Y86" s="21">
        <f>X86*G86</f>
        <v>658716.37804094143</v>
      </c>
      <c r="Z86" s="32">
        <v>42589</v>
      </c>
      <c r="AA86" s="37">
        <v>35.5</v>
      </c>
      <c r="AB86" s="37"/>
    </row>
    <row r="87" spans="1:28" s="12" customFormat="1" x14ac:dyDescent="0.25">
      <c r="A87" s="148"/>
      <c r="B87" s="24" t="s">
        <v>25</v>
      </c>
      <c r="C87" s="25" t="s">
        <v>72</v>
      </c>
      <c r="D87" s="25" t="s">
        <v>72</v>
      </c>
      <c r="E87" s="14" t="s">
        <v>42</v>
      </c>
      <c r="F87" s="26">
        <f>43018*0.4536</f>
        <v>19512.964800000002</v>
      </c>
      <c r="G87" s="27">
        <v>19447.47</v>
      </c>
      <c r="H87" s="27">
        <f>G87-F87</f>
        <v>-65.494800000000396</v>
      </c>
      <c r="I87" s="12" t="s">
        <v>2566</v>
      </c>
      <c r="J87" s="93" t="s">
        <v>29</v>
      </c>
      <c r="K87" s="17">
        <v>42515</v>
      </c>
      <c r="L87" s="17">
        <v>42516</v>
      </c>
      <c r="M87" s="25" t="s">
        <v>65</v>
      </c>
      <c r="N87" s="25" t="s">
        <v>2594</v>
      </c>
      <c r="O87" s="18"/>
      <c r="P87" s="28">
        <f>0.6513+0.105</f>
        <v>0.75629999999999997</v>
      </c>
      <c r="Q87" s="153">
        <v>18500</v>
      </c>
      <c r="R87" s="18">
        <v>9056</v>
      </c>
      <c r="S87" s="30">
        <v>18.54</v>
      </c>
      <c r="T87" s="163">
        <f>W87*F87*0.005</f>
        <v>3163.969671932753</v>
      </c>
      <c r="V87" s="18">
        <v>0.1</v>
      </c>
      <c r="W87" s="18">
        <f t="shared" ref="W87" si="153">IF(O87&gt;0,O87,((P87*2.2046*S87)+(Q87+R87)/G87)+V87)</f>
        <v>32.429409926806741</v>
      </c>
      <c r="X87" s="18">
        <f t="shared" ref="X87" si="154">IF(O87&gt;0,O87,((P87*2.2046*S87)+(Q87+R87+T87)/G87)+V87)</f>
        <v>32.592103052027291</v>
      </c>
      <c r="Y87" s="21">
        <f t="shared" ref="Y87" si="155">X87*F87</f>
        <v>635968.55961218115</v>
      </c>
      <c r="Z87" s="32">
        <v>42509</v>
      </c>
      <c r="AA87" s="37"/>
      <c r="AB87" s="37"/>
    </row>
    <row r="88" spans="1:28" s="12" customFormat="1" x14ac:dyDescent="0.25">
      <c r="A88" s="148"/>
      <c r="B88" s="24" t="s">
        <v>25</v>
      </c>
      <c r="C88" s="25" t="s">
        <v>72</v>
      </c>
      <c r="D88" s="25" t="s">
        <v>72</v>
      </c>
      <c r="E88" s="14" t="s">
        <v>42</v>
      </c>
      <c r="F88" s="26">
        <f>42818*0.4536</f>
        <v>19422.2448</v>
      </c>
      <c r="G88" s="27">
        <v>19290.22</v>
      </c>
      <c r="H88" s="27">
        <f>G88-F88</f>
        <v>-132.02479999999923</v>
      </c>
      <c r="I88" s="12" t="s">
        <v>2567</v>
      </c>
      <c r="J88" s="93" t="s">
        <v>49</v>
      </c>
      <c r="K88" s="17">
        <v>42515</v>
      </c>
      <c r="L88" s="17">
        <v>42516</v>
      </c>
      <c r="M88" s="25" t="s">
        <v>65</v>
      </c>
      <c r="N88" s="25" t="s">
        <v>2594</v>
      </c>
      <c r="O88" s="18"/>
      <c r="P88" s="28">
        <v>0.75629999999999997</v>
      </c>
      <c r="Q88" s="153">
        <v>18500</v>
      </c>
      <c r="R88" s="18">
        <v>9056</v>
      </c>
      <c r="S88" s="30">
        <v>18.54</v>
      </c>
      <c r="T88" s="163">
        <f t="shared" ref="T88" si="156">W88*F88*0.005</f>
        <v>3150.3813896463207</v>
      </c>
      <c r="V88" s="18">
        <v>0.1</v>
      </c>
      <c r="W88" s="18">
        <f>IF(O88&gt;0,O88,((P88*2.2046*S88)+(Q88+R88)/G88)+V88)</f>
        <v>32.44096057986377</v>
      </c>
      <c r="X88" s="18">
        <f>IF(O88&gt;0,O88,((P88*2.2046*S88)+(Q88+R88+T88)/G88)+V88)</f>
        <v>32.60427553374435</v>
      </c>
      <c r="Y88" s="21">
        <f>X88*F88</f>
        <v>633248.22094303346</v>
      </c>
      <c r="Z88" s="32">
        <v>42509</v>
      </c>
      <c r="AA88" s="37"/>
      <c r="AB88" s="37"/>
    </row>
    <row r="89" spans="1:28" s="12" customFormat="1" x14ac:dyDescent="0.25">
      <c r="A89" s="148"/>
      <c r="B89" s="24" t="s">
        <v>32</v>
      </c>
      <c r="C89" s="14" t="s">
        <v>33</v>
      </c>
      <c r="D89" s="25" t="s">
        <v>34</v>
      </c>
      <c r="E89" s="14">
        <v>250</v>
      </c>
      <c r="F89" s="26">
        <v>30395</v>
      </c>
      <c r="G89" s="27">
        <v>24530</v>
      </c>
      <c r="H89" s="27">
        <f t="shared" ref="H89:H92" si="157">G89-F89</f>
        <v>-5865</v>
      </c>
      <c r="I89" s="12" t="s">
        <v>2695</v>
      </c>
      <c r="J89" s="14"/>
      <c r="K89" s="17"/>
      <c r="L89" s="17">
        <v>42516</v>
      </c>
      <c r="M89" s="25" t="s">
        <v>65</v>
      </c>
      <c r="N89" s="14"/>
      <c r="O89" s="18">
        <v>26.5</v>
      </c>
      <c r="P89" s="19"/>
      <c r="Q89" s="153">
        <v>17300</v>
      </c>
      <c r="R89" s="18">
        <f t="shared" ref="R89:R90" si="158">61.75*E89</f>
        <v>15437.5</v>
      </c>
      <c r="S89" s="30">
        <f t="shared" ref="S89:S90" si="159">-35*E89</f>
        <v>-8750</v>
      </c>
      <c r="T89" s="163">
        <f t="shared" ref="T89:T90" si="160">W89*F89*0.0045</f>
        <v>4631.9508005503458</v>
      </c>
      <c r="U89" s="18">
        <f t="shared" ref="U89:U90" si="161">E89*5</f>
        <v>1250</v>
      </c>
      <c r="V89" s="14"/>
      <c r="W89" s="18">
        <f t="shared" ref="W89:W90" si="162">((O89*F89)+Q89+R89+S89+U89)/G89</f>
        <v>33.864859355890744</v>
      </c>
      <c r="X89" s="18">
        <f t="shared" ref="X89:X90" si="163">((O89*F89)+Q89+R89+S89+T89+U89)/G89</f>
        <v>34.05368735428253</v>
      </c>
      <c r="Y89" s="21">
        <f t="shared" ref="Y89:Y90" si="164">X89*G89</f>
        <v>835336.95080055052</v>
      </c>
      <c r="Z89" s="32">
        <v>42529</v>
      </c>
      <c r="AA89" s="37">
        <v>35.5</v>
      </c>
      <c r="AB89" s="37"/>
    </row>
    <row r="90" spans="1:28" s="12" customFormat="1" x14ac:dyDescent="0.25">
      <c r="A90" s="148"/>
      <c r="B90" s="24" t="s">
        <v>32</v>
      </c>
      <c r="C90" s="14" t="s">
        <v>33</v>
      </c>
      <c r="D90" s="25" t="s">
        <v>1510</v>
      </c>
      <c r="E90" s="14">
        <v>130</v>
      </c>
      <c r="F90" s="26">
        <v>13755</v>
      </c>
      <c r="G90" s="27">
        <v>10870</v>
      </c>
      <c r="H90" s="27">
        <f t="shared" si="157"/>
        <v>-2885</v>
      </c>
      <c r="I90" s="25" t="s">
        <v>2696</v>
      </c>
      <c r="J90" s="133">
        <v>129</v>
      </c>
      <c r="K90" s="17"/>
      <c r="L90" s="17">
        <v>42516</v>
      </c>
      <c r="M90" s="25" t="s">
        <v>65</v>
      </c>
      <c r="N90" s="14"/>
      <c r="O90" s="18">
        <v>26.5</v>
      </c>
      <c r="P90" s="19"/>
      <c r="Q90" s="153">
        <v>13600</v>
      </c>
      <c r="R90" s="18">
        <f t="shared" si="158"/>
        <v>8027.5</v>
      </c>
      <c r="S90" s="30">
        <f t="shared" si="159"/>
        <v>-4550</v>
      </c>
      <c r="T90" s="163">
        <f t="shared" si="160"/>
        <v>2176.5769008739649</v>
      </c>
      <c r="U90" s="18">
        <f t="shared" si="161"/>
        <v>650</v>
      </c>
      <c r="V90" s="14"/>
      <c r="W90" s="18">
        <f t="shared" si="162"/>
        <v>35.164213431462741</v>
      </c>
      <c r="X90" s="18">
        <f t="shared" si="163"/>
        <v>35.364450496860535</v>
      </c>
      <c r="Y90" s="21">
        <f t="shared" si="164"/>
        <v>384411.57690087403</v>
      </c>
      <c r="Z90" s="32">
        <v>42529</v>
      </c>
      <c r="AA90" s="37"/>
      <c r="AB90" s="37" t="s">
        <v>2719</v>
      </c>
    </row>
    <row r="91" spans="1:28" s="12" customFormat="1" x14ac:dyDescent="0.25">
      <c r="A91" s="148"/>
      <c r="B91" s="24" t="s">
        <v>25</v>
      </c>
      <c r="C91" s="25" t="s">
        <v>72</v>
      </c>
      <c r="D91" s="25" t="s">
        <v>72</v>
      </c>
      <c r="E91" s="14" t="s">
        <v>42</v>
      </c>
      <c r="F91" s="26">
        <f>42630*0.4536</f>
        <v>19336.968000000001</v>
      </c>
      <c r="G91" s="27">
        <v>19267.47</v>
      </c>
      <c r="H91" s="27">
        <f t="shared" si="157"/>
        <v>-69.497999999999593</v>
      </c>
      <c r="I91" s="12" t="s">
        <v>2568</v>
      </c>
      <c r="J91" s="93" t="s">
        <v>29</v>
      </c>
      <c r="K91" s="17">
        <v>42516</v>
      </c>
      <c r="L91" s="17">
        <v>42517</v>
      </c>
      <c r="M91" s="25" t="s">
        <v>84</v>
      </c>
      <c r="N91" s="25" t="s">
        <v>2595</v>
      </c>
      <c r="O91" s="18"/>
      <c r="P91" s="28">
        <f>0.6511+0.105</f>
        <v>0.75609999999999999</v>
      </c>
      <c r="Q91" s="153">
        <v>18500</v>
      </c>
      <c r="R91" s="18">
        <v>9043</v>
      </c>
      <c r="S91" s="30">
        <v>18.43</v>
      </c>
      <c r="T91" s="163">
        <f t="shared" ref="T91:T92" si="165">W91*F91*0.005</f>
        <v>3118.1285458409207</v>
      </c>
      <c r="V91" s="18">
        <v>0.1</v>
      </c>
      <c r="W91" s="18">
        <f>IF(O91&gt;0,O91,((P91*2.2046*S91)+(Q91+R91)/G91)+V91)</f>
        <v>32.250439115800575</v>
      </c>
      <c r="X91" s="18">
        <f>IF(O91&gt;0,O91,((P91*2.2046*S91)+(Q91+R91+T91)/G91)+V91)</f>
        <v>32.412272950021723</v>
      </c>
      <c r="Y91" s="21">
        <f t="shared" ref="Y91:Y93" si="166">X91*F91</f>
        <v>626755.08484183566</v>
      </c>
      <c r="Z91" s="32">
        <v>42510</v>
      </c>
      <c r="AA91" s="2"/>
      <c r="AB91" s="2"/>
    </row>
    <row r="92" spans="1:28" s="12" customFormat="1" x14ac:dyDescent="0.25">
      <c r="A92" s="148"/>
      <c r="B92" s="24" t="s">
        <v>25</v>
      </c>
      <c r="C92" s="25" t="s">
        <v>72</v>
      </c>
      <c r="D92" s="25" t="s">
        <v>72</v>
      </c>
      <c r="E92" s="14" t="s">
        <v>42</v>
      </c>
      <c r="F92" s="26">
        <f>42782*0.4536</f>
        <v>19405.915199999999</v>
      </c>
      <c r="G92" s="27">
        <v>19402.96</v>
      </c>
      <c r="H92" s="27">
        <f t="shared" si="157"/>
        <v>-2.9552000000003318</v>
      </c>
      <c r="I92" s="12" t="s">
        <v>2569</v>
      </c>
      <c r="J92" s="93" t="s">
        <v>991</v>
      </c>
      <c r="K92" s="17">
        <v>42516</v>
      </c>
      <c r="L92" s="17">
        <v>42518</v>
      </c>
      <c r="M92" s="25" t="s">
        <v>30</v>
      </c>
      <c r="N92" s="25" t="s">
        <v>2595</v>
      </c>
      <c r="O92" s="18"/>
      <c r="P92" s="28">
        <v>0.75609999999999999</v>
      </c>
      <c r="Q92" s="153">
        <v>21000</v>
      </c>
      <c r="R92" s="18">
        <v>9043</v>
      </c>
      <c r="S92" s="30">
        <v>18.43</v>
      </c>
      <c r="T92" s="163">
        <f t="shared" si="165"/>
        <v>3140.7797694498126</v>
      </c>
      <c r="V92" s="18">
        <v>0.1</v>
      </c>
      <c r="W92" s="18">
        <f>IF(O92&gt;0,O92,((P92*2.2046*S92)+(Q92+R92)/G92)+V92)</f>
        <v>32.36930324677305</v>
      </c>
      <c r="X92" s="18">
        <f>IF(O92&gt;0,O92,((P92*2.2046*S92)+(Q92+R92+T92)/G92)+V92)</f>
        <v>32.531174413308968</v>
      </c>
      <c r="Y92" s="21">
        <f t="shared" si="166"/>
        <v>631297.21202108357</v>
      </c>
      <c r="Z92" s="32">
        <v>42510</v>
      </c>
      <c r="AA92" s="2"/>
      <c r="AB92" s="2"/>
    </row>
    <row r="93" spans="1:28" s="12" customFormat="1" x14ac:dyDescent="0.25">
      <c r="A93" s="148"/>
      <c r="B93" s="24" t="s">
        <v>25</v>
      </c>
      <c r="C93" s="25" t="s">
        <v>40</v>
      </c>
      <c r="D93" s="25" t="s">
        <v>40</v>
      </c>
      <c r="E93" s="14" t="s">
        <v>831</v>
      </c>
      <c r="F93" s="26">
        <f>41262*0.4536</f>
        <v>18716.443200000002</v>
      </c>
      <c r="G93" s="27">
        <v>18821.04</v>
      </c>
      <c r="H93" s="27">
        <f>G93-F93</f>
        <v>104.59679999999935</v>
      </c>
      <c r="I93" s="12" t="s">
        <v>2573</v>
      </c>
      <c r="J93" s="93" t="s">
        <v>74</v>
      </c>
      <c r="K93" s="17">
        <v>42516</v>
      </c>
      <c r="L93" s="17">
        <v>42517</v>
      </c>
      <c r="M93" s="25" t="s">
        <v>84</v>
      </c>
      <c r="N93" s="25" t="s">
        <v>2596</v>
      </c>
      <c r="O93" s="18"/>
      <c r="P93" s="28">
        <f>0.6513+0.1</f>
        <v>0.75129999999999997</v>
      </c>
      <c r="Q93" s="153">
        <v>18500</v>
      </c>
      <c r="R93" s="18">
        <v>9043</v>
      </c>
      <c r="S93" s="30">
        <v>18.651</v>
      </c>
      <c r="T93" s="163">
        <f>W93*F93*0.005</f>
        <v>3037.2449548301461</v>
      </c>
      <c r="V93" s="18">
        <v>0.1</v>
      </c>
      <c r="W93" s="18">
        <f t="shared" ref="W93" si="167">IF(O93&gt;0,O93,((P93*2.2046*S93)+(Q93+R93)/G93)+V93)</f>
        <v>32.455364754668196</v>
      </c>
      <c r="X93" s="18">
        <f t="shared" ref="X93" si="168">IF(O93&gt;0,O93,((P93*2.2046*S93)+(Q93+R93+T93)/G93)+V93)</f>
        <v>32.616739734734658</v>
      </c>
      <c r="Y93" s="21">
        <f t="shared" si="166"/>
        <v>610469.35661434429</v>
      </c>
      <c r="Z93" s="32">
        <v>42528</v>
      </c>
      <c r="AA93" s="37"/>
      <c r="AB93" s="37"/>
    </row>
    <row r="94" spans="1:28" s="12" customFormat="1" x14ac:dyDescent="0.25">
      <c r="A94" s="148"/>
      <c r="B94" s="24" t="s">
        <v>32</v>
      </c>
      <c r="C94" s="14" t="s">
        <v>33</v>
      </c>
      <c r="D94" s="25" t="s">
        <v>87</v>
      </c>
      <c r="E94" s="14">
        <v>242</v>
      </c>
      <c r="F94" s="26">
        <v>28175</v>
      </c>
      <c r="G94" s="27">
        <f>23390-850</f>
        <v>22540</v>
      </c>
      <c r="H94" s="27">
        <f t="shared" ref="H94:H99" si="169">G94-F94</f>
        <v>-5635</v>
      </c>
      <c r="I94" s="12" t="s">
        <v>2701</v>
      </c>
      <c r="J94" s="120">
        <v>250</v>
      </c>
      <c r="K94" s="17"/>
      <c r="L94" s="17">
        <v>42517</v>
      </c>
      <c r="M94" s="25" t="s">
        <v>84</v>
      </c>
      <c r="N94" s="14"/>
      <c r="O94" s="18">
        <v>26.5</v>
      </c>
      <c r="P94" s="19"/>
      <c r="Q94" s="153">
        <v>17300</v>
      </c>
      <c r="R94" s="18">
        <f t="shared" ref="R94:R95" si="170">61.75*E94</f>
        <v>14943.5</v>
      </c>
      <c r="S94" s="30">
        <f>-35*E94</f>
        <v>-8470</v>
      </c>
      <c r="T94" s="180">
        <f>W94*F94*0.0045</f>
        <v>4340.368125</v>
      </c>
      <c r="U94" s="18">
        <f>E94*5</f>
        <v>1210</v>
      </c>
      <c r="V94" s="14"/>
      <c r="W94" s="18">
        <f>((O94*F94)+Q94+R94+S94+U94)/G94</f>
        <v>34.233407275953859</v>
      </c>
      <c r="X94" s="18">
        <f>((O94*F94)+Q94+R94+S94+T94+U94)/G94</f>
        <v>34.425970191881099</v>
      </c>
      <c r="Y94" s="21">
        <f t="shared" ref="Y94:Y95" si="171">X94*G94</f>
        <v>775961.36812499992</v>
      </c>
      <c r="Z94" s="32">
        <v>42530</v>
      </c>
      <c r="AA94" s="2">
        <v>35.5</v>
      </c>
      <c r="AB94" s="2"/>
    </row>
    <row r="95" spans="1:28" s="12" customFormat="1" x14ac:dyDescent="0.25">
      <c r="A95" s="148"/>
      <c r="B95" s="24" t="s">
        <v>32</v>
      </c>
      <c r="C95" s="14" t="s">
        <v>33</v>
      </c>
      <c r="D95" s="25" t="s">
        <v>87</v>
      </c>
      <c r="E95" s="14">
        <v>130</v>
      </c>
      <c r="F95" s="26">
        <v>14995</v>
      </c>
      <c r="G95" s="27">
        <f>11270+850</f>
        <v>12120</v>
      </c>
      <c r="H95" s="27">
        <f t="shared" si="169"/>
        <v>-2875</v>
      </c>
      <c r="I95" s="12" t="s">
        <v>2804</v>
      </c>
      <c r="J95" s="120">
        <v>122</v>
      </c>
      <c r="K95" s="17"/>
      <c r="L95" s="17">
        <v>42517</v>
      </c>
      <c r="M95" s="25" t="s">
        <v>84</v>
      </c>
      <c r="N95" s="14"/>
      <c r="O95" s="18">
        <v>26.5</v>
      </c>
      <c r="P95" s="19"/>
      <c r="Q95" s="153">
        <v>13600</v>
      </c>
      <c r="R95" s="18">
        <f t="shared" si="170"/>
        <v>8027.5</v>
      </c>
      <c r="S95" s="30">
        <f>-35*E95</f>
        <v>-4550</v>
      </c>
      <c r="T95" s="180">
        <f>W95*F95*0.0045</f>
        <v>2311.0208632425743</v>
      </c>
      <c r="U95" s="18">
        <f>E95*5</f>
        <v>650</v>
      </c>
      <c r="V95" s="14"/>
      <c r="W95" s="18">
        <f>((O95*F95)+Q95+R95+S95+U95)/G95</f>
        <v>34.248762376237622</v>
      </c>
      <c r="X95" s="18">
        <f>((O95*F95)+Q95+R95+S95+T95+U95)/G95</f>
        <v>34.439440665284039</v>
      </c>
      <c r="Y95" s="21">
        <f t="shared" si="171"/>
        <v>417406.02086324256</v>
      </c>
      <c r="Z95" s="32">
        <v>42530</v>
      </c>
      <c r="AA95" s="2">
        <v>35.5</v>
      </c>
      <c r="AB95" s="2" t="s">
        <v>2720</v>
      </c>
    </row>
    <row r="96" spans="1:28" s="12" customFormat="1" x14ac:dyDescent="0.25">
      <c r="A96" s="148"/>
      <c r="B96" s="24" t="s">
        <v>66</v>
      </c>
      <c r="C96" s="25" t="s">
        <v>72</v>
      </c>
      <c r="D96" s="25" t="s">
        <v>57</v>
      </c>
      <c r="E96" s="14" t="s">
        <v>67</v>
      </c>
      <c r="F96" s="26">
        <v>3670.9</v>
      </c>
      <c r="G96" s="27">
        <v>3670.9</v>
      </c>
      <c r="H96" s="27">
        <f t="shared" si="169"/>
        <v>0</v>
      </c>
      <c r="I96" s="25"/>
      <c r="J96" s="14"/>
      <c r="K96" s="17"/>
      <c r="L96" s="17">
        <v>42517</v>
      </c>
      <c r="M96" s="25" t="s">
        <v>84</v>
      </c>
      <c r="N96" s="14"/>
      <c r="O96" s="18">
        <v>15.8</v>
      </c>
      <c r="P96" s="19"/>
      <c r="Q96" s="18"/>
      <c r="R96" s="18"/>
      <c r="S96" s="30"/>
      <c r="T96" s="31"/>
      <c r="U96" s="18"/>
      <c r="V96" s="18"/>
      <c r="W96" s="18">
        <f>IF(O96&gt;0,O96,((P96*2.2046*S96)+(Q96+R96)/G96)+V96)</f>
        <v>15.8</v>
      </c>
      <c r="X96" s="18">
        <f>IF(O96&gt;0,O96,((P96*2.2046*S96)+(Q96+R96+T96)/G96)+V96)</f>
        <v>15.8</v>
      </c>
      <c r="Y96" s="21">
        <f t="shared" ref="Y96:Y97" si="172">X96*F96</f>
        <v>58000.22</v>
      </c>
      <c r="Z96" s="32">
        <v>42521</v>
      </c>
      <c r="AA96" s="2"/>
      <c r="AB96" s="2"/>
    </row>
    <row r="97" spans="1:31" s="12" customFormat="1" x14ac:dyDescent="0.25">
      <c r="A97" s="148"/>
      <c r="B97" s="24" t="s">
        <v>55</v>
      </c>
      <c r="C97" s="25" t="s">
        <v>1903</v>
      </c>
      <c r="D97" s="25" t="s">
        <v>2772</v>
      </c>
      <c r="E97" s="14" t="s">
        <v>933</v>
      </c>
      <c r="F97" s="26">
        <v>18670.18</v>
      </c>
      <c r="G97" s="27">
        <v>18670.18</v>
      </c>
      <c r="H97" s="27">
        <f t="shared" si="169"/>
        <v>0</v>
      </c>
      <c r="I97" s="25" t="s">
        <v>2773</v>
      </c>
      <c r="J97" s="14"/>
      <c r="K97" s="17"/>
      <c r="L97" s="17">
        <v>42518</v>
      </c>
      <c r="M97" s="25" t="s">
        <v>30</v>
      </c>
      <c r="N97" s="14"/>
      <c r="O97" s="18">
        <v>36</v>
      </c>
      <c r="P97" s="19"/>
      <c r="Q97" s="18"/>
      <c r="R97" s="18"/>
      <c r="S97" s="30"/>
      <c r="T97" s="31"/>
      <c r="U97" s="18"/>
      <c r="V97" s="18"/>
      <c r="W97" s="18">
        <f>IF(O97&gt;0,O97,((P97*2.2046*S97)+(Q97+R97)/G97)+V97)</f>
        <v>36</v>
      </c>
      <c r="X97" s="18">
        <f>IF(O97&gt;0,O97,((P97*2.2046*S97)+(Q97+R97+T97)/G97)+V97)</f>
        <v>36</v>
      </c>
      <c r="Y97" s="21">
        <f t="shared" si="172"/>
        <v>672126.48</v>
      </c>
      <c r="Z97" s="32">
        <v>42534</v>
      </c>
      <c r="AA97" s="2"/>
      <c r="AB97" s="2"/>
    </row>
    <row r="98" spans="1:31" s="12" customFormat="1" x14ac:dyDescent="0.25">
      <c r="A98" s="148"/>
      <c r="B98" s="24" t="s">
        <v>25</v>
      </c>
      <c r="C98" s="25" t="s">
        <v>26</v>
      </c>
      <c r="D98" s="25" t="s">
        <v>26</v>
      </c>
      <c r="E98" s="14" t="s">
        <v>27</v>
      </c>
      <c r="F98" s="26">
        <f>40753*0.4536</f>
        <v>18485.560799999999</v>
      </c>
      <c r="G98" s="27">
        <v>18490.13</v>
      </c>
      <c r="H98" s="27">
        <f t="shared" si="169"/>
        <v>4.5692000000017288</v>
      </c>
      <c r="I98" s="39" t="s">
        <v>2571</v>
      </c>
      <c r="J98" s="93" t="s">
        <v>44</v>
      </c>
      <c r="K98" s="17">
        <v>42517</v>
      </c>
      <c r="L98" s="17">
        <v>42518</v>
      </c>
      <c r="M98" s="25" t="s">
        <v>30</v>
      </c>
      <c r="N98" s="25" t="s">
        <v>2597</v>
      </c>
      <c r="O98" s="18"/>
      <c r="P98" s="28">
        <f>0.6511+0.1075</f>
        <v>0.75860000000000005</v>
      </c>
      <c r="Q98" s="153">
        <v>18500</v>
      </c>
      <c r="R98" s="18">
        <v>9043</v>
      </c>
      <c r="S98" s="30">
        <v>18.43</v>
      </c>
      <c r="T98" s="163">
        <f t="shared" ref="T98:T99" si="173">W98*F98*0.005</f>
        <v>2995.7804947195932</v>
      </c>
      <c r="V98" s="18">
        <v>0.1</v>
      </c>
      <c r="W98" s="18">
        <f>IF(O98&gt;0,O98,((P98*2.2046*S98)+(Q98+R98)/G98)+V98)</f>
        <v>32.412113726293803</v>
      </c>
      <c r="X98" s="18">
        <f>IF(O98&gt;0,O98,((P98*2.2046*S98)+(Q98+R98+T98)/G98)+V98)</f>
        <v>32.574134247226844</v>
      </c>
      <c r="Y98" s="21">
        <f t="shared" ref="Y98:Y99" si="174">X98*F98</f>
        <v>602151.13913447398</v>
      </c>
      <c r="Z98" s="32">
        <v>42510</v>
      </c>
      <c r="AA98" s="2"/>
      <c r="AB98" s="2" t="s">
        <v>2779</v>
      </c>
      <c r="AD98" s="169" t="s">
        <v>2910</v>
      </c>
      <c r="AE98" s="169"/>
    </row>
    <row r="99" spans="1:31" s="12" customFormat="1" x14ac:dyDescent="0.25">
      <c r="A99" s="148"/>
      <c r="B99" s="24" t="s">
        <v>25</v>
      </c>
      <c r="C99" s="25" t="s">
        <v>72</v>
      </c>
      <c r="D99" s="25" t="s">
        <v>72</v>
      </c>
      <c r="E99" s="14" t="s">
        <v>42</v>
      </c>
      <c r="F99" s="26">
        <f>42786*0.4536</f>
        <v>19407.729599999999</v>
      </c>
      <c r="G99" s="27">
        <v>19402.939999999999</v>
      </c>
      <c r="H99" s="27">
        <f t="shared" si="169"/>
        <v>-4.789600000000064</v>
      </c>
      <c r="I99" s="39" t="s">
        <v>2570</v>
      </c>
      <c r="J99" s="93" t="s">
        <v>44</v>
      </c>
      <c r="K99" s="17">
        <v>42517</v>
      </c>
      <c r="L99" s="17">
        <v>42518</v>
      </c>
      <c r="M99" s="25" t="s">
        <v>30</v>
      </c>
      <c r="N99" s="25" t="s">
        <v>2598</v>
      </c>
      <c r="O99" s="18"/>
      <c r="P99" s="28">
        <f>0.6408+0.105</f>
        <v>0.74580000000000002</v>
      </c>
      <c r="Q99" s="153">
        <v>18500</v>
      </c>
      <c r="R99" s="18">
        <v>9043</v>
      </c>
      <c r="S99" s="30">
        <v>18.46</v>
      </c>
      <c r="T99" s="163">
        <f t="shared" si="173"/>
        <v>3092.7466098762966</v>
      </c>
      <c r="V99" s="18">
        <v>0.1</v>
      </c>
      <c r="W99" s="18">
        <f>IF(O99&gt;0,O99,((P99*2.2046*S99)+(Q99+R99)/G99)+V99)</f>
        <v>31.871287096624602</v>
      </c>
      <c r="X99" s="18">
        <f>IF(O99&gt;0,O99,((P99*2.2046*S99)+(Q99+R99+T99)/G99)+V99)</f>
        <v>32.030682869114557</v>
      </c>
      <c r="Y99" s="21">
        <f t="shared" si="174"/>
        <v>621642.8320271275</v>
      </c>
      <c r="Z99" s="32">
        <v>42513</v>
      </c>
      <c r="AA99" s="2"/>
      <c r="AB99" s="2" t="s">
        <v>2780</v>
      </c>
    </row>
    <row r="100" spans="1:31" s="12" customFormat="1" ht="15.75" thickBot="1" x14ac:dyDescent="0.3">
      <c r="A100" s="148"/>
      <c r="B100" s="41"/>
      <c r="C100" s="4"/>
      <c r="D100" s="4"/>
      <c r="E100" s="4"/>
      <c r="F100" s="42"/>
      <c r="G100" s="42"/>
      <c r="H100" s="42"/>
      <c r="I100" s="6"/>
      <c r="J100" s="4"/>
      <c r="K100" s="7"/>
      <c r="L100" s="7"/>
      <c r="M100" s="4"/>
      <c r="N100" s="4"/>
      <c r="O100" s="8"/>
      <c r="P100" s="9"/>
      <c r="Q100" s="8"/>
      <c r="R100" s="8"/>
      <c r="S100" s="8"/>
      <c r="T100" s="8"/>
      <c r="U100" s="8"/>
      <c r="V100" s="8"/>
      <c r="W100" s="8"/>
      <c r="X100" s="8"/>
      <c r="Y100" s="11"/>
      <c r="Z100" s="43"/>
      <c r="AA100" s="2"/>
      <c r="AB100" s="2"/>
    </row>
    <row r="101" spans="1:31" s="12" customFormat="1" x14ac:dyDescent="0.25">
      <c r="A101" s="150"/>
      <c r="B101" s="14" t="s">
        <v>32</v>
      </c>
      <c r="C101" s="14" t="s">
        <v>33</v>
      </c>
      <c r="D101" s="25" t="s">
        <v>34</v>
      </c>
      <c r="E101" s="14">
        <v>250</v>
      </c>
      <c r="F101" s="26">
        <v>30300</v>
      </c>
      <c r="G101" s="27">
        <f>18830+5780</f>
        <v>24610</v>
      </c>
      <c r="H101" s="27">
        <f t="shared" ref="H101:H103" si="175">G101-F101</f>
        <v>-5690</v>
      </c>
      <c r="I101" s="25" t="s">
        <v>2741</v>
      </c>
      <c r="J101" s="14"/>
      <c r="K101" s="17"/>
      <c r="L101" s="17">
        <v>42519</v>
      </c>
      <c r="M101" s="25" t="s">
        <v>36</v>
      </c>
      <c r="N101" s="14"/>
      <c r="O101" s="18">
        <v>26.5</v>
      </c>
      <c r="P101" s="19"/>
      <c r="Q101" s="18">
        <v>17300</v>
      </c>
      <c r="R101" s="18">
        <f t="shared" ref="R101:R102" si="176">61.75*E101</f>
        <v>15437.5</v>
      </c>
      <c r="S101" s="30">
        <f>-35*E101</f>
        <v>-8750</v>
      </c>
      <c r="T101" s="163">
        <f>W101*F101*0.0045</f>
        <v>4588.5154662738714</v>
      </c>
      <c r="U101" s="18">
        <f>E101*5</f>
        <v>1250</v>
      </c>
      <c r="V101" s="14"/>
      <c r="W101" s="18">
        <f>((O101*F101)+Q101+R101+S101+U101)/G101</f>
        <v>33.652478667208449</v>
      </c>
      <c r="X101" s="18">
        <f>((O101*F101)+Q101+R101+S101+T101+U101)/G101</f>
        <v>33.838927893794143</v>
      </c>
      <c r="Y101" s="21">
        <f>X101*G101</f>
        <v>832776.01546627388</v>
      </c>
      <c r="Z101" s="32">
        <v>42534</v>
      </c>
      <c r="AA101" s="2">
        <v>35.5</v>
      </c>
      <c r="AB101" s="2" t="s">
        <v>2749</v>
      </c>
    </row>
    <row r="102" spans="1:31" s="12" customFormat="1" x14ac:dyDescent="0.25">
      <c r="A102" s="150"/>
      <c r="B102" s="24" t="s">
        <v>32</v>
      </c>
      <c r="C102" s="14" t="s">
        <v>33</v>
      </c>
      <c r="D102" s="25" t="s">
        <v>34</v>
      </c>
      <c r="E102" s="14">
        <v>199</v>
      </c>
      <c r="F102" s="26">
        <v>22585</v>
      </c>
      <c r="G102" s="27">
        <f>5420+12560</f>
        <v>17980</v>
      </c>
      <c r="H102" s="27">
        <f t="shared" si="175"/>
        <v>-4605</v>
      </c>
      <c r="I102" s="25" t="s">
        <v>2748</v>
      </c>
      <c r="J102" s="14"/>
      <c r="K102" s="17"/>
      <c r="L102" s="17">
        <v>42520</v>
      </c>
      <c r="M102" s="25" t="s">
        <v>39</v>
      </c>
      <c r="N102" s="14"/>
      <c r="O102" s="18">
        <v>26.5</v>
      </c>
      <c r="P102" s="19"/>
      <c r="Q102" s="18">
        <v>17300</v>
      </c>
      <c r="R102" s="18">
        <f t="shared" si="176"/>
        <v>12288.25</v>
      </c>
      <c r="S102" s="30">
        <f t="shared" ref="S102" si="177">-35*E102</f>
        <v>-6965</v>
      </c>
      <c r="T102" s="163">
        <f>W102*F102*0.0045</f>
        <v>3516.5565697650163</v>
      </c>
      <c r="U102" s="18">
        <f>E102*5</f>
        <v>995</v>
      </c>
      <c r="V102" s="14"/>
      <c r="W102" s="18">
        <f>((O102*F102)+Q102+R102+S102+U102)/G102</f>
        <v>34.600709121245828</v>
      </c>
      <c r="X102" s="18">
        <f>((O102*F102)+Q102+R102+S102+T102+U102)/G102</f>
        <v>34.796290687973581</v>
      </c>
      <c r="Y102" s="21">
        <f>X102*G102</f>
        <v>625637.30656976497</v>
      </c>
      <c r="Z102" s="32">
        <v>42534</v>
      </c>
      <c r="AA102" s="2">
        <v>35.5</v>
      </c>
      <c r="AB102" s="2" t="s">
        <v>2750</v>
      </c>
    </row>
    <row r="103" spans="1:31" s="12" customFormat="1" x14ac:dyDescent="0.25">
      <c r="A103" s="150"/>
      <c r="B103" s="24" t="s">
        <v>2775</v>
      </c>
      <c r="C103" s="14" t="s">
        <v>2776</v>
      </c>
      <c r="D103" s="25" t="s">
        <v>857</v>
      </c>
      <c r="E103" s="14" t="s">
        <v>889</v>
      </c>
      <c r="F103" s="26">
        <v>993.42</v>
      </c>
      <c r="G103" s="27">
        <v>993.42</v>
      </c>
      <c r="H103" s="27">
        <f t="shared" si="175"/>
        <v>0</v>
      </c>
      <c r="I103" s="25" t="s">
        <v>2777</v>
      </c>
      <c r="J103" s="14"/>
      <c r="K103" s="17"/>
      <c r="L103" s="17">
        <v>42520</v>
      </c>
      <c r="M103" s="25" t="s">
        <v>39</v>
      </c>
      <c r="N103" s="14"/>
      <c r="O103" s="18">
        <v>69.5</v>
      </c>
      <c r="P103" s="19"/>
      <c r="Q103" s="18"/>
      <c r="R103" s="18"/>
      <c r="S103" s="30"/>
      <c r="T103" s="31"/>
      <c r="U103" s="18"/>
      <c r="V103" s="18"/>
      <c r="W103" s="18">
        <f t="shared" ref="W103" si="178">IF(O103&gt;0,O103,((P103*2.2046*S103)+(Q103+R103)/G103)+V103)</f>
        <v>69.5</v>
      </c>
      <c r="X103" s="18">
        <f t="shared" ref="X103" si="179">IF(O103&gt;0,O103,((P103*2.2046*S103)+(Q103+R103+T103)/G103)+V103)</f>
        <v>69.5</v>
      </c>
      <c r="Y103" s="21">
        <f>X103*F103</f>
        <v>69042.69</v>
      </c>
      <c r="Z103" s="32">
        <v>42541</v>
      </c>
      <c r="AA103" s="2"/>
      <c r="AB103" s="2"/>
    </row>
    <row r="104" spans="1:31" s="12" customFormat="1" x14ac:dyDescent="0.25">
      <c r="A104" s="150"/>
      <c r="B104" s="24" t="s">
        <v>25</v>
      </c>
      <c r="C104" s="25" t="s">
        <v>40</v>
      </c>
      <c r="D104" s="25" t="s">
        <v>40</v>
      </c>
      <c r="E104" s="14" t="s">
        <v>831</v>
      </c>
      <c r="F104" s="26">
        <f>40319*0.4536</f>
        <v>18288.698400000001</v>
      </c>
      <c r="G104" s="27">
        <v>18408.32</v>
      </c>
      <c r="H104" s="27">
        <f>G104-F104</f>
        <v>119.62159999999858</v>
      </c>
      <c r="I104" s="12" t="s">
        <v>2623</v>
      </c>
      <c r="J104" s="95" t="s">
        <v>49</v>
      </c>
      <c r="K104" s="17">
        <v>42520</v>
      </c>
      <c r="L104" s="17">
        <v>42521</v>
      </c>
      <c r="M104" s="25" t="s">
        <v>45</v>
      </c>
      <c r="N104" s="25" t="s">
        <v>2613</v>
      </c>
      <c r="O104" s="18"/>
      <c r="P104" s="28">
        <f>0.653+0.1</f>
        <v>0.753</v>
      </c>
      <c r="Q104" s="153">
        <v>18500</v>
      </c>
      <c r="R104" s="175">
        <v>9056</v>
      </c>
      <c r="S104" s="30">
        <v>18.651</v>
      </c>
      <c r="T104" s="163">
        <f>W104*F104*0.005</f>
        <v>2977.2886990283687</v>
      </c>
      <c r="V104" s="18">
        <v>0.1</v>
      </c>
      <c r="W104" s="18">
        <f t="shared" ref="W104:W105" si="180">IF(O104&gt;0,O104,((P104*2.2046*S104)+(Q104+R104)/G104)+V104)</f>
        <v>32.5587817559326</v>
      </c>
      <c r="X104" s="18">
        <f t="shared" ref="X104:X105" si="181">IF(O104&gt;0,O104,((P104*2.2046*S104)+(Q104+R104+T104)/G104)+V104)</f>
        <v>32.720517791541958</v>
      </c>
      <c r="Y104" s="21">
        <f>X104*F104</f>
        <v>598415.68138134503</v>
      </c>
      <c r="Z104" s="32">
        <v>42531</v>
      </c>
      <c r="AA104" s="37"/>
      <c r="AB104" s="37"/>
    </row>
    <row r="105" spans="1:31" s="12" customFormat="1" x14ac:dyDescent="0.25">
      <c r="A105" s="150"/>
      <c r="B105" s="24" t="s">
        <v>25</v>
      </c>
      <c r="C105" s="25" t="s">
        <v>26</v>
      </c>
      <c r="D105" s="25" t="s">
        <v>26</v>
      </c>
      <c r="E105" s="14" t="s">
        <v>27</v>
      </c>
      <c r="F105" s="26">
        <f>41797*0.4536</f>
        <v>18959.119200000001</v>
      </c>
      <c r="G105" s="27">
        <v>18921.490000000002</v>
      </c>
      <c r="H105" s="27">
        <f t="shared" ref="H105" si="182">G105-F105</f>
        <v>-37.6291999999994</v>
      </c>
      <c r="I105" s="12" t="s">
        <v>2622</v>
      </c>
      <c r="J105" s="95" t="s">
        <v>44</v>
      </c>
      <c r="K105" s="17">
        <v>42520</v>
      </c>
      <c r="L105" s="17">
        <v>42521</v>
      </c>
      <c r="M105" s="25" t="s">
        <v>45</v>
      </c>
      <c r="N105" s="25" t="s">
        <v>2614</v>
      </c>
      <c r="O105" s="18"/>
      <c r="P105" s="28">
        <f>0.6515+0.1075</f>
        <v>0.75900000000000001</v>
      </c>
      <c r="Q105" s="153">
        <v>18500</v>
      </c>
      <c r="R105" s="18">
        <v>9056</v>
      </c>
      <c r="S105" s="30">
        <v>18.41</v>
      </c>
      <c r="T105" s="163">
        <f t="shared" ref="T105" si="183">W105*F105*0.005</f>
        <v>3067.7398315025644</v>
      </c>
      <c r="V105" s="18">
        <v>0.1</v>
      </c>
      <c r="W105" s="18">
        <f t="shared" si="180"/>
        <v>32.361628186847035</v>
      </c>
      <c r="X105" s="18">
        <f t="shared" si="181"/>
        <v>32.523758115911953</v>
      </c>
      <c r="Y105" s="21">
        <f t="shared" ref="Y105" si="184">X105*F105</f>
        <v>616621.80695154215</v>
      </c>
      <c r="Z105" s="32">
        <v>42515</v>
      </c>
      <c r="AA105" s="37"/>
      <c r="AB105" s="37"/>
    </row>
    <row r="106" spans="1:31" s="12" customFormat="1" x14ac:dyDescent="0.25">
      <c r="A106" s="150"/>
      <c r="B106" s="24" t="s">
        <v>32</v>
      </c>
      <c r="C106" s="14" t="s">
        <v>33</v>
      </c>
      <c r="D106" s="25" t="s">
        <v>1228</v>
      </c>
      <c r="E106" s="14">
        <v>200</v>
      </c>
      <c r="F106" s="26">
        <v>22060</v>
      </c>
      <c r="G106" s="27">
        <f>5020+12130</f>
        <v>17150</v>
      </c>
      <c r="H106" s="27">
        <f>G106-F106</f>
        <v>-4910</v>
      </c>
      <c r="I106" s="12" t="s">
        <v>2757</v>
      </c>
      <c r="J106" s="133" t="s">
        <v>2758</v>
      </c>
      <c r="K106" s="17"/>
      <c r="L106" s="17">
        <v>42521</v>
      </c>
      <c r="M106" s="25" t="s">
        <v>45</v>
      </c>
      <c r="N106" s="14"/>
      <c r="O106" s="18">
        <v>26.5</v>
      </c>
      <c r="P106" s="19"/>
      <c r="Q106" s="18">
        <v>17300</v>
      </c>
      <c r="R106" s="18">
        <f t="shared" ref="R106" si="185">61.75*E106</f>
        <v>12350</v>
      </c>
      <c r="S106" s="30">
        <f t="shared" ref="S106" si="186">-35*E106</f>
        <v>-7000</v>
      </c>
      <c r="T106" s="163">
        <f>W106*F106*0.0045</f>
        <v>3520.6988221574343</v>
      </c>
      <c r="U106" s="18">
        <f>E106*5</f>
        <v>1000</v>
      </c>
      <c r="V106" s="14"/>
      <c r="W106" s="18">
        <f>((O106*F106)+Q106+R106+S106+U106)/G106</f>
        <v>35.465889212827989</v>
      </c>
      <c r="X106" s="18">
        <f>((O106*F106)+Q106+R106+S106+T106+U106)/G106</f>
        <v>35.671177773886733</v>
      </c>
      <c r="Y106" s="21">
        <f>X106*G106</f>
        <v>611760.69882215746</v>
      </c>
      <c r="Z106" s="32">
        <v>42534</v>
      </c>
      <c r="AA106" s="37">
        <v>35.5</v>
      </c>
      <c r="AB106" s="37" t="s">
        <v>2799</v>
      </c>
    </row>
    <row r="107" spans="1:31" s="12" customFormat="1" ht="15.75" thickBot="1" x14ac:dyDescent="0.3">
      <c r="A107" s="150"/>
      <c r="B107" s="41"/>
      <c r="C107" s="4"/>
      <c r="D107" s="4"/>
      <c r="E107" s="4"/>
      <c r="F107" s="42"/>
      <c r="G107" s="42"/>
      <c r="H107" s="42"/>
      <c r="I107" s="6"/>
      <c r="J107" s="4"/>
      <c r="K107" s="7"/>
      <c r="L107" s="7"/>
      <c r="M107" s="4"/>
      <c r="N107" s="4"/>
      <c r="O107" s="8"/>
      <c r="P107" s="9"/>
      <c r="Q107" s="8"/>
      <c r="R107" s="8"/>
      <c r="S107" s="8"/>
      <c r="T107" s="8"/>
      <c r="U107" s="8"/>
      <c r="V107" s="8"/>
      <c r="W107" s="8"/>
      <c r="X107" s="8"/>
      <c r="Y107" s="11"/>
      <c r="Z107" s="43"/>
      <c r="AA107" s="2"/>
      <c r="AB107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7"/>
  <sheetViews>
    <sheetView topLeftCell="A58" zoomScale="75" zoomScaleNormal="75" workbookViewId="0">
      <selection activeCell="I96" sqref="I96"/>
    </sheetView>
  </sheetViews>
  <sheetFormatPr baseColWidth="10" defaultRowHeight="15" x14ac:dyDescent="0.25"/>
  <cols>
    <col min="1" max="1" width="3.28515625" customWidth="1"/>
    <col min="2" max="2" width="16.28515625" customWidth="1"/>
    <col min="3" max="3" width="12.42578125" customWidth="1"/>
    <col min="4" max="4" width="16.85546875" customWidth="1"/>
    <col min="5" max="5" width="10.85546875" bestFit="1" customWidth="1"/>
    <col min="8" max="8" width="10.140625" customWidth="1"/>
    <col min="9" max="9" width="14.28515625" customWidth="1"/>
    <col min="13" max="13" width="3.42578125" customWidth="1"/>
    <col min="14" max="14" width="7.5703125" customWidth="1"/>
    <col min="16" max="16" width="10.140625" customWidth="1"/>
    <col min="19" max="19" width="13" customWidth="1"/>
    <col min="22" max="22" width="6.85546875" customWidth="1"/>
    <col min="23" max="23" width="0" hidden="1" customWidth="1"/>
    <col min="25" max="25" width="17.140625" customWidth="1"/>
    <col min="26" max="26" width="12.42578125" customWidth="1"/>
  </cols>
  <sheetData>
    <row r="1" spans="1:28" x14ac:dyDescent="0.25">
      <c r="A1" s="1" t="s">
        <v>2608</v>
      </c>
      <c r="Y1" s="2"/>
      <c r="AA1" s="2"/>
      <c r="AB1" s="2"/>
    </row>
    <row r="2" spans="1:28" s="12" customFormat="1" ht="45.7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4" t="s">
        <v>9</v>
      </c>
      <c r="K2" s="7" t="s">
        <v>10</v>
      </c>
      <c r="L2" s="7" t="s">
        <v>11</v>
      </c>
      <c r="M2" s="4" t="s">
        <v>12</v>
      </c>
      <c r="N2" s="4" t="s">
        <v>13</v>
      </c>
      <c r="O2" s="8" t="s">
        <v>14</v>
      </c>
      <c r="P2" s="9" t="s">
        <v>15</v>
      </c>
      <c r="Q2" s="8" t="s">
        <v>16</v>
      </c>
      <c r="R2" s="10" t="s">
        <v>17</v>
      </c>
      <c r="S2" s="10" t="s">
        <v>18</v>
      </c>
      <c r="T2" s="10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1" t="s">
        <v>24</v>
      </c>
      <c r="Z2" s="8"/>
      <c r="AA2" s="2"/>
      <c r="AB2" s="2"/>
    </row>
    <row r="3" spans="1:28" s="12" customFormat="1" x14ac:dyDescent="0.25">
      <c r="A3" s="150"/>
      <c r="B3" s="24" t="s">
        <v>25</v>
      </c>
      <c r="C3" s="25" t="s">
        <v>72</v>
      </c>
      <c r="D3" s="25" t="s">
        <v>72</v>
      </c>
      <c r="E3" s="14" t="s">
        <v>42</v>
      </c>
      <c r="F3" s="26">
        <f>42620*0.4536</f>
        <v>19332.432000000001</v>
      </c>
      <c r="G3" s="27">
        <v>19350.2</v>
      </c>
      <c r="H3" s="27">
        <f>G3-F3</f>
        <v>17.768000000000029</v>
      </c>
      <c r="I3" s="12" t="s">
        <v>2624</v>
      </c>
      <c r="J3" s="93" t="s">
        <v>44</v>
      </c>
      <c r="K3" s="17">
        <v>42521</v>
      </c>
      <c r="L3" s="17">
        <v>42522</v>
      </c>
      <c r="M3" s="25" t="s">
        <v>50</v>
      </c>
      <c r="N3" s="25" t="s">
        <v>2609</v>
      </c>
      <c r="O3" s="18"/>
      <c r="P3" s="28">
        <f>0.653+0.105</f>
        <v>0.75800000000000001</v>
      </c>
      <c r="Q3" s="153">
        <v>18500</v>
      </c>
      <c r="R3" s="18">
        <v>9046</v>
      </c>
      <c r="S3" s="30">
        <v>18.46</v>
      </c>
      <c r="T3" s="163">
        <f>W3*F3*0.005</f>
        <v>3129.1294165844761</v>
      </c>
      <c r="V3" s="18">
        <v>0.1</v>
      </c>
      <c r="W3" s="18">
        <f t="shared" ref="W3" si="0">IF(O3&gt;0,O3,((P3*2.2046*S3)+(Q3+R3)/G3)+V3)</f>
        <v>32.371813505765608</v>
      </c>
      <c r="X3" s="18">
        <f t="shared" ref="X3" si="1">IF(O3&gt;0,O3,((P3*2.2046*S3)+(Q3+R3+T3)/G3)+V3)</f>
        <v>32.533523948892011</v>
      </c>
      <c r="Y3" s="21">
        <f t="shared" ref="Y3" si="2">X3*F3</f>
        <v>628952.1394623263</v>
      </c>
      <c r="Z3" s="32">
        <v>42515</v>
      </c>
      <c r="AA3" s="37"/>
      <c r="AB3" s="37"/>
    </row>
    <row r="4" spans="1:28" s="12" customFormat="1" x14ac:dyDescent="0.25">
      <c r="A4" s="150"/>
      <c r="B4" s="24" t="s">
        <v>32</v>
      </c>
      <c r="C4" s="14" t="s">
        <v>33</v>
      </c>
      <c r="D4" s="25" t="s">
        <v>34</v>
      </c>
      <c r="E4" s="14">
        <v>229</v>
      </c>
      <c r="F4" s="26">
        <f>29280</f>
        <v>29280</v>
      </c>
      <c r="G4" s="27">
        <f>19560</f>
        <v>19560</v>
      </c>
      <c r="H4" s="27">
        <f t="shared" ref="H4:H5" si="3">G4-F4</f>
        <v>-9720</v>
      </c>
      <c r="I4" s="12" t="s">
        <v>2787</v>
      </c>
      <c r="J4" s="120">
        <v>200</v>
      </c>
      <c r="K4" s="17"/>
      <c r="L4" s="17">
        <v>42522</v>
      </c>
      <c r="M4" s="25" t="s">
        <v>50</v>
      </c>
      <c r="N4" s="14"/>
      <c r="O4" s="18">
        <v>26.5</v>
      </c>
      <c r="P4" s="19"/>
      <c r="Q4" s="153">
        <f>17300+13600</f>
        <v>30900</v>
      </c>
      <c r="R4" s="18">
        <f t="shared" ref="R4" si="4">61.75*E4</f>
        <v>14140.75</v>
      </c>
      <c r="S4" s="145">
        <f t="shared" ref="S4" si="5">-35*E4</f>
        <v>-8015</v>
      </c>
      <c r="T4" s="163">
        <f t="shared" ref="T4" si="6">W4*F4*0.0045</f>
        <v>5483.8751134969316</v>
      </c>
      <c r="U4" s="18">
        <f t="shared" ref="U4" si="7">E4*5</f>
        <v>1145</v>
      </c>
      <c r="V4" s="14"/>
      <c r="W4" s="18">
        <f t="shared" ref="W4" si="8">((O4*F4)+Q4+R4+S4+U4)/G4</f>
        <v>41.620181492842534</v>
      </c>
      <c r="X4" s="18">
        <f t="shared" ref="X4" si="9">((O4*F4)+Q4+R4+S4+T4+U4)/G4</f>
        <v>41.900543206211495</v>
      </c>
      <c r="Y4" s="21">
        <f t="shared" ref="Y4" si="10">X4*G4</f>
        <v>819574.62511349679</v>
      </c>
      <c r="Z4" s="32">
        <v>42535</v>
      </c>
      <c r="AA4" s="37">
        <v>36</v>
      </c>
      <c r="AB4" s="37" t="s">
        <v>2798</v>
      </c>
    </row>
    <row r="5" spans="1:28" s="12" customFormat="1" x14ac:dyDescent="0.25">
      <c r="A5" s="150"/>
      <c r="B5" s="24" t="s">
        <v>32</v>
      </c>
      <c r="C5" s="14" t="s">
        <v>33</v>
      </c>
      <c r="D5" s="25" t="s">
        <v>1510</v>
      </c>
      <c r="E5" s="14">
        <v>100</v>
      </c>
      <c r="F5" s="26">
        <v>11535</v>
      </c>
      <c r="G5" s="27">
        <v>11890</v>
      </c>
      <c r="H5" s="27">
        <f t="shared" si="3"/>
        <v>355</v>
      </c>
      <c r="I5" s="12" t="s">
        <v>2788</v>
      </c>
      <c r="J5" s="120">
        <v>129</v>
      </c>
      <c r="K5" s="17"/>
      <c r="L5" s="17">
        <v>42522</v>
      </c>
      <c r="M5" s="25" t="s">
        <v>50</v>
      </c>
      <c r="N5" s="14"/>
      <c r="O5" s="18">
        <v>26.5</v>
      </c>
      <c r="P5" s="19"/>
      <c r="Q5" s="153">
        <v>13600</v>
      </c>
      <c r="R5" s="18">
        <f t="shared" ref="R5" si="11">61.75*E5</f>
        <v>6175</v>
      </c>
      <c r="S5" s="145">
        <f t="shared" ref="S5" si="12">-35*E5</f>
        <v>-3500</v>
      </c>
      <c r="T5" s="180">
        <f t="shared" ref="T5" si="13">W5*F5*0.0045</f>
        <v>1407.7126277333891</v>
      </c>
      <c r="U5" s="18">
        <f t="shared" ref="U5" si="14">E5*5</f>
        <v>500</v>
      </c>
      <c r="V5" s="14"/>
      <c r="W5" s="18">
        <f t="shared" ref="W5" si="15">((O5*F5)+Q5+R5+S5+U5)/G5</f>
        <v>27.119638351555928</v>
      </c>
      <c r="X5" s="18">
        <f t="shared" ref="X5" si="16">((O5*F5)+Q5+R5+S5+T5+U5)/G5</f>
        <v>27.238033021676486</v>
      </c>
      <c r="Y5" s="21">
        <f t="shared" ref="Y5" si="17">X5*G5</f>
        <v>323860.21262773342</v>
      </c>
      <c r="Z5" s="32">
        <v>42535</v>
      </c>
      <c r="AA5" s="37">
        <v>36</v>
      </c>
      <c r="AB5" s="37"/>
    </row>
    <row r="6" spans="1:28" s="12" customFormat="1" x14ac:dyDescent="0.25">
      <c r="A6" s="150"/>
      <c r="B6" s="24" t="s">
        <v>25</v>
      </c>
      <c r="C6" s="25" t="s">
        <v>72</v>
      </c>
      <c r="D6" s="25" t="s">
        <v>72</v>
      </c>
      <c r="E6" s="14" t="s">
        <v>42</v>
      </c>
      <c r="F6" s="26">
        <f>42770*0.4536</f>
        <v>19400.472000000002</v>
      </c>
      <c r="G6" s="27">
        <v>19382.03</v>
      </c>
      <c r="H6" s="27">
        <f>G6-F6</f>
        <v>-18.442000000002736</v>
      </c>
      <c r="I6" s="12" t="s">
        <v>2625</v>
      </c>
      <c r="J6" s="93" t="s">
        <v>44</v>
      </c>
      <c r="K6" s="17">
        <v>42522</v>
      </c>
      <c r="L6" s="17">
        <v>42523</v>
      </c>
      <c r="M6" s="25" t="s">
        <v>65</v>
      </c>
      <c r="N6" s="25" t="s">
        <v>2610</v>
      </c>
      <c r="O6" s="18"/>
      <c r="P6" s="28">
        <f>0.6647+0.105</f>
        <v>0.76969999999999994</v>
      </c>
      <c r="Q6" s="153">
        <v>18500</v>
      </c>
      <c r="R6" s="18">
        <v>9056</v>
      </c>
      <c r="S6" s="30">
        <v>18.41</v>
      </c>
      <c r="T6" s="163">
        <f>W6*F6*0.005</f>
        <v>3177.9235638268428</v>
      </c>
      <c r="V6" s="18">
        <v>0.1</v>
      </c>
      <c r="W6" s="18">
        <f t="shared" ref="W6" si="18">IF(O6&gt;0,O6,((P6*2.2046*S6)+(Q6+R6)/G6)+V6)</f>
        <v>32.76130151706456</v>
      </c>
      <c r="X6" s="18">
        <f t="shared" ref="X6" si="19">IF(O6&gt;0,O6,((P6*2.2046*S6)+(Q6+R6+T6)/G6)+V6)</f>
        <v>32.925263886528796</v>
      </c>
      <c r="Y6" s="21">
        <f t="shared" ref="Y6" si="20">X6*F6</f>
        <v>638765.66012321319</v>
      </c>
      <c r="Z6" s="32">
        <v>42515</v>
      </c>
      <c r="AA6" s="37"/>
      <c r="AB6" s="37"/>
    </row>
    <row r="7" spans="1:28" s="12" customFormat="1" x14ac:dyDescent="0.25">
      <c r="A7" s="150"/>
      <c r="B7" s="24" t="s">
        <v>25</v>
      </c>
      <c r="C7" s="25" t="s">
        <v>72</v>
      </c>
      <c r="D7" s="25" t="s">
        <v>72</v>
      </c>
      <c r="E7" s="14" t="s">
        <v>42</v>
      </c>
      <c r="F7" s="26">
        <f>42782*0.4536</f>
        <v>19405.915199999999</v>
      </c>
      <c r="G7" s="27">
        <v>19346.5</v>
      </c>
      <c r="H7" s="27">
        <f>G7-F7</f>
        <v>-59.415199999999459</v>
      </c>
      <c r="I7" s="12" t="s">
        <v>2626</v>
      </c>
      <c r="J7" s="93" t="s">
        <v>74</v>
      </c>
      <c r="K7" s="17">
        <v>42522</v>
      </c>
      <c r="L7" s="17">
        <v>42524</v>
      </c>
      <c r="M7" s="25" t="s">
        <v>84</v>
      </c>
      <c r="N7" s="25" t="s">
        <v>2610</v>
      </c>
      <c r="O7" s="18"/>
      <c r="P7" s="28">
        <v>0.76970000000000005</v>
      </c>
      <c r="Q7" s="153">
        <v>18500</v>
      </c>
      <c r="R7" s="18">
        <v>9056</v>
      </c>
      <c r="S7" s="30">
        <v>18.45</v>
      </c>
      <c r="T7" s="163">
        <f t="shared" ref="T7" si="21">W7*F7*0.005</f>
        <v>3185.6544455733469</v>
      </c>
      <c r="V7" s="18">
        <v>0.1</v>
      </c>
      <c r="W7" s="18">
        <f>IF(O7&gt;0,O7,((P7*2.2046*S7)+(Q7+R7)/G7)+V7)</f>
        <v>32.831787758954519</v>
      </c>
      <c r="X7" s="18">
        <f>IF(O7&gt;0,O7,((P7*2.2046*S7)+(Q7+R7+T7)/G7)+V7)</f>
        <v>32.996450847656519</v>
      </c>
      <c r="Y7" s="21">
        <f>X7*F7</f>
        <v>640326.32705059054</v>
      </c>
      <c r="Z7" s="32">
        <v>42516</v>
      </c>
      <c r="AA7" s="37"/>
      <c r="AB7" s="37"/>
    </row>
    <row r="8" spans="1:28" s="12" customFormat="1" x14ac:dyDescent="0.25">
      <c r="A8" s="150"/>
      <c r="B8" s="24" t="s">
        <v>32</v>
      </c>
      <c r="C8" s="14" t="s">
        <v>33</v>
      </c>
      <c r="D8" s="25" t="s">
        <v>34</v>
      </c>
      <c r="E8" s="14">
        <v>200</v>
      </c>
      <c r="F8" s="26">
        <v>24165</v>
      </c>
      <c r="G8" s="27">
        <v>19610</v>
      </c>
      <c r="H8" s="27">
        <f t="shared" ref="H8:H11" si="22">G8-F8</f>
        <v>-4555</v>
      </c>
      <c r="I8" s="12" t="s">
        <v>2794</v>
      </c>
      <c r="J8" s="14"/>
      <c r="K8" s="17"/>
      <c r="L8" s="17">
        <v>42523</v>
      </c>
      <c r="M8" s="25" t="s">
        <v>65</v>
      </c>
      <c r="N8" s="14"/>
      <c r="O8" s="18">
        <v>26.5</v>
      </c>
      <c r="P8" s="19"/>
      <c r="Q8" s="153">
        <v>17300</v>
      </c>
      <c r="R8" s="18">
        <f t="shared" ref="R8:R9" si="23">61.75*E8</f>
        <v>12350</v>
      </c>
      <c r="S8" s="30">
        <f t="shared" ref="S8:S9" si="24">-35*E8</f>
        <v>-7000</v>
      </c>
      <c r="T8" s="163">
        <f t="shared" ref="T8:T9" si="25">W8*F8*0.0045</f>
        <v>3682.1757626848544</v>
      </c>
      <c r="U8" s="18">
        <f t="shared" ref="U8:U9" si="26">E8*5</f>
        <v>1000</v>
      </c>
      <c r="V8" s="14"/>
      <c r="W8" s="18">
        <f t="shared" ref="W8:W9" si="27">((O8*F8)+Q8+R8+S8+U8)/G8</f>
        <v>33.861422743498217</v>
      </c>
      <c r="X8" s="18">
        <f t="shared" ref="X8:X9" si="28">((O8*F8)+Q8+R8+S8+T8+U8)/G8</f>
        <v>34.049193052661138</v>
      </c>
      <c r="Y8" s="21">
        <f t="shared" ref="Y8:Y9" si="29">X8*G8</f>
        <v>667704.6757626849</v>
      </c>
      <c r="Z8" s="32">
        <v>42536</v>
      </c>
      <c r="AA8" s="37">
        <v>36</v>
      </c>
      <c r="AB8" s="37"/>
    </row>
    <row r="9" spans="1:28" s="12" customFormat="1" x14ac:dyDescent="0.25">
      <c r="A9" s="150"/>
      <c r="B9" s="24" t="s">
        <v>32</v>
      </c>
      <c r="C9" s="14" t="s">
        <v>33</v>
      </c>
      <c r="D9" s="25" t="s">
        <v>1510</v>
      </c>
      <c r="E9" s="14">
        <v>130</v>
      </c>
      <c r="F9" s="26">
        <v>15580</v>
      </c>
      <c r="G9" s="27">
        <v>12640</v>
      </c>
      <c r="H9" s="27">
        <f t="shared" si="22"/>
        <v>-2940</v>
      </c>
      <c r="I9" s="12" t="s">
        <v>2795</v>
      </c>
      <c r="J9" s="14"/>
      <c r="K9" s="17"/>
      <c r="L9" s="17">
        <v>42523</v>
      </c>
      <c r="M9" s="25" t="s">
        <v>65</v>
      </c>
      <c r="N9" s="14"/>
      <c r="O9" s="18">
        <v>26.5</v>
      </c>
      <c r="P9" s="19"/>
      <c r="Q9" s="153">
        <v>13600</v>
      </c>
      <c r="R9" s="18">
        <f t="shared" si="23"/>
        <v>8027.5</v>
      </c>
      <c r="S9" s="30">
        <f t="shared" si="24"/>
        <v>-4550</v>
      </c>
      <c r="T9" s="163">
        <f t="shared" si="25"/>
        <v>2388.3853421677213</v>
      </c>
      <c r="U9" s="18">
        <f t="shared" si="26"/>
        <v>650</v>
      </c>
      <c r="V9" s="14"/>
      <c r="W9" s="18">
        <f t="shared" si="27"/>
        <v>34.066257911392405</v>
      </c>
      <c r="X9" s="18">
        <f t="shared" si="28"/>
        <v>34.25521244795631</v>
      </c>
      <c r="Y9" s="21">
        <f t="shared" si="29"/>
        <v>432985.88534216775</v>
      </c>
      <c r="Z9" s="32">
        <v>42536</v>
      </c>
      <c r="AA9" s="37">
        <v>36</v>
      </c>
      <c r="AB9" s="37" t="s">
        <v>2800</v>
      </c>
    </row>
    <row r="10" spans="1:28" s="12" customFormat="1" x14ac:dyDescent="0.25">
      <c r="A10" s="150"/>
      <c r="B10" s="24" t="s">
        <v>25</v>
      </c>
      <c r="C10" s="25" t="s">
        <v>72</v>
      </c>
      <c r="D10" s="25" t="s">
        <v>72</v>
      </c>
      <c r="E10" s="14" t="s">
        <v>42</v>
      </c>
      <c r="F10" s="26">
        <f>42914*0.4536</f>
        <v>19465.790400000002</v>
      </c>
      <c r="G10" s="27">
        <v>19458.400000000001</v>
      </c>
      <c r="H10" s="27">
        <f t="shared" si="22"/>
        <v>-7.390400000000227</v>
      </c>
      <c r="I10" s="12" t="s">
        <v>2627</v>
      </c>
      <c r="J10" s="93" t="s">
        <v>44</v>
      </c>
      <c r="K10" s="17">
        <v>42523</v>
      </c>
      <c r="L10" s="17">
        <v>42524</v>
      </c>
      <c r="M10" s="25" t="s">
        <v>84</v>
      </c>
      <c r="N10" s="25" t="s">
        <v>2612</v>
      </c>
      <c r="O10" s="18"/>
      <c r="P10" s="28">
        <f>0.6647+0.105</f>
        <v>0.76969999999999994</v>
      </c>
      <c r="Q10" s="153">
        <v>18500</v>
      </c>
      <c r="R10" s="18">
        <v>9056</v>
      </c>
      <c r="S10" s="30">
        <v>18.504999999999999</v>
      </c>
      <c r="T10" s="163">
        <f t="shared" ref="T10:T11" si="30">W10*F10*0.005</f>
        <v>3203.7698324655171</v>
      </c>
      <c r="V10" s="18">
        <v>0.1</v>
      </c>
      <c r="W10" s="18">
        <f>IF(O10&gt;0,O10,((P10*2.2046*S10)+(Q10+R10)/G10)+V10)</f>
        <v>32.9169251967854</v>
      </c>
      <c r="X10" s="18">
        <f>IF(O10&gt;0,O10,((P10*2.2046*S10)+(Q10+R10+T10)/G10)+V10)</f>
        <v>33.081572332853398</v>
      </c>
      <c r="Y10" s="21">
        <f t="shared" ref="Y10:Y11" si="31">X10*F10</f>
        <v>643958.95313376328</v>
      </c>
      <c r="Z10" s="32">
        <v>42517</v>
      </c>
      <c r="AA10" s="2"/>
      <c r="AB10" s="2"/>
    </row>
    <row r="11" spans="1:28" s="12" customFormat="1" x14ac:dyDescent="0.25">
      <c r="A11" s="150"/>
      <c r="B11" s="24" t="s">
        <v>25</v>
      </c>
      <c r="C11" s="25" t="s">
        <v>72</v>
      </c>
      <c r="D11" s="25" t="s">
        <v>72</v>
      </c>
      <c r="E11" s="14" t="s">
        <v>42</v>
      </c>
      <c r="F11" s="26">
        <f>42970*0.4536</f>
        <v>19491.191999999999</v>
      </c>
      <c r="G11" s="27">
        <v>19478.32</v>
      </c>
      <c r="H11" s="27">
        <f t="shared" si="22"/>
        <v>-12.871999999999389</v>
      </c>
      <c r="I11" s="12" t="s">
        <v>2628</v>
      </c>
      <c r="J11" s="93" t="s">
        <v>1694</v>
      </c>
      <c r="K11" s="17">
        <v>42523</v>
      </c>
      <c r="L11" s="17">
        <v>42524</v>
      </c>
      <c r="M11" s="25" t="s">
        <v>84</v>
      </c>
      <c r="N11" s="25" t="s">
        <v>2612</v>
      </c>
      <c r="O11" s="18"/>
      <c r="P11" s="28">
        <v>0.76970000000000005</v>
      </c>
      <c r="Q11" s="153">
        <v>21000</v>
      </c>
      <c r="R11" s="18">
        <v>9056</v>
      </c>
      <c r="S11" s="30">
        <v>18.504999999999999</v>
      </c>
      <c r="T11" s="163">
        <f t="shared" si="30"/>
        <v>3220.3176640841775</v>
      </c>
      <c r="V11" s="18">
        <v>0.1</v>
      </c>
      <c r="W11" s="18">
        <f>IF(O11&gt;0,O11,((P11*2.2046*S11)+(Q11+R11)/G11)+V11)</f>
        <v>33.043824760273026</v>
      </c>
      <c r="X11" s="18">
        <f>IF(O11&gt;0,O11,((P11*2.2046*S11)+(Q11+R11+T11)/G11)+V11)</f>
        <v>33.209153067030698</v>
      </c>
      <c r="Y11" s="21">
        <f t="shared" si="31"/>
        <v>647285.97858688422</v>
      </c>
      <c r="Z11" s="32">
        <v>42517</v>
      </c>
      <c r="AA11" s="2"/>
      <c r="AB11" s="2"/>
    </row>
    <row r="12" spans="1:28" s="12" customFormat="1" x14ac:dyDescent="0.25">
      <c r="A12" s="150"/>
      <c r="B12" s="24" t="s">
        <v>32</v>
      </c>
      <c r="C12" s="14" t="s">
        <v>33</v>
      </c>
      <c r="D12" s="25" t="s">
        <v>1510</v>
      </c>
      <c r="E12" s="14">
        <v>250</v>
      </c>
      <c r="F12" s="26">
        <v>27610</v>
      </c>
      <c r="G12" s="27">
        <v>22620</v>
      </c>
      <c r="H12" s="27">
        <f t="shared" ref="H12:H17" si="32">G12-F12</f>
        <v>-4990</v>
      </c>
      <c r="I12" s="12" t="s">
        <v>2805</v>
      </c>
      <c r="J12" s="14"/>
      <c r="K12" s="17"/>
      <c r="L12" s="17">
        <v>42524</v>
      </c>
      <c r="M12" s="25" t="s">
        <v>84</v>
      </c>
      <c r="N12" s="14"/>
      <c r="O12" s="18">
        <v>26.5</v>
      </c>
      <c r="P12" s="19"/>
      <c r="Q12" s="153">
        <v>17300</v>
      </c>
      <c r="R12" s="18">
        <f t="shared" ref="R12:R13" si="33">61.75*E12</f>
        <v>15437.5</v>
      </c>
      <c r="S12" s="30">
        <f>-35*E12</f>
        <v>-8750</v>
      </c>
      <c r="T12" s="180">
        <f>W12*F12*0.0045</f>
        <v>4157.4425779177718</v>
      </c>
      <c r="U12" s="18">
        <f>E12*5</f>
        <v>1250</v>
      </c>
      <c r="V12" s="14"/>
      <c r="W12" s="18">
        <f>((O12*F12)+Q12+R12+S12+U12)/G12</f>
        <v>33.46164898320071</v>
      </c>
      <c r="X12" s="18">
        <f>((O12*F12)+Q12+R12+S12+T12+U12)/G12</f>
        <v>33.645443968961885</v>
      </c>
      <c r="Y12" s="21">
        <f t="shared" ref="Y12:Y13" si="34">X12*G12</f>
        <v>761059.94257791783</v>
      </c>
      <c r="Z12" s="32">
        <v>42537</v>
      </c>
      <c r="AA12" s="2">
        <v>36</v>
      </c>
      <c r="AB12" s="2"/>
    </row>
    <row r="13" spans="1:28" s="12" customFormat="1" x14ac:dyDescent="0.25">
      <c r="A13" s="150"/>
      <c r="B13" s="24" t="s">
        <v>32</v>
      </c>
      <c r="C13" s="14" t="s">
        <v>33</v>
      </c>
      <c r="D13" s="25" t="s">
        <v>87</v>
      </c>
      <c r="E13" s="14">
        <v>130</v>
      </c>
      <c r="F13" s="26">
        <v>14590</v>
      </c>
      <c r="G13" s="27">
        <v>11690</v>
      </c>
      <c r="H13" s="27">
        <f t="shared" si="32"/>
        <v>-2900</v>
      </c>
      <c r="I13" s="25" t="s">
        <v>2806</v>
      </c>
      <c r="J13" s="14"/>
      <c r="K13" s="17"/>
      <c r="L13" s="17">
        <v>42524</v>
      </c>
      <c r="M13" s="25" t="s">
        <v>84</v>
      </c>
      <c r="N13" s="14"/>
      <c r="O13" s="18">
        <v>26.5</v>
      </c>
      <c r="P13" s="19"/>
      <c r="Q13" s="153">
        <v>13600</v>
      </c>
      <c r="R13" s="18">
        <f t="shared" si="33"/>
        <v>8027.5</v>
      </c>
      <c r="S13" s="30">
        <f>-35*E13</f>
        <v>-4550</v>
      </c>
      <c r="T13" s="180">
        <f>W13*F13*0.0045</f>
        <v>2271.0367782292551</v>
      </c>
      <c r="U13" s="18">
        <f>E13*5</f>
        <v>650</v>
      </c>
      <c r="V13" s="14"/>
      <c r="W13" s="18">
        <f>((O13*F13)+Q13+R13+S13+U13)/G13</f>
        <v>34.590461933276302</v>
      </c>
      <c r="X13" s="18">
        <f>((O13*F13)+Q13+R13+S13+T13+U13)/G13</f>
        <v>34.784733685049552</v>
      </c>
      <c r="Y13" s="21">
        <f t="shared" si="34"/>
        <v>406633.53677822929</v>
      </c>
      <c r="Z13" s="32">
        <v>42537</v>
      </c>
      <c r="AA13" s="2">
        <v>36</v>
      </c>
      <c r="AB13" s="2" t="s">
        <v>2807</v>
      </c>
    </row>
    <row r="14" spans="1:28" s="12" customFormat="1" x14ac:dyDescent="0.25">
      <c r="A14" s="150"/>
      <c r="B14" s="24" t="s">
        <v>2077</v>
      </c>
      <c r="C14" s="14" t="s">
        <v>72</v>
      </c>
      <c r="D14" s="25" t="s">
        <v>57</v>
      </c>
      <c r="E14" s="14" t="s">
        <v>67</v>
      </c>
      <c r="F14" s="26">
        <v>3732.5</v>
      </c>
      <c r="G14" s="27">
        <v>3732.5</v>
      </c>
      <c r="H14" s="27">
        <f t="shared" si="32"/>
        <v>0</v>
      </c>
      <c r="I14" s="12" t="s">
        <v>2920</v>
      </c>
      <c r="J14" s="14"/>
      <c r="K14" s="17"/>
      <c r="L14" s="17">
        <v>42525</v>
      </c>
      <c r="M14" s="25" t="s">
        <v>30</v>
      </c>
      <c r="N14" s="14"/>
      <c r="O14" s="18">
        <v>16</v>
      </c>
      <c r="P14" s="19"/>
      <c r="Q14" s="18"/>
      <c r="R14" s="18"/>
      <c r="S14" s="30"/>
      <c r="T14" s="31"/>
      <c r="U14" s="18"/>
      <c r="V14" s="18"/>
      <c r="W14" s="18">
        <f t="shared" ref="W14" si="35">IF(O14&gt;0,O14,((P14*2.2046*S14)+(Q14+R14)/G14)+V14)</f>
        <v>16</v>
      </c>
      <c r="X14" s="18">
        <f t="shared" ref="X14" si="36">IF(O14&gt;0,O14,((P14*2.2046*S14)+(Q14+R14+T14)/G14)+V14)</f>
        <v>16</v>
      </c>
      <c r="Y14" s="21">
        <f>X14*F14</f>
        <v>59720</v>
      </c>
      <c r="Z14" s="32">
        <v>42531</v>
      </c>
      <c r="AA14" s="37"/>
      <c r="AB14" s="37"/>
    </row>
    <row r="15" spans="1:28" s="12" customFormat="1" x14ac:dyDescent="0.25">
      <c r="A15" s="150"/>
      <c r="B15" s="24" t="s">
        <v>25</v>
      </c>
      <c r="C15" s="25" t="s">
        <v>40</v>
      </c>
      <c r="D15" s="25" t="s">
        <v>40</v>
      </c>
      <c r="E15" s="14" t="s">
        <v>42</v>
      </c>
      <c r="F15" s="26">
        <f>42950*0.4536</f>
        <v>19482.12</v>
      </c>
      <c r="G15" s="27">
        <v>19647.45</v>
      </c>
      <c r="H15" s="27">
        <f>G15-F15</f>
        <v>165.33000000000175</v>
      </c>
      <c r="I15" s="12" t="s">
        <v>2630</v>
      </c>
      <c r="J15" s="93" t="s">
        <v>44</v>
      </c>
      <c r="K15" s="17">
        <v>42524</v>
      </c>
      <c r="L15" s="17">
        <v>42525</v>
      </c>
      <c r="M15" s="25" t="s">
        <v>30</v>
      </c>
      <c r="N15" s="25" t="s">
        <v>2611</v>
      </c>
      <c r="O15" s="18"/>
      <c r="P15" s="28">
        <f>0.6647+0.1</f>
        <v>0.76469999999999994</v>
      </c>
      <c r="Q15" s="153">
        <v>18500</v>
      </c>
      <c r="R15" s="18">
        <v>9056</v>
      </c>
      <c r="S15" s="30">
        <v>18.55</v>
      </c>
      <c r="T15" s="163">
        <f>W15*F15*0.005</f>
        <v>3192.6501266549953</v>
      </c>
      <c r="V15" s="18">
        <v>0.1</v>
      </c>
      <c r="W15" s="18">
        <f t="shared" ref="W15" si="37">IF(O15&gt;0,O15,((P15*2.2046*S15)+(Q15+R15)/G15)+V15)</f>
        <v>32.775181824719233</v>
      </c>
      <c r="X15" s="18">
        <f t="shared" ref="X15" si="38">IF(O15&gt;0,O15,((P15*2.2046*S15)+(Q15+R15+T15)/G15)+V15)</f>
        <v>32.937678745523463</v>
      </c>
      <c r="Y15" s="21">
        <f>X15*F15</f>
        <v>641695.8098417375</v>
      </c>
      <c r="Z15" s="32">
        <v>42536</v>
      </c>
      <c r="AA15" s="37">
        <v>35</v>
      </c>
      <c r="AB15" s="37"/>
    </row>
    <row r="16" spans="1:28" s="12" customFormat="1" x14ac:dyDescent="0.25">
      <c r="A16" s="150"/>
      <c r="B16" s="24" t="s">
        <v>25</v>
      </c>
      <c r="C16" s="25" t="s">
        <v>26</v>
      </c>
      <c r="D16" s="25" t="s">
        <v>26</v>
      </c>
      <c r="E16" s="14" t="s">
        <v>27</v>
      </c>
      <c r="F16" s="26">
        <f>40872*0.4536</f>
        <v>18539.539199999999</v>
      </c>
      <c r="G16" s="27">
        <v>18420.13</v>
      </c>
      <c r="H16" s="27">
        <f t="shared" si="32"/>
        <v>-119.40919999999824</v>
      </c>
      <c r="I16" s="39" t="s">
        <v>2751</v>
      </c>
      <c r="J16" s="93" t="s">
        <v>29</v>
      </c>
      <c r="K16" s="17">
        <v>42524</v>
      </c>
      <c r="L16" s="17">
        <v>42525</v>
      </c>
      <c r="M16" s="25" t="s">
        <v>30</v>
      </c>
      <c r="N16" s="25" t="s">
        <v>2615</v>
      </c>
      <c r="O16" s="18"/>
      <c r="P16" s="28">
        <f>0.6647+0.1075</f>
        <v>0.7722</v>
      </c>
      <c r="Q16" s="153">
        <v>18500</v>
      </c>
      <c r="R16" s="18">
        <v>9082</v>
      </c>
      <c r="S16" s="30">
        <v>18.504999999999999</v>
      </c>
      <c r="T16" s="163">
        <f t="shared" ref="T16:T17" si="39">W16*F16*0.005</f>
        <v>3068.3076190386496</v>
      </c>
      <c r="V16" s="18">
        <v>0.1</v>
      </c>
      <c r="W16" s="18">
        <f>IF(O16&gt;0,O16,((P16*2.2046*S16)+(Q16+R16)/G16)+V16)</f>
        <v>33.100149749554184</v>
      </c>
      <c r="X16" s="18">
        <f>IF(O16&gt;0,O16,((P16*2.2046*S16)+(Q16+R16+T16)/G16)+V16)</f>
        <v>33.266723363260418</v>
      </c>
      <c r="Y16" s="21">
        <f t="shared" ref="Y16:Y17" si="40">X16*F16</f>
        <v>616749.72184872231</v>
      </c>
      <c r="Z16" s="32">
        <v>42517</v>
      </c>
      <c r="AA16" s="2">
        <v>35</v>
      </c>
      <c r="AB16" s="2" t="s">
        <v>2829</v>
      </c>
    </row>
    <row r="17" spans="1:28" s="12" customFormat="1" x14ac:dyDescent="0.25">
      <c r="A17" s="150"/>
      <c r="B17" s="24" t="s">
        <v>25</v>
      </c>
      <c r="C17" s="25" t="s">
        <v>72</v>
      </c>
      <c r="D17" s="25" t="s">
        <v>72</v>
      </c>
      <c r="E17" s="14"/>
      <c r="F17" s="26"/>
      <c r="G17" s="27"/>
      <c r="H17" s="27">
        <f t="shared" si="32"/>
        <v>0</v>
      </c>
      <c r="I17" s="12" t="s">
        <v>2629</v>
      </c>
      <c r="J17" s="105" t="s">
        <v>487</v>
      </c>
      <c r="K17" s="17">
        <v>42524</v>
      </c>
      <c r="L17" s="17">
        <v>42525</v>
      </c>
      <c r="M17" s="25" t="s">
        <v>30</v>
      </c>
      <c r="N17" s="25" t="s">
        <v>2616</v>
      </c>
      <c r="O17" s="18"/>
      <c r="P17" s="28">
        <f>0.6733+0.105</f>
        <v>0.77829999999999999</v>
      </c>
      <c r="Q17" s="154">
        <v>18500</v>
      </c>
      <c r="R17" s="154">
        <v>9200</v>
      </c>
      <c r="S17" s="155">
        <v>18.5</v>
      </c>
      <c r="T17" s="156" t="e">
        <f t="shared" si="39"/>
        <v>#DIV/0!</v>
      </c>
      <c r="U17" s="157"/>
      <c r="V17" s="154">
        <v>0.1</v>
      </c>
      <c r="W17" s="154" t="e">
        <f>IF(O17&gt;0,O17,((P17*2.2046*S17)+(Q17+R17)/G17)+V17)</f>
        <v>#DIV/0!</v>
      </c>
      <c r="X17" s="154" t="e">
        <f>IF(O17&gt;0,O17,((P17*2.2046*S17)+(Q17+R17+T17)/G17)+V17)</f>
        <v>#DIV/0!</v>
      </c>
      <c r="Y17" s="21" t="e">
        <f t="shared" si="40"/>
        <v>#DIV/0!</v>
      </c>
      <c r="Z17" s="32"/>
      <c r="AA17" s="2"/>
      <c r="AB17" s="2"/>
    </row>
    <row r="18" spans="1:28" s="12" customFormat="1" ht="15.75" thickBot="1" x14ac:dyDescent="0.3">
      <c r="A18" s="150"/>
      <c r="B18" s="41"/>
      <c r="C18" s="4"/>
      <c r="D18" s="4"/>
      <c r="E18" s="4"/>
      <c r="F18" s="42"/>
      <c r="G18" s="42"/>
      <c r="H18" s="42"/>
      <c r="I18" s="6"/>
      <c r="J18" s="4"/>
      <c r="K18" s="7"/>
      <c r="L18" s="7"/>
      <c r="M18" s="4"/>
      <c r="N18" s="4"/>
      <c r="O18" s="8"/>
      <c r="P18" s="9"/>
      <c r="Q18" s="8"/>
      <c r="R18" s="8"/>
      <c r="S18" s="8"/>
      <c r="T18" s="8"/>
      <c r="U18" s="8"/>
      <c r="V18" s="8"/>
      <c r="W18" s="8"/>
      <c r="X18" s="8"/>
      <c r="Y18" s="11"/>
      <c r="Z18" s="43"/>
      <c r="AA18" s="2"/>
      <c r="AB18" s="2"/>
    </row>
    <row r="19" spans="1:28" s="12" customFormat="1" x14ac:dyDescent="0.25">
      <c r="A19" s="148"/>
      <c r="B19" s="14" t="s">
        <v>32</v>
      </c>
      <c r="C19" s="14" t="s">
        <v>33</v>
      </c>
      <c r="D19" s="25" t="s">
        <v>34</v>
      </c>
      <c r="E19" s="14">
        <v>230</v>
      </c>
      <c r="F19" s="26">
        <f>24835</f>
        <v>24835</v>
      </c>
      <c r="G19" s="27">
        <f>17330</f>
        <v>17330</v>
      </c>
      <c r="H19" s="27">
        <f t="shared" ref="H19:H22" si="41">G19-F19</f>
        <v>-7505</v>
      </c>
      <c r="I19" s="25" t="s">
        <v>2827</v>
      </c>
      <c r="J19" s="120">
        <v>200</v>
      </c>
      <c r="K19" s="17"/>
      <c r="L19" s="17">
        <v>42526</v>
      </c>
      <c r="M19" s="25" t="s">
        <v>36</v>
      </c>
      <c r="N19" s="14"/>
      <c r="O19" s="18">
        <v>26.5</v>
      </c>
      <c r="P19" s="19"/>
      <c r="Q19" s="153">
        <f>17300</f>
        <v>17300</v>
      </c>
      <c r="R19" s="18">
        <f t="shared" ref="R19:R21" si="42">61.75*E19</f>
        <v>14202.5</v>
      </c>
      <c r="S19" s="30">
        <f>-35*E19</f>
        <v>-8050</v>
      </c>
      <c r="T19" s="163">
        <f>W19*F19*0.0045</f>
        <v>4402.7811872475477</v>
      </c>
      <c r="U19" s="18">
        <f>E19*5</f>
        <v>1150</v>
      </c>
      <c r="V19" s="14"/>
      <c r="W19" s="18">
        <f>((O19*F19)+Q19+R19+S19+U19)/G19</f>
        <v>39.395845354875938</v>
      </c>
      <c r="X19" s="18">
        <f>((O19*F19)+Q19+R19+S19+T19+U19)/G19</f>
        <v>39.64990081865249</v>
      </c>
      <c r="Y19" s="21">
        <f>X19*G19</f>
        <v>687132.7811872476</v>
      </c>
      <c r="Z19" s="32">
        <v>42541</v>
      </c>
      <c r="AA19" s="2">
        <v>36.5</v>
      </c>
      <c r="AB19" s="2" t="s">
        <v>2874</v>
      </c>
    </row>
    <row r="20" spans="1:28" s="12" customFormat="1" x14ac:dyDescent="0.25">
      <c r="A20" s="148"/>
      <c r="B20" s="24" t="s">
        <v>32</v>
      </c>
      <c r="C20" s="14" t="s">
        <v>33</v>
      </c>
      <c r="D20" s="25" t="s">
        <v>1510</v>
      </c>
      <c r="E20" s="14">
        <v>100</v>
      </c>
      <c r="F20" s="26">
        <v>11945</v>
      </c>
      <c r="G20" s="27">
        <v>12120</v>
      </c>
      <c r="H20" s="27">
        <f t="shared" ref="H20" si="43">G20-F20</f>
        <v>175</v>
      </c>
      <c r="I20" s="25" t="s">
        <v>2828</v>
      </c>
      <c r="J20" s="120">
        <v>130</v>
      </c>
      <c r="K20" s="17"/>
      <c r="L20" s="17">
        <v>42526</v>
      </c>
      <c r="M20" s="25" t="s">
        <v>36</v>
      </c>
      <c r="N20" s="14"/>
      <c r="O20" s="18">
        <v>26.5</v>
      </c>
      <c r="P20" s="19"/>
      <c r="Q20" s="153">
        <v>13600</v>
      </c>
      <c r="R20" s="18">
        <f t="shared" si="42"/>
        <v>6175</v>
      </c>
      <c r="S20" s="30">
        <f t="shared" ref="S20" si="44">-35*E20</f>
        <v>-3500</v>
      </c>
      <c r="T20" s="163">
        <f>W20*F20*0.0045</f>
        <v>1478.2713629331681</v>
      </c>
      <c r="U20" s="18">
        <f>E20*5</f>
        <v>500</v>
      </c>
      <c r="V20" s="14"/>
      <c r="W20" s="18">
        <f>((O20*F20)+Q20+R20+S20+U20)/G20</f>
        <v>27.501443894389439</v>
      </c>
      <c r="X20" s="18">
        <f>((O20*F20)+Q20+R20+S20+T20+U20)/G20</f>
        <v>27.623413478789864</v>
      </c>
      <c r="Y20" s="21">
        <f>X20*G20</f>
        <v>334795.77136293316</v>
      </c>
      <c r="Z20" s="32">
        <v>42541</v>
      </c>
      <c r="AA20" s="2">
        <v>36.5</v>
      </c>
      <c r="AB20" s="2"/>
    </row>
    <row r="21" spans="1:28" s="12" customFormat="1" x14ac:dyDescent="0.25">
      <c r="A21" s="148"/>
      <c r="B21" s="24" t="s">
        <v>32</v>
      </c>
      <c r="C21" s="14" t="s">
        <v>33</v>
      </c>
      <c r="D21" s="25" t="s">
        <v>1510</v>
      </c>
      <c r="E21" s="14">
        <v>200</v>
      </c>
      <c r="F21" s="26">
        <v>23260</v>
      </c>
      <c r="G21" s="27">
        <f>12240+6660</f>
        <v>18900</v>
      </c>
      <c r="H21" s="27">
        <f t="shared" si="41"/>
        <v>-4360</v>
      </c>
      <c r="I21" s="25" t="s">
        <v>2873</v>
      </c>
      <c r="J21" s="95">
        <v>199</v>
      </c>
      <c r="K21" s="17"/>
      <c r="L21" s="17">
        <v>42527</v>
      </c>
      <c r="M21" s="25" t="s">
        <v>39</v>
      </c>
      <c r="N21" s="14"/>
      <c r="O21" s="18">
        <v>26.5</v>
      </c>
      <c r="P21" s="19"/>
      <c r="Q21" s="153">
        <v>17300</v>
      </c>
      <c r="R21" s="18">
        <f t="shared" si="42"/>
        <v>12350</v>
      </c>
      <c r="S21" s="30">
        <f t="shared" ref="S21" si="45">-35*E21</f>
        <v>-7000</v>
      </c>
      <c r="T21" s="163">
        <f>W21*F21*0.0045</f>
        <v>3544.6024761904764</v>
      </c>
      <c r="U21" s="18">
        <f>E21*5</f>
        <v>1000</v>
      </c>
      <c r="V21" s="14"/>
      <c r="W21" s="18">
        <f>((O21*F21)+Q21+R21+S21+U21)/G21</f>
        <v>33.864550264550267</v>
      </c>
      <c r="X21" s="18">
        <f>((O21*F21)+Q21+R21+S21+T21+U21)/G21</f>
        <v>34.052095369110603</v>
      </c>
      <c r="Y21" s="21">
        <f>X21*G21</f>
        <v>643584.60247619043</v>
      </c>
      <c r="Z21" s="32">
        <v>42541</v>
      </c>
      <c r="AA21" s="2">
        <v>36.5</v>
      </c>
      <c r="AB21" s="2" t="s">
        <v>2913</v>
      </c>
    </row>
    <row r="22" spans="1:28" s="12" customFormat="1" x14ac:dyDescent="0.25">
      <c r="A22" s="148"/>
      <c r="B22" s="24" t="s">
        <v>2923</v>
      </c>
      <c r="C22" s="14" t="s">
        <v>2924</v>
      </c>
      <c r="D22" s="25" t="s">
        <v>2925</v>
      </c>
      <c r="E22" s="14" t="s">
        <v>2927</v>
      </c>
      <c r="F22" s="26">
        <v>1682.6</v>
      </c>
      <c r="G22" s="27">
        <v>1675.3</v>
      </c>
      <c r="H22" s="27">
        <f t="shared" si="41"/>
        <v>-7.2999999999999545</v>
      </c>
      <c r="I22" s="25" t="s">
        <v>2926</v>
      </c>
      <c r="J22" s="14"/>
      <c r="K22" s="17"/>
      <c r="L22" s="17">
        <v>42527</v>
      </c>
      <c r="M22" s="25" t="s">
        <v>39</v>
      </c>
      <c r="N22" s="14"/>
      <c r="O22" s="18">
        <v>66</v>
      </c>
      <c r="P22" s="19"/>
      <c r="Q22" s="18"/>
      <c r="R22" s="18"/>
      <c r="S22" s="30"/>
      <c r="T22" s="31"/>
      <c r="U22" s="18"/>
      <c r="V22" s="18"/>
      <c r="W22" s="18">
        <f t="shared" ref="W22" si="46">IF(O22&gt;0,O22,((P22*2.2046*S22)+(Q22+R22)/G22)+V22)</f>
        <v>66</v>
      </c>
      <c r="X22" s="18">
        <f t="shared" ref="X22" si="47">IF(O22&gt;0,O22,((P22*2.2046*S22)+(Q22+R22+T22)/G22)+V22)</f>
        <v>66</v>
      </c>
      <c r="Y22" s="21">
        <f>X22*F22</f>
        <v>111051.59999999999</v>
      </c>
      <c r="Z22" s="32">
        <v>42534</v>
      </c>
      <c r="AA22" s="2"/>
      <c r="AB22" s="2"/>
    </row>
    <row r="23" spans="1:28" s="12" customFormat="1" x14ac:dyDescent="0.25">
      <c r="A23" s="148"/>
      <c r="B23" s="24" t="s">
        <v>25</v>
      </c>
      <c r="C23" s="25" t="s">
        <v>40</v>
      </c>
      <c r="D23" s="25" t="s">
        <v>40</v>
      </c>
      <c r="E23" s="14" t="s">
        <v>831</v>
      </c>
      <c r="F23" s="26">
        <f>40009*0.4536</f>
        <v>18148.082399999999</v>
      </c>
      <c r="G23" s="27">
        <v>18209.23</v>
      </c>
      <c r="H23" s="27">
        <f>G23-F23</f>
        <v>61.147600000000239</v>
      </c>
      <c r="I23" s="12" t="s">
        <v>2631</v>
      </c>
      <c r="J23" s="93" t="s">
        <v>44</v>
      </c>
      <c r="K23" s="17">
        <v>42527</v>
      </c>
      <c r="L23" s="17">
        <v>42528</v>
      </c>
      <c r="M23" s="25" t="s">
        <v>45</v>
      </c>
      <c r="N23" s="25" t="s">
        <v>2617</v>
      </c>
      <c r="O23" s="18"/>
      <c r="P23" s="28">
        <f>0.6783+0.1</f>
        <v>0.77829999999999999</v>
      </c>
      <c r="Q23" s="153">
        <v>18500</v>
      </c>
      <c r="R23" s="18">
        <v>9082</v>
      </c>
      <c r="S23" s="30">
        <v>18.797999999999998</v>
      </c>
      <c r="T23" s="163">
        <f>W23*F23*0.005</f>
        <v>3073.2951830696406</v>
      </c>
      <c r="V23" s="18">
        <v>0.1</v>
      </c>
      <c r="W23" s="18">
        <f t="shared" ref="W23" si="48">IF(O23&gt;0,O23,((P23*2.2046*S23)+(Q23+R23)/G23)+V23)</f>
        <v>33.869090026499336</v>
      </c>
      <c r="X23" s="18">
        <f t="shared" ref="X23" si="49">IF(O23&gt;0,O23,((P23*2.2046*S23)+(Q23+R23+T23)/G23)+V23)</f>
        <v>34.037866805257671</v>
      </c>
      <c r="Y23" s="21">
        <f>X23*F23</f>
        <v>617722.0115020409</v>
      </c>
      <c r="Z23" s="32">
        <v>42538</v>
      </c>
      <c r="AA23" s="37">
        <v>35</v>
      </c>
      <c r="AB23" s="37"/>
    </row>
    <row r="24" spans="1:28" s="12" customFormat="1" x14ac:dyDescent="0.25">
      <c r="A24" s="148"/>
      <c r="B24" s="24" t="s">
        <v>32</v>
      </c>
      <c r="C24" s="14" t="s">
        <v>33</v>
      </c>
      <c r="D24" s="25" t="s">
        <v>34</v>
      </c>
      <c r="E24" s="14">
        <v>200</v>
      </c>
      <c r="F24" s="26">
        <v>23565</v>
      </c>
      <c r="G24" s="27">
        <f>12540+6590</f>
        <v>19130</v>
      </c>
      <c r="H24" s="27">
        <f>G24-F24</f>
        <v>-4435</v>
      </c>
      <c r="I24" s="25" t="s">
        <v>2878</v>
      </c>
      <c r="J24" s="14"/>
      <c r="K24" s="17"/>
      <c r="L24" s="17">
        <v>42528</v>
      </c>
      <c r="M24" s="25" t="s">
        <v>45</v>
      </c>
      <c r="N24" s="14"/>
      <c r="O24" s="18">
        <v>26.5</v>
      </c>
      <c r="P24" s="19"/>
      <c r="Q24" s="153">
        <v>17300</v>
      </c>
      <c r="R24" s="18">
        <f t="shared" ref="R24" si="50">61.75*E24</f>
        <v>12350</v>
      </c>
      <c r="S24" s="30">
        <f t="shared" ref="S24" si="51">-35*E24</f>
        <v>-7000</v>
      </c>
      <c r="T24" s="163">
        <f>W24*F24*0.0045</f>
        <v>3592.709367812336</v>
      </c>
      <c r="U24" s="18">
        <f>E24*5</f>
        <v>1000</v>
      </c>
      <c r="V24" s="14"/>
      <c r="W24" s="18">
        <f>((O24*F24)+Q24+R24+S24+U24)/G24</f>
        <v>33.879900679560897</v>
      </c>
      <c r="X24" s="18">
        <f>((O24*F24)+Q24+R24+S24+T24+U24)/G24</f>
        <v>34.06770566480985</v>
      </c>
      <c r="Y24" s="21">
        <f>X24*G24</f>
        <v>651715.20936781238</v>
      </c>
      <c r="Z24" s="32">
        <v>42542</v>
      </c>
      <c r="AA24" s="37">
        <v>36.5</v>
      </c>
      <c r="AB24" s="37" t="s">
        <v>2914</v>
      </c>
    </row>
    <row r="25" spans="1:28" s="12" customFormat="1" x14ac:dyDescent="0.25">
      <c r="A25" s="148"/>
      <c r="B25" s="24" t="s">
        <v>25</v>
      </c>
      <c r="C25" s="25" t="s">
        <v>72</v>
      </c>
      <c r="D25" s="25" t="s">
        <v>72</v>
      </c>
      <c r="E25" s="14" t="s">
        <v>42</v>
      </c>
      <c r="F25" s="26">
        <f>42726*0.4536</f>
        <v>19380.513599999998</v>
      </c>
      <c r="G25" s="27">
        <v>19373.84</v>
      </c>
      <c r="H25" s="27">
        <f>G25-F25</f>
        <v>-6.6735999999982596</v>
      </c>
      <c r="I25" s="12" t="s">
        <v>2634</v>
      </c>
      <c r="J25" s="93" t="s">
        <v>49</v>
      </c>
      <c r="K25" s="17">
        <v>42528</v>
      </c>
      <c r="L25" s="17">
        <v>42530</v>
      </c>
      <c r="M25" s="25" t="s">
        <v>65</v>
      </c>
      <c r="N25" s="25" t="s">
        <v>2618</v>
      </c>
      <c r="O25" s="18"/>
      <c r="P25" s="28">
        <f>0.6783+0.105</f>
        <v>0.7833</v>
      </c>
      <c r="Q25" s="153">
        <v>18500</v>
      </c>
      <c r="R25" s="18">
        <v>9082</v>
      </c>
      <c r="S25" s="30">
        <v>18.48</v>
      </c>
      <c r="T25" s="163">
        <f>W25*F25*0.005</f>
        <v>3240.0443318068442</v>
      </c>
      <c r="V25" s="18">
        <v>0.1</v>
      </c>
      <c r="W25" s="18">
        <f t="shared" ref="W25" si="52">IF(O25&gt;0,O25,((P25*2.2046*S25)+(Q25+R25)/G25)+V25)</f>
        <v>33.436103899814547</v>
      </c>
      <c r="X25" s="18">
        <f t="shared" ref="X25" si="53">IF(O25&gt;0,O25,((P25*2.2046*S25)+(Q25+R25+T25)/G25)+V25)</f>
        <v>33.603342007066743</v>
      </c>
      <c r="Y25" s="21">
        <f t="shared" ref="Y25" si="54">X25*F25</f>
        <v>651250.02677340829</v>
      </c>
      <c r="Z25" s="32">
        <v>42521</v>
      </c>
      <c r="AA25" s="37"/>
      <c r="AB25" s="37"/>
    </row>
    <row r="26" spans="1:28" s="12" customFormat="1" x14ac:dyDescent="0.25">
      <c r="A26" s="148"/>
      <c r="B26" s="24" t="s">
        <v>32</v>
      </c>
      <c r="C26" s="14" t="s">
        <v>33</v>
      </c>
      <c r="D26" s="25" t="s">
        <v>1228</v>
      </c>
      <c r="E26" s="14">
        <v>200</v>
      </c>
      <c r="F26" s="26">
        <v>23295</v>
      </c>
      <c r="G26" s="27">
        <v>18740</v>
      </c>
      <c r="H26" s="27">
        <f t="shared" ref="H26" si="55">G26-F26</f>
        <v>-4555</v>
      </c>
      <c r="I26" s="25" t="s">
        <v>2882</v>
      </c>
      <c r="J26" s="14"/>
      <c r="K26" s="17"/>
      <c r="L26" s="17">
        <v>42529</v>
      </c>
      <c r="M26" s="25" t="s">
        <v>50</v>
      </c>
      <c r="N26" s="14"/>
      <c r="O26" s="18">
        <v>26.5</v>
      </c>
      <c r="P26" s="19"/>
      <c r="Q26" s="153">
        <v>17300</v>
      </c>
      <c r="R26" s="18">
        <f t="shared" ref="R26" si="56">61.75*E26</f>
        <v>12350</v>
      </c>
      <c r="S26" s="30">
        <f t="shared" ref="S26" si="57">-35*E26</f>
        <v>-7000</v>
      </c>
      <c r="T26" s="163">
        <f t="shared" ref="T26" si="58">W26*F26*0.0045</f>
        <v>3585.4333301093916</v>
      </c>
      <c r="U26" s="18">
        <f t="shared" ref="U26" si="59">E26*5</f>
        <v>1000</v>
      </c>
      <c r="V26" s="14"/>
      <c r="W26" s="18">
        <f t="shared" ref="W26" si="60">((O26*F26)+Q26+R26+S26+U26)/G26</f>
        <v>34.203175026680896</v>
      </c>
      <c r="X26" s="18">
        <f t="shared" ref="X26" si="61">((O26*F26)+Q26+R26+S26+T26+U26)/G26</f>
        <v>34.394500177700607</v>
      </c>
      <c r="Y26" s="21">
        <f t="shared" ref="Y26" si="62">X26*G26</f>
        <v>644552.93333010934</v>
      </c>
      <c r="Z26" s="32">
        <v>42542</v>
      </c>
      <c r="AA26" s="37">
        <v>36.5</v>
      </c>
      <c r="AB26" s="37"/>
    </row>
    <row r="27" spans="1:28" s="12" customFormat="1" x14ac:dyDescent="0.25">
      <c r="A27" s="148"/>
      <c r="B27" s="24" t="s">
        <v>25</v>
      </c>
      <c r="C27" s="25" t="s">
        <v>72</v>
      </c>
      <c r="D27" s="25" t="s">
        <v>72</v>
      </c>
      <c r="E27" s="14" t="s">
        <v>42</v>
      </c>
      <c r="F27" s="26">
        <f>43196*0.4536</f>
        <v>19593.705600000001</v>
      </c>
      <c r="G27" s="27">
        <v>19605.66</v>
      </c>
      <c r="H27" s="27">
        <f>G27-F27</f>
        <v>11.954399999998714</v>
      </c>
      <c r="I27" s="12" t="s">
        <v>2635</v>
      </c>
      <c r="J27" s="93" t="s">
        <v>44</v>
      </c>
      <c r="K27" s="17">
        <v>42529</v>
      </c>
      <c r="L27" s="17">
        <v>42530</v>
      </c>
      <c r="M27" s="25" t="s">
        <v>65</v>
      </c>
      <c r="N27" s="25" t="s">
        <v>2619</v>
      </c>
      <c r="O27" s="18"/>
      <c r="P27" s="28">
        <f>0.6785+0.105</f>
        <v>0.78349999999999997</v>
      </c>
      <c r="Q27" s="153">
        <v>18500</v>
      </c>
      <c r="R27" s="18">
        <v>9030</v>
      </c>
      <c r="S27" s="30">
        <v>18.649999999999999</v>
      </c>
      <c r="T27" s="163">
        <f>W27*F27*0.005</f>
        <v>3303.342779366013</v>
      </c>
      <c r="V27" s="18">
        <v>0.1</v>
      </c>
      <c r="W27" s="18">
        <f t="shared" ref="W27" si="63">IF(O27&gt;0,O27,((P27*2.2046*S27)+(Q27+R27)/G27)+V27)</f>
        <v>33.718407807107326</v>
      </c>
      <c r="X27" s="18">
        <f t="shared" ref="X27" si="64">IF(O27&gt;0,O27,((P27*2.2046*S27)+(Q27+R27+T27)/G27)+V27)</f>
        <v>33.886897048447125</v>
      </c>
      <c r="Y27" s="21">
        <f t="shared" ref="Y27" si="65">X27*F27</f>
        <v>663969.88446478196</v>
      </c>
      <c r="Z27" s="32">
        <v>42523</v>
      </c>
      <c r="AA27" s="37"/>
      <c r="AB27" s="37"/>
    </row>
    <row r="28" spans="1:28" s="12" customFormat="1" x14ac:dyDescent="0.25">
      <c r="A28" s="148"/>
      <c r="B28" s="24" t="s">
        <v>25</v>
      </c>
      <c r="C28" s="25" t="s">
        <v>72</v>
      </c>
      <c r="D28" s="25" t="s">
        <v>72</v>
      </c>
      <c r="E28" s="14" t="s">
        <v>42</v>
      </c>
      <c r="F28" s="26">
        <f>42838*0.4536</f>
        <v>19431.316800000001</v>
      </c>
      <c r="G28" s="27">
        <v>19442.05</v>
      </c>
      <c r="H28" s="27">
        <f>G28-F28</f>
        <v>10.73319999999876</v>
      </c>
      <c r="I28" s="12" t="s">
        <v>2636</v>
      </c>
      <c r="J28" s="93" t="s">
        <v>44</v>
      </c>
      <c r="K28" s="17">
        <v>42529</v>
      </c>
      <c r="L28" s="17">
        <v>42530</v>
      </c>
      <c r="M28" s="25" t="s">
        <v>65</v>
      </c>
      <c r="N28" s="25" t="s">
        <v>2619</v>
      </c>
      <c r="O28" s="18"/>
      <c r="P28" s="28">
        <v>0.78349999999999997</v>
      </c>
      <c r="Q28" s="153">
        <v>18500</v>
      </c>
      <c r="R28" s="18">
        <v>9030</v>
      </c>
      <c r="S28" s="30">
        <v>18.649999999999999</v>
      </c>
      <c r="T28" s="163">
        <f t="shared" ref="T28" si="66">W28*F28*0.005</f>
        <v>3277.1133809449857</v>
      </c>
      <c r="V28" s="18">
        <v>0.1</v>
      </c>
      <c r="W28" s="18">
        <f>IF(O28&gt;0,O28,((P28*2.2046*S28)+(Q28+R28)/G28)+V28)</f>
        <v>33.730224407076577</v>
      </c>
      <c r="X28" s="18">
        <f>IF(O28&gt;0,O28,((P28*2.2046*S28)+(Q28+R28+T28)/G28)+V28)</f>
        <v>33.898782423383757</v>
      </c>
      <c r="Y28" s="21">
        <f>X28*F28</f>
        <v>658697.98040304158</v>
      </c>
      <c r="Z28" s="32">
        <v>42523</v>
      </c>
      <c r="AA28" s="37"/>
      <c r="AB28" s="37"/>
    </row>
    <row r="29" spans="1:28" s="12" customFormat="1" x14ac:dyDescent="0.25">
      <c r="A29" s="148"/>
      <c r="B29" s="24" t="s">
        <v>32</v>
      </c>
      <c r="C29" s="14" t="s">
        <v>33</v>
      </c>
      <c r="D29" s="25" t="s">
        <v>1510</v>
      </c>
      <c r="E29" s="14">
        <v>249</v>
      </c>
      <c r="F29" s="26">
        <v>27810</v>
      </c>
      <c r="G29" s="27">
        <v>22900</v>
      </c>
      <c r="H29" s="27">
        <f t="shared" ref="H29:H31" si="67">G29-F29</f>
        <v>-4910</v>
      </c>
      <c r="I29" s="12" t="s">
        <v>2911</v>
      </c>
      <c r="J29" s="120">
        <v>250</v>
      </c>
      <c r="K29" s="17"/>
      <c r="L29" s="17">
        <v>42530</v>
      </c>
      <c r="M29" s="25" t="s">
        <v>65</v>
      </c>
      <c r="N29" s="14"/>
      <c r="O29" s="18">
        <v>26.5</v>
      </c>
      <c r="P29" s="19"/>
      <c r="Q29" s="153">
        <v>17300</v>
      </c>
      <c r="R29" s="18">
        <f t="shared" ref="R29:R30" si="68">61.75*E29</f>
        <v>15375.75</v>
      </c>
      <c r="S29" s="30">
        <f t="shared" ref="S29:S30" si="69">-35*E29</f>
        <v>-8715</v>
      </c>
      <c r="T29" s="163">
        <f t="shared" ref="T29:T30" si="70">W29*F29*0.0045</f>
        <v>4165.1466597707422</v>
      </c>
      <c r="U29" s="18">
        <f t="shared" ref="U29:U30" si="71">E29*5</f>
        <v>1245</v>
      </c>
      <c r="V29" s="14"/>
      <c r="W29" s="18">
        <f t="shared" ref="W29:W30" si="72">((O29*F29)+Q29+R29+S29+U29)/G29</f>
        <v>33.282565502183409</v>
      </c>
      <c r="X29" s="18">
        <f t="shared" ref="X29:X30" si="73">((O29*F29)+Q29+R29+S29+T29+U29)/G29</f>
        <v>33.464449635797848</v>
      </c>
      <c r="Y29" s="21">
        <f t="shared" ref="Y29:Y30" si="74">X29*G29</f>
        <v>766335.89665977075</v>
      </c>
      <c r="Z29" s="32">
        <v>42543</v>
      </c>
      <c r="AA29" s="37">
        <v>36.5</v>
      </c>
      <c r="AB29" s="37"/>
    </row>
    <row r="30" spans="1:28" s="12" customFormat="1" x14ac:dyDescent="0.25">
      <c r="A30" s="148"/>
      <c r="B30" s="24" t="s">
        <v>32</v>
      </c>
      <c r="C30" s="14" t="s">
        <v>33</v>
      </c>
      <c r="D30" s="25" t="s">
        <v>34</v>
      </c>
      <c r="E30" s="14">
        <v>130</v>
      </c>
      <c r="F30" s="26">
        <v>14620</v>
      </c>
      <c r="G30" s="27">
        <v>11630</v>
      </c>
      <c r="H30" s="27">
        <f t="shared" si="67"/>
        <v>-2990</v>
      </c>
      <c r="I30" s="25" t="s">
        <v>2912</v>
      </c>
      <c r="J30" s="120">
        <v>129</v>
      </c>
      <c r="K30" s="17"/>
      <c r="L30" s="17">
        <v>42530</v>
      </c>
      <c r="M30" s="25" t="s">
        <v>65</v>
      </c>
      <c r="N30" s="14"/>
      <c r="O30" s="18">
        <v>26.5</v>
      </c>
      <c r="P30" s="19"/>
      <c r="Q30" s="153">
        <v>13600</v>
      </c>
      <c r="R30" s="18">
        <f t="shared" si="68"/>
        <v>8027.5</v>
      </c>
      <c r="S30" s="30">
        <f t="shared" si="69"/>
        <v>-4550</v>
      </c>
      <c r="T30" s="163">
        <f t="shared" si="70"/>
        <v>2291.9442755803957</v>
      </c>
      <c r="U30" s="18">
        <f t="shared" si="71"/>
        <v>650</v>
      </c>
      <c r="V30" s="14"/>
      <c r="W30" s="18">
        <f t="shared" si="72"/>
        <v>34.83727429062769</v>
      </c>
      <c r="X30" s="18">
        <f t="shared" si="73"/>
        <v>35.034346025415338</v>
      </c>
      <c r="Y30" s="21">
        <f t="shared" si="74"/>
        <v>407449.4442755804</v>
      </c>
      <c r="Z30" s="32">
        <v>42543</v>
      </c>
      <c r="AA30" s="37">
        <v>36.5</v>
      </c>
      <c r="AB30" s="37" t="s">
        <v>2916</v>
      </c>
    </row>
    <row r="31" spans="1:28" s="12" customFormat="1" x14ac:dyDescent="0.25">
      <c r="A31" s="148"/>
      <c r="B31" s="24" t="s">
        <v>2077</v>
      </c>
      <c r="C31" s="14" t="s">
        <v>72</v>
      </c>
      <c r="D31" s="25" t="s">
        <v>57</v>
      </c>
      <c r="E31" s="14" t="s">
        <v>67</v>
      </c>
      <c r="F31" s="26">
        <v>3709</v>
      </c>
      <c r="G31" s="27">
        <v>3709</v>
      </c>
      <c r="H31" s="27">
        <f t="shared" si="67"/>
        <v>0</v>
      </c>
      <c r="I31" s="25" t="s">
        <v>2922</v>
      </c>
      <c r="J31" s="14"/>
      <c r="K31" s="17"/>
      <c r="L31" s="17">
        <v>42531</v>
      </c>
      <c r="M31" s="25" t="s">
        <v>65</v>
      </c>
      <c r="N31" s="14"/>
      <c r="O31" s="18">
        <v>16</v>
      </c>
      <c r="P31" s="19"/>
      <c r="Q31" s="18"/>
      <c r="R31" s="18"/>
      <c r="S31" s="30"/>
      <c r="T31" s="31"/>
      <c r="U31" s="18"/>
      <c r="V31" s="18"/>
      <c r="W31" s="18">
        <f t="shared" ref="W31" si="75">IF(O31&gt;0,O31,((P31*2.2046*S31)+(Q31+R31)/G31)+V31)</f>
        <v>16</v>
      </c>
      <c r="X31" s="18">
        <f t="shared" ref="X31" si="76">IF(O31&gt;0,O31,((P31*2.2046*S31)+(Q31+R31+T31)/G31)+V31)</f>
        <v>16</v>
      </c>
      <c r="Y31" s="21">
        <f t="shared" ref="Y31" si="77">X31*F31</f>
        <v>59344</v>
      </c>
      <c r="Z31" s="32">
        <v>42538</v>
      </c>
      <c r="AA31" s="37"/>
      <c r="AB31" s="37"/>
    </row>
    <row r="32" spans="1:28" s="12" customFormat="1" x14ac:dyDescent="0.25">
      <c r="A32" s="148"/>
      <c r="B32" s="24" t="s">
        <v>25</v>
      </c>
      <c r="C32" s="25" t="s">
        <v>40</v>
      </c>
      <c r="D32" s="25" t="s">
        <v>40</v>
      </c>
      <c r="E32" s="14" t="s">
        <v>831</v>
      </c>
      <c r="F32" s="26">
        <f>42010*0.4536</f>
        <v>19055.736000000001</v>
      </c>
      <c r="G32" s="27">
        <v>19142.5</v>
      </c>
      <c r="H32" s="27">
        <f>G32-F32</f>
        <v>86.763999999999214</v>
      </c>
      <c r="I32" s="12" t="s">
        <v>2632</v>
      </c>
      <c r="J32" s="93" t="s">
        <v>44</v>
      </c>
      <c r="K32" s="17">
        <v>42530</v>
      </c>
      <c r="L32" s="17">
        <v>42531</v>
      </c>
      <c r="M32" s="25" t="s">
        <v>84</v>
      </c>
      <c r="N32" s="25" t="s">
        <v>2620</v>
      </c>
      <c r="O32" s="18"/>
      <c r="P32" s="28">
        <f>0.6785+0.1</f>
        <v>0.77849999999999997</v>
      </c>
      <c r="Q32" s="153">
        <v>18500</v>
      </c>
      <c r="R32" s="18">
        <v>9030</v>
      </c>
      <c r="S32" s="30">
        <v>18.797999999999998</v>
      </c>
      <c r="T32" s="163">
        <f>W32*F32*0.005</f>
        <v>3220.4968720088773</v>
      </c>
      <c r="V32" s="18">
        <v>0.1</v>
      </c>
      <c r="W32" s="18">
        <f t="shared" ref="W32" si="78">IF(O32&gt;0,O32,((P32*2.2046*S32)+(Q32+R32)/G32)+V32)</f>
        <v>33.800813277523126</v>
      </c>
      <c r="X32" s="18">
        <f t="shared" ref="X32" si="79">IF(O32&gt;0,O32,((P32*2.2046*S32)+(Q32+R32+T32)/G32)+V32)</f>
        <v>33.969051327517057</v>
      </c>
      <c r="Y32" s="21">
        <f t="shared" ref="Y32" si="80">X32*F32</f>
        <v>647305.27426761459</v>
      </c>
      <c r="Z32" s="32">
        <v>42542</v>
      </c>
      <c r="AA32" s="37"/>
      <c r="AB32" s="37"/>
    </row>
    <row r="33" spans="1:33" s="12" customFormat="1" x14ac:dyDescent="0.25">
      <c r="A33" s="148"/>
      <c r="B33" s="24" t="s">
        <v>25</v>
      </c>
      <c r="C33" s="25" t="s">
        <v>40</v>
      </c>
      <c r="D33" s="25" t="s">
        <v>40</v>
      </c>
      <c r="E33" s="14" t="s">
        <v>831</v>
      </c>
      <c r="F33" s="26">
        <f>41336*0.4536</f>
        <v>18750.009600000001</v>
      </c>
      <c r="G33" s="27">
        <v>18569.78</v>
      </c>
      <c r="H33" s="27">
        <f>G33-F33</f>
        <v>-180.22960000000239</v>
      </c>
      <c r="I33" s="12" t="s">
        <v>2931</v>
      </c>
      <c r="J33" s="93" t="s">
        <v>74</v>
      </c>
      <c r="K33" s="17">
        <v>42530</v>
      </c>
      <c r="L33" s="17">
        <v>42531</v>
      </c>
      <c r="M33" s="25" t="s">
        <v>84</v>
      </c>
      <c r="N33" s="25" t="s">
        <v>2620</v>
      </c>
      <c r="O33" s="18"/>
      <c r="P33" s="28">
        <v>0.77849999999999997</v>
      </c>
      <c r="Q33" s="153">
        <v>18500</v>
      </c>
      <c r="R33" s="18">
        <v>9030</v>
      </c>
      <c r="S33" s="30">
        <v>18.797999999999998</v>
      </c>
      <c r="T33" s="163">
        <f>W33*F33*0.005</f>
        <v>3172.9861559751566</v>
      </c>
      <c r="V33" s="18">
        <v>0.1</v>
      </c>
      <c r="W33" s="18">
        <f t="shared" ref="W33" si="81">IF(O33&gt;0,O33,((P33*2.2046*S33)+(Q33+R33)/G33)+V33)</f>
        <v>33.845168335008815</v>
      </c>
      <c r="X33" s="18">
        <f t="shared" ref="X33" si="82">IF(O33&gt;0,O33,((P33*2.2046*S33)+(Q33+R33+T33)/G33)+V33)</f>
        <v>34.016036603559932</v>
      </c>
      <c r="Y33" s="21">
        <f t="shared" ref="Y33" si="83">X33*F33</f>
        <v>637801.01287070021</v>
      </c>
      <c r="Z33" s="32">
        <v>42542</v>
      </c>
      <c r="AA33" s="37"/>
      <c r="AB33" s="37"/>
    </row>
    <row r="34" spans="1:33" s="12" customFormat="1" x14ac:dyDescent="0.25">
      <c r="A34" s="148"/>
      <c r="B34" s="24" t="s">
        <v>32</v>
      </c>
      <c r="C34" s="14" t="s">
        <v>33</v>
      </c>
      <c r="D34" s="25" t="s">
        <v>38</v>
      </c>
      <c r="E34" s="14">
        <v>234</v>
      </c>
      <c r="F34" s="26">
        <v>32890</v>
      </c>
      <c r="G34" s="27">
        <f>28270-1150</f>
        <v>27120</v>
      </c>
      <c r="H34" s="27">
        <f t="shared" ref="H34:H36" si="84">G34-F34</f>
        <v>-5770</v>
      </c>
      <c r="I34" s="12" t="s">
        <v>2917</v>
      </c>
      <c r="J34" s="120">
        <v>250</v>
      </c>
      <c r="K34" s="17"/>
      <c r="L34" s="17">
        <v>42531</v>
      </c>
      <c r="M34" s="25" t="s">
        <v>84</v>
      </c>
      <c r="N34" s="14"/>
      <c r="O34" s="18">
        <v>27</v>
      </c>
      <c r="P34" s="19"/>
      <c r="Q34" s="153">
        <v>17300</v>
      </c>
      <c r="R34" s="18">
        <f t="shared" ref="R34:R35" si="85">61.75*E34</f>
        <v>14449.5</v>
      </c>
      <c r="S34" s="30">
        <f>-35*E34</f>
        <v>-8190</v>
      </c>
      <c r="T34" s="163">
        <f>W34*F34*0.0045</f>
        <v>4981.3041960730088</v>
      </c>
      <c r="U34" s="18">
        <f>E34*5</f>
        <v>1170</v>
      </c>
      <c r="V34" s="14"/>
      <c r="W34" s="18">
        <f>((O34*F34)+Q34+R34+S34+U34)/G34</f>
        <v>33.656323746312687</v>
      </c>
      <c r="X34" s="18">
        <f>((O34*F34)+Q34+R34+S34+T34+U34)/G34</f>
        <v>33.840000154722453</v>
      </c>
      <c r="Y34" s="21">
        <f t="shared" ref="Y34:Y35" si="86">X34*G34</f>
        <v>917740.80419607298</v>
      </c>
      <c r="Z34" s="32">
        <v>42544</v>
      </c>
      <c r="AA34" s="2">
        <v>37</v>
      </c>
      <c r="AB34" s="2"/>
    </row>
    <row r="35" spans="1:33" s="12" customFormat="1" x14ac:dyDescent="0.25">
      <c r="A35" s="148"/>
      <c r="B35" s="24" t="s">
        <v>32</v>
      </c>
      <c r="C35" s="14" t="s">
        <v>33</v>
      </c>
      <c r="D35" s="25" t="s">
        <v>1510</v>
      </c>
      <c r="E35" s="14">
        <v>146</v>
      </c>
      <c r="F35" s="26">
        <v>17555</v>
      </c>
      <c r="G35" s="27">
        <f>12850+1150</f>
        <v>14000</v>
      </c>
      <c r="H35" s="27">
        <f t="shared" si="84"/>
        <v>-3555</v>
      </c>
      <c r="I35" s="25" t="s">
        <v>2918</v>
      </c>
      <c r="J35" s="120">
        <v>130</v>
      </c>
      <c r="K35" s="17"/>
      <c r="L35" s="17">
        <v>40339</v>
      </c>
      <c r="M35" s="25" t="s">
        <v>84</v>
      </c>
      <c r="N35" s="14"/>
      <c r="O35" s="18">
        <v>27</v>
      </c>
      <c r="P35" s="19"/>
      <c r="Q35" s="153">
        <v>13600</v>
      </c>
      <c r="R35" s="18">
        <f t="shared" si="85"/>
        <v>9015.5</v>
      </c>
      <c r="S35" s="30">
        <f>-35*E35</f>
        <v>-5110</v>
      </c>
      <c r="T35" s="163">
        <f>W35*F35*0.0045</f>
        <v>2777.4420677678568</v>
      </c>
      <c r="U35" s="18">
        <f>E35*5</f>
        <v>730</v>
      </c>
      <c r="V35" s="14"/>
      <c r="W35" s="18">
        <f>((O35*F35)+Q35+R35+S35+U35)/G35</f>
        <v>35.158607142857143</v>
      </c>
      <c r="X35" s="18">
        <f>((O35*F35)+Q35+R35+S35+T35+U35)/G35</f>
        <v>35.356995861983414</v>
      </c>
      <c r="Y35" s="21">
        <f t="shared" si="86"/>
        <v>494997.94206776778</v>
      </c>
      <c r="Z35" s="32">
        <v>42544</v>
      </c>
      <c r="AA35" s="2">
        <v>37</v>
      </c>
      <c r="AB35" s="2" t="s">
        <v>2919</v>
      </c>
    </row>
    <row r="36" spans="1:33" s="12" customFormat="1" x14ac:dyDescent="0.25">
      <c r="A36" s="148"/>
      <c r="B36" s="24" t="s">
        <v>25</v>
      </c>
      <c r="C36" s="25" t="s">
        <v>72</v>
      </c>
      <c r="D36" s="25" t="s">
        <v>72</v>
      </c>
      <c r="E36" s="14" t="s">
        <v>42</v>
      </c>
      <c r="F36" s="26">
        <f>42205*0.4536</f>
        <v>19144.188000000002</v>
      </c>
      <c r="G36" s="27">
        <v>19142.05</v>
      </c>
      <c r="H36" s="27">
        <f t="shared" si="84"/>
        <v>-2.1380000000026484</v>
      </c>
      <c r="I36" s="12" t="s">
        <v>2637</v>
      </c>
      <c r="J36" s="93" t="s">
        <v>44</v>
      </c>
      <c r="K36" s="17">
        <v>42531</v>
      </c>
      <c r="L36" s="17">
        <v>42532</v>
      </c>
      <c r="M36" s="25" t="s">
        <v>30</v>
      </c>
      <c r="N36" s="25" t="s">
        <v>2621</v>
      </c>
      <c r="O36" s="18"/>
      <c r="P36" s="28">
        <f>0.6842+0.105</f>
        <v>0.78920000000000001</v>
      </c>
      <c r="Q36" s="153">
        <v>18500</v>
      </c>
      <c r="R36" s="18">
        <v>9043</v>
      </c>
      <c r="S36" s="30">
        <v>18.651</v>
      </c>
      <c r="T36" s="163">
        <f t="shared" ref="T36" si="87">W36*F36*0.005</f>
        <v>3253.4777373701977</v>
      </c>
      <c r="V36" s="18">
        <v>0.1</v>
      </c>
      <c r="W36" s="18">
        <f>IF(O36&gt;0,O36,((P36*2.2046*S36)+(Q36+R36)/G36)+V36)</f>
        <v>33.989195440101163</v>
      </c>
      <c r="X36" s="18">
        <f>IF(O36&gt;0,O36,((P36*2.2046*S36)+(Q36+R36+T36)/G36)+V36)</f>
        <v>34.159160398784799</v>
      </c>
      <c r="Y36" s="21">
        <f t="shared" ref="Y36" si="88">X36*F36</f>
        <v>653949.38859649119</v>
      </c>
      <c r="Z36" s="32">
        <v>42527</v>
      </c>
      <c r="AA36" s="2"/>
      <c r="AB36" s="2" t="s">
        <v>2915</v>
      </c>
    </row>
    <row r="37" spans="1:33" s="12" customFormat="1" ht="15.75" thickBot="1" x14ac:dyDescent="0.3">
      <c r="A37" s="148"/>
      <c r="B37" s="41"/>
      <c r="C37" s="4"/>
      <c r="D37" s="4"/>
      <c r="E37" s="4"/>
      <c r="F37" s="42"/>
      <c r="G37" s="42"/>
      <c r="H37" s="42"/>
      <c r="I37" s="6"/>
      <c r="J37" s="4"/>
      <c r="K37" s="7"/>
      <c r="L37" s="7"/>
      <c r="M37" s="4"/>
      <c r="N37" s="4"/>
      <c r="O37" s="8"/>
      <c r="P37" s="9"/>
      <c r="Q37" s="8"/>
      <c r="R37" s="8"/>
      <c r="S37" s="8"/>
      <c r="T37" s="8"/>
      <c r="U37" s="8"/>
      <c r="V37" s="8"/>
      <c r="W37" s="8"/>
      <c r="X37" s="8"/>
      <c r="Y37" s="11"/>
      <c r="Z37" s="43"/>
      <c r="AA37" s="2"/>
      <c r="AB37" s="2"/>
    </row>
    <row r="38" spans="1:33" s="12" customFormat="1" x14ac:dyDescent="0.25">
      <c r="A38" s="152"/>
      <c r="B38" s="14" t="s">
        <v>32</v>
      </c>
      <c r="C38" s="14" t="s">
        <v>33</v>
      </c>
      <c r="D38" s="25" t="s">
        <v>87</v>
      </c>
      <c r="E38" s="14">
        <v>250</v>
      </c>
      <c r="F38" s="26">
        <v>28235</v>
      </c>
      <c r="G38" s="27">
        <v>22510</v>
      </c>
      <c r="H38" s="27">
        <f t="shared" ref="H38:H42" si="89">G38-F38</f>
        <v>-5725</v>
      </c>
      <c r="I38" s="25" t="s">
        <v>2947</v>
      </c>
      <c r="J38" s="14"/>
      <c r="K38" s="17"/>
      <c r="L38" s="17">
        <v>42533</v>
      </c>
      <c r="M38" s="25" t="s">
        <v>36</v>
      </c>
      <c r="N38" s="14"/>
      <c r="O38" s="18">
        <v>28</v>
      </c>
      <c r="P38" s="19"/>
      <c r="Q38" s="153">
        <v>17300</v>
      </c>
      <c r="R38" s="18">
        <f t="shared" ref="R38:R40" si="90">61.75*E38</f>
        <v>15437.5</v>
      </c>
      <c r="S38" s="30">
        <f>-35*E38</f>
        <v>-8750</v>
      </c>
      <c r="T38" s="163">
        <f>W38*F38*0.0045</f>
        <v>4604.8748114726786</v>
      </c>
      <c r="U38" s="18">
        <f>E38*5</f>
        <v>1250</v>
      </c>
      <c r="V38" s="14"/>
      <c r="W38" s="18">
        <f>((O38*F38)+Q38+R38+S38+U38)/G38</f>
        <v>36.242447800977345</v>
      </c>
      <c r="X38" s="18">
        <f>((O38*F38)+Q38+R38+S38+T38+U38)/G38</f>
        <v>36.447017983628285</v>
      </c>
      <c r="Y38" s="21">
        <f>X38*G38</f>
        <v>820422.37481147272</v>
      </c>
      <c r="Z38" s="32">
        <v>42548</v>
      </c>
      <c r="AA38" s="2">
        <v>38</v>
      </c>
      <c r="AB38" s="2"/>
    </row>
    <row r="39" spans="1:33" s="12" customFormat="1" x14ac:dyDescent="0.25">
      <c r="A39" s="152"/>
      <c r="B39" s="24" t="s">
        <v>32</v>
      </c>
      <c r="C39" s="14" t="s">
        <v>33</v>
      </c>
      <c r="D39" s="25" t="s">
        <v>87</v>
      </c>
      <c r="E39" s="14">
        <v>130</v>
      </c>
      <c r="F39" s="26">
        <v>14675</v>
      </c>
      <c r="G39" s="27">
        <v>11810</v>
      </c>
      <c r="H39" s="27">
        <f t="shared" si="89"/>
        <v>-2865</v>
      </c>
      <c r="I39" s="25" t="s">
        <v>2948</v>
      </c>
      <c r="J39" s="14"/>
      <c r="K39" s="17"/>
      <c r="L39" s="17">
        <v>42533</v>
      </c>
      <c r="M39" s="25" t="s">
        <v>36</v>
      </c>
      <c r="N39" s="14"/>
      <c r="O39" s="18">
        <v>28</v>
      </c>
      <c r="P39" s="19"/>
      <c r="Q39" s="153">
        <v>13600</v>
      </c>
      <c r="R39" s="18">
        <f t="shared" si="90"/>
        <v>8027.5</v>
      </c>
      <c r="S39" s="30">
        <f t="shared" ref="S39:S40" si="91">-35*E39</f>
        <v>-4550</v>
      </c>
      <c r="T39" s="163">
        <f>W39*F39*0.0045</f>
        <v>2396.7390796994073</v>
      </c>
      <c r="U39" s="18">
        <f>E39*5</f>
        <v>650</v>
      </c>
      <c r="V39" s="14"/>
      <c r="W39" s="18">
        <f>((O39*F39)+Q39+R39+S39+U39)/G39</f>
        <v>36.293607112616428</v>
      </c>
      <c r="X39" s="18">
        <f>((O39*F39)+Q39+R39+S39+T39+U39)/G39</f>
        <v>36.496548609627382</v>
      </c>
      <c r="Y39" s="21">
        <f>X39*G39</f>
        <v>431024.23907969939</v>
      </c>
      <c r="Z39" s="32">
        <v>42548</v>
      </c>
      <c r="AA39" s="2">
        <v>38</v>
      </c>
      <c r="AB39" s="2" t="s">
        <v>2949</v>
      </c>
    </row>
    <row r="40" spans="1:33" s="12" customFormat="1" x14ac:dyDescent="0.25">
      <c r="A40" s="152"/>
      <c r="B40" s="24" t="s">
        <v>32</v>
      </c>
      <c r="C40" s="14" t="s">
        <v>33</v>
      </c>
      <c r="D40" s="25" t="s">
        <v>1510</v>
      </c>
      <c r="E40" s="14">
        <v>200</v>
      </c>
      <c r="F40" s="26">
        <v>23010</v>
      </c>
      <c r="G40" s="27">
        <f>12160+6530</f>
        <v>18690</v>
      </c>
      <c r="H40" s="27">
        <f t="shared" si="89"/>
        <v>-4320</v>
      </c>
      <c r="I40" s="25" t="s">
        <v>2963</v>
      </c>
      <c r="J40" s="14"/>
      <c r="K40" s="17"/>
      <c r="L40" s="17">
        <v>42534</v>
      </c>
      <c r="M40" s="25" t="s">
        <v>39</v>
      </c>
      <c r="N40" s="14"/>
      <c r="O40" s="18">
        <v>28</v>
      </c>
      <c r="P40" s="19"/>
      <c r="Q40" s="153">
        <v>17300</v>
      </c>
      <c r="R40" s="18">
        <f t="shared" si="90"/>
        <v>12350</v>
      </c>
      <c r="S40" s="30">
        <f t="shared" si="91"/>
        <v>-7000</v>
      </c>
      <c r="T40" s="163">
        <f>W40*F40*0.0045</f>
        <v>3700.4179695024068</v>
      </c>
      <c r="U40" s="18">
        <f>E40*5</f>
        <v>1000</v>
      </c>
      <c r="V40" s="14"/>
      <c r="W40" s="18">
        <f>((O40*F40)+Q40+R40+S40+U40)/G40</f>
        <v>35.737292669876936</v>
      </c>
      <c r="X40" s="18">
        <f>((O40*F40)+Q40+R40+S40+T40+U40)/G40</f>
        <v>35.935281860326505</v>
      </c>
      <c r="Y40" s="21">
        <f>X40*G40</f>
        <v>671630.41796950239</v>
      </c>
      <c r="Z40" s="32">
        <v>42548</v>
      </c>
      <c r="AA40" s="2">
        <v>38</v>
      </c>
      <c r="AB40" s="2" t="s">
        <v>2969</v>
      </c>
    </row>
    <row r="41" spans="1:33" s="12" customFormat="1" x14ac:dyDescent="0.25">
      <c r="A41" s="152"/>
      <c r="B41" s="24" t="s">
        <v>3021</v>
      </c>
      <c r="C41" s="14" t="s">
        <v>2924</v>
      </c>
      <c r="D41" s="25" t="s">
        <v>2924</v>
      </c>
      <c r="E41" s="14" t="s">
        <v>3022</v>
      </c>
      <c r="F41" s="26">
        <v>1190.2</v>
      </c>
      <c r="G41" s="27">
        <v>1190.2</v>
      </c>
      <c r="H41" s="27">
        <f t="shared" si="89"/>
        <v>0</v>
      </c>
      <c r="I41" s="25" t="s">
        <v>3023</v>
      </c>
      <c r="J41" s="14"/>
      <c r="K41" s="17"/>
      <c r="L41" s="17">
        <v>42534</v>
      </c>
      <c r="M41" s="25" t="s">
        <v>39</v>
      </c>
      <c r="N41" s="14"/>
      <c r="O41" s="18">
        <v>66</v>
      </c>
      <c r="P41" s="19"/>
      <c r="Q41" s="18"/>
      <c r="R41" s="18"/>
      <c r="S41" s="30"/>
      <c r="T41" s="31"/>
      <c r="U41" s="18"/>
      <c r="V41" s="18"/>
      <c r="W41" s="18">
        <f t="shared" ref="W41" si="92">IF(O41&gt;0,O41,((P41*2.2046*S41)+(Q41+R41)/G41)+V41)</f>
        <v>66</v>
      </c>
      <c r="X41" s="18">
        <f t="shared" ref="X41" si="93">IF(O41&gt;0,O41,((P41*2.2046*S41)+(Q41+R41+T41)/G41)+V41)</f>
        <v>66</v>
      </c>
      <c r="Y41" s="21">
        <f>X41*F41</f>
        <v>78553.2</v>
      </c>
      <c r="Z41" s="32">
        <v>42541</v>
      </c>
      <c r="AA41" s="2"/>
      <c r="AB41" s="2"/>
    </row>
    <row r="42" spans="1:33" s="12" customFormat="1" x14ac:dyDescent="0.25">
      <c r="A42" s="152"/>
      <c r="B42" s="24" t="s">
        <v>25</v>
      </c>
      <c r="C42" s="25" t="s">
        <v>40</v>
      </c>
      <c r="D42" s="25" t="s">
        <v>40</v>
      </c>
      <c r="E42" s="14" t="s">
        <v>831</v>
      </c>
      <c r="F42" s="26">
        <f>41119*0.4536</f>
        <v>18651.578399999999</v>
      </c>
      <c r="G42" s="27">
        <v>18680.59</v>
      </c>
      <c r="H42" s="27">
        <f t="shared" si="89"/>
        <v>29.011600000001636</v>
      </c>
      <c r="I42" s="12" t="s">
        <v>2633</v>
      </c>
      <c r="J42" s="93" t="s">
        <v>44</v>
      </c>
      <c r="K42" s="17">
        <v>42534</v>
      </c>
      <c r="L42" s="17">
        <v>42535</v>
      </c>
      <c r="M42" s="25" t="s">
        <v>45</v>
      </c>
      <c r="N42" s="25" t="s">
        <v>2830</v>
      </c>
      <c r="O42" s="18"/>
      <c r="P42" s="28">
        <f>0.706+0.1</f>
        <v>0.80599999999999994</v>
      </c>
      <c r="Q42" s="153">
        <v>18500</v>
      </c>
      <c r="R42" s="18">
        <v>9108</v>
      </c>
      <c r="S42" s="30">
        <v>18.89</v>
      </c>
      <c r="T42" s="163">
        <f>W42*F42*0.005</f>
        <v>3277.4257200879438</v>
      </c>
      <c r="V42" s="18">
        <v>0.1</v>
      </c>
      <c r="W42" s="18">
        <f t="shared" ref="W42" si="94">IF(O42&gt;0,O42,((P42*2.2046*S42)+(Q42+R42)/G42)+V42)</f>
        <v>35.143682210701733</v>
      </c>
      <c r="X42" s="18">
        <f t="shared" ref="X42" si="95">IF(O42&gt;0,O42,((P42*2.2046*S42)+(Q42+R42+T42)/G42)+V42)</f>
        <v>35.319127725007654</v>
      </c>
      <c r="Y42" s="21">
        <f>X42*F42</f>
        <v>658757.47978259379</v>
      </c>
      <c r="Z42" s="32">
        <v>42548</v>
      </c>
      <c r="AA42" s="37">
        <v>36.5</v>
      </c>
      <c r="AB42" s="37"/>
    </row>
    <row r="43" spans="1:33" s="12" customFormat="1" x14ac:dyDescent="0.25">
      <c r="A43" s="152"/>
      <c r="B43" s="24" t="s">
        <v>32</v>
      </c>
      <c r="C43" s="14" t="s">
        <v>33</v>
      </c>
      <c r="D43" s="25" t="s">
        <v>1510</v>
      </c>
      <c r="E43" s="14">
        <v>200</v>
      </c>
      <c r="F43" s="26">
        <v>23680</v>
      </c>
      <c r="G43" s="27">
        <f>12290+6670</f>
        <v>18960</v>
      </c>
      <c r="H43" s="27">
        <f>G43-F43</f>
        <v>-4720</v>
      </c>
      <c r="I43" s="25" t="s">
        <v>2968</v>
      </c>
      <c r="J43" s="14"/>
      <c r="K43" s="17"/>
      <c r="L43" s="17">
        <v>42535</v>
      </c>
      <c r="M43" s="25" t="s">
        <v>45</v>
      </c>
      <c r="N43" s="14"/>
      <c r="O43" s="18">
        <v>28</v>
      </c>
      <c r="P43" s="19"/>
      <c r="Q43" s="153">
        <v>17300</v>
      </c>
      <c r="R43" s="18">
        <f t="shared" ref="R43" si="96">61.75*E43</f>
        <v>12350</v>
      </c>
      <c r="S43" s="30">
        <f t="shared" ref="S43" si="97">-35*E43</f>
        <v>-7000</v>
      </c>
      <c r="T43" s="163">
        <f>W43*F43*0.0045</f>
        <v>3859.3716455696203</v>
      </c>
      <c r="U43" s="18">
        <f>E43*5</f>
        <v>1000</v>
      </c>
      <c r="V43" s="14"/>
      <c r="W43" s="18">
        <f>((O43*F43)+Q43+R43+S43+U43)/G43</f>
        <v>36.217827004219409</v>
      </c>
      <c r="X43" s="18">
        <f>((O43*F43)+Q43+R43+S43+T43+U43)/G43</f>
        <v>36.421380361053245</v>
      </c>
      <c r="Y43" s="21">
        <f>X43*G43</f>
        <v>690549.37164556957</v>
      </c>
      <c r="Z43" s="32">
        <v>42548</v>
      </c>
      <c r="AA43" s="37">
        <v>38</v>
      </c>
      <c r="AB43" s="37" t="s">
        <v>2985</v>
      </c>
    </row>
    <row r="44" spans="1:33" s="12" customFormat="1" x14ac:dyDescent="0.25">
      <c r="A44" s="152"/>
      <c r="B44" s="24" t="s">
        <v>855</v>
      </c>
      <c r="C44" s="14" t="s">
        <v>2973</v>
      </c>
      <c r="D44" s="25" t="s">
        <v>1959</v>
      </c>
      <c r="E44" s="14" t="s">
        <v>3020</v>
      </c>
      <c r="F44" s="26">
        <v>4000</v>
      </c>
      <c r="G44" s="27">
        <v>4000</v>
      </c>
      <c r="H44" s="27">
        <f>G44-F44</f>
        <v>0</v>
      </c>
      <c r="I44" s="25" t="s">
        <v>2993</v>
      </c>
      <c r="J44" s="14"/>
      <c r="K44" s="17"/>
      <c r="L44" s="17">
        <v>42536</v>
      </c>
      <c r="M44" s="25" t="s">
        <v>50</v>
      </c>
      <c r="N44" s="14"/>
      <c r="O44" s="18">
        <v>83.3</v>
      </c>
      <c r="P44" s="19"/>
      <c r="Q44" s="18"/>
      <c r="R44" s="18"/>
      <c r="S44" s="30"/>
      <c r="T44" s="31"/>
      <c r="U44" s="18"/>
      <c r="V44" s="18"/>
      <c r="W44" s="18">
        <f t="shared" ref="W44" si="98">IF(O44&gt;0,O44,((P44*2.2046*S44)+(Q44+R44)/G44)+V44)</f>
        <v>83.3</v>
      </c>
      <c r="X44" s="18">
        <f t="shared" ref="X44" si="99">IF(O44&gt;0,O44,((P44*2.2046*S44)+(Q44+R44+T44)/G44)+V44)</f>
        <v>83.3</v>
      </c>
      <c r="Y44" s="21">
        <f t="shared" ref="Y44" si="100">X44*F44</f>
        <v>333200</v>
      </c>
      <c r="Z44" s="32">
        <v>42538</v>
      </c>
      <c r="AA44" s="37"/>
      <c r="AB44" s="37"/>
    </row>
    <row r="45" spans="1:33" s="12" customFormat="1" x14ac:dyDescent="0.25">
      <c r="A45" s="152"/>
      <c r="B45" s="24" t="s">
        <v>25</v>
      </c>
      <c r="C45" s="25" t="s">
        <v>72</v>
      </c>
      <c r="D45" s="25" t="s">
        <v>72</v>
      </c>
      <c r="E45" s="14" t="s">
        <v>42</v>
      </c>
      <c r="F45" s="26">
        <f>42774*0.4536</f>
        <v>19402.286400000001</v>
      </c>
      <c r="G45" s="27">
        <v>19364.73</v>
      </c>
      <c r="H45" s="27">
        <f>G45-F45</f>
        <v>-37.556400000001304</v>
      </c>
      <c r="I45" s="12" t="s">
        <v>2838</v>
      </c>
      <c r="J45" s="93" t="s">
        <v>49</v>
      </c>
      <c r="K45" s="17">
        <v>42535</v>
      </c>
      <c r="L45" s="17">
        <v>42536</v>
      </c>
      <c r="M45" s="25" t="s">
        <v>50</v>
      </c>
      <c r="N45" s="25" t="s">
        <v>2831</v>
      </c>
      <c r="O45" s="18"/>
      <c r="P45" s="28">
        <f>0.706+0.105</f>
        <v>0.81099999999999994</v>
      </c>
      <c r="Q45" s="153">
        <v>18500</v>
      </c>
      <c r="R45" s="154">
        <v>9114.5</v>
      </c>
      <c r="S45" s="30">
        <v>18.54</v>
      </c>
      <c r="T45" s="163">
        <f>W45*F45*0.005</f>
        <v>3363.7990071939143</v>
      </c>
      <c r="V45" s="18">
        <v>0.1</v>
      </c>
      <c r="W45" s="18">
        <f t="shared" ref="W45" si="101">IF(O45&gt;0,O45,((P45*2.2046*S45)+(Q45+R45)/G45)+V45)</f>
        <v>34.674253722941785</v>
      </c>
      <c r="X45" s="18">
        <f t="shared" ref="X45" si="102">IF(O45&gt;0,O45,((P45*2.2046*S45)+(Q45+R45+T45)/G45)+V45)</f>
        <v>34.847961231757758</v>
      </c>
      <c r="Y45" s="21">
        <f t="shared" ref="Y45" si="103">X45*F45</f>
        <v>676130.12427466083</v>
      </c>
      <c r="Z45" s="32">
        <v>42528</v>
      </c>
      <c r="AA45" s="37">
        <v>36.5</v>
      </c>
      <c r="AB45" s="176" t="s">
        <v>3034</v>
      </c>
      <c r="AG45" s="12" t="s">
        <v>3065</v>
      </c>
    </row>
    <row r="46" spans="1:33" s="12" customFormat="1" x14ac:dyDescent="0.25">
      <c r="A46" s="152"/>
      <c r="B46" s="24" t="s">
        <v>32</v>
      </c>
      <c r="C46" s="14" t="s">
        <v>33</v>
      </c>
      <c r="D46" s="25" t="s">
        <v>2971</v>
      </c>
      <c r="E46" s="14">
        <v>260</v>
      </c>
      <c r="F46" s="26">
        <f>23030+6900</f>
        <v>29930</v>
      </c>
      <c r="G46" s="27">
        <f>17530+6370</f>
        <v>23900</v>
      </c>
      <c r="H46" s="27">
        <f t="shared" ref="H46" si="104">G46-F46</f>
        <v>-6030</v>
      </c>
      <c r="I46" s="25" t="s">
        <v>2972</v>
      </c>
      <c r="J46" s="120">
        <v>259</v>
      </c>
      <c r="K46" s="17"/>
      <c r="L46" s="17">
        <v>42536</v>
      </c>
      <c r="M46" s="25" t="s">
        <v>50</v>
      </c>
      <c r="N46" s="14"/>
      <c r="O46" s="18">
        <v>28</v>
      </c>
      <c r="P46" s="19"/>
      <c r="Q46" s="153">
        <v>17300</v>
      </c>
      <c r="R46" s="18">
        <f t="shared" ref="R46" si="105">61.75*E46</f>
        <v>16055</v>
      </c>
      <c r="S46" s="30">
        <f t="shared" ref="S46" si="106">-35*E46</f>
        <v>-9100</v>
      </c>
      <c r="T46" s="163">
        <f t="shared" ref="T46" si="107">W46*F46*0.0045</f>
        <v>4866.6649612970714</v>
      </c>
      <c r="U46" s="18">
        <f t="shared" ref="U46" si="108">E46*5</f>
        <v>1300</v>
      </c>
      <c r="V46" s="14"/>
      <c r="W46" s="18">
        <f t="shared" ref="W46" si="109">((O46*F46)+Q46+R46+S46+U46)/G46</f>
        <v>36.133682008368204</v>
      </c>
      <c r="X46" s="18">
        <f t="shared" ref="X46" si="110">((O46*F46)+Q46+R46+S46+T46+U46)/G46</f>
        <v>36.337308157376448</v>
      </c>
      <c r="Y46" s="21">
        <f t="shared" ref="Y46" si="111">X46*G46</f>
        <v>868461.66496129707</v>
      </c>
      <c r="Z46" s="32">
        <v>42549</v>
      </c>
      <c r="AA46" s="37">
        <v>38</v>
      </c>
      <c r="AB46" s="37" t="s">
        <v>2986</v>
      </c>
    </row>
    <row r="47" spans="1:33" s="12" customFormat="1" x14ac:dyDescent="0.25">
      <c r="A47" s="152"/>
      <c r="B47" s="24" t="s">
        <v>25</v>
      </c>
      <c r="C47" s="25" t="s">
        <v>72</v>
      </c>
      <c r="D47" s="25" t="s">
        <v>72</v>
      </c>
      <c r="E47" s="14" t="s">
        <v>42</v>
      </c>
      <c r="F47" s="26">
        <f>42758*0.4536</f>
        <v>19395.0288</v>
      </c>
      <c r="G47" s="27">
        <v>19359.29</v>
      </c>
      <c r="H47" s="27">
        <f>G47-F47</f>
        <v>-35.738799999999173</v>
      </c>
      <c r="I47" s="12" t="s">
        <v>2839</v>
      </c>
      <c r="J47" s="93" t="s">
        <v>44</v>
      </c>
      <c r="K47" s="17">
        <v>42536</v>
      </c>
      <c r="L47" s="17">
        <v>42537</v>
      </c>
      <c r="M47" s="25" t="s">
        <v>65</v>
      </c>
      <c r="N47" s="25" t="s">
        <v>2832</v>
      </c>
      <c r="O47" s="18"/>
      <c r="P47" s="28">
        <f>0.7148+0.105</f>
        <v>0.81979999999999997</v>
      </c>
      <c r="Q47" s="153">
        <v>18500</v>
      </c>
      <c r="R47" s="18">
        <v>9121</v>
      </c>
      <c r="S47" s="30">
        <v>18.55</v>
      </c>
      <c r="T47" s="163">
        <f>W47*F47*0.005</f>
        <v>3399.2453240445047</v>
      </c>
      <c r="V47" s="18">
        <v>0.1</v>
      </c>
      <c r="W47" s="18">
        <f t="shared" ref="W47" si="112">IF(O47&gt;0,O47,((P47*2.2046*S47)+(Q47+R47)/G47)+V47)</f>
        <v>35.052748403699248</v>
      </c>
      <c r="X47" s="18">
        <f t="shared" ref="X47" si="113">IF(O47&gt;0,O47,((P47*2.2046*S47)+(Q47+R47+T47)/G47)+V47)</f>
        <v>35.228335696623965</v>
      </c>
      <c r="Y47" s="21">
        <f t="shared" ref="Y47" si="114">X47*F47</f>
        <v>683254.58541208983</v>
      </c>
      <c r="Z47" s="32">
        <v>42530</v>
      </c>
      <c r="AA47" s="37">
        <v>37.5</v>
      </c>
      <c r="AB47" s="37"/>
    </row>
    <row r="48" spans="1:33" s="12" customFormat="1" x14ac:dyDescent="0.25">
      <c r="A48" s="152"/>
      <c r="B48" s="24" t="s">
        <v>25</v>
      </c>
      <c r="C48" s="25" t="s">
        <v>72</v>
      </c>
      <c r="D48" s="25" t="s">
        <v>72</v>
      </c>
      <c r="E48" s="14" t="s">
        <v>42</v>
      </c>
      <c r="F48" s="26">
        <f>42476*0.4536</f>
        <v>19267.113600000001</v>
      </c>
      <c r="G48" s="27">
        <v>19164.3</v>
      </c>
      <c r="H48" s="27">
        <f>G48-F48</f>
        <v>-102.81360000000132</v>
      </c>
      <c r="I48" s="12" t="s">
        <v>2840</v>
      </c>
      <c r="J48" s="93" t="s">
        <v>44</v>
      </c>
      <c r="K48" s="17">
        <v>42536</v>
      </c>
      <c r="L48" s="17">
        <v>42537</v>
      </c>
      <c r="M48" s="25" t="s">
        <v>65</v>
      </c>
      <c r="N48" s="25" t="s">
        <v>2832</v>
      </c>
      <c r="O48" s="18"/>
      <c r="P48" s="28">
        <f>0.7148+0.105</f>
        <v>0.81979999999999997</v>
      </c>
      <c r="Q48" s="153">
        <v>18500</v>
      </c>
      <c r="R48" s="154">
        <v>9121</v>
      </c>
      <c r="S48" s="30">
        <v>18.55</v>
      </c>
      <c r="T48" s="163">
        <f t="shared" ref="T48" si="115">W48*F48*0.005</f>
        <v>3378.2249066374084</v>
      </c>
      <c r="V48" s="18">
        <v>0.1</v>
      </c>
      <c r="W48" s="18">
        <f>IF(O48&gt;0,O48,((P48*2.2046*S48)+(Q48+R48)/G48)+V48)</f>
        <v>35.067265152133722</v>
      </c>
      <c r="X48" s="18">
        <f>IF(O48&gt;0,O48,((P48*2.2046*S48)+(Q48+R48+T48)/G48)+V48)</f>
        <v>35.243542131028718</v>
      </c>
      <c r="Y48" s="21">
        <f>X48*F48</f>
        <v>679041.32990491646</v>
      </c>
      <c r="Z48" s="32">
        <v>42530</v>
      </c>
      <c r="AA48" s="37">
        <v>37.5</v>
      </c>
      <c r="AB48" s="176" t="s">
        <v>3035</v>
      </c>
      <c r="AG48" s="12" t="s">
        <v>3066</v>
      </c>
    </row>
    <row r="49" spans="1:33" s="12" customFormat="1" x14ac:dyDescent="0.25">
      <c r="A49" s="152"/>
      <c r="B49" s="24" t="s">
        <v>32</v>
      </c>
      <c r="C49" s="14" t="s">
        <v>33</v>
      </c>
      <c r="D49" s="25" t="s">
        <v>1228</v>
      </c>
      <c r="E49" s="14">
        <f>249</f>
        <v>249</v>
      </c>
      <c r="F49" s="26">
        <f>28720</f>
        <v>28720</v>
      </c>
      <c r="G49" s="27">
        <f>22800</f>
        <v>22800</v>
      </c>
      <c r="H49" s="27">
        <f t="shared" ref="H49:H50" si="116">G49-F49</f>
        <v>-5920</v>
      </c>
      <c r="I49" s="12" t="s">
        <v>2987</v>
      </c>
      <c r="J49" s="122">
        <v>250</v>
      </c>
      <c r="K49" s="17"/>
      <c r="L49" s="17">
        <v>42537</v>
      </c>
      <c r="M49" s="25" t="s">
        <v>65</v>
      </c>
      <c r="N49" s="14"/>
      <c r="O49" s="18">
        <v>28</v>
      </c>
      <c r="P49" s="19"/>
      <c r="Q49" s="153">
        <f>17300</f>
        <v>17300</v>
      </c>
      <c r="R49" s="18">
        <f t="shared" ref="R49:R50" si="117">61.75*E49</f>
        <v>15375.75</v>
      </c>
      <c r="S49" s="30">
        <f t="shared" ref="S49:S50" si="118">-35*E49</f>
        <v>-8715</v>
      </c>
      <c r="T49" s="31">
        <f t="shared" ref="T49:T50" si="119">W49*F49*0.0045</f>
        <v>4701.1942776315791</v>
      </c>
      <c r="U49" s="18">
        <f t="shared" ref="U49:U50" si="120">E49*5</f>
        <v>1245</v>
      </c>
      <c r="V49" s="14"/>
      <c r="W49" s="18">
        <f t="shared" ref="W49:W50" si="121">((O49*F49)+Q49+R49+S49+U49)/G49</f>
        <v>36.375690789473687</v>
      </c>
      <c r="X49" s="18">
        <f t="shared" ref="X49:X50" si="122">((O49*F49)+Q49+R49+S49+T49+U49)/G49</f>
        <v>36.58188352094875</v>
      </c>
      <c r="Y49" s="21">
        <f t="shared" ref="Y49:Y50" si="123">X49*G49</f>
        <v>834066.94427763147</v>
      </c>
      <c r="Z49" s="32">
        <v>42550</v>
      </c>
      <c r="AA49" s="37">
        <v>38</v>
      </c>
    </row>
    <row r="50" spans="1:33" s="12" customFormat="1" x14ac:dyDescent="0.25">
      <c r="A50" s="152"/>
      <c r="B50" s="24" t="s">
        <v>32</v>
      </c>
      <c r="C50" s="14" t="s">
        <v>33</v>
      </c>
      <c r="D50" s="25" t="s">
        <v>1228</v>
      </c>
      <c r="E50" s="14">
        <v>129</v>
      </c>
      <c r="F50" s="26">
        <v>14775</v>
      </c>
      <c r="G50" s="27">
        <v>11380</v>
      </c>
      <c r="H50" s="27">
        <f t="shared" si="116"/>
        <v>-3395</v>
      </c>
      <c r="I50" s="25" t="s">
        <v>2988</v>
      </c>
      <c r="J50" s="122">
        <v>128</v>
      </c>
      <c r="K50" s="17"/>
      <c r="L50" s="17">
        <v>42537</v>
      </c>
      <c r="M50" s="25" t="s">
        <v>65</v>
      </c>
      <c r="N50" s="14"/>
      <c r="O50" s="18">
        <v>28</v>
      </c>
      <c r="P50" s="19"/>
      <c r="Q50" s="153">
        <v>13600</v>
      </c>
      <c r="R50" s="18">
        <f t="shared" si="117"/>
        <v>7965.75</v>
      </c>
      <c r="S50" s="30">
        <f t="shared" si="118"/>
        <v>-4515</v>
      </c>
      <c r="T50" s="31">
        <f t="shared" si="119"/>
        <v>2520.4239831392788</v>
      </c>
      <c r="U50" s="18">
        <f t="shared" si="120"/>
        <v>645</v>
      </c>
      <c r="V50" s="14"/>
      <c r="W50" s="18">
        <f t="shared" si="121"/>
        <v>37.908238137082598</v>
      </c>
      <c r="X50" s="18">
        <f t="shared" si="122"/>
        <v>38.129716518729289</v>
      </c>
      <c r="Y50" s="21">
        <f t="shared" si="123"/>
        <v>433916.17398313934</v>
      </c>
      <c r="Z50" s="32">
        <v>42550</v>
      </c>
      <c r="AA50" s="37">
        <v>38</v>
      </c>
      <c r="AB50" s="37" t="s">
        <v>2991</v>
      </c>
    </row>
    <row r="51" spans="1:33" s="12" customFormat="1" x14ac:dyDescent="0.25">
      <c r="A51" s="152"/>
      <c r="B51" s="24" t="s">
        <v>25</v>
      </c>
      <c r="C51" s="25" t="s">
        <v>40</v>
      </c>
      <c r="D51" s="25" t="s">
        <v>40</v>
      </c>
      <c r="E51" s="14" t="s">
        <v>831</v>
      </c>
      <c r="F51" s="26">
        <f>41292*0.4536</f>
        <v>18730.051200000002</v>
      </c>
      <c r="G51" s="27">
        <v>18660.59</v>
      </c>
      <c r="H51" s="27">
        <f>G51-F51</f>
        <v>-69.461200000001554</v>
      </c>
      <c r="I51" s="12" t="s">
        <v>2836</v>
      </c>
      <c r="J51" s="93" t="s">
        <v>29</v>
      </c>
      <c r="K51" s="17">
        <v>42537</v>
      </c>
      <c r="L51" s="17">
        <v>42538</v>
      </c>
      <c r="M51" s="25" t="s">
        <v>84</v>
      </c>
      <c r="N51" s="25" t="s">
        <v>2833</v>
      </c>
      <c r="O51" s="18"/>
      <c r="P51" s="28">
        <f>0.7148+0.1</f>
        <v>0.81479999999999997</v>
      </c>
      <c r="Q51" s="153">
        <v>18500</v>
      </c>
      <c r="R51" s="18">
        <v>9121</v>
      </c>
      <c r="S51" s="30">
        <v>18.698</v>
      </c>
      <c r="T51" s="31">
        <f>W51*F51*0.005</f>
        <v>3293.4497569008749</v>
      </c>
      <c r="V51" s="18">
        <v>0.1</v>
      </c>
      <c r="W51" s="18">
        <f t="shared" ref="W51:W52" si="124">IF(O51&gt;0,O51,((P51*2.2046*S51)+(Q51+R51)/G51)+V51)</f>
        <v>35.167546759304905</v>
      </c>
      <c r="X51" s="18">
        <f t="shared" ref="X51:X52" si="125">IF(O51&gt;0,O51,((P51*2.2046*S51)+(Q51+R51+T51)/G51)+V51)</f>
        <v>35.344039022245191</v>
      </c>
      <c r="Y51" s="21">
        <f t="shared" ref="Y51:Y52" si="126">X51*F51</f>
        <v>661995.66050145042</v>
      </c>
      <c r="Z51" s="32">
        <v>42549</v>
      </c>
      <c r="AA51" s="37">
        <v>39</v>
      </c>
      <c r="AB51" s="37"/>
    </row>
    <row r="52" spans="1:33" s="12" customFormat="1" x14ac:dyDescent="0.25">
      <c r="A52" s="152"/>
      <c r="B52" s="24" t="s">
        <v>25</v>
      </c>
      <c r="C52" s="25" t="s">
        <v>40</v>
      </c>
      <c r="D52" s="25" t="s">
        <v>40</v>
      </c>
      <c r="E52" s="14" t="s">
        <v>831</v>
      </c>
      <c r="F52" s="26">
        <f>41880*0.4536</f>
        <v>18996.768</v>
      </c>
      <c r="G52" s="27">
        <v>18924.78</v>
      </c>
      <c r="H52" s="27">
        <f>G52-F52</f>
        <v>-71.988000000001193</v>
      </c>
      <c r="I52" s="12" t="s">
        <v>2837</v>
      </c>
      <c r="J52" s="93" t="s">
        <v>44</v>
      </c>
      <c r="K52" s="17">
        <v>42537</v>
      </c>
      <c r="L52" s="17">
        <v>42538</v>
      </c>
      <c r="M52" s="25" t="s">
        <v>84</v>
      </c>
      <c r="N52" s="25" t="s">
        <v>2833</v>
      </c>
      <c r="O52" s="18"/>
      <c r="P52" s="28">
        <v>0.81479999999999997</v>
      </c>
      <c r="Q52" s="153">
        <v>18500</v>
      </c>
      <c r="R52" s="154">
        <v>9121</v>
      </c>
      <c r="S52" s="30">
        <v>18.698</v>
      </c>
      <c r="T52" s="31">
        <f>W52*F52*0.005</f>
        <v>3338.3859555339081</v>
      </c>
      <c r="V52" s="18">
        <v>0.1</v>
      </c>
      <c r="W52" s="18">
        <f t="shared" si="124"/>
        <v>35.146883464954755</v>
      </c>
      <c r="X52" s="18">
        <f t="shared" si="125"/>
        <v>35.323286358702212</v>
      </c>
      <c r="Y52" s="21">
        <f t="shared" si="126"/>
        <v>671028.27595383069</v>
      </c>
      <c r="Z52" s="32">
        <v>42549</v>
      </c>
      <c r="AA52" s="37">
        <v>39</v>
      </c>
      <c r="AB52" s="176" t="s">
        <v>3033</v>
      </c>
      <c r="AG52" s="12" t="s">
        <v>3067</v>
      </c>
    </row>
    <row r="53" spans="1:33" s="12" customFormat="1" x14ac:dyDescent="0.25">
      <c r="A53" s="152"/>
      <c r="B53" s="24" t="s">
        <v>32</v>
      </c>
      <c r="C53" s="14" t="s">
        <v>33</v>
      </c>
      <c r="D53" s="25" t="s">
        <v>1510</v>
      </c>
      <c r="E53" s="14">
        <v>250</v>
      </c>
      <c r="F53" s="26">
        <v>29400</v>
      </c>
      <c r="G53" s="27">
        <v>23280</v>
      </c>
      <c r="H53" s="27">
        <f t="shared" ref="H53:H59" si="127">G53-F53</f>
        <v>-6120</v>
      </c>
      <c r="I53" s="12" t="s">
        <v>2989</v>
      </c>
      <c r="J53" s="14"/>
      <c r="K53" s="17"/>
      <c r="L53" s="17">
        <v>42538</v>
      </c>
      <c r="M53" s="25" t="s">
        <v>84</v>
      </c>
      <c r="N53" s="14"/>
      <c r="O53" s="18">
        <v>28</v>
      </c>
      <c r="P53" s="19"/>
      <c r="Q53" s="153">
        <v>17300</v>
      </c>
      <c r="R53" s="18">
        <f t="shared" ref="R53:R54" si="128">61.75*E53</f>
        <v>15437.5</v>
      </c>
      <c r="S53" s="30">
        <f>-35*E53</f>
        <v>-8750</v>
      </c>
      <c r="T53" s="31">
        <f>W53*F53*0.0045</f>
        <v>4821.6615657216489</v>
      </c>
      <c r="U53" s="18">
        <f>E53*5</f>
        <v>1250</v>
      </c>
      <c r="V53" s="14"/>
      <c r="W53" s="18">
        <f>((O53*F53)+Q53+R53+S53+U53)/G53</f>
        <v>36.444909793814432</v>
      </c>
      <c r="X53" s="18">
        <f>((O53*F53)+Q53+R53+S53+T53+U53)/G53</f>
        <v>36.652025840451962</v>
      </c>
      <c r="Y53" s="21">
        <f t="shared" ref="Y53:Y54" si="129">X53*G53</f>
        <v>853259.16156572173</v>
      </c>
      <c r="Z53" s="32">
        <v>42551</v>
      </c>
      <c r="AA53" s="2">
        <v>38</v>
      </c>
      <c r="AB53" s="2"/>
    </row>
    <row r="54" spans="1:33" s="12" customFormat="1" x14ac:dyDescent="0.25">
      <c r="A54" s="152"/>
      <c r="B54" s="24" t="s">
        <v>32</v>
      </c>
      <c r="C54" s="14" t="s">
        <v>33</v>
      </c>
      <c r="D54" s="25" t="s">
        <v>1228</v>
      </c>
      <c r="E54" s="14">
        <v>130</v>
      </c>
      <c r="F54" s="26">
        <v>13425</v>
      </c>
      <c r="G54" s="27">
        <v>10650</v>
      </c>
      <c r="H54" s="27">
        <f t="shared" si="127"/>
        <v>-2775</v>
      </c>
      <c r="I54" s="25" t="s">
        <v>2990</v>
      </c>
      <c r="J54" s="14"/>
      <c r="K54" s="17"/>
      <c r="L54" s="17">
        <v>42538</v>
      </c>
      <c r="M54" s="25" t="s">
        <v>84</v>
      </c>
      <c r="N54" s="14"/>
      <c r="O54" s="18">
        <v>28</v>
      </c>
      <c r="P54" s="19"/>
      <c r="Q54" s="153">
        <v>13600</v>
      </c>
      <c r="R54" s="18">
        <f t="shared" si="128"/>
        <v>8027.5</v>
      </c>
      <c r="S54" s="30">
        <f>-35*E54</f>
        <v>-4550</v>
      </c>
      <c r="T54" s="31">
        <f>W54*F54*0.0045</f>
        <v>2232.8658538732388</v>
      </c>
      <c r="U54" s="18">
        <f>E54*5</f>
        <v>650</v>
      </c>
      <c r="V54" s="14"/>
      <c r="W54" s="18">
        <f>((O54*F54)+Q54+R54+S54+U54)/G54</f>
        <v>36.96032863849765</v>
      </c>
      <c r="X54" s="18">
        <f>((O54*F54)+Q54+R54+S54+T54+U54)/G54</f>
        <v>37.169987404119553</v>
      </c>
      <c r="Y54" s="21">
        <f t="shared" si="129"/>
        <v>395860.36585387326</v>
      </c>
      <c r="Z54" s="32">
        <v>42551</v>
      </c>
      <c r="AA54" s="2">
        <v>38</v>
      </c>
      <c r="AB54" s="2" t="s">
        <v>2992</v>
      </c>
    </row>
    <row r="55" spans="1:33" s="12" customFormat="1" x14ac:dyDescent="0.25">
      <c r="A55" s="152"/>
      <c r="B55" s="24" t="s">
        <v>2077</v>
      </c>
      <c r="C55" s="14" t="s">
        <v>72</v>
      </c>
      <c r="D55" s="25" t="s">
        <v>57</v>
      </c>
      <c r="E55" s="14" t="s">
        <v>67</v>
      </c>
      <c r="F55" s="26">
        <v>3734.4</v>
      </c>
      <c r="G55" s="27">
        <v>3734.4</v>
      </c>
      <c r="H55" s="27">
        <f t="shared" si="127"/>
        <v>0</v>
      </c>
      <c r="I55" s="25" t="s">
        <v>3026</v>
      </c>
      <c r="J55" s="14"/>
      <c r="K55" s="17"/>
      <c r="L55" s="17">
        <v>42538</v>
      </c>
      <c r="M55" s="25" t="s">
        <v>84</v>
      </c>
      <c r="N55" s="14"/>
      <c r="O55" s="18">
        <v>17</v>
      </c>
      <c r="P55" s="19"/>
      <c r="Q55" s="18"/>
      <c r="R55" s="18"/>
      <c r="S55" s="30"/>
      <c r="T55" s="31"/>
      <c r="U55" s="18"/>
      <c r="V55" s="18"/>
      <c r="W55" s="18">
        <f>IF(O55&gt;0,O55,((P55*2.2046*S55)+(Q55+R55)/G55)+V55)</f>
        <v>17</v>
      </c>
      <c r="X55" s="18">
        <f>IF(O55&gt;0,O55,((P55*2.2046*S55)+(Q55+R55+T55)/G55)+V55)</f>
        <v>17</v>
      </c>
      <c r="Y55" s="21">
        <f t="shared" ref="Y55:Y56" si="130">X55*F55</f>
        <v>63484.800000000003</v>
      </c>
      <c r="Z55" s="32">
        <v>42545</v>
      </c>
      <c r="AA55" s="2">
        <v>38</v>
      </c>
      <c r="AB55" s="2"/>
    </row>
    <row r="56" spans="1:33" s="12" customFormat="1" x14ac:dyDescent="0.25">
      <c r="A56" s="152"/>
      <c r="B56" s="24" t="s">
        <v>3021</v>
      </c>
      <c r="C56" s="14" t="s">
        <v>2924</v>
      </c>
      <c r="D56" s="25" t="s">
        <v>2924</v>
      </c>
      <c r="E56" s="14" t="s">
        <v>3028</v>
      </c>
      <c r="F56" s="26">
        <v>1320</v>
      </c>
      <c r="G56" s="27">
        <v>1320</v>
      </c>
      <c r="H56" s="27">
        <f t="shared" si="127"/>
        <v>0</v>
      </c>
      <c r="I56" s="25" t="s">
        <v>3029</v>
      </c>
      <c r="J56" s="14"/>
      <c r="K56" s="17"/>
      <c r="L56" s="17">
        <v>42538</v>
      </c>
      <c r="M56" s="25" t="s">
        <v>84</v>
      </c>
      <c r="N56" s="14"/>
      <c r="O56" s="18">
        <v>66</v>
      </c>
      <c r="P56" s="19"/>
      <c r="Q56" s="18"/>
      <c r="R56" s="18"/>
      <c r="S56" s="30"/>
      <c r="T56" s="31"/>
      <c r="U56" s="18"/>
      <c r="V56" s="18"/>
      <c r="W56" s="18">
        <f>IF(O56&gt;0,O56,((P56*2.2046*S56)+(Q56+R56)/G56)+V56)</f>
        <v>66</v>
      </c>
      <c r="X56" s="18">
        <f>IF(O56&gt;0,O56,((P56*2.2046*S56)+(Q56+R56+T56)/G56)+V56)</f>
        <v>66</v>
      </c>
      <c r="Y56" s="21">
        <f t="shared" si="130"/>
        <v>87120</v>
      </c>
      <c r="Z56" s="32">
        <v>42545</v>
      </c>
      <c r="AA56" s="2">
        <v>38</v>
      </c>
      <c r="AB56" s="2"/>
    </row>
    <row r="57" spans="1:33" s="12" customFormat="1" x14ac:dyDescent="0.25">
      <c r="A57" s="152"/>
      <c r="B57" s="24" t="s">
        <v>25</v>
      </c>
      <c r="C57" s="25" t="s">
        <v>26</v>
      </c>
      <c r="D57" s="25" t="s">
        <v>26</v>
      </c>
      <c r="E57" s="14" t="s">
        <v>27</v>
      </c>
      <c r="F57" s="26">
        <f>40352*0.4536</f>
        <v>18303.6672</v>
      </c>
      <c r="G57" s="27">
        <v>18130.13</v>
      </c>
      <c r="H57" s="27">
        <f t="shared" ref="H57" si="131">G57-F57</f>
        <v>-173.53719999999885</v>
      </c>
      <c r="I57" s="12" t="s">
        <v>2842</v>
      </c>
      <c r="J57" s="93" t="s">
        <v>44</v>
      </c>
      <c r="K57" s="17">
        <v>42538</v>
      </c>
      <c r="L57" s="17">
        <v>42539</v>
      </c>
      <c r="M57" s="25" t="s">
        <v>30</v>
      </c>
      <c r="N57" s="25" t="s">
        <v>2834</v>
      </c>
      <c r="O57" s="18"/>
      <c r="P57" s="28">
        <f>0.7151+0.1072</f>
        <v>0.82229999999999992</v>
      </c>
      <c r="Q57" s="153">
        <v>18500</v>
      </c>
      <c r="R57" s="18">
        <v>9121</v>
      </c>
      <c r="S57" s="30">
        <v>18.420000000000002</v>
      </c>
      <c r="T57" s="31">
        <f t="shared" ref="T57" si="132">W57*F57*0.005</f>
        <v>3204.6102967055886</v>
      </c>
      <c r="V57" s="18">
        <v>0.1</v>
      </c>
      <c r="W57" s="18">
        <f>IF(O57&gt;0,O57,((P57*2.2046*S57)+(Q57+R57)/G57)+V57)</f>
        <v>35.016046365895342</v>
      </c>
      <c r="X57" s="18">
        <f>IF(O57&gt;0,O57,((P57*2.2046*S57)+(Q57+R57+T57)/G57)+V57)</f>
        <v>35.192802423171578</v>
      </c>
      <c r="Y57" s="21">
        <f t="shared" ref="Y57" si="133">X57*F57</f>
        <v>644157.34338908608</v>
      </c>
      <c r="Z57" s="32">
        <v>42531</v>
      </c>
      <c r="AA57" s="2">
        <v>39</v>
      </c>
    </row>
    <row r="58" spans="1:33" s="12" customFormat="1" x14ac:dyDescent="0.25">
      <c r="A58" s="152"/>
      <c r="B58" s="24" t="s">
        <v>25</v>
      </c>
      <c r="C58" s="25" t="s">
        <v>26</v>
      </c>
      <c r="D58" s="25" t="s">
        <v>26</v>
      </c>
      <c r="E58" s="14" t="s">
        <v>27</v>
      </c>
      <c r="F58" s="26">
        <f>40748*0.4536</f>
        <v>18483.292799999999</v>
      </c>
      <c r="G58" s="27">
        <v>18420.13</v>
      </c>
      <c r="H58" s="27">
        <f t="shared" si="127"/>
        <v>-63.162799999998242</v>
      </c>
      <c r="I58" s="177" t="s">
        <v>2843</v>
      </c>
      <c r="J58" s="93" t="s">
        <v>991</v>
      </c>
      <c r="K58" s="17">
        <v>42538</v>
      </c>
      <c r="L58" s="17">
        <v>42541</v>
      </c>
      <c r="M58" s="25" t="s">
        <v>39</v>
      </c>
      <c r="N58" s="25" t="s">
        <v>2834</v>
      </c>
      <c r="O58" s="18"/>
      <c r="P58" s="28">
        <v>0.82230000000000003</v>
      </c>
      <c r="Q58" s="153">
        <v>21500</v>
      </c>
      <c r="R58" s="18">
        <v>9121</v>
      </c>
      <c r="S58" s="30">
        <v>18.170000000000002</v>
      </c>
      <c r="T58" s="31">
        <f t="shared" ref="T58:T59" si="134">W58*F58*0.005</f>
        <v>3207.0098686489196</v>
      </c>
      <c r="V58" s="18">
        <v>0.1</v>
      </c>
      <c r="W58" s="18">
        <f>IF(O58&gt;0,O58,((P58*2.2046*S58)+(Q58+R58)/G58)+V58)</f>
        <v>34.701715796537286</v>
      </c>
      <c r="X58" s="18">
        <f>IF(O58&gt;0,O58,((P58*2.2046*S58)+(Q58+R58+T58)/G58)+V58)</f>
        <v>34.875819338078465</v>
      </c>
      <c r="Y58" s="21">
        <f t="shared" ref="Y58:Y59" si="135">X58*F58</f>
        <v>644619.98046560644</v>
      </c>
      <c r="Z58" s="32">
        <v>42531</v>
      </c>
      <c r="AA58" s="2">
        <v>40</v>
      </c>
      <c r="AB58" s="2" t="s">
        <v>2984</v>
      </c>
    </row>
    <row r="59" spans="1:33" s="12" customFormat="1" x14ac:dyDescent="0.25">
      <c r="A59" s="152"/>
      <c r="B59" s="24" t="s">
        <v>25</v>
      </c>
      <c r="C59" s="25" t="s">
        <v>72</v>
      </c>
      <c r="D59" s="25" t="s">
        <v>72</v>
      </c>
      <c r="E59" s="14" t="s">
        <v>42</v>
      </c>
      <c r="F59" s="26">
        <f>42828*0.4536</f>
        <v>19426.7808</v>
      </c>
      <c r="G59" s="27">
        <v>19374.71</v>
      </c>
      <c r="H59" s="27">
        <f t="shared" si="127"/>
        <v>-52.070800000001327</v>
      </c>
      <c r="I59" s="12" t="s">
        <v>2841</v>
      </c>
      <c r="J59" s="93" t="s">
        <v>74</v>
      </c>
      <c r="K59" s="17">
        <v>42538</v>
      </c>
      <c r="L59" s="17">
        <v>42539</v>
      </c>
      <c r="M59" s="25" t="s">
        <v>30</v>
      </c>
      <c r="N59" s="25" t="s">
        <v>2835</v>
      </c>
      <c r="O59" s="18"/>
      <c r="P59" s="28">
        <f>0.737+0.105</f>
        <v>0.84199999999999997</v>
      </c>
      <c r="Q59" s="153">
        <v>18500</v>
      </c>
      <c r="R59" s="18">
        <v>9121</v>
      </c>
      <c r="S59" s="30">
        <v>18.797999999999998</v>
      </c>
      <c r="T59" s="31">
        <f t="shared" si="134"/>
        <v>3537.6017232558761</v>
      </c>
      <c r="V59" s="18">
        <v>0.1</v>
      </c>
      <c r="W59" s="18">
        <f>IF(O59&gt;0,O59,((P59*2.2046*S59)+(Q59+R59)/G59)+V59)</f>
        <v>36.419844951932291</v>
      </c>
      <c r="X59" s="18">
        <f>IF(O59&gt;0,O59,((P59*2.2046*S59)+(Q59+R59+T59)/G59)+V59)</f>
        <v>36.602433580265611</v>
      </c>
      <c r="Y59" s="21">
        <f t="shared" si="135"/>
        <v>711067.4539103792</v>
      </c>
      <c r="Z59" s="32">
        <v>42534</v>
      </c>
      <c r="AA59" s="2">
        <v>40</v>
      </c>
      <c r="AB59" s="2"/>
    </row>
    <row r="60" spans="1:33" s="12" customFormat="1" ht="15.75" thickBot="1" x14ac:dyDescent="0.3">
      <c r="A60" s="152"/>
      <c r="B60" s="41"/>
      <c r="C60" s="4"/>
      <c r="D60" s="4"/>
      <c r="E60" s="4"/>
      <c r="F60" s="42"/>
      <c r="G60" s="42"/>
      <c r="H60" s="42"/>
      <c r="I60" s="6"/>
      <c r="J60" s="4"/>
      <c r="K60" s="7"/>
      <c r="L60" s="7"/>
      <c r="M60" s="4"/>
      <c r="N60" s="4"/>
      <c r="O60" s="8"/>
      <c r="P60" s="9"/>
      <c r="Q60" s="8"/>
      <c r="R60" s="8"/>
      <c r="S60" s="8"/>
      <c r="T60" s="8"/>
      <c r="U60" s="8"/>
      <c r="V60" s="8"/>
      <c r="W60" s="8"/>
      <c r="X60" s="8"/>
      <c r="Y60" s="11"/>
      <c r="Z60" s="43"/>
      <c r="AA60" s="2"/>
      <c r="AB60" s="2"/>
    </row>
    <row r="61" spans="1:33" s="12" customFormat="1" x14ac:dyDescent="0.25">
      <c r="A61" s="164"/>
      <c r="B61" s="14" t="s">
        <v>32</v>
      </c>
      <c r="C61" s="14" t="s">
        <v>33</v>
      </c>
      <c r="D61" s="25" t="s">
        <v>34</v>
      </c>
      <c r="E61" s="14">
        <v>250</v>
      </c>
      <c r="F61" s="26">
        <v>27555</v>
      </c>
      <c r="G61" s="27">
        <v>21640</v>
      </c>
      <c r="H61" s="27">
        <f t="shared" ref="H61:H64" si="136">G61-F61</f>
        <v>-5915</v>
      </c>
      <c r="I61" s="25" t="s">
        <v>3005</v>
      </c>
      <c r="J61" s="14"/>
      <c r="K61" s="17"/>
      <c r="L61" s="17">
        <v>42540</v>
      </c>
      <c r="M61" s="25" t="s">
        <v>36</v>
      </c>
      <c r="N61" s="14"/>
      <c r="O61" s="18">
        <v>28</v>
      </c>
      <c r="P61" s="19"/>
      <c r="Q61" s="153">
        <v>17300</v>
      </c>
      <c r="R61" s="18">
        <f t="shared" ref="R61:R63" si="137">61.75*E61</f>
        <v>15437.5</v>
      </c>
      <c r="S61" s="30">
        <f>-35*E61</f>
        <v>-8750</v>
      </c>
      <c r="T61" s="31">
        <f>W61*F61*0.0045</f>
        <v>4565.5461208987981</v>
      </c>
      <c r="U61" s="18">
        <f>E61*5</f>
        <v>1250</v>
      </c>
      <c r="V61" s="14"/>
      <c r="W61" s="18">
        <f>((O61*F61)+Q61+R61+S61+U61)/G61</f>
        <v>36.819662661737524</v>
      </c>
      <c r="X61" s="18">
        <f>((O61*F61)+Q61+R61+S61+T61+U61)/G61</f>
        <v>37.030639839228222</v>
      </c>
      <c r="Y61" s="21">
        <f>X61*G61</f>
        <v>801343.04612089868</v>
      </c>
      <c r="Z61" s="32">
        <v>42555</v>
      </c>
      <c r="AA61" s="2">
        <v>38</v>
      </c>
      <c r="AB61" s="2"/>
    </row>
    <row r="62" spans="1:33" s="12" customFormat="1" x14ac:dyDescent="0.25">
      <c r="A62" s="164"/>
      <c r="B62" s="24" t="s">
        <v>32</v>
      </c>
      <c r="C62" s="14" t="s">
        <v>33</v>
      </c>
      <c r="D62" s="25" t="s">
        <v>1510</v>
      </c>
      <c r="E62" s="14">
        <v>130</v>
      </c>
      <c r="F62" s="26">
        <v>14695</v>
      </c>
      <c r="G62" s="27">
        <v>11600</v>
      </c>
      <c r="H62" s="27">
        <f t="shared" si="136"/>
        <v>-3095</v>
      </c>
      <c r="I62" s="25" t="s">
        <v>3006</v>
      </c>
      <c r="J62" s="14"/>
      <c r="K62" s="17"/>
      <c r="L62" s="17">
        <v>42540</v>
      </c>
      <c r="M62" s="25" t="s">
        <v>36</v>
      </c>
      <c r="N62" s="14"/>
      <c r="O62" s="18">
        <v>28</v>
      </c>
      <c r="P62" s="19"/>
      <c r="Q62" s="153">
        <v>13600</v>
      </c>
      <c r="R62" s="18">
        <f t="shared" si="137"/>
        <v>8027.5</v>
      </c>
      <c r="S62" s="30">
        <f t="shared" ref="S62:S63" si="138">-35*E62</f>
        <v>-4550</v>
      </c>
      <c r="T62" s="31">
        <f>W62*F62*0.0045</f>
        <v>2446.646241918103</v>
      </c>
      <c r="U62" s="18">
        <f>E62*5</f>
        <v>650</v>
      </c>
      <c r="V62" s="14"/>
      <c r="W62" s="18">
        <f>((O62*F62)+Q62+R62+S62+U62)/G62</f>
        <v>36.998922413793103</v>
      </c>
      <c r="X62" s="18">
        <f>((O62*F62)+Q62+R62+S62+T62+U62)/G62</f>
        <v>37.209840193268803</v>
      </c>
      <c r="Y62" s="21">
        <f>X62*G62</f>
        <v>431634.14624191815</v>
      </c>
      <c r="Z62" s="32">
        <v>42555</v>
      </c>
      <c r="AA62" s="2">
        <v>38</v>
      </c>
      <c r="AB62" s="2" t="s">
        <v>3043</v>
      </c>
    </row>
    <row r="63" spans="1:33" s="12" customFormat="1" x14ac:dyDescent="0.25">
      <c r="A63" s="164"/>
      <c r="B63" s="24" t="s">
        <v>32</v>
      </c>
      <c r="C63" s="14" t="s">
        <v>33</v>
      </c>
      <c r="D63" s="25" t="s">
        <v>34</v>
      </c>
      <c r="E63" s="14">
        <v>199</v>
      </c>
      <c r="F63" s="26">
        <v>23180</v>
      </c>
      <c r="G63" s="27">
        <f>11800+6690</f>
        <v>18490</v>
      </c>
      <c r="H63" s="27">
        <f t="shared" si="136"/>
        <v>-4690</v>
      </c>
      <c r="I63" s="25" t="s">
        <v>3025</v>
      </c>
      <c r="J63" s="133">
        <v>198</v>
      </c>
      <c r="K63" s="17"/>
      <c r="L63" s="17">
        <v>42541</v>
      </c>
      <c r="M63" s="25" t="s">
        <v>39</v>
      </c>
      <c r="N63" s="14"/>
      <c r="O63" s="18">
        <v>28</v>
      </c>
      <c r="P63" s="19"/>
      <c r="Q63" s="153">
        <v>17300</v>
      </c>
      <c r="R63" s="18">
        <f t="shared" si="137"/>
        <v>12288.25</v>
      </c>
      <c r="S63" s="30">
        <f t="shared" si="138"/>
        <v>-6965</v>
      </c>
      <c r="T63" s="31">
        <f>W63*F63*0.0045</f>
        <v>3794.7529506489991</v>
      </c>
      <c r="U63" s="18">
        <f>E63*5</f>
        <v>995</v>
      </c>
      <c r="V63" s="14"/>
      <c r="W63" s="18">
        <f>((O63*F63)+Q63+R63+S63+U63)/G63</f>
        <v>36.379570037858301</v>
      </c>
      <c r="X63" s="18">
        <f>((O63*F63)+Q63+R63+S63+T63+U63)/G63</f>
        <v>36.584802755578636</v>
      </c>
      <c r="Y63" s="21">
        <f>X63*G63</f>
        <v>676453.00295064901</v>
      </c>
      <c r="Z63" s="32">
        <v>42555</v>
      </c>
      <c r="AA63" s="2">
        <v>38</v>
      </c>
      <c r="AB63" s="2" t="s">
        <v>3044</v>
      </c>
    </row>
    <row r="64" spans="1:33" s="12" customFormat="1" x14ac:dyDescent="0.25">
      <c r="A64" s="164"/>
      <c r="B64" s="24" t="s">
        <v>3021</v>
      </c>
      <c r="C64" s="14" t="s">
        <v>2924</v>
      </c>
      <c r="D64" s="25" t="s">
        <v>3156</v>
      </c>
      <c r="E64" s="14" t="s">
        <v>3157</v>
      </c>
      <c r="F64" s="26">
        <f>1552.2+98.3</f>
        <v>1650.5</v>
      </c>
      <c r="G64" s="27">
        <v>1650.5</v>
      </c>
      <c r="H64" s="27">
        <f t="shared" si="136"/>
        <v>0</v>
      </c>
      <c r="I64" s="25" t="s">
        <v>3158</v>
      </c>
      <c r="J64" s="14"/>
      <c r="K64" s="17"/>
      <c r="L64" s="17">
        <v>42541</v>
      </c>
      <c r="M64" s="25"/>
      <c r="N64" s="14"/>
      <c r="O64" s="18">
        <v>66</v>
      </c>
      <c r="P64" s="19"/>
      <c r="Q64" s="18"/>
      <c r="R64" s="18"/>
      <c r="S64" s="30"/>
      <c r="T64" s="31"/>
      <c r="U64" s="18"/>
      <c r="V64" s="18"/>
      <c r="W64" s="18">
        <f t="shared" ref="W64" si="139">IF(O64&gt;0,O64,((P64*2.2046*S64)+(Q64+R64)/G64)+V64)</f>
        <v>66</v>
      </c>
      <c r="X64" s="18">
        <f t="shared" ref="X64" si="140">IF(O64&gt;0,O64,((P64*2.2046*S64)+(Q64+R64+T64)/G64)+V64)</f>
        <v>66</v>
      </c>
      <c r="Y64" s="21">
        <f>X64*F64</f>
        <v>108933</v>
      </c>
      <c r="Z64" s="32">
        <v>42548</v>
      </c>
      <c r="AA64" s="2"/>
      <c r="AB64" s="2"/>
    </row>
    <row r="65" spans="1:28" s="12" customFormat="1" x14ac:dyDescent="0.25">
      <c r="A65" s="164"/>
      <c r="B65" s="24" t="s">
        <v>25</v>
      </c>
      <c r="C65" s="25" t="s">
        <v>40</v>
      </c>
      <c r="D65" s="25" t="s">
        <v>40</v>
      </c>
      <c r="E65" s="14" t="s">
        <v>831</v>
      </c>
      <c r="F65" s="26">
        <f>41221*0.4536</f>
        <v>18697.845600000001</v>
      </c>
      <c r="G65" s="27">
        <v>18739.68</v>
      </c>
      <c r="H65" s="27">
        <f>G65-F65</f>
        <v>41.834399999999732</v>
      </c>
      <c r="I65" s="12" t="s">
        <v>2844</v>
      </c>
      <c r="J65" s="93" t="s">
        <v>44</v>
      </c>
      <c r="K65" s="17">
        <v>42541</v>
      </c>
      <c r="L65" s="17">
        <v>42542</v>
      </c>
      <c r="M65" s="25" t="s">
        <v>45</v>
      </c>
      <c r="N65" s="25" t="s">
        <v>2853</v>
      </c>
      <c r="O65" s="18"/>
      <c r="P65" s="28">
        <f>0.7329+0.1</f>
        <v>0.83289999999999997</v>
      </c>
      <c r="Q65" s="153">
        <v>18500</v>
      </c>
      <c r="R65" s="154">
        <v>9121</v>
      </c>
      <c r="S65" s="30">
        <v>18.260000000000002</v>
      </c>
      <c r="T65" s="31">
        <f>W65*F65*0.005</f>
        <v>3281.7664237998019</v>
      </c>
      <c r="V65" s="18">
        <v>0.1</v>
      </c>
      <c r="W65" s="18">
        <f t="shared" ref="W65" si="141">IF(O65&gt;0,O65,((P65*2.2046*S65)+(Q65+R65)/G65)+V65)</f>
        <v>35.103150320160971</v>
      </c>
      <c r="X65" s="18">
        <f t="shared" ref="X65" si="142">IF(O65&gt;0,O65,((P65*2.2046*S65)+(Q65+R65+T65)/G65)+V65)</f>
        <v>35.278274250975151</v>
      </c>
      <c r="Y65" s="21">
        <f>X65*F65</f>
        <v>659627.72497918911</v>
      </c>
      <c r="Z65" s="32">
        <v>42552</v>
      </c>
      <c r="AA65" s="37">
        <v>41</v>
      </c>
      <c r="AB65" s="176" t="s">
        <v>3032</v>
      </c>
    </row>
    <row r="66" spans="1:28" s="12" customFormat="1" x14ac:dyDescent="0.25">
      <c r="A66" s="164"/>
      <c r="B66" s="24" t="s">
        <v>32</v>
      </c>
      <c r="C66" s="14" t="s">
        <v>33</v>
      </c>
      <c r="D66" s="25" t="s">
        <v>1510</v>
      </c>
      <c r="E66" s="14">
        <v>200</v>
      </c>
      <c r="F66" s="26">
        <v>21210</v>
      </c>
      <c r="G66" s="27">
        <f>10760+5980</f>
        <v>16740</v>
      </c>
      <c r="H66" s="27">
        <f>G66-F66</f>
        <v>-4470</v>
      </c>
      <c r="I66" s="25" t="s">
        <v>3042</v>
      </c>
      <c r="J66" s="120">
        <v>199</v>
      </c>
      <c r="K66" s="17"/>
      <c r="L66" s="17">
        <v>42542</v>
      </c>
      <c r="M66" s="25" t="s">
        <v>45</v>
      </c>
      <c r="N66" s="14"/>
      <c r="O66" s="18">
        <v>28</v>
      </c>
      <c r="P66" s="19"/>
      <c r="Q66" s="153">
        <v>17300</v>
      </c>
      <c r="R66" s="18">
        <f t="shared" ref="R66" si="143">61.75*E66</f>
        <v>12350</v>
      </c>
      <c r="S66" s="30">
        <f t="shared" ref="S66" si="144">-35*E66</f>
        <v>-7000</v>
      </c>
      <c r="T66" s="31">
        <f>W66*F66*0.0045</f>
        <v>3520.9170161290313</v>
      </c>
      <c r="U66" s="18">
        <f>E66*5</f>
        <v>1000</v>
      </c>
      <c r="V66" s="14"/>
      <c r="W66" s="18">
        <f>((O66*F66)+Q66+R66+S66+U66)/G66</f>
        <v>36.889486260453999</v>
      </c>
      <c r="X66" s="18">
        <f>((O66*F66)+Q66+R66+S66+T66+U66)/G66</f>
        <v>37.099815831309975</v>
      </c>
      <c r="Y66" s="21">
        <f>X66*G66</f>
        <v>621050.91701612901</v>
      </c>
      <c r="Z66" s="32">
        <v>42555</v>
      </c>
      <c r="AA66" s="37"/>
      <c r="AB66" s="37" t="s">
        <v>3045</v>
      </c>
    </row>
    <row r="67" spans="1:28" s="12" customFormat="1" x14ac:dyDescent="0.25">
      <c r="A67" s="164"/>
      <c r="B67" s="24" t="s">
        <v>25</v>
      </c>
      <c r="C67" s="25" t="s">
        <v>72</v>
      </c>
      <c r="D67" s="25" t="s">
        <v>72</v>
      </c>
      <c r="E67" s="14" t="s">
        <v>42</v>
      </c>
      <c r="F67" s="26">
        <f>42430*0.4536</f>
        <v>19246.248</v>
      </c>
      <c r="G67" s="27">
        <v>19146.59</v>
      </c>
      <c r="H67" s="27">
        <f>G67-F67</f>
        <v>-99.657999999999447</v>
      </c>
      <c r="I67" s="12" t="s">
        <v>2845</v>
      </c>
      <c r="J67" s="93" t="s">
        <v>49</v>
      </c>
      <c r="K67" s="17">
        <v>42542</v>
      </c>
      <c r="L67" s="17">
        <v>42543</v>
      </c>
      <c r="M67" s="25" t="s">
        <v>50</v>
      </c>
      <c r="N67" s="25" t="s">
        <v>2854</v>
      </c>
      <c r="O67" s="18"/>
      <c r="P67" s="28">
        <f>0.7329+0.105</f>
        <v>0.83789999999999998</v>
      </c>
      <c r="Q67" s="153">
        <v>19500</v>
      </c>
      <c r="R67" s="18">
        <v>9095</v>
      </c>
      <c r="S67" s="30">
        <v>18.920999999999999</v>
      </c>
      <c r="T67" s="31">
        <f>W67*F67*0.005</f>
        <v>3516.7705094971625</v>
      </c>
      <c r="V67" s="18">
        <v>0.1</v>
      </c>
      <c r="W67" s="18">
        <f t="shared" ref="W67" si="145">IF(O67&gt;0,O67,((P67*2.2046*S67)+(Q67+R67)/G67)+V67)</f>
        <v>36.544998375757835</v>
      </c>
      <c r="X67" s="18">
        <f t="shared" ref="X67" si="146">IF(O67&gt;0,O67,((P67*2.2046*S67)+(Q67+R67+T67)/G67)+V67)</f>
        <v>36.728674451210289</v>
      </c>
      <c r="Y67" s="21">
        <f t="shared" ref="Y67" si="147">X67*F67</f>
        <v>706889.17719925707</v>
      </c>
      <c r="Z67" s="32">
        <v>42536</v>
      </c>
      <c r="AA67" s="37">
        <v>41</v>
      </c>
      <c r="AB67" s="37"/>
    </row>
    <row r="68" spans="1:28" s="12" customFormat="1" x14ac:dyDescent="0.25">
      <c r="A68" s="164"/>
      <c r="B68" s="24" t="s">
        <v>32</v>
      </c>
      <c r="C68" s="14" t="s">
        <v>33</v>
      </c>
      <c r="D68" s="25" t="s">
        <v>3046</v>
      </c>
      <c r="E68" s="14">
        <f>200+60</f>
        <v>260</v>
      </c>
      <c r="F68" s="26">
        <f>20805+6520</f>
        <v>27325</v>
      </c>
      <c r="G68" s="27">
        <f>15700+5650</f>
        <v>21350</v>
      </c>
      <c r="H68" s="27">
        <f t="shared" ref="H68:H71" si="148">G68-F68</f>
        <v>-5975</v>
      </c>
      <c r="I68" s="25" t="s">
        <v>3047</v>
      </c>
      <c r="J68" s="120">
        <v>259</v>
      </c>
      <c r="K68" s="17"/>
      <c r="L68" s="17">
        <v>42543</v>
      </c>
      <c r="M68" s="25" t="s">
        <v>50</v>
      </c>
      <c r="N68" s="14"/>
      <c r="O68" s="18">
        <v>28</v>
      </c>
      <c r="P68" s="19"/>
      <c r="Q68" s="153">
        <v>17300</v>
      </c>
      <c r="R68" s="18">
        <f t="shared" ref="R68" si="149">61.75*E68</f>
        <v>16055</v>
      </c>
      <c r="S68" s="30">
        <f t="shared" ref="S68" si="150">-35*E68</f>
        <v>-9100</v>
      </c>
      <c r="T68" s="31">
        <f t="shared" ref="T68" si="151">W68*F68*0.0045</f>
        <v>4553.672854215456</v>
      </c>
      <c r="U68" s="18">
        <f t="shared" ref="U68" si="152">E68*5</f>
        <v>1300</v>
      </c>
      <c r="V68" s="14"/>
      <c r="W68" s="18">
        <f t="shared" ref="W68" si="153">((O68*F68)+Q68+R68+S68+U68)/G68</f>
        <v>37.033021077283372</v>
      </c>
      <c r="X68" s="18">
        <f t="shared" ref="X68" si="154">((O68*F68)+Q68+R68+S68+T68+U68)/G68</f>
        <v>37.246307862024146</v>
      </c>
      <c r="Y68" s="21">
        <f t="shared" ref="Y68" si="155">X68*G68</f>
        <v>795208.67285421549</v>
      </c>
      <c r="Z68" s="32">
        <v>42556</v>
      </c>
      <c r="AA68" s="37">
        <v>38</v>
      </c>
      <c r="AB68" s="37" t="s">
        <v>3048</v>
      </c>
    </row>
    <row r="69" spans="1:28" s="12" customFormat="1" x14ac:dyDescent="0.25">
      <c r="A69" s="164"/>
      <c r="B69" s="24" t="s">
        <v>1000</v>
      </c>
      <c r="C69" s="25" t="s">
        <v>1001</v>
      </c>
      <c r="D69" s="25" t="s">
        <v>3196</v>
      </c>
      <c r="E69" s="14" t="s">
        <v>3197</v>
      </c>
      <c r="F69" s="26">
        <v>3062.2</v>
      </c>
      <c r="G69" s="27">
        <v>3062.2</v>
      </c>
      <c r="H69" s="27">
        <f t="shared" si="148"/>
        <v>0</v>
      </c>
      <c r="I69" s="25" t="s">
        <v>3198</v>
      </c>
      <c r="J69" s="14"/>
      <c r="K69" s="17"/>
      <c r="L69" s="17">
        <v>42543</v>
      </c>
      <c r="M69" s="25" t="s">
        <v>50</v>
      </c>
      <c r="N69" s="14"/>
      <c r="O69" s="18">
        <v>70</v>
      </c>
      <c r="P69" s="19"/>
      <c r="Q69" s="18"/>
      <c r="R69" s="18"/>
      <c r="S69" s="30"/>
      <c r="T69" s="31"/>
      <c r="U69" s="18"/>
      <c r="V69" s="18"/>
      <c r="W69" s="18">
        <f t="shared" ref="W69:W71" si="156">IF(O69&gt;0,O69,((P69*2.2046*S69)+(Q69+R69)/G69)+V69)</f>
        <v>70</v>
      </c>
      <c r="X69" s="18">
        <f t="shared" ref="X69:X71" si="157">IF(O69&gt;0,O69,((P69*2.2046*S69)+(Q69+R69+T69)/G69)+V69)</f>
        <v>70</v>
      </c>
      <c r="Y69" s="21">
        <f t="shared" ref="Y69:Y71" si="158">X69*F69</f>
        <v>214354</v>
      </c>
      <c r="Z69" s="32">
        <v>42550</v>
      </c>
      <c r="AA69" s="37"/>
      <c r="AB69" s="37"/>
    </row>
    <row r="70" spans="1:28" s="12" customFormat="1" x14ac:dyDescent="0.25">
      <c r="A70" s="164"/>
      <c r="B70" s="24" t="s">
        <v>114</v>
      </c>
      <c r="C70" s="14" t="s">
        <v>3199</v>
      </c>
      <c r="D70" s="25" t="s">
        <v>3196</v>
      </c>
      <c r="E70" s="14" t="s">
        <v>3200</v>
      </c>
      <c r="F70" s="26">
        <v>3375</v>
      </c>
      <c r="G70" s="27">
        <v>3375</v>
      </c>
      <c r="H70" s="27">
        <f t="shared" si="148"/>
        <v>0</v>
      </c>
      <c r="I70" s="25" t="s">
        <v>3198</v>
      </c>
      <c r="J70" s="14"/>
      <c r="K70" s="17"/>
      <c r="L70" s="17">
        <v>42543</v>
      </c>
      <c r="M70" s="25" t="s">
        <v>50</v>
      </c>
      <c r="N70" s="14"/>
      <c r="O70" s="18">
        <v>21</v>
      </c>
      <c r="P70" s="19"/>
      <c r="Q70" s="18"/>
      <c r="R70" s="18"/>
      <c r="S70" s="30"/>
      <c r="T70" s="31"/>
      <c r="U70" s="18"/>
      <c r="V70" s="18"/>
      <c r="W70" s="18">
        <f t="shared" si="156"/>
        <v>21</v>
      </c>
      <c r="X70" s="18">
        <f t="shared" si="157"/>
        <v>21</v>
      </c>
      <c r="Y70" s="21">
        <f t="shared" si="158"/>
        <v>70875</v>
      </c>
      <c r="Z70" s="32">
        <v>42550</v>
      </c>
      <c r="AA70" s="37"/>
      <c r="AB70" s="37"/>
    </row>
    <row r="71" spans="1:28" s="12" customFormat="1" x14ac:dyDescent="0.25">
      <c r="A71" s="164"/>
      <c r="B71" s="24" t="s">
        <v>1287</v>
      </c>
      <c r="C71" s="25" t="s">
        <v>41</v>
      </c>
      <c r="D71" s="25" t="s">
        <v>3196</v>
      </c>
      <c r="E71" s="14" t="s">
        <v>3197</v>
      </c>
      <c r="F71" s="26">
        <v>3918.4</v>
      </c>
      <c r="G71" s="27">
        <v>3919.99</v>
      </c>
      <c r="H71" s="27">
        <f t="shared" si="148"/>
        <v>1.5899999999996908</v>
      </c>
      <c r="I71" s="25" t="s">
        <v>3198</v>
      </c>
      <c r="J71" s="14"/>
      <c r="K71" s="17"/>
      <c r="L71" s="17">
        <v>42543</v>
      </c>
      <c r="M71" s="25" t="s">
        <v>50</v>
      </c>
      <c r="N71" s="14"/>
      <c r="O71" s="18">
        <v>44.5</v>
      </c>
      <c r="P71" s="19"/>
      <c r="Q71" s="18"/>
      <c r="R71" s="18"/>
      <c r="S71" s="30"/>
      <c r="T71" s="31"/>
      <c r="U71" s="18"/>
      <c r="V71" s="18"/>
      <c r="W71" s="18">
        <f t="shared" si="156"/>
        <v>44.5</v>
      </c>
      <c r="X71" s="18">
        <f t="shared" si="157"/>
        <v>44.5</v>
      </c>
      <c r="Y71" s="21">
        <f t="shared" si="158"/>
        <v>174368.80000000002</v>
      </c>
      <c r="Z71" s="32">
        <v>42550</v>
      </c>
      <c r="AA71" s="37"/>
      <c r="AB71" s="37"/>
    </row>
    <row r="72" spans="1:28" s="12" customFormat="1" x14ac:dyDescent="0.25">
      <c r="A72" s="164"/>
      <c r="B72" s="24" t="s">
        <v>25</v>
      </c>
      <c r="C72" s="25" t="s">
        <v>72</v>
      </c>
      <c r="D72" s="25" t="s">
        <v>72</v>
      </c>
      <c r="E72" s="14" t="s">
        <v>42</v>
      </c>
      <c r="F72" s="26">
        <f>42530*0.4536</f>
        <v>19291.608</v>
      </c>
      <c r="G72" s="27">
        <v>19280.13</v>
      </c>
      <c r="H72" s="27">
        <f>G72-F72</f>
        <v>-11.477999999999156</v>
      </c>
      <c r="I72" s="12" t="s">
        <v>2846</v>
      </c>
      <c r="J72" s="93" t="s">
        <v>44</v>
      </c>
      <c r="K72" s="17">
        <v>42543</v>
      </c>
      <c r="L72" s="17">
        <v>42544</v>
      </c>
      <c r="M72" s="25" t="s">
        <v>65</v>
      </c>
      <c r="N72" s="25" t="s">
        <v>2855</v>
      </c>
      <c r="O72" s="18"/>
      <c r="P72" s="28">
        <f>0.7565+0.105</f>
        <v>0.86149999999999993</v>
      </c>
      <c r="Q72" s="153">
        <v>18500</v>
      </c>
      <c r="R72" s="18">
        <v>9082</v>
      </c>
      <c r="S72" s="30">
        <v>18.850000000000001</v>
      </c>
      <c r="T72" s="31">
        <f>W72*F72*0.005</f>
        <v>3600.9423879544602</v>
      </c>
      <c r="V72" s="18">
        <v>0.1</v>
      </c>
      <c r="W72" s="18">
        <f t="shared" ref="W72" si="159">IF(O72&gt;0,O72,((P72*2.2046*S72)+(Q72+R72)/G72)+V72)</f>
        <v>37.331697678643067</v>
      </c>
      <c r="X72" s="18">
        <f t="shared" ref="X72" si="160">IF(O72&gt;0,O72,((P72*2.2046*S72)+(Q72+R72+T72)/G72)+V72)</f>
        <v>37.518467290048925</v>
      </c>
      <c r="Y72" s="21">
        <f t="shared" ref="Y72" si="161">X72*F72</f>
        <v>723791.5637204462</v>
      </c>
      <c r="Z72" s="32">
        <v>42537</v>
      </c>
      <c r="AA72" s="37"/>
      <c r="AB72" s="37"/>
    </row>
    <row r="73" spans="1:28" s="12" customFormat="1" x14ac:dyDescent="0.25">
      <c r="A73" s="164"/>
      <c r="B73" s="24" t="s">
        <v>25</v>
      </c>
      <c r="C73" s="25" t="s">
        <v>72</v>
      </c>
      <c r="D73" s="25" t="s">
        <v>72</v>
      </c>
      <c r="E73" s="14" t="s">
        <v>42</v>
      </c>
      <c r="F73" s="26">
        <f>42440*0.4536</f>
        <v>19250.784</v>
      </c>
      <c r="G73" s="27">
        <v>19249.43</v>
      </c>
      <c r="H73" s="27">
        <f>G73-F73</f>
        <v>-1.3539999999993597</v>
      </c>
      <c r="I73" s="12" t="s">
        <v>2847</v>
      </c>
      <c r="J73" s="93" t="s">
        <v>44</v>
      </c>
      <c r="K73" s="17">
        <v>42543</v>
      </c>
      <c r="L73" s="17">
        <v>42544</v>
      </c>
      <c r="M73" s="25" t="s">
        <v>65</v>
      </c>
      <c r="N73" s="25" t="s">
        <v>2855</v>
      </c>
      <c r="O73" s="18"/>
      <c r="P73" s="28">
        <v>0.86150000000000004</v>
      </c>
      <c r="Q73" s="153">
        <v>18500</v>
      </c>
      <c r="R73" s="18">
        <v>9082</v>
      </c>
      <c r="S73" s="30">
        <v>18.850000000000001</v>
      </c>
      <c r="T73" s="31">
        <f t="shared" ref="T73" si="162">W73*F73*0.005</f>
        <v>3593.5418531447071</v>
      </c>
      <c r="V73" s="18">
        <v>0.1</v>
      </c>
      <c r="W73" s="18">
        <f>IF(O73&gt;0,O73,((P73*2.2046*S73)+(Q73+R73)/G73)+V73)</f>
        <v>37.333979261776634</v>
      </c>
      <c r="X73" s="18">
        <f>IF(O73&gt;0,O73,((P73*2.2046*S73)+(Q73+R73+T73)/G73)+V73)</f>
        <v>37.520662288398448</v>
      </c>
      <c r="Y73" s="21">
        <f>X73*F73</f>
        <v>722302.16525090416</v>
      </c>
      <c r="Z73" s="32">
        <v>42537</v>
      </c>
      <c r="AA73" s="37"/>
      <c r="AB73" s="37"/>
    </row>
    <row r="74" spans="1:28" s="12" customFormat="1" x14ac:dyDescent="0.25">
      <c r="A74" s="164"/>
      <c r="B74" s="24" t="s">
        <v>32</v>
      </c>
      <c r="C74" s="14" t="s">
        <v>33</v>
      </c>
      <c r="D74" s="25" t="s">
        <v>87</v>
      </c>
      <c r="E74" s="14">
        <f>249</f>
        <v>249</v>
      </c>
      <c r="F74" s="26">
        <f>30390</f>
        <v>30390</v>
      </c>
      <c r="G74" s="27">
        <f>23420</f>
        <v>23420</v>
      </c>
      <c r="H74" s="27">
        <f t="shared" ref="H74:H75" si="163">G74-F74</f>
        <v>-6970</v>
      </c>
      <c r="I74" s="12" t="s">
        <v>3049</v>
      </c>
      <c r="J74" s="120">
        <v>250</v>
      </c>
      <c r="K74" s="17"/>
      <c r="L74" s="17">
        <v>42544</v>
      </c>
      <c r="M74" s="25" t="s">
        <v>65</v>
      </c>
      <c r="N74" s="14"/>
      <c r="O74" s="18">
        <v>28</v>
      </c>
      <c r="P74" s="19"/>
      <c r="Q74" s="153">
        <f>17300</f>
        <v>17300</v>
      </c>
      <c r="R74" s="18">
        <f t="shared" ref="R74:R75" si="164">61.75*E74</f>
        <v>15375.75</v>
      </c>
      <c r="S74" s="30">
        <f t="shared" ref="S74:S75" si="165">-35*E74</f>
        <v>-8715</v>
      </c>
      <c r="T74" s="31">
        <f t="shared" ref="T74:T75" si="166">W74*F74*0.0045</f>
        <v>5115.9084945025616</v>
      </c>
      <c r="U74" s="18">
        <f t="shared" ref="U74:U75" si="167">E74*5</f>
        <v>1245</v>
      </c>
      <c r="V74" s="14"/>
      <c r="W74" s="18">
        <f t="shared" ref="W74:W75" si="168">((O74*F74)+Q74+R74+S74+U74)/G74</f>
        <v>37.409297608881296</v>
      </c>
      <c r="X74" s="18">
        <f t="shared" ref="X74:X75" si="169">((O74*F74)+Q74+R74+S74+T74+U74)/G74</f>
        <v>37.627739474573126</v>
      </c>
      <c r="Y74" s="21">
        <f t="shared" ref="Y74:Y75" si="170">X74*G74</f>
        <v>881241.65849450266</v>
      </c>
      <c r="Z74" s="32">
        <v>42557</v>
      </c>
      <c r="AA74" s="37"/>
      <c r="AB74" s="37" t="s">
        <v>3103</v>
      </c>
    </row>
    <row r="75" spans="1:28" s="12" customFormat="1" x14ac:dyDescent="0.25">
      <c r="A75" s="164"/>
      <c r="B75" s="24" t="s">
        <v>32</v>
      </c>
      <c r="C75" s="14" t="s">
        <v>33</v>
      </c>
      <c r="D75" s="25" t="s">
        <v>34</v>
      </c>
      <c r="E75" s="14">
        <v>130</v>
      </c>
      <c r="F75" s="26">
        <v>14780</v>
      </c>
      <c r="G75" s="27">
        <v>12590</v>
      </c>
      <c r="H75" s="27">
        <f t="shared" si="163"/>
        <v>-2190</v>
      </c>
      <c r="I75" s="25" t="s">
        <v>3050</v>
      </c>
      <c r="J75" s="120">
        <v>128</v>
      </c>
      <c r="K75" s="17"/>
      <c r="L75" s="17">
        <v>42544</v>
      </c>
      <c r="M75" s="25" t="s">
        <v>65</v>
      </c>
      <c r="N75" s="14"/>
      <c r="O75" s="18">
        <v>28</v>
      </c>
      <c r="P75" s="19"/>
      <c r="Q75" s="153">
        <v>13600</v>
      </c>
      <c r="R75" s="18">
        <f t="shared" si="164"/>
        <v>8027.5</v>
      </c>
      <c r="S75" s="30">
        <f t="shared" si="165"/>
        <v>-4550</v>
      </c>
      <c r="T75" s="31">
        <f t="shared" si="166"/>
        <v>2279.8692950754566</v>
      </c>
      <c r="U75" s="18">
        <f t="shared" si="167"/>
        <v>650</v>
      </c>
      <c r="V75" s="14"/>
      <c r="W75" s="18">
        <f t="shared" si="168"/>
        <v>34.278594122319298</v>
      </c>
      <c r="X75" s="18">
        <f t="shared" si="169"/>
        <v>34.45967984869543</v>
      </c>
      <c r="Y75" s="21">
        <f t="shared" si="170"/>
        <v>433847.36929507548</v>
      </c>
      <c r="Z75" s="32">
        <v>42557</v>
      </c>
      <c r="AA75" s="37"/>
      <c r="AB75" s="37"/>
    </row>
    <row r="76" spans="1:28" s="12" customFormat="1" x14ac:dyDescent="0.25">
      <c r="A76" s="164"/>
      <c r="B76" s="24" t="s">
        <v>25</v>
      </c>
      <c r="C76" s="25" t="s">
        <v>40</v>
      </c>
      <c r="D76" s="25" t="s">
        <v>40</v>
      </c>
      <c r="E76" s="14" t="s">
        <v>42</v>
      </c>
      <c r="F76" s="26">
        <f>41554*0.4536</f>
        <v>18848.894400000001</v>
      </c>
      <c r="G76" s="27">
        <v>18764.79</v>
      </c>
      <c r="H76" s="27">
        <f>G76-F76</f>
        <v>-84.104400000000169</v>
      </c>
      <c r="I76" s="12" t="s">
        <v>2849</v>
      </c>
      <c r="J76" s="93" t="s">
        <v>44</v>
      </c>
      <c r="K76" s="17">
        <v>42544</v>
      </c>
      <c r="L76" s="17">
        <v>42546</v>
      </c>
      <c r="M76" s="25" t="s">
        <v>30</v>
      </c>
      <c r="N76" s="25" t="s">
        <v>2856</v>
      </c>
      <c r="O76" s="18"/>
      <c r="P76" s="28">
        <f>0.7565+0.1</f>
        <v>0.85649999999999993</v>
      </c>
      <c r="Q76" s="153">
        <v>18500</v>
      </c>
      <c r="R76" s="18">
        <v>9082</v>
      </c>
      <c r="S76" s="30">
        <v>18.88</v>
      </c>
      <c r="T76" s="31">
        <f>W76*F76*0.005</f>
        <v>3507.7650989377453</v>
      </c>
      <c r="V76" s="18">
        <v>0.1</v>
      </c>
      <c r="W76" s="18">
        <f t="shared" ref="W76:W77" si="171">IF(O76&gt;0,O76,((P76*2.2046*S76)+(Q76+R76)/G76)+V76)</f>
        <v>37.219849870215675</v>
      </c>
      <c r="X76" s="18">
        <f t="shared" ref="X76:X77" si="172">IF(O76&gt;0,O76,((P76*2.2046*S76)+(Q76+R76+T76)/G76)+V76)</f>
        <v>37.406783222464107</v>
      </c>
      <c r="Y76" s="21">
        <f t="shared" ref="Y76:Y77" si="173">X76*F76</f>
        <v>705076.5068039177</v>
      </c>
      <c r="Z76" s="32">
        <v>42556</v>
      </c>
      <c r="AA76" s="37">
        <v>38</v>
      </c>
      <c r="AB76" s="37"/>
    </row>
    <row r="77" spans="1:28" s="12" customFormat="1" x14ac:dyDescent="0.25">
      <c r="A77" s="164"/>
      <c r="B77" s="24" t="s">
        <v>25</v>
      </c>
      <c r="C77" s="25" t="s">
        <v>40</v>
      </c>
      <c r="D77" s="25" t="s">
        <v>40</v>
      </c>
      <c r="E77" s="14" t="s">
        <v>831</v>
      </c>
      <c r="F77" s="26">
        <f>41703*0.4536</f>
        <v>18916.480800000001</v>
      </c>
      <c r="G77" s="27">
        <v>18918.36</v>
      </c>
      <c r="H77" s="27">
        <f>G77-F77</f>
        <v>1.8791999999994005</v>
      </c>
      <c r="I77" s="12" t="s">
        <v>2850</v>
      </c>
      <c r="J77" s="93" t="s">
        <v>991</v>
      </c>
      <c r="K77" s="17">
        <v>42544</v>
      </c>
      <c r="L77" s="17">
        <v>42545</v>
      </c>
      <c r="M77" s="25" t="s">
        <v>84</v>
      </c>
      <c r="N77" s="25" t="s">
        <v>2856</v>
      </c>
      <c r="O77" s="18"/>
      <c r="P77" s="28">
        <v>0.85650000000000004</v>
      </c>
      <c r="Q77" s="153">
        <v>21500</v>
      </c>
      <c r="R77" s="18">
        <v>9082</v>
      </c>
      <c r="S77" s="30">
        <v>18.88</v>
      </c>
      <c r="T77" s="31">
        <f>W77*F77*0.005</f>
        <v>3534.2128515872296</v>
      </c>
      <c r="V77" s="18">
        <v>0.1</v>
      </c>
      <c r="W77" s="18">
        <f t="shared" si="171"/>
        <v>37.366494211621323</v>
      </c>
      <c r="X77" s="18">
        <f t="shared" si="172"/>
        <v>37.553308124221957</v>
      </c>
      <c r="Y77" s="21">
        <f t="shared" si="173"/>
        <v>710376.43210832868</v>
      </c>
      <c r="Z77" s="32">
        <v>42556</v>
      </c>
      <c r="AA77" s="37">
        <v>40</v>
      </c>
      <c r="AB77" s="37"/>
    </row>
    <row r="78" spans="1:28" s="12" customFormat="1" x14ac:dyDescent="0.25">
      <c r="A78" s="164"/>
      <c r="B78" s="24" t="s">
        <v>32</v>
      </c>
      <c r="C78" s="14" t="s">
        <v>33</v>
      </c>
      <c r="D78" s="25" t="s">
        <v>87</v>
      </c>
      <c r="E78" s="14">
        <f>250</f>
        <v>250</v>
      </c>
      <c r="F78" s="26">
        <f>25965+3440</f>
        <v>29405</v>
      </c>
      <c r="G78" s="27">
        <f>22590</f>
        <v>22590</v>
      </c>
      <c r="H78" s="27">
        <f t="shared" ref="H78:H82" si="174">G78-F78</f>
        <v>-6815</v>
      </c>
      <c r="I78" s="12" t="s">
        <v>3051</v>
      </c>
      <c r="J78" s="14"/>
      <c r="K78" s="17"/>
      <c r="L78" s="17">
        <v>42545</v>
      </c>
      <c r="M78" s="25" t="s">
        <v>84</v>
      </c>
      <c r="N78" s="14"/>
      <c r="O78" s="18">
        <v>28</v>
      </c>
      <c r="P78" s="19"/>
      <c r="Q78" s="153">
        <f>17300</f>
        <v>17300</v>
      </c>
      <c r="R78" s="18">
        <f t="shared" ref="R78:R79" si="175">61.75*E78</f>
        <v>15437.5</v>
      </c>
      <c r="S78" s="30">
        <f>-35*E78</f>
        <v>-8750</v>
      </c>
      <c r="T78" s="31">
        <f>W78*F78*0.0045</f>
        <v>4970.6018700199193</v>
      </c>
      <c r="U78" s="18">
        <f>E78*5</f>
        <v>1250</v>
      </c>
      <c r="V78" s="14"/>
      <c r="W78" s="18">
        <f>((O78*F78)+Q78+R78+S78+U78)/G78</f>
        <v>37.564298362107124</v>
      </c>
      <c r="X78" s="18">
        <f>((O78*F78)+Q78+R78+S78+T78+U78)/G78</f>
        <v>37.784333858787953</v>
      </c>
      <c r="Y78" s="21">
        <f t="shared" ref="Y78:Y79" si="176">X78*G78</f>
        <v>853548.1018700198</v>
      </c>
      <c r="Z78" s="32">
        <v>42558</v>
      </c>
      <c r="AA78" s="2">
        <v>38</v>
      </c>
      <c r="AB78" s="2" t="s">
        <v>3104</v>
      </c>
    </row>
    <row r="79" spans="1:28" s="12" customFormat="1" x14ac:dyDescent="0.25">
      <c r="A79" s="164"/>
      <c r="B79" s="24" t="s">
        <v>32</v>
      </c>
      <c r="C79" s="14" t="s">
        <v>33</v>
      </c>
      <c r="D79" s="25" t="s">
        <v>34</v>
      </c>
      <c r="E79" s="14">
        <v>130</v>
      </c>
      <c r="F79" s="26">
        <v>13985</v>
      </c>
      <c r="G79" s="27">
        <v>11990</v>
      </c>
      <c r="H79" s="27">
        <f t="shared" si="174"/>
        <v>-1995</v>
      </c>
      <c r="I79" s="25" t="s">
        <v>3225</v>
      </c>
      <c r="J79" s="14"/>
      <c r="K79" s="17"/>
      <c r="L79" s="17">
        <v>42545</v>
      </c>
      <c r="M79" s="25" t="s">
        <v>84</v>
      </c>
      <c r="N79" s="14"/>
      <c r="O79" s="18">
        <v>28</v>
      </c>
      <c r="P79" s="19"/>
      <c r="Q79" s="153">
        <v>13600</v>
      </c>
      <c r="R79" s="18">
        <f t="shared" si="175"/>
        <v>8027.5</v>
      </c>
      <c r="S79" s="30">
        <f>-35*E79</f>
        <v>-4550</v>
      </c>
      <c r="T79" s="31">
        <f>W79*F79*0.0045</f>
        <v>2148.3523139074227</v>
      </c>
      <c r="U79" s="18">
        <f>E79*5</f>
        <v>650</v>
      </c>
      <c r="V79" s="14"/>
      <c r="W79" s="18">
        <f>((O79*F79)+Q79+R79+S79+U79)/G79</f>
        <v>34.137406171809843</v>
      </c>
      <c r="X79" s="18">
        <f>((O79*F79)+Q79+R79+S79+T79+U79)/G79</f>
        <v>34.316584846864671</v>
      </c>
      <c r="Y79" s="21">
        <f t="shared" si="176"/>
        <v>411455.85231390741</v>
      </c>
      <c r="Z79" s="32">
        <v>42558</v>
      </c>
      <c r="AA79" s="2">
        <v>38</v>
      </c>
      <c r="AB79" s="2"/>
    </row>
    <row r="80" spans="1:28" s="12" customFormat="1" x14ac:dyDescent="0.25">
      <c r="A80" s="164"/>
      <c r="B80" s="24" t="s">
        <v>25</v>
      </c>
      <c r="C80" s="25" t="s">
        <v>26</v>
      </c>
      <c r="D80" s="25" t="s">
        <v>26</v>
      </c>
      <c r="E80" s="14" t="s">
        <v>27</v>
      </c>
      <c r="F80" s="26">
        <f>41166*0.4536</f>
        <v>18672.8976</v>
      </c>
      <c r="G80" s="27">
        <v>18501.34</v>
      </c>
      <c r="H80" s="27">
        <f t="shared" si="174"/>
        <v>-171.55760000000009</v>
      </c>
      <c r="I80" s="12" t="s">
        <v>2851</v>
      </c>
      <c r="J80" s="93" t="s">
        <v>74</v>
      </c>
      <c r="K80" s="17">
        <v>42544</v>
      </c>
      <c r="L80" s="17">
        <v>42545</v>
      </c>
      <c r="M80" s="25" t="s">
        <v>30</v>
      </c>
      <c r="N80" s="25" t="s">
        <v>2857</v>
      </c>
      <c r="O80" s="18"/>
      <c r="P80" s="28">
        <f>0.7565+0.1075</f>
        <v>0.86399999999999999</v>
      </c>
      <c r="Q80" s="153">
        <v>18500</v>
      </c>
      <c r="R80" s="18">
        <v>9082</v>
      </c>
      <c r="S80" s="30">
        <v>18.945</v>
      </c>
      <c r="T80" s="31">
        <f t="shared" ref="T80:T82" si="177">W80*F80*0.005</f>
        <v>3517.6715883860506</v>
      </c>
      <c r="V80" s="18">
        <v>0.1</v>
      </c>
      <c r="W80" s="18">
        <f>IF(O80&gt;0,O80,((P80*2.2046*S80)+(Q80+R80)/G80)+V80)</f>
        <v>37.67676194385654</v>
      </c>
      <c r="X80" s="18">
        <f>IF(O80&gt;0,O80,((P80*2.2046*S80)+(Q80+R80+T80)/G80)+V80)</f>
        <v>37.866892582414941</v>
      </c>
      <c r="Y80" s="21">
        <f t="shared" ref="Y80:Y82" si="178">X80*F80</f>
        <v>707084.6076216338</v>
      </c>
      <c r="Z80" s="32">
        <v>42538</v>
      </c>
      <c r="AA80" s="2">
        <v>41</v>
      </c>
      <c r="AB80" s="2"/>
    </row>
    <row r="81" spans="1:33" s="12" customFormat="1" x14ac:dyDescent="0.25">
      <c r="A81" s="164"/>
      <c r="B81" s="24" t="s">
        <v>25</v>
      </c>
      <c r="C81" s="25" t="s">
        <v>26</v>
      </c>
      <c r="D81" s="25" t="s">
        <v>26</v>
      </c>
      <c r="E81" s="14" t="s">
        <v>27</v>
      </c>
      <c r="F81" s="26">
        <f>40651*0.4536</f>
        <v>18439.293600000001</v>
      </c>
      <c r="G81" s="27">
        <v>18439</v>
      </c>
      <c r="H81" s="27">
        <f t="shared" si="174"/>
        <v>-0.29360000000087894</v>
      </c>
      <c r="I81" s="177" t="s">
        <v>2852</v>
      </c>
      <c r="J81" s="93" t="s">
        <v>74</v>
      </c>
      <c r="K81" s="17">
        <v>42545</v>
      </c>
      <c r="L81" s="17">
        <v>42546</v>
      </c>
      <c r="M81" s="25" t="s">
        <v>30</v>
      </c>
      <c r="N81" s="25" t="s">
        <v>2857</v>
      </c>
      <c r="O81" s="18"/>
      <c r="P81" s="28">
        <v>0.86399999999999999</v>
      </c>
      <c r="Q81" s="153">
        <v>18500</v>
      </c>
      <c r="R81" s="18">
        <v>9160</v>
      </c>
      <c r="S81" s="30">
        <v>18.945</v>
      </c>
      <c r="T81" s="31">
        <f t="shared" si="177"/>
        <v>3474.5190762780608</v>
      </c>
      <c r="V81" s="18">
        <v>0.1</v>
      </c>
      <c r="W81" s="18">
        <f>IF(O81&gt;0,O81,((P81*2.2046*S81)+(Q81+R81)/G81)+V81)</f>
        <v>37.686032357313955</v>
      </c>
      <c r="X81" s="18">
        <f>IF(O81&gt;0,O81,((P81*2.2046*S81)+(Q81+R81+T81)/G81)+V81)</f>
        <v>37.874465519431105</v>
      </c>
      <c r="Y81" s="21">
        <f t="shared" si="178"/>
        <v>698378.38965586666</v>
      </c>
      <c r="Z81" s="32">
        <v>42538</v>
      </c>
      <c r="AA81" s="2">
        <v>41</v>
      </c>
      <c r="AB81" s="2" t="s">
        <v>3108</v>
      </c>
    </row>
    <row r="82" spans="1:33" s="12" customFormat="1" x14ac:dyDescent="0.25">
      <c r="A82" s="164"/>
      <c r="B82" s="24" t="s">
        <v>25</v>
      </c>
      <c r="C82" s="25" t="s">
        <v>72</v>
      </c>
      <c r="D82" s="25" t="s">
        <v>72</v>
      </c>
      <c r="E82" s="14" t="s">
        <v>42</v>
      </c>
      <c r="F82" s="26">
        <f>42412*0.4536</f>
        <v>19238.083200000001</v>
      </c>
      <c r="G82" s="27">
        <v>19162.009999999998</v>
      </c>
      <c r="H82" s="27">
        <f t="shared" si="174"/>
        <v>-76.073200000002544</v>
      </c>
      <c r="I82" s="12" t="s">
        <v>2848</v>
      </c>
      <c r="J82" s="93" t="s">
        <v>44</v>
      </c>
      <c r="K82" s="17">
        <v>42545</v>
      </c>
      <c r="L82" s="17">
        <v>42546</v>
      </c>
      <c r="M82" s="25" t="s">
        <v>30</v>
      </c>
      <c r="N82" s="25" t="s">
        <v>2858</v>
      </c>
      <c r="O82" s="18"/>
      <c r="P82" s="28">
        <f>0.7646+0.105</f>
        <v>0.86959999999999993</v>
      </c>
      <c r="Q82" s="153">
        <v>18500</v>
      </c>
      <c r="R82" s="18">
        <v>9160</v>
      </c>
      <c r="S82" s="30">
        <v>18.89</v>
      </c>
      <c r="T82" s="31">
        <f t="shared" si="177"/>
        <v>3631.9462768534954</v>
      </c>
      <c r="V82" s="18">
        <v>0.1</v>
      </c>
      <c r="W82" s="18">
        <f>IF(O82&gt;0,O82,((P82*2.2046*S82)+(Q82+R82)/G82)+V82)</f>
        <v>37.757880960339079</v>
      </c>
      <c r="X82" s="18">
        <f>IF(O82&gt;0,O82,((P82*2.2046*S82)+(Q82+R82+T82)/G82)+V82)</f>
        <v>37.947419859277836</v>
      </c>
      <c r="Y82" s="21">
        <f t="shared" si="178"/>
        <v>730035.62047811935</v>
      </c>
      <c r="Z82" s="32">
        <v>42541</v>
      </c>
      <c r="AA82" s="2">
        <v>41</v>
      </c>
      <c r="AB82" s="2"/>
    </row>
    <row r="83" spans="1:33" s="12" customFormat="1" ht="15.75" thickBot="1" x14ac:dyDescent="0.3">
      <c r="A83" s="164"/>
      <c r="B83" s="41"/>
      <c r="C83" s="4"/>
      <c r="D83" s="4"/>
      <c r="E83" s="4"/>
      <c r="F83" s="42"/>
      <c r="G83" s="42"/>
      <c r="H83" s="42"/>
      <c r="I83" s="6"/>
      <c r="J83" s="4"/>
      <c r="K83" s="7"/>
      <c r="L83" s="7"/>
      <c r="M83" s="4"/>
      <c r="N83" s="4"/>
      <c r="O83" s="8"/>
      <c r="P83" s="9"/>
      <c r="Q83" s="8"/>
      <c r="R83" s="8"/>
      <c r="S83" s="8"/>
      <c r="T83" s="8"/>
      <c r="U83" s="8"/>
      <c r="V83" s="8"/>
      <c r="W83" s="8"/>
      <c r="X83" s="8"/>
      <c r="Y83" s="11"/>
      <c r="Z83" s="43"/>
      <c r="AA83" s="2"/>
      <c r="AB83" s="2"/>
    </row>
    <row r="84" spans="1:33" s="12" customFormat="1" x14ac:dyDescent="0.25">
      <c r="A84" s="165"/>
      <c r="B84" s="14" t="s">
        <v>32</v>
      </c>
      <c r="C84" s="14" t="s">
        <v>33</v>
      </c>
      <c r="D84" s="25" t="s">
        <v>34</v>
      </c>
      <c r="E84" s="14">
        <v>250</v>
      </c>
      <c r="F84" s="26">
        <v>27435</v>
      </c>
      <c r="G84" s="27">
        <v>21730</v>
      </c>
      <c r="H84" s="27">
        <f t="shared" ref="H84:H88" si="179">G84-F84</f>
        <v>-5705</v>
      </c>
      <c r="I84" s="25" t="s">
        <v>3101</v>
      </c>
      <c r="J84" s="14"/>
      <c r="K84" s="17"/>
      <c r="L84" s="17">
        <v>42547</v>
      </c>
      <c r="M84" s="25" t="s">
        <v>36</v>
      </c>
      <c r="N84" s="14"/>
      <c r="O84" s="18">
        <v>28.5</v>
      </c>
      <c r="P84" s="19"/>
      <c r="Q84" s="153">
        <v>17300</v>
      </c>
      <c r="R84" s="18">
        <f t="shared" ref="R84:R87" si="180">61.75*E84</f>
        <v>15437.5</v>
      </c>
      <c r="S84" s="30">
        <f>-35*E84</f>
        <v>-8750</v>
      </c>
      <c r="T84" s="31">
        <f>W84*F84*0.0045</f>
        <v>4585.6819725034511</v>
      </c>
      <c r="U84" s="18">
        <f>E84*5</f>
        <v>1250</v>
      </c>
      <c r="V84" s="14"/>
      <c r="W84" s="18">
        <f>((O84*F84)+Q84+R84+S84+U84)/G84</f>
        <v>37.143810400368153</v>
      </c>
      <c r="X84" s="18">
        <f>((O84*F84)+Q84+R84+S84+T84+U84)/G84</f>
        <v>37.354840403704713</v>
      </c>
      <c r="Y84" s="21">
        <f>X84*G84</f>
        <v>811720.68197250343</v>
      </c>
      <c r="Z84" s="32">
        <v>42562</v>
      </c>
      <c r="AA84" s="2">
        <v>39</v>
      </c>
      <c r="AB84" s="2"/>
    </row>
    <row r="85" spans="1:33" s="12" customFormat="1" x14ac:dyDescent="0.25">
      <c r="A85" s="165"/>
      <c r="B85" s="24" t="s">
        <v>32</v>
      </c>
      <c r="C85" s="14" t="s">
        <v>33</v>
      </c>
      <c r="D85" s="25" t="s">
        <v>1510</v>
      </c>
      <c r="E85" s="14">
        <v>130</v>
      </c>
      <c r="F85" s="26">
        <v>15450</v>
      </c>
      <c r="G85" s="27">
        <v>12240</v>
      </c>
      <c r="H85" s="27">
        <f t="shared" si="179"/>
        <v>-3210</v>
      </c>
      <c r="I85" s="25" t="s">
        <v>3102</v>
      </c>
      <c r="J85" s="14"/>
      <c r="K85" s="17"/>
      <c r="L85" s="17">
        <v>42547</v>
      </c>
      <c r="M85" s="25" t="s">
        <v>36</v>
      </c>
      <c r="N85" s="14"/>
      <c r="O85" s="18">
        <v>28.5</v>
      </c>
      <c r="P85" s="19"/>
      <c r="Q85" s="153">
        <v>13600</v>
      </c>
      <c r="R85" s="18">
        <f t="shared" si="180"/>
        <v>8027.5</v>
      </c>
      <c r="S85" s="30">
        <f t="shared" ref="S85:S87" si="181">-35*E85</f>
        <v>-4550</v>
      </c>
      <c r="T85" s="31">
        <f>W85*F85*0.0045</f>
        <v>2601.8055606617645</v>
      </c>
      <c r="U85" s="18">
        <f>E85*5</f>
        <v>650</v>
      </c>
      <c r="V85" s="14"/>
      <c r="W85" s="18">
        <f>((O85*F85)+Q85+R85+S85+U85)/G85</f>
        <v>37.422589869281047</v>
      </c>
      <c r="X85" s="18">
        <f>((O85*F85)+Q85+R85+S85+T85+U85)/G85</f>
        <v>37.635155683060603</v>
      </c>
      <c r="Y85" s="21">
        <f>X85*G85</f>
        <v>460654.30556066177</v>
      </c>
      <c r="Z85" s="32">
        <v>42562</v>
      </c>
      <c r="AA85" s="2">
        <v>39</v>
      </c>
      <c r="AB85" s="2" t="s">
        <v>3151</v>
      </c>
    </row>
    <row r="86" spans="1:33" s="12" customFormat="1" x14ac:dyDescent="0.25">
      <c r="A86" s="165"/>
      <c r="B86" s="24" t="s">
        <v>2077</v>
      </c>
      <c r="C86" s="14" t="s">
        <v>72</v>
      </c>
      <c r="D86" s="25" t="s">
        <v>57</v>
      </c>
      <c r="E86" s="14" t="s">
        <v>67</v>
      </c>
      <c r="F86" s="26">
        <v>3707.6</v>
      </c>
      <c r="G86" s="27">
        <v>3707.6</v>
      </c>
      <c r="H86" s="27">
        <f t="shared" si="179"/>
        <v>0</v>
      </c>
      <c r="I86" s="25" t="s">
        <v>3154</v>
      </c>
      <c r="J86" s="14"/>
      <c r="K86" s="17"/>
      <c r="L86" s="17">
        <v>42548</v>
      </c>
      <c r="M86" s="25" t="s">
        <v>39</v>
      </c>
      <c r="N86" s="14"/>
      <c r="O86" s="18">
        <v>18</v>
      </c>
      <c r="P86" s="19"/>
      <c r="Q86" s="18"/>
      <c r="R86" s="18"/>
      <c r="S86" s="30"/>
      <c r="T86" s="31"/>
      <c r="V86" s="18"/>
      <c r="W86" s="18">
        <f t="shared" ref="W86" si="182">IF(O86&gt;0,O86,((P86*2.2046*S86)+(Q86+R86)/G86)+V86)</f>
        <v>18</v>
      </c>
      <c r="X86" s="18">
        <f t="shared" ref="X86" si="183">IF(O86&gt;0,O86,((P86*2.2046*S86)+(Q86+R86+T86)/G86)+V86)</f>
        <v>18</v>
      </c>
      <c r="Y86" s="21">
        <f>X86*F86</f>
        <v>66736.800000000003</v>
      </c>
      <c r="Z86" s="32">
        <v>42555</v>
      </c>
      <c r="AA86" s="2"/>
      <c r="AB86" s="2"/>
    </row>
    <row r="87" spans="1:33" s="12" customFormat="1" x14ac:dyDescent="0.25">
      <c r="A87" s="165"/>
      <c r="B87" s="24" t="s">
        <v>32</v>
      </c>
      <c r="C87" s="14" t="s">
        <v>33</v>
      </c>
      <c r="D87" s="25" t="s">
        <v>1510</v>
      </c>
      <c r="E87" s="14">
        <v>220</v>
      </c>
      <c r="F87" s="26">
        <v>23415</v>
      </c>
      <c r="G87" s="27">
        <f>12530+5730</f>
        <v>18260</v>
      </c>
      <c r="H87" s="27">
        <f t="shared" si="179"/>
        <v>-5155</v>
      </c>
      <c r="I87" s="25" t="s">
        <v>3105</v>
      </c>
      <c r="J87" s="133">
        <v>219</v>
      </c>
      <c r="K87" s="17"/>
      <c r="L87" s="17">
        <v>42548</v>
      </c>
      <c r="M87" s="25" t="s">
        <v>39</v>
      </c>
      <c r="N87" s="14"/>
      <c r="O87" s="18">
        <v>28.5</v>
      </c>
      <c r="P87" s="19"/>
      <c r="Q87" s="153">
        <v>17300</v>
      </c>
      <c r="R87" s="18">
        <f t="shared" si="180"/>
        <v>13585</v>
      </c>
      <c r="S87" s="30">
        <f t="shared" si="181"/>
        <v>-7700</v>
      </c>
      <c r="T87" s="31">
        <f>W87*F87*0.0045</f>
        <v>3990.8806184967139</v>
      </c>
      <c r="U87" s="18">
        <f>E87*5</f>
        <v>1100</v>
      </c>
      <c r="V87" s="14"/>
      <c r="W87" s="18">
        <f>((O87*F87)+Q87+R87+S87+U87)/G87</f>
        <v>37.875821467688937</v>
      </c>
      <c r="X87" s="18">
        <f>((O87*F87)+Q87+R87+S87+T87+U87)/G87</f>
        <v>38.094380099589081</v>
      </c>
      <c r="Y87" s="21">
        <f>X87*G87</f>
        <v>695603.38061849657</v>
      </c>
      <c r="Z87" s="32">
        <v>42562</v>
      </c>
      <c r="AA87" s="2">
        <v>39</v>
      </c>
      <c r="AB87" s="2" t="s">
        <v>3152</v>
      </c>
    </row>
    <row r="88" spans="1:33" s="12" customFormat="1" x14ac:dyDescent="0.25">
      <c r="A88" s="165"/>
      <c r="B88" s="24" t="s">
        <v>55</v>
      </c>
      <c r="C88" s="14" t="s">
        <v>1903</v>
      </c>
      <c r="D88" s="25" t="s">
        <v>2772</v>
      </c>
      <c r="E88" s="14" t="s">
        <v>3205</v>
      </c>
      <c r="F88" s="26">
        <v>18234.72</v>
      </c>
      <c r="G88" s="27">
        <v>18234.72</v>
      </c>
      <c r="H88" s="27">
        <f t="shared" si="179"/>
        <v>0</v>
      </c>
      <c r="I88" s="25" t="s">
        <v>3206</v>
      </c>
      <c r="J88" s="14"/>
      <c r="K88" s="17"/>
      <c r="L88" s="17">
        <v>42548</v>
      </c>
      <c r="M88" s="25" t="s">
        <v>39</v>
      </c>
      <c r="N88" s="14"/>
      <c r="O88" s="18">
        <v>37</v>
      </c>
      <c r="P88" s="19"/>
      <c r="Q88" s="18"/>
      <c r="R88" s="18"/>
      <c r="S88" s="30"/>
      <c r="T88" s="31"/>
      <c r="U88" s="18"/>
      <c r="V88" s="18"/>
      <c r="W88" s="18">
        <f t="shared" ref="W88" si="184">IF(O88&gt;0,O88,((P88*2.2046*S88)+(Q88+R88)/G88)+V88)</f>
        <v>37</v>
      </c>
      <c r="X88" s="18">
        <f t="shared" ref="X88" si="185">IF(O88&gt;0,O88,((P88*2.2046*S88)+(Q88+R88+T88)/G88)+V88)</f>
        <v>37</v>
      </c>
      <c r="Y88" s="21">
        <f>X88*F88</f>
        <v>674684.64</v>
      </c>
      <c r="Z88" s="32">
        <v>42562</v>
      </c>
      <c r="AA88" s="2"/>
      <c r="AB88" s="2"/>
    </row>
    <row r="89" spans="1:33" s="12" customFormat="1" x14ac:dyDescent="0.25">
      <c r="A89" s="165"/>
      <c r="B89" s="24" t="s">
        <v>25</v>
      </c>
      <c r="C89" s="25" t="s">
        <v>40</v>
      </c>
      <c r="D89" s="25" t="s">
        <v>40</v>
      </c>
      <c r="E89" s="14" t="s">
        <v>27</v>
      </c>
      <c r="F89" s="26">
        <f>39169*0.4536</f>
        <v>17767.058400000002</v>
      </c>
      <c r="G89" s="27">
        <f>19412.42-1530.75</f>
        <v>17881.669999999998</v>
      </c>
      <c r="H89" s="27">
        <f>G89-F89</f>
        <v>114.61159999999654</v>
      </c>
      <c r="I89" s="12" t="s">
        <v>2859</v>
      </c>
      <c r="J89" s="93" t="s">
        <v>44</v>
      </c>
      <c r="K89" s="17">
        <v>42548</v>
      </c>
      <c r="L89" s="17">
        <v>42549</v>
      </c>
      <c r="M89" s="25" t="s">
        <v>45</v>
      </c>
      <c r="N89" s="25" t="s">
        <v>2868</v>
      </c>
      <c r="O89" s="18"/>
      <c r="P89" s="28">
        <f>0.777+0.1</f>
        <v>0.877</v>
      </c>
      <c r="Q89" s="153">
        <f>(18500*G89)/(G89+G90)</f>
        <v>17041.198109251705</v>
      </c>
      <c r="R89" s="18">
        <f>(9030*G89)/(G89+G90)</f>
        <v>8317.9469690023197</v>
      </c>
      <c r="S89" s="30">
        <v>18.55</v>
      </c>
      <c r="T89" s="31">
        <f>W89*F89*0.005</f>
        <v>3320.9624706260079</v>
      </c>
      <c r="V89" s="18">
        <v>0.1</v>
      </c>
      <c r="W89" s="18">
        <f t="shared" ref="W89" si="186">IF(O89&gt;0,O89,((P89*2.2046*S89)+(Q89+R89)/G89)+V89)</f>
        <v>37.383368657425109</v>
      </c>
      <c r="X89" s="18">
        <f t="shared" ref="X89" si="187">IF(O89&gt;0,O89,((P89*2.2046*S89)+(Q89+R89+T89)/G89)+V89)</f>
        <v>37.569087467280454</v>
      </c>
      <c r="Y89" s="21">
        <f>X89*F89</f>
        <v>667492.17106587999</v>
      </c>
      <c r="Z89" s="32">
        <v>42559</v>
      </c>
      <c r="AA89" s="37">
        <v>41</v>
      </c>
      <c r="AB89" s="37"/>
    </row>
    <row r="90" spans="1:33" s="12" customFormat="1" x14ac:dyDescent="0.25">
      <c r="A90" s="165"/>
      <c r="B90" s="24" t="s">
        <v>3068</v>
      </c>
      <c r="C90" s="25" t="s">
        <v>40</v>
      </c>
      <c r="D90" s="25" t="s">
        <v>40</v>
      </c>
      <c r="E90" s="14" t="s">
        <v>832</v>
      </c>
      <c r="F90" s="26">
        <f>3348*0.4536</f>
        <v>1518.6528000000001</v>
      </c>
      <c r="G90" s="27">
        <f>1530.75</f>
        <v>1530.75</v>
      </c>
      <c r="H90" s="27">
        <f>G90-F90</f>
        <v>12.09719999999993</v>
      </c>
      <c r="I90" s="12" t="s">
        <v>2859</v>
      </c>
      <c r="J90" s="14"/>
      <c r="K90" s="17">
        <v>42548</v>
      </c>
      <c r="L90" s="17">
        <v>42549</v>
      </c>
      <c r="M90" s="25" t="s">
        <v>45</v>
      </c>
      <c r="N90" s="25"/>
      <c r="O90" s="18"/>
      <c r="P90" s="28">
        <v>0.99</v>
      </c>
      <c r="Q90" s="153">
        <f>(18500*G90)/(G90+G89)</f>
        <v>1458.8018907482942</v>
      </c>
      <c r="R90" s="18">
        <f>(9030*G90)/(G90+G89)</f>
        <v>712.05303099768093</v>
      </c>
      <c r="S90" s="30">
        <v>18.55</v>
      </c>
      <c r="T90" s="31">
        <f>W90*F90*0.005</f>
        <v>318.95156861260898</v>
      </c>
      <c r="V90" s="18">
        <v>0.1</v>
      </c>
      <c r="W90" s="18">
        <f t="shared" ref="W90" si="188">IF(O90&gt;0,O90,((P90*2.2046*S90)+(Q90+R90)/G90)+V90)</f>
        <v>42.004540947425106</v>
      </c>
      <c r="X90" s="18">
        <f t="shared" ref="X90" si="189">IF(O90&gt;0,O90,((P90*2.2046*S90)+(Q90+R90+T90)/G90)+V90)</f>
        <v>42.212903886254182</v>
      </c>
      <c r="Y90" s="21">
        <f>X90*F90</f>
        <v>64106.7446829908</v>
      </c>
      <c r="Z90" s="32">
        <v>42559</v>
      </c>
      <c r="AA90" s="37">
        <v>46</v>
      </c>
      <c r="AB90" s="37"/>
    </row>
    <row r="91" spans="1:33" s="12" customFormat="1" x14ac:dyDescent="0.25">
      <c r="A91" s="165"/>
      <c r="B91" s="24" t="s">
        <v>32</v>
      </c>
      <c r="C91" s="14" t="s">
        <v>33</v>
      </c>
      <c r="D91" s="25" t="s">
        <v>34</v>
      </c>
      <c r="E91" s="14">
        <v>220</v>
      </c>
      <c r="F91" s="26">
        <v>23780</v>
      </c>
      <c r="G91" s="27">
        <f>12980+5990</f>
        <v>18970</v>
      </c>
      <c r="H91" s="27">
        <f>G91-F91</f>
        <v>-4810</v>
      </c>
      <c r="I91" s="25" t="s">
        <v>3118</v>
      </c>
      <c r="J91" s="14"/>
      <c r="K91" s="17"/>
      <c r="L91" s="17">
        <v>42549</v>
      </c>
      <c r="M91" s="25" t="s">
        <v>45</v>
      </c>
      <c r="N91" s="14"/>
      <c r="O91" s="18">
        <v>28.5</v>
      </c>
      <c r="P91" s="19"/>
      <c r="Q91" s="153">
        <v>17300</v>
      </c>
      <c r="R91" s="18">
        <f t="shared" ref="R91" si="190">61.75*E91</f>
        <v>13585</v>
      </c>
      <c r="S91" s="30">
        <f t="shared" ref="S91" si="191">-35*E91</f>
        <v>-7700</v>
      </c>
      <c r="T91" s="31">
        <f>W91*F91*0.0045</f>
        <v>3960.0751265155509</v>
      </c>
      <c r="U91" s="18">
        <f>E91*5</f>
        <v>1100</v>
      </c>
      <c r="V91" s="14"/>
      <c r="W91" s="18">
        <f>((O91*F91)+Q91+R91+S91+U91)/G91</f>
        <v>37.006589351607801</v>
      </c>
      <c r="X91" s="18">
        <f>((O91*F91)+Q91+R91+S91+T91+U91)/G91</f>
        <v>37.21534397082317</v>
      </c>
      <c r="Y91" s="21">
        <f>X91*G91</f>
        <v>705975.07512651558</v>
      </c>
      <c r="Z91" s="32">
        <v>42562</v>
      </c>
      <c r="AA91" s="37">
        <v>39</v>
      </c>
      <c r="AB91" s="37" t="s">
        <v>3150</v>
      </c>
    </row>
    <row r="92" spans="1:33" s="12" customFormat="1" x14ac:dyDescent="0.25">
      <c r="A92" s="165"/>
      <c r="B92" s="24" t="s">
        <v>25</v>
      </c>
      <c r="C92" s="25" t="s">
        <v>72</v>
      </c>
      <c r="D92" s="25" t="s">
        <v>72</v>
      </c>
      <c r="E92" s="14" t="s">
        <v>42</v>
      </c>
      <c r="F92" s="26">
        <f>42040*0.4536</f>
        <v>19069.344000000001</v>
      </c>
      <c r="G92" s="27">
        <v>18965.68</v>
      </c>
      <c r="H92" s="27">
        <f>G92-F92</f>
        <v>-103.66400000000067</v>
      </c>
      <c r="I92" s="12" t="s">
        <v>2862</v>
      </c>
      <c r="J92" s="93" t="s">
        <v>49</v>
      </c>
      <c r="K92" s="17">
        <v>42549</v>
      </c>
      <c r="L92" s="17">
        <v>42550</v>
      </c>
      <c r="M92" s="25" t="s">
        <v>50</v>
      </c>
      <c r="N92" s="25" t="s">
        <v>2869</v>
      </c>
      <c r="O92" s="18"/>
      <c r="P92" s="28">
        <f>0.777+0.105</f>
        <v>0.88200000000000001</v>
      </c>
      <c r="Q92" s="153">
        <v>18500</v>
      </c>
      <c r="R92" s="18">
        <v>12029</v>
      </c>
      <c r="S92" s="30">
        <v>18.68</v>
      </c>
      <c r="T92" s="31">
        <f>W92*F92*0.005</f>
        <v>3626.2414808214353</v>
      </c>
      <c r="V92" s="18">
        <v>0.1</v>
      </c>
      <c r="W92" s="18">
        <f t="shared" ref="W92" si="192">IF(O92&gt;0,O92,((P92*2.2046*S92)+(Q92+R92)/G92)+V92)</f>
        <v>38.032157590963116</v>
      </c>
      <c r="X92" s="18">
        <f t="shared" ref="X92" si="193">IF(O92&gt;0,O92,((P92*2.2046*S92)+(Q92+R92+T92)/G92)+V92)</f>
        <v>38.223357773652133</v>
      </c>
      <c r="Y92" s="21">
        <f t="shared" ref="Y92" si="194">X92*F92</f>
        <v>728894.35822084674</v>
      </c>
      <c r="Z92" s="32">
        <v>42543</v>
      </c>
      <c r="AA92" s="37">
        <v>42</v>
      </c>
      <c r="AB92" s="176" t="s">
        <v>3149</v>
      </c>
      <c r="AC92" s="157"/>
      <c r="AE92" s="12" t="s">
        <v>3172</v>
      </c>
      <c r="AG92" s="12" t="s">
        <v>3173</v>
      </c>
    </row>
    <row r="93" spans="1:33" s="12" customFormat="1" x14ac:dyDescent="0.25">
      <c r="A93" s="165"/>
      <c r="B93" s="24" t="s">
        <v>32</v>
      </c>
      <c r="C93" s="14" t="s">
        <v>33</v>
      </c>
      <c r="D93" s="25" t="s">
        <v>80</v>
      </c>
      <c r="E93" s="14">
        <v>200</v>
      </c>
      <c r="F93" s="26">
        <v>22540</v>
      </c>
      <c r="G93" s="27">
        <v>17830</v>
      </c>
      <c r="H93" s="27">
        <f t="shared" ref="H93" si="195">G93-F93</f>
        <v>-4710</v>
      </c>
      <c r="I93" s="12" t="s">
        <v>3153</v>
      </c>
      <c r="J93" s="14"/>
      <c r="K93" s="17"/>
      <c r="L93" s="17">
        <v>42550</v>
      </c>
      <c r="M93" s="25" t="s">
        <v>50</v>
      </c>
      <c r="N93" s="14"/>
      <c r="O93" s="18">
        <v>28.5</v>
      </c>
      <c r="P93" s="19"/>
      <c r="Q93" s="153">
        <v>17300</v>
      </c>
      <c r="R93" s="18">
        <f t="shared" ref="R93" si="196">61.75*E93</f>
        <v>12350</v>
      </c>
      <c r="S93" s="30">
        <f t="shared" ref="S93" si="197">-35*E93</f>
        <v>-7000</v>
      </c>
      <c r="T93" s="31">
        <f>W93*F93*0.0045</f>
        <v>3788.9196410544018</v>
      </c>
      <c r="U93" s="18">
        <f>E93*5</f>
        <v>1000</v>
      </c>
      <c r="V93" s="14"/>
      <c r="W93" s="18">
        <f>((O93*F93)+Q93+R93+S93+U93)/G93</f>
        <v>37.355019629837351</v>
      </c>
      <c r="X93" s="18">
        <f>((O93*F93)+Q93+R93+S93+T93+U93)/G93</f>
        <v>37.567522133542028</v>
      </c>
      <c r="Y93" s="21">
        <f>X93*G93</f>
        <v>669828.91964105435</v>
      </c>
      <c r="Z93" s="32">
        <v>42563</v>
      </c>
      <c r="AA93" s="37">
        <v>39</v>
      </c>
      <c r="AB93" s="37"/>
    </row>
    <row r="94" spans="1:33" s="12" customFormat="1" x14ac:dyDescent="0.25">
      <c r="A94" s="165"/>
      <c r="B94" s="24" t="s">
        <v>25</v>
      </c>
      <c r="C94" s="25" t="s">
        <v>72</v>
      </c>
      <c r="D94" s="25" t="s">
        <v>72</v>
      </c>
      <c r="E94" s="14" t="s">
        <v>42</v>
      </c>
      <c r="F94" s="26">
        <f>42484*0.4536</f>
        <v>19270.742399999999</v>
      </c>
      <c r="G94" s="27">
        <v>19187.54</v>
      </c>
      <c r="H94" s="27">
        <f>G94-F94</f>
        <v>-83.202399999998306</v>
      </c>
      <c r="I94" s="12" t="s">
        <v>2863</v>
      </c>
      <c r="J94" s="93" t="s">
        <v>44</v>
      </c>
      <c r="K94" s="17">
        <v>42550</v>
      </c>
      <c r="L94" s="17">
        <v>42551</v>
      </c>
      <c r="M94" s="25" t="s">
        <v>65</v>
      </c>
      <c r="N94" s="25" t="s">
        <v>2870</v>
      </c>
      <c r="O94" s="18"/>
      <c r="P94" s="28">
        <f>0.7863+0.105</f>
        <v>0.89129999999999998</v>
      </c>
      <c r="Q94" s="153">
        <v>18500</v>
      </c>
      <c r="R94" s="18">
        <v>9095</v>
      </c>
      <c r="S94" s="30">
        <v>18.59</v>
      </c>
      <c r="T94" s="31">
        <f>W94*F94*0.005</f>
        <v>3667.8754533861315</v>
      </c>
      <c r="V94" s="18">
        <v>0.1</v>
      </c>
      <c r="W94" s="18">
        <f t="shared" ref="W94" si="198">IF(O94&gt;0,O94,((P94*2.2046*S94)+(Q94+R94)/G94)+V94)</f>
        <v>38.066778925820024</v>
      </c>
      <c r="X94" s="18">
        <f t="shared" ref="X94" si="199">IF(O94&gt;0,O94,((P94*2.2046*S94)+(Q94+R94+T94)/G94)+V94)</f>
        <v>38.25793816006194</v>
      </c>
      <c r="Y94" s="21">
        <f t="shared" ref="Y94" si="200">X94*F94</f>
        <v>737258.87103768357</v>
      </c>
      <c r="Z94" s="32">
        <v>42544</v>
      </c>
      <c r="AA94" s="37">
        <v>42</v>
      </c>
      <c r="AB94" s="37"/>
    </row>
    <row r="95" spans="1:33" s="12" customFormat="1" x14ac:dyDescent="0.25">
      <c r="A95" s="165"/>
      <c r="B95" s="24" t="s">
        <v>32</v>
      </c>
      <c r="C95" s="14" t="s">
        <v>33</v>
      </c>
      <c r="D95" s="25" t="s">
        <v>1102</v>
      </c>
      <c r="E95" s="14">
        <v>249</v>
      </c>
      <c r="F95" s="26">
        <v>26730</v>
      </c>
      <c r="G95" s="27">
        <v>21280</v>
      </c>
      <c r="H95" s="27">
        <f t="shared" ref="H95:H96" si="201">G95-F95</f>
        <v>-5450</v>
      </c>
      <c r="I95" s="12" t="s">
        <v>3167</v>
      </c>
      <c r="J95" s="122">
        <v>250</v>
      </c>
      <c r="K95" s="17"/>
      <c r="L95" s="17">
        <v>42551</v>
      </c>
      <c r="M95" s="25" t="s">
        <v>65</v>
      </c>
      <c r="N95" s="14"/>
      <c r="O95" s="18">
        <v>28.5</v>
      </c>
      <c r="P95" s="19"/>
      <c r="Q95" s="153">
        <v>17300</v>
      </c>
      <c r="R95" s="18">
        <f t="shared" ref="R95:R96" si="202">61.75*E95</f>
        <v>15375.75</v>
      </c>
      <c r="S95" s="30">
        <f t="shared" ref="S95:S96" si="203">-35*E95</f>
        <v>-8715</v>
      </c>
      <c r="T95" s="31">
        <f t="shared" ref="T95:T96" si="204">W95*F95*0.0045</f>
        <v>4448.5708676574241</v>
      </c>
      <c r="U95" s="18">
        <f t="shared" ref="U95:U96" si="205">E95*5</f>
        <v>1245</v>
      </c>
      <c r="V95" s="14"/>
      <c r="W95" s="18">
        <f t="shared" ref="W95:W96" si="206">((O95*F95)+Q95+R95+S95+U95)/G95</f>
        <v>36.983587875939847</v>
      </c>
      <c r="X95" s="18">
        <f t="shared" ref="X95:X96" si="207">((O95*F95)+Q95+R95+S95+T95+U95)/G95</f>
        <v>37.192637258818486</v>
      </c>
      <c r="Y95" s="21">
        <f t="shared" ref="Y95:Y96" si="208">X95*G95</f>
        <v>791459.32086765743</v>
      </c>
      <c r="Z95" s="32">
        <v>42564</v>
      </c>
      <c r="AA95" s="37">
        <v>39</v>
      </c>
      <c r="AB95" s="37"/>
    </row>
    <row r="96" spans="1:33" s="12" customFormat="1" x14ac:dyDescent="0.25">
      <c r="A96" s="165"/>
      <c r="B96" s="24" t="s">
        <v>32</v>
      </c>
      <c r="C96" s="14" t="s">
        <v>33</v>
      </c>
      <c r="D96" s="25" t="s">
        <v>80</v>
      </c>
      <c r="E96" s="14">
        <v>130</v>
      </c>
      <c r="F96" s="26">
        <v>14700</v>
      </c>
      <c r="G96" s="27">
        <v>11460</v>
      </c>
      <c r="H96" s="27">
        <f t="shared" si="201"/>
        <v>-3240</v>
      </c>
      <c r="I96" s="25" t="s">
        <v>3168</v>
      </c>
      <c r="J96" s="122">
        <v>129</v>
      </c>
      <c r="K96" s="17"/>
      <c r="L96" s="17">
        <v>42551</v>
      </c>
      <c r="M96" s="25" t="s">
        <v>65</v>
      </c>
      <c r="N96" s="14"/>
      <c r="O96" s="18">
        <v>28.5</v>
      </c>
      <c r="P96" s="19"/>
      <c r="Q96" s="153">
        <v>13600</v>
      </c>
      <c r="R96" s="18">
        <f t="shared" si="202"/>
        <v>8027.5</v>
      </c>
      <c r="S96" s="30">
        <f t="shared" si="203"/>
        <v>-4550</v>
      </c>
      <c r="T96" s="31">
        <f t="shared" si="204"/>
        <v>2520.6122709424085</v>
      </c>
      <c r="U96" s="18">
        <f t="shared" si="205"/>
        <v>650</v>
      </c>
      <c r="V96" s="14"/>
      <c r="W96" s="18">
        <f t="shared" si="206"/>
        <v>38.10449389179756</v>
      </c>
      <c r="X96" s="18">
        <f t="shared" si="207"/>
        <v>38.324442606539478</v>
      </c>
      <c r="Y96" s="21">
        <f t="shared" si="208"/>
        <v>439198.11227094242</v>
      </c>
      <c r="Z96" s="32">
        <v>42564</v>
      </c>
      <c r="AA96" s="37">
        <v>39</v>
      </c>
      <c r="AB96" s="37" t="s">
        <v>3179</v>
      </c>
    </row>
    <row r="97" spans="1:28" s="12" customFormat="1" ht="15.75" thickBot="1" x14ac:dyDescent="0.3">
      <c r="A97" s="165"/>
      <c r="B97" s="41"/>
      <c r="C97" s="4"/>
      <c r="D97" s="4"/>
      <c r="E97" s="4"/>
      <c r="F97" s="42"/>
      <c r="G97" s="42"/>
      <c r="H97" s="42"/>
      <c r="I97" s="6"/>
      <c r="J97" s="4"/>
      <c r="K97" s="7"/>
      <c r="L97" s="7"/>
      <c r="M97" s="4"/>
      <c r="N97" s="4"/>
      <c r="O97" s="8"/>
      <c r="P97" s="9"/>
      <c r="Q97" s="8"/>
      <c r="R97" s="8"/>
      <c r="S97" s="8"/>
      <c r="T97" s="8"/>
      <c r="U97" s="8"/>
      <c r="V97" s="8"/>
      <c r="W97" s="8"/>
      <c r="X97" s="8"/>
      <c r="Y97" s="11"/>
      <c r="Z97" s="43"/>
      <c r="AA97" s="2"/>
      <c r="AB97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7"/>
  <sheetViews>
    <sheetView tabSelected="1" topLeftCell="C1" zoomScale="75" zoomScaleNormal="75" workbookViewId="0">
      <selection activeCell="G12" sqref="G12"/>
    </sheetView>
  </sheetViews>
  <sheetFormatPr baseColWidth="10" defaultRowHeight="15" x14ac:dyDescent="0.25"/>
  <cols>
    <col min="1" max="1" width="3" customWidth="1"/>
    <col min="2" max="2" width="14.5703125" bestFit="1" customWidth="1"/>
    <col min="4" max="4" width="16.140625" customWidth="1"/>
    <col min="7" max="7" width="13.28515625" bestFit="1" customWidth="1"/>
    <col min="9" max="9" width="14.85546875" customWidth="1"/>
    <col min="10" max="10" width="10.28515625" customWidth="1"/>
    <col min="13" max="13" width="3.85546875" customWidth="1"/>
    <col min="15" max="15" width="9.28515625" customWidth="1"/>
    <col min="19" max="19" width="14.42578125" customWidth="1"/>
    <col min="22" max="22" width="6.42578125" customWidth="1"/>
    <col min="23" max="23" width="0" hidden="1" customWidth="1"/>
    <col min="25" max="25" width="15.42578125" customWidth="1"/>
    <col min="26" max="26" width="13.140625" customWidth="1"/>
  </cols>
  <sheetData>
    <row r="1" spans="1:29" x14ac:dyDescent="0.25">
      <c r="A1" s="1" t="s">
        <v>3076</v>
      </c>
      <c r="Y1" s="2"/>
    </row>
    <row r="2" spans="1:29" ht="30.7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4" t="s">
        <v>9</v>
      </c>
      <c r="K2" s="7" t="s">
        <v>10</v>
      </c>
      <c r="L2" s="7" t="s">
        <v>11</v>
      </c>
      <c r="M2" s="4" t="s">
        <v>12</v>
      </c>
      <c r="N2" s="4" t="s">
        <v>13</v>
      </c>
      <c r="O2" s="8" t="s">
        <v>14</v>
      </c>
      <c r="P2" s="9" t="s">
        <v>15</v>
      </c>
      <c r="Q2" s="8" t="s">
        <v>16</v>
      </c>
      <c r="R2" s="10" t="s">
        <v>17</v>
      </c>
      <c r="S2" s="10" t="s">
        <v>18</v>
      </c>
      <c r="T2" s="10" t="s">
        <v>19</v>
      </c>
      <c r="U2" s="8" t="s">
        <v>20</v>
      </c>
      <c r="V2" s="8"/>
      <c r="W2" s="8" t="s">
        <v>22</v>
      </c>
      <c r="X2" s="8" t="s">
        <v>23</v>
      </c>
      <c r="Y2" s="11" t="s">
        <v>24</v>
      </c>
      <c r="Z2" s="8"/>
    </row>
    <row r="3" spans="1:29" s="12" customFormat="1" x14ac:dyDescent="0.25">
      <c r="A3" s="198"/>
      <c r="B3" s="24" t="s">
        <v>25</v>
      </c>
      <c r="C3" s="25" t="s">
        <v>72</v>
      </c>
      <c r="D3" s="25" t="s">
        <v>72</v>
      </c>
      <c r="E3" s="14" t="s">
        <v>42</v>
      </c>
      <c r="F3" s="26">
        <f>42496*0.4536</f>
        <v>19276.185600000001</v>
      </c>
      <c r="G3" s="27">
        <v>19175.7</v>
      </c>
      <c r="H3" s="27">
        <f>G3-F3</f>
        <v>-100.48559999999998</v>
      </c>
      <c r="I3" s="12" t="s">
        <v>2864</v>
      </c>
      <c r="J3" s="93" t="s">
        <v>44</v>
      </c>
      <c r="K3" s="17">
        <v>42550</v>
      </c>
      <c r="L3" s="17">
        <v>42552</v>
      </c>
      <c r="M3" s="25" t="s">
        <v>84</v>
      </c>
      <c r="N3" s="25" t="s">
        <v>2870</v>
      </c>
      <c r="O3" s="18"/>
      <c r="P3" s="28">
        <v>0.89129999999999998</v>
      </c>
      <c r="Q3" s="153">
        <v>18500</v>
      </c>
      <c r="R3" s="18">
        <v>9095</v>
      </c>
      <c r="S3" s="30">
        <v>18.59</v>
      </c>
      <c r="T3" s="31">
        <f t="shared" ref="T3" si="0">W3*F3*0.005</f>
        <v>3668.9970648315525</v>
      </c>
      <c r="V3" s="18">
        <v>0.1</v>
      </c>
      <c r="W3" s="18">
        <f>IF(O3&gt;0,O3,((P3*2.2046*S3)+(Q3+R3)/G3)+V3)</f>
        <v>38.06766692297829</v>
      </c>
      <c r="X3" s="18">
        <f>IF(O3&gt;0,O3,((P3*2.2046*S3)+(Q3+R3+T3)/G3)+V3)</f>
        <v>38.259002679421684</v>
      </c>
      <c r="Y3" s="21">
        <f>X3*F3</f>
        <v>737487.63651942974</v>
      </c>
      <c r="Z3" s="32">
        <v>42544</v>
      </c>
      <c r="AA3" s="37">
        <v>42</v>
      </c>
      <c r="AB3" s="37"/>
    </row>
    <row r="4" spans="1:29" s="12" customFormat="1" x14ac:dyDescent="0.25">
      <c r="A4" s="198"/>
      <c r="B4" s="24" t="s">
        <v>25</v>
      </c>
      <c r="C4" s="25" t="s">
        <v>40</v>
      </c>
      <c r="D4" s="25" t="s">
        <v>40</v>
      </c>
      <c r="E4" s="14" t="s">
        <v>42</v>
      </c>
      <c r="F4" s="26">
        <f>41516*0.4536</f>
        <v>18831.657599999999</v>
      </c>
      <c r="G4" s="27">
        <v>18757.060000000001</v>
      </c>
      <c r="H4" s="27">
        <f>G4-F4</f>
        <v>-74.597599999997328</v>
      </c>
      <c r="I4" s="12" t="s">
        <v>2860</v>
      </c>
      <c r="J4" s="93" t="s">
        <v>44</v>
      </c>
      <c r="K4" s="17">
        <v>42551</v>
      </c>
      <c r="L4" s="17">
        <v>42552</v>
      </c>
      <c r="M4" s="25" t="s">
        <v>84</v>
      </c>
      <c r="N4" s="25" t="s">
        <v>2871</v>
      </c>
      <c r="O4" s="18"/>
      <c r="P4" s="28">
        <f>0.7863+0.1</f>
        <v>0.88629999999999998</v>
      </c>
      <c r="Q4" s="153">
        <v>18500</v>
      </c>
      <c r="R4" s="18">
        <v>9069</v>
      </c>
      <c r="S4" s="30">
        <v>18.3</v>
      </c>
      <c r="T4" s="31">
        <f>W4*F4*0.005</f>
        <v>3514.6313484506268</v>
      </c>
      <c r="V4" s="18">
        <v>0.1</v>
      </c>
      <c r="W4" s="18">
        <f t="shared" ref="W4:W5" si="1">IF(O4&gt;0,O4,((P4*2.2046*S4)+(Q4+R4)/G4)+V4)</f>
        <v>37.326839974518514</v>
      </c>
      <c r="X4" s="18">
        <f t="shared" ref="X4:X5" si="2">IF(O4&gt;0,O4,((P4*2.2046*S4)+(Q4+R4+T4)/G4)+V4)</f>
        <v>37.514216426289238</v>
      </c>
      <c r="Y4" s="21">
        <f t="shared" ref="Y4:Y5" si="3">X4*F4</f>
        <v>706454.87887217454</v>
      </c>
      <c r="Z4" s="32">
        <v>42563</v>
      </c>
      <c r="AA4" s="37">
        <v>42</v>
      </c>
      <c r="AB4" s="37"/>
    </row>
    <row r="5" spans="1:29" s="12" customFormat="1" x14ac:dyDescent="0.25">
      <c r="A5" s="198"/>
      <c r="B5" s="24" t="s">
        <v>25</v>
      </c>
      <c r="C5" s="25" t="s">
        <v>40</v>
      </c>
      <c r="D5" s="25" t="s">
        <v>40</v>
      </c>
      <c r="E5" s="14" t="s">
        <v>831</v>
      </c>
      <c r="F5" s="26">
        <f>41352*0.4536</f>
        <v>18757.267199999998</v>
      </c>
      <c r="G5" s="27">
        <v>18829.66</v>
      </c>
      <c r="H5" s="27">
        <f>G5-F5</f>
        <v>72.392800000001444</v>
      </c>
      <c r="I5" s="12" t="s">
        <v>2861</v>
      </c>
      <c r="J5" s="93" t="s">
        <v>44</v>
      </c>
      <c r="K5" s="17">
        <v>42551</v>
      </c>
      <c r="L5" s="17">
        <v>42552</v>
      </c>
      <c r="M5" s="25" t="s">
        <v>84</v>
      </c>
      <c r="N5" s="25" t="s">
        <v>2871</v>
      </c>
      <c r="O5" s="18"/>
      <c r="P5" s="28">
        <v>0.88629999999999998</v>
      </c>
      <c r="Q5" s="153">
        <v>18500</v>
      </c>
      <c r="R5" s="18">
        <v>9069</v>
      </c>
      <c r="S5" s="30">
        <v>18.3</v>
      </c>
      <c r="T5" s="31">
        <f>W5*F5*0.005</f>
        <v>3500.2160719587641</v>
      </c>
      <c r="V5" s="18">
        <v>0.1</v>
      </c>
      <c r="W5" s="18">
        <f t="shared" si="1"/>
        <v>37.321173011373048</v>
      </c>
      <c r="X5" s="18">
        <f t="shared" si="2"/>
        <v>37.507061448655435</v>
      </c>
      <c r="Y5" s="21">
        <f t="shared" si="3"/>
        <v>703529.97347924905</v>
      </c>
      <c r="Z5" s="32">
        <v>42563</v>
      </c>
      <c r="AA5" s="37">
        <v>42</v>
      </c>
      <c r="AB5" s="176" t="s">
        <v>3171</v>
      </c>
      <c r="AC5" s="157"/>
    </row>
    <row r="6" spans="1:29" s="12" customFormat="1" x14ac:dyDescent="0.25">
      <c r="A6" s="198"/>
      <c r="B6" s="24" t="s">
        <v>32</v>
      </c>
      <c r="C6" s="14" t="s">
        <v>33</v>
      </c>
      <c r="D6" s="25" t="s">
        <v>80</v>
      </c>
      <c r="E6" s="14">
        <v>252</v>
      </c>
      <c r="F6" s="26">
        <v>29020</v>
      </c>
      <c r="G6" s="27">
        <v>22800</v>
      </c>
      <c r="H6" s="27">
        <f t="shared" ref="H6:H13" si="4">G6-F6</f>
        <v>-6220</v>
      </c>
      <c r="I6" s="12" t="s">
        <v>3169</v>
      </c>
      <c r="J6" s="120">
        <v>250</v>
      </c>
      <c r="K6" s="17"/>
      <c r="L6" s="17">
        <v>42552</v>
      </c>
      <c r="M6" s="25" t="s">
        <v>84</v>
      </c>
      <c r="N6" s="14"/>
      <c r="O6" s="18">
        <v>29</v>
      </c>
      <c r="P6" s="19"/>
      <c r="Q6" s="153">
        <v>17300</v>
      </c>
      <c r="R6" s="18">
        <f t="shared" ref="R6:R7" si="5">61.75*E6</f>
        <v>15561</v>
      </c>
      <c r="S6" s="145">
        <f>-35*E6</f>
        <v>-8820</v>
      </c>
      <c r="T6" s="31">
        <f>W6*F6*0.0045</f>
        <v>4965.1749907894728</v>
      </c>
      <c r="U6" s="18">
        <f>E6*5</f>
        <v>1260</v>
      </c>
      <c r="V6" s="14"/>
      <c r="W6" s="18">
        <f>((O6*F6)+Q6+R6+S6+U6)/G6</f>
        <v>38.021096491228072</v>
      </c>
      <c r="X6" s="18">
        <f>((O6*F6)+Q6+R6+S6+T6+U6)/G6</f>
        <v>38.238867324157432</v>
      </c>
      <c r="Y6" s="21">
        <f t="shared" ref="Y6:Y7" si="6">X6*G6</f>
        <v>871846.1749907895</v>
      </c>
      <c r="Z6" s="32">
        <v>42565</v>
      </c>
      <c r="AA6" s="2">
        <v>40</v>
      </c>
      <c r="AB6" s="2"/>
    </row>
    <row r="7" spans="1:29" s="12" customFormat="1" x14ac:dyDescent="0.25">
      <c r="A7" s="198"/>
      <c r="B7" s="24" t="s">
        <v>32</v>
      </c>
      <c r="C7" s="14" t="s">
        <v>33</v>
      </c>
      <c r="D7" s="25" t="s">
        <v>1510</v>
      </c>
      <c r="E7" s="14">
        <v>130</v>
      </c>
      <c r="F7" s="26">
        <v>14605</v>
      </c>
      <c r="G7" s="27">
        <v>11480</v>
      </c>
      <c r="H7" s="27">
        <f t="shared" si="4"/>
        <v>-3125</v>
      </c>
      <c r="I7" s="25" t="s">
        <v>3170</v>
      </c>
      <c r="J7" s="122">
        <v>130</v>
      </c>
      <c r="K7" s="17"/>
      <c r="L7" s="17">
        <v>42552</v>
      </c>
      <c r="M7" s="25" t="s">
        <v>84</v>
      </c>
      <c r="N7" s="14"/>
      <c r="O7" s="18">
        <v>29</v>
      </c>
      <c r="P7" s="19"/>
      <c r="Q7" s="153">
        <v>13600</v>
      </c>
      <c r="R7" s="18">
        <f t="shared" si="5"/>
        <v>8027.5</v>
      </c>
      <c r="S7" s="30">
        <f>-35*E7</f>
        <v>-4550</v>
      </c>
      <c r="T7" s="31">
        <f>W7*F7*0.0045</f>
        <v>2526.2658433144602</v>
      </c>
      <c r="U7" s="18">
        <f>E7*5</f>
        <v>650</v>
      </c>
      <c r="V7" s="14"/>
      <c r="W7" s="18">
        <f>((O7*F7)+Q7+R7+S7+U7)/G7</f>
        <v>38.438371080139376</v>
      </c>
      <c r="X7" s="18">
        <f>((O7*F7)+Q7+R7+S7+T7+U7)/G7</f>
        <v>38.658429080428093</v>
      </c>
      <c r="Y7" s="21">
        <f t="shared" si="6"/>
        <v>443798.76584331453</v>
      </c>
      <c r="Z7" s="32">
        <v>42565</v>
      </c>
      <c r="AA7" s="2">
        <v>40</v>
      </c>
      <c r="AB7" s="2" t="s">
        <v>3178</v>
      </c>
    </row>
    <row r="8" spans="1:29" s="12" customFormat="1" x14ac:dyDescent="0.25">
      <c r="A8" s="198"/>
      <c r="B8" s="24" t="s">
        <v>25</v>
      </c>
      <c r="C8" s="25" t="s">
        <v>26</v>
      </c>
      <c r="D8" s="25" t="s">
        <v>26</v>
      </c>
      <c r="E8" s="14" t="s">
        <v>27</v>
      </c>
      <c r="F8" s="26">
        <f>41353*0.4536</f>
        <v>18757.720799999999</v>
      </c>
      <c r="G8" s="27">
        <v>18686</v>
      </c>
      <c r="H8" s="27">
        <f t="shared" si="4"/>
        <v>-71.720799999999144</v>
      </c>
      <c r="I8" s="177" t="s">
        <v>2866</v>
      </c>
      <c r="J8" s="93" t="s">
        <v>74</v>
      </c>
      <c r="K8" s="17">
        <v>42552</v>
      </c>
      <c r="L8" s="17">
        <v>42553</v>
      </c>
      <c r="M8" s="25" t="s">
        <v>30</v>
      </c>
      <c r="N8" s="25" t="s">
        <v>3132</v>
      </c>
      <c r="O8" s="18"/>
      <c r="P8" s="28">
        <f>0.7863+0.1075</f>
        <v>0.89380000000000004</v>
      </c>
      <c r="Q8" s="153">
        <v>18500</v>
      </c>
      <c r="R8" s="18">
        <v>9043</v>
      </c>
      <c r="S8" s="30">
        <v>18.55</v>
      </c>
      <c r="T8" s="31">
        <f t="shared" ref="T8:T11" si="7">W8*F8*0.005</f>
        <v>3575.8065606389764</v>
      </c>
      <c r="V8" s="18">
        <v>0.1</v>
      </c>
      <c r="W8" s="18">
        <f t="shared" ref="W8:W13" si="8">IF(O8&gt;0,O8,((P8*2.2046*S8)+(Q8+R8)/G8)+V8)</f>
        <v>38.126237177375799</v>
      </c>
      <c r="X8" s="18">
        <f t="shared" ref="X8:X13" si="9">IF(O8&gt;0,O8,((P8*2.2046*S8)+(Q8+R8+T8)/G8)+V8)</f>
        <v>38.317600045867664</v>
      </c>
      <c r="Y8" s="21">
        <f t="shared" ref="Y8:Y13" si="10">X8*F8</f>
        <v>718750.84338645276</v>
      </c>
      <c r="Z8" s="32">
        <v>42545</v>
      </c>
      <c r="AA8" s="2">
        <v>42</v>
      </c>
      <c r="AB8" s="2" t="s">
        <v>3174</v>
      </c>
    </row>
    <row r="9" spans="1:29" s="12" customFormat="1" x14ac:dyDescent="0.25">
      <c r="A9" s="198"/>
      <c r="B9" s="24" t="s">
        <v>25</v>
      </c>
      <c r="C9" s="25" t="s">
        <v>26</v>
      </c>
      <c r="D9" s="25" t="s">
        <v>26</v>
      </c>
      <c r="E9" s="14" t="s">
        <v>27</v>
      </c>
      <c r="F9" s="26">
        <f>41403*0.4536</f>
        <v>18780.400799999999</v>
      </c>
      <c r="G9" s="27">
        <v>18710.13</v>
      </c>
      <c r="H9" s="27">
        <f t="shared" si="4"/>
        <v>-70.270799999998417</v>
      </c>
      <c r="I9" s="12" t="s">
        <v>2867</v>
      </c>
      <c r="J9" s="93" t="s">
        <v>44</v>
      </c>
      <c r="K9" s="17">
        <v>42552</v>
      </c>
      <c r="L9" s="17">
        <v>42553</v>
      </c>
      <c r="M9" s="25" t="s">
        <v>30</v>
      </c>
      <c r="N9" s="25" t="s">
        <v>3132</v>
      </c>
      <c r="O9" s="18"/>
      <c r="P9" s="28">
        <v>0.89380000000000004</v>
      </c>
      <c r="Q9" s="153">
        <v>18500</v>
      </c>
      <c r="R9" s="18">
        <v>9043</v>
      </c>
      <c r="S9" s="30">
        <v>18.420000000000002</v>
      </c>
      <c r="T9" s="31">
        <f t="shared" si="7"/>
        <v>3555.8975122765546</v>
      </c>
      <c r="V9" s="18">
        <v>0.1</v>
      </c>
      <c r="W9" s="18">
        <f t="shared" si="8"/>
        <v>37.868174914313379</v>
      </c>
      <c r="X9" s="18">
        <f t="shared" si="9"/>
        <v>38.058226908194584</v>
      </c>
      <c r="Y9" s="21">
        <f t="shared" si="10"/>
        <v>714748.7550732391</v>
      </c>
      <c r="Z9" s="32">
        <v>42514</v>
      </c>
      <c r="AA9" s="2">
        <v>42</v>
      </c>
      <c r="AB9" s="2"/>
    </row>
    <row r="10" spans="1:29" s="12" customFormat="1" x14ac:dyDescent="0.25">
      <c r="A10" s="198"/>
      <c r="B10" s="24" t="s">
        <v>25</v>
      </c>
      <c r="C10" s="186" t="s">
        <v>72</v>
      </c>
      <c r="D10" s="186" t="s">
        <v>72</v>
      </c>
      <c r="E10" s="187"/>
      <c r="F10" s="188">
        <v>19000</v>
      </c>
      <c r="G10" s="189">
        <v>19000</v>
      </c>
      <c r="H10" s="189">
        <f t="shared" si="4"/>
        <v>0</v>
      </c>
      <c r="I10" s="190" t="s">
        <v>2865</v>
      </c>
      <c r="J10" s="187"/>
      <c r="K10" s="191">
        <v>42552</v>
      </c>
      <c r="L10" s="191">
        <v>42553</v>
      </c>
      <c r="M10" s="186" t="s">
        <v>30</v>
      </c>
      <c r="N10" s="186" t="s">
        <v>2872</v>
      </c>
      <c r="O10" s="192"/>
      <c r="P10" s="193">
        <f>0.8339+0.105</f>
        <v>0.93889999999999996</v>
      </c>
      <c r="Q10" s="192">
        <v>18500</v>
      </c>
      <c r="R10" s="192">
        <v>9200</v>
      </c>
      <c r="S10" s="194">
        <v>19.04</v>
      </c>
      <c r="T10" s="195">
        <f t="shared" si="7"/>
        <v>3892.0332026719993</v>
      </c>
      <c r="U10" s="190"/>
      <c r="V10" s="192">
        <v>0.1</v>
      </c>
      <c r="W10" s="192">
        <f t="shared" si="8"/>
        <v>40.968770554442102</v>
      </c>
      <c r="X10" s="192">
        <f t="shared" si="9"/>
        <v>41.173614407214309</v>
      </c>
      <c r="Y10" s="196">
        <f t="shared" si="10"/>
        <v>782298.67373707192</v>
      </c>
      <c r="Z10" s="197">
        <v>42548</v>
      </c>
      <c r="AA10" s="2"/>
      <c r="AB10" s="2"/>
    </row>
    <row r="11" spans="1:29" s="12" customFormat="1" x14ac:dyDescent="0.25">
      <c r="A11" s="198"/>
      <c r="B11" s="24" t="s">
        <v>25</v>
      </c>
      <c r="C11" s="25" t="s">
        <v>72</v>
      </c>
      <c r="D11" s="25" t="s">
        <v>72</v>
      </c>
      <c r="E11" s="14" t="s">
        <v>42</v>
      </c>
      <c r="F11" s="26">
        <f>42642*0.4536</f>
        <v>19342.411199999999</v>
      </c>
      <c r="G11" s="27">
        <v>19225.14</v>
      </c>
      <c r="H11" s="27">
        <f t="shared" si="4"/>
        <v>-117.27119999999923</v>
      </c>
      <c r="I11" s="12" t="s">
        <v>2970</v>
      </c>
      <c r="J11" s="93" t="s">
        <v>44</v>
      </c>
      <c r="K11" s="17">
        <v>42552</v>
      </c>
      <c r="L11" s="17">
        <v>42553</v>
      </c>
      <c r="M11" s="25" t="s">
        <v>30</v>
      </c>
      <c r="N11" s="25" t="s">
        <v>2872</v>
      </c>
      <c r="O11" s="18"/>
      <c r="P11" s="28">
        <v>0.93889999999999996</v>
      </c>
      <c r="Q11" s="153">
        <v>18500</v>
      </c>
      <c r="R11" s="18">
        <v>9043</v>
      </c>
      <c r="S11" s="30">
        <v>18.978000000000002</v>
      </c>
      <c r="T11" s="31">
        <f t="shared" si="7"/>
        <v>3947.3216614547023</v>
      </c>
      <c r="V11" s="18">
        <v>0.1</v>
      </c>
      <c r="W11" s="18">
        <f t="shared" si="8"/>
        <v>40.815197450198994</v>
      </c>
      <c r="X11" s="18">
        <f t="shared" si="9"/>
        <v>41.020518278107389</v>
      </c>
      <c r="Y11" s="21">
        <f t="shared" si="10"/>
        <v>793435.73217226902</v>
      </c>
      <c r="Z11" s="32">
        <v>42549</v>
      </c>
      <c r="AA11" s="2">
        <v>42</v>
      </c>
      <c r="AB11" s="2"/>
    </row>
    <row r="12" spans="1:29" s="12" customFormat="1" x14ac:dyDescent="0.25">
      <c r="A12" s="198"/>
      <c r="B12" s="24" t="s">
        <v>25</v>
      </c>
      <c r="C12" s="25" t="s">
        <v>26</v>
      </c>
      <c r="D12" s="25" t="s">
        <v>931</v>
      </c>
      <c r="E12" s="14" t="s">
        <v>27</v>
      </c>
      <c r="F12" s="26">
        <v>18320.900000000001</v>
      </c>
      <c r="G12" s="27">
        <v>18252.93</v>
      </c>
      <c r="H12" s="27">
        <f t="shared" si="4"/>
        <v>-67.970000000001164</v>
      </c>
      <c r="I12" s="12" t="s">
        <v>3256</v>
      </c>
      <c r="J12" s="14"/>
      <c r="K12" s="17"/>
      <c r="L12" s="17">
        <v>42553</v>
      </c>
      <c r="M12" s="25" t="s">
        <v>30</v>
      </c>
      <c r="N12" s="25"/>
      <c r="O12" s="18">
        <v>41</v>
      </c>
      <c r="P12" s="28"/>
      <c r="Q12" s="18"/>
      <c r="R12" s="18"/>
      <c r="S12" s="30"/>
      <c r="T12" s="31"/>
      <c r="V12" s="18"/>
      <c r="W12" s="18">
        <f t="shared" si="8"/>
        <v>41</v>
      </c>
      <c r="X12" s="18">
        <f t="shared" si="9"/>
        <v>41</v>
      </c>
      <c r="Y12" s="21">
        <f t="shared" si="10"/>
        <v>751156.9</v>
      </c>
      <c r="Z12" s="32">
        <v>42556</v>
      </c>
      <c r="AA12" s="2">
        <v>42</v>
      </c>
      <c r="AB12" s="2"/>
    </row>
    <row r="13" spans="1:29" s="12" customFormat="1" x14ac:dyDescent="0.25">
      <c r="A13" s="198"/>
      <c r="B13" s="24" t="s">
        <v>2077</v>
      </c>
      <c r="C13" s="14" t="s">
        <v>72</v>
      </c>
      <c r="D13" s="25" t="s">
        <v>57</v>
      </c>
      <c r="E13" s="14" t="s">
        <v>67</v>
      </c>
      <c r="F13" s="26">
        <v>3749.8</v>
      </c>
      <c r="G13" s="27">
        <v>3749.8</v>
      </c>
      <c r="H13" s="27">
        <f t="shared" si="4"/>
        <v>0</v>
      </c>
      <c r="I13" s="12" t="s">
        <v>3415</v>
      </c>
      <c r="J13" s="14"/>
      <c r="K13" s="17"/>
      <c r="L13" s="17">
        <v>42553</v>
      </c>
      <c r="M13" s="25" t="s">
        <v>30</v>
      </c>
      <c r="N13" s="25"/>
      <c r="O13" s="18">
        <v>19</v>
      </c>
      <c r="P13" s="28"/>
      <c r="Q13" s="18"/>
      <c r="R13" s="18"/>
      <c r="S13" s="30"/>
      <c r="T13" s="31"/>
      <c r="V13" s="18"/>
      <c r="W13" s="18">
        <f t="shared" si="8"/>
        <v>19</v>
      </c>
      <c r="X13" s="18">
        <f t="shared" si="9"/>
        <v>19</v>
      </c>
      <c r="Y13" s="21">
        <f t="shared" si="10"/>
        <v>71246.2</v>
      </c>
      <c r="Z13" s="32">
        <v>42559</v>
      </c>
      <c r="AA13" s="2"/>
      <c r="AB13" s="2"/>
    </row>
    <row r="14" spans="1:29" s="12" customFormat="1" ht="15.75" thickBot="1" x14ac:dyDescent="0.3">
      <c r="A14" s="198"/>
      <c r="B14" s="41"/>
      <c r="C14" s="4"/>
      <c r="D14" s="4"/>
      <c r="E14" s="4"/>
      <c r="F14" s="42"/>
      <c r="G14" s="42"/>
      <c r="H14" s="42"/>
      <c r="I14" s="6"/>
      <c r="J14" s="4"/>
      <c r="K14" s="7"/>
      <c r="L14" s="7"/>
      <c r="M14" s="4"/>
      <c r="N14" s="4"/>
      <c r="O14" s="8"/>
      <c r="P14" s="9"/>
      <c r="Q14" s="8"/>
      <c r="R14" s="8"/>
      <c r="S14" s="8"/>
      <c r="T14" s="8"/>
      <c r="U14" s="8"/>
      <c r="V14" s="8"/>
      <c r="W14" s="8"/>
      <c r="X14" s="8"/>
      <c r="Y14" s="11"/>
      <c r="Z14" s="43"/>
      <c r="AA14" s="2"/>
      <c r="AB14" s="2"/>
    </row>
    <row r="15" spans="1:29" s="12" customFormat="1" x14ac:dyDescent="0.25">
      <c r="A15" s="165"/>
      <c r="B15" s="14" t="s">
        <v>32</v>
      </c>
      <c r="C15" s="14" t="s">
        <v>33</v>
      </c>
      <c r="D15" s="25" t="s">
        <v>1510</v>
      </c>
      <c r="E15" s="14">
        <v>250</v>
      </c>
      <c r="F15" s="26">
        <v>26770</v>
      </c>
      <c r="G15" s="27">
        <v>21110</v>
      </c>
      <c r="H15" s="27">
        <f t="shared" ref="H15:H17" si="11">G15-F15</f>
        <v>-5660</v>
      </c>
      <c r="I15" s="25" t="s">
        <v>3176</v>
      </c>
      <c r="J15" s="14"/>
      <c r="K15" s="17"/>
      <c r="L15" s="17">
        <v>42554</v>
      </c>
      <c r="M15" s="25" t="s">
        <v>36</v>
      </c>
      <c r="N15" s="14"/>
      <c r="O15" s="18">
        <v>29</v>
      </c>
      <c r="P15" s="19"/>
      <c r="Q15" s="153">
        <v>17300</v>
      </c>
      <c r="R15" s="18">
        <f t="shared" ref="R15:R17" si="12">61.75*E15</f>
        <v>15437.5</v>
      </c>
      <c r="S15" s="30">
        <f>-35*E15</f>
        <v>-8750</v>
      </c>
      <c r="T15" s="31">
        <f>W15*F15*0.0045</f>
        <v>4574.1747459734715</v>
      </c>
      <c r="U15" s="18">
        <f>E15*5</f>
        <v>1250</v>
      </c>
      <c r="V15" s="14"/>
      <c r="W15" s="18">
        <f>((O15*F15)+Q15+R15+S15+U15)/G15</f>
        <v>37.970985315016577</v>
      </c>
      <c r="X15" s="18">
        <f>((O15*F15)+Q15+R15+S15+T15+U15)/G15</f>
        <v>38.187668154712149</v>
      </c>
      <c r="Y15" s="21">
        <f>X15*G15</f>
        <v>806141.67474597343</v>
      </c>
      <c r="Z15" s="32">
        <v>42569</v>
      </c>
      <c r="AA15" s="2">
        <v>40</v>
      </c>
      <c r="AB15" s="2"/>
    </row>
    <row r="16" spans="1:29" s="12" customFormat="1" x14ac:dyDescent="0.25">
      <c r="A16" s="165"/>
      <c r="B16" s="24" t="s">
        <v>32</v>
      </c>
      <c r="C16" s="14" t="s">
        <v>33</v>
      </c>
      <c r="D16" s="25" t="s">
        <v>1510</v>
      </c>
      <c r="E16" s="14">
        <v>130</v>
      </c>
      <c r="F16" s="26">
        <v>13570</v>
      </c>
      <c r="G16" s="27">
        <v>10680</v>
      </c>
      <c r="H16" s="27">
        <f t="shared" si="11"/>
        <v>-2890</v>
      </c>
      <c r="I16" s="25" t="s">
        <v>3177</v>
      </c>
      <c r="J16" s="14"/>
      <c r="K16" s="17"/>
      <c r="L16" s="17">
        <v>42554</v>
      </c>
      <c r="M16" s="25" t="s">
        <v>36</v>
      </c>
      <c r="N16" s="14"/>
      <c r="O16" s="18">
        <v>29</v>
      </c>
      <c r="P16" s="19"/>
      <c r="Q16" s="153">
        <v>13600</v>
      </c>
      <c r="R16" s="18">
        <f t="shared" si="12"/>
        <v>8027.5</v>
      </c>
      <c r="S16" s="30">
        <f t="shared" ref="S16:S17" si="13">-35*E16</f>
        <v>-4550</v>
      </c>
      <c r="T16" s="31">
        <f>W16*F16*0.0045</f>
        <v>2351.4456214887641</v>
      </c>
      <c r="U16" s="18">
        <f>E16*5</f>
        <v>650</v>
      </c>
      <c r="V16" s="14"/>
      <c r="W16" s="18">
        <f>((O16*F16)+Q16+R16+S16+U16)/G16</f>
        <v>38.507256554307119</v>
      </c>
      <c r="X16" s="18">
        <f>((O16*F16)+Q16+R16+S16+T16+U16)/G16</f>
        <v>38.727429365307941</v>
      </c>
      <c r="Y16" s="21">
        <f>X16*G16</f>
        <v>413608.94562148879</v>
      </c>
      <c r="Z16" s="32">
        <v>42569</v>
      </c>
      <c r="AA16" s="2">
        <v>40</v>
      </c>
      <c r="AB16" s="2" t="s">
        <v>3267</v>
      </c>
    </row>
    <row r="17" spans="1:28" s="12" customFormat="1" x14ac:dyDescent="0.25">
      <c r="A17" s="165"/>
      <c r="B17" s="24" t="s">
        <v>32</v>
      </c>
      <c r="C17" s="14" t="s">
        <v>33</v>
      </c>
      <c r="D17" s="25" t="s">
        <v>34</v>
      </c>
      <c r="E17" s="14">
        <v>220</v>
      </c>
      <c r="F17" s="26">
        <v>24950</v>
      </c>
      <c r="G17" s="27">
        <f>13440+6300</f>
        <v>19740</v>
      </c>
      <c r="H17" s="27">
        <f t="shared" si="11"/>
        <v>-5210</v>
      </c>
      <c r="I17" s="25" t="s">
        <v>3253</v>
      </c>
      <c r="J17" s="14"/>
      <c r="K17" s="17"/>
      <c r="L17" s="17">
        <v>42555</v>
      </c>
      <c r="M17" s="25" t="s">
        <v>39</v>
      </c>
      <c r="N17" s="14"/>
      <c r="O17" s="18">
        <v>29</v>
      </c>
      <c r="P17" s="19"/>
      <c r="Q17" s="153">
        <v>17300</v>
      </c>
      <c r="R17" s="18">
        <f t="shared" si="12"/>
        <v>13585</v>
      </c>
      <c r="S17" s="30">
        <f t="shared" si="13"/>
        <v>-7700</v>
      </c>
      <c r="T17" s="31">
        <f>W17*F17*0.0045</f>
        <v>4253.4536284194528</v>
      </c>
      <c r="U17" s="18">
        <f>E17*5</f>
        <v>1100</v>
      </c>
      <c r="V17" s="14"/>
      <c r="W17" s="18">
        <f>((O17*F17)+Q17+R17+S17+U17)/G17</f>
        <v>37.884245187436676</v>
      </c>
      <c r="X17" s="18">
        <f>((O17*F17)+Q17+R17+S17+T17+U17)/G17</f>
        <v>38.099719028795313</v>
      </c>
      <c r="Y17" s="21">
        <f>X17*G17</f>
        <v>752088.45362841943</v>
      </c>
      <c r="Z17" s="32">
        <v>42569</v>
      </c>
      <c r="AA17" s="2"/>
      <c r="AB17" s="2" t="s">
        <v>3277</v>
      </c>
    </row>
    <row r="18" spans="1:28" s="12" customFormat="1" x14ac:dyDescent="0.25">
      <c r="A18" s="165"/>
      <c r="B18" s="24" t="s">
        <v>25</v>
      </c>
      <c r="C18" s="25" t="s">
        <v>26</v>
      </c>
      <c r="D18" s="25" t="s">
        <v>3180</v>
      </c>
      <c r="E18" s="14" t="s">
        <v>27</v>
      </c>
      <c r="F18" s="26">
        <v>18580.810000000001</v>
      </c>
      <c r="G18" s="27">
        <v>18480.13</v>
      </c>
      <c r="H18" s="27">
        <f>G18-F18</f>
        <v>-100.68000000000029</v>
      </c>
      <c r="I18" s="25" t="s">
        <v>3259</v>
      </c>
      <c r="J18" s="14"/>
      <c r="K18" s="17"/>
      <c r="L18" s="17">
        <v>42555</v>
      </c>
      <c r="M18" s="25" t="s">
        <v>39</v>
      </c>
      <c r="N18" s="25"/>
      <c r="O18" s="18">
        <v>41.5</v>
      </c>
      <c r="P18" s="28"/>
      <c r="Q18" s="18"/>
      <c r="R18" s="18"/>
      <c r="S18" s="30"/>
      <c r="T18" s="31"/>
      <c r="U18" s="94"/>
      <c r="V18" s="18"/>
      <c r="W18" s="18">
        <f t="shared" ref="W18" si="14">IF(O18&gt;0,O18,((P18*2.2046*S18)+(Q18+R18)/G18)+V18)</f>
        <v>41.5</v>
      </c>
      <c r="X18" s="18">
        <f t="shared" ref="X18" si="15">IF(O18&gt;0,O18,((P18*2.2046*S18)+(Q18+R18+T18)/G18)+V18)</f>
        <v>41.5</v>
      </c>
      <c r="Y18" s="21">
        <f t="shared" ref="Y18" si="16">X18*F18</f>
        <v>771103.61500000011</v>
      </c>
      <c r="Z18" s="32">
        <v>42559</v>
      </c>
      <c r="AA18" s="37">
        <v>42</v>
      </c>
      <c r="AB18" s="37"/>
    </row>
    <row r="19" spans="1:28" s="12" customFormat="1" x14ac:dyDescent="0.25">
      <c r="A19" s="165"/>
      <c r="B19" s="24" t="s">
        <v>32</v>
      </c>
      <c r="C19" s="14" t="s">
        <v>33</v>
      </c>
      <c r="D19" s="25" t="s">
        <v>34</v>
      </c>
      <c r="E19" s="14">
        <v>220</v>
      </c>
      <c r="F19" s="26">
        <v>25040</v>
      </c>
      <c r="G19" s="27">
        <f>6310+13520</f>
        <v>19830</v>
      </c>
      <c r="H19" s="27">
        <f>G19-F19</f>
        <v>-5210</v>
      </c>
      <c r="I19" s="25" t="s">
        <v>3254</v>
      </c>
      <c r="J19" s="14"/>
      <c r="K19" s="17"/>
      <c r="L19" s="17">
        <v>42556</v>
      </c>
      <c r="M19" s="25" t="s">
        <v>45</v>
      </c>
      <c r="N19" s="14"/>
      <c r="O19" s="18">
        <v>29</v>
      </c>
      <c r="P19" s="19"/>
      <c r="Q19" s="153">
        <v>17300</v>
      </c>
      <c r="R19" s="18">
        <f t="shared" ref="R19" si="17">61.75*E19</f>
        <v>13585</v>
      </c>
      <c r="S19" s="30">
        <f t="shared" ref="S19" si="18">-35*E19</f>
        <v>-7700</v>
      </c>
      <c r="T19" s="31">
        <f>W19*F19*0.0045</f>
        <v>4264.2532829046895</v>
      </c>
      <c r="U19" s="18">
        <f>E19*5</f>
        <v>1100</v>
      </c>
      <c r="V19" s="14"/>
      <c r="W19" s="18">
        <f>((O19*F19)+Q19+R19+S19+U19)/G19</f>
        <v>37.843923348461928</v>
      </c>
      <c r="X19" s="18">
        <f>((O19*F19)+Q19+R19+S19+T19+U19)/G19</f>
        <v>38.058963856929132</v>
      </c>
      <c r="Y19" s="21">
        <f>X19*G19</f>
        <v>754709.25328290474</v>
      </c>
      <c r="Z19" s="32">
        <v>42569</v>
      </c>
      <c r="AA19" s="37">
        <v>40</v>
      </c>
      <c r="AB19" s="37" t="s">
        <v>3278</v>
      </c>
    </row>
    <row r="20" spans="1:28" s="12" customFormat="1" x14ac:dyDescent="0.25">
      <c r="A20" s="165"/>
      <c r="B20" s="24" t="s">
        <v>2775</v>
      </c>
      <c r="C20" s="14" t="s">
        <v>3255</v>
      </c>
      <c r="D20" s="25" t="s">
        <v>857</v>
      </c>
      <c r="E20" s="14" t="s">
        <v>3411</v>
      </c>
      <c r="F20" s="26">
        <v>5004.6899999999996</v>
      </c>
      <c r="G20" s="27">
        <v>5004.59</v>
      </c>
      <c r="H20" s="27">
        <f>G20-F20</f>
        <v>-9.9999999999454303E-2</v>
      </c>
      <c r="I20" s="25" t="s">
        <v>3412</v>
      </c>
      <c r="J20" s="14"/>
      <c r="K20" s="17"/>
      <c r="L20" s="17">
        <v>42556</v>
      </c>
      <c r="M20" s="25" t="s">
        <v>45</v>
      </c>
      <c r="N20" s="14"/>
      <c r="O20" s="18">
        <v>73</v>
      </c>
      <c r="P20" s="19"/>
      <c r="Q20" s="18"/>
      <c r="R20" s="18"/>
      <c r="S20" s="30"/>
      <c r="T20" s="31">
        <f>W20*F20*0.0045</f>
        <v>1644.0406649999998</v>
      </c>
      <c r="U20" s="18"/>
      <c r="V20" s="18"/>
      <c r="W20" s="18">
        <f t="shared" ref="W20:W21" si="19">IF(O20&gt;0,O20,((P20*2.2046*S20)+(Q20+R20)/G20)+V20)</f>
        <v>73</v>
      </c>
      <c r="X20" s="18">
        <f t="shared" ref="X20:X21" si="20">IF(O20&gt;0,O20,((P20*2.2046*S20)+(Q20+R20+T20)/G20)+V20)</f>
        <v>73</v>
      </c>
      <c r="Y20" s="21">
        <f t="shared" ref="Y20:Y21" si="21">X20*F20</f>
        <v>365342.37</v>
      </c>
      <c r="Z20" s="32">
        <v>42577</v>
      </c>
      <c r="AA20" s="37"/>
      <c r="AB20" s="37"/>
    </row>
    <row r="21" spans="1:28" s="12" customFormat="1" x14ac:dyDescent="0.25">
      <c r="A21" s="165"/>
      <c r="B21" s="24" t="s">
        <v>1957</v>
      </c>
      <c r="C21" s="14" t="s">
        <v>3417</v>
      </c>
      <c r="D21" s="25" t="s">
        <v>57</v>
      </c>
      <c r="E21" s="14" t="s">
        <v>3418</v>
      </c>
      <c r="F21" s="26">
        <v>3002.02</v>
      </c>
      <c r="G21" s="27">
        <v>3002.2</v>
      </c>
      <c r="H21" s="27">
        <f>G21-F21</f>
        <v>0.17999999999983629</v>
      </c>
      <c r="I21" s="25" t="s">
        <v>3419</v>
      </c>
      <c r="J21" s="14"/>
      <c r="K21" s="17"/>
      <c r="L21" s="17">
        <v>42556</v>
      </c>
      <c r="M21" s="25" t="s">
        <v>45</v>
      </c>
      <c r="N21" s="14"/>
      <c r="O21" s="18">
        <v>71</v>
      </c>
      <c r="P21" s="19"/>
      <c r="Q21" s="18"/>
      <c r="R21" s="18"/>
      <c r="S21" s="30"/>
      <c r="T21" s="31"/>
      <c r="U21" s="18"/>
      <c r="V21" s="18"/>
      <c r="W21" s="18">
        <f t="shared" si="19"/>
        <v>71</v>
      </c>
      <c r="X21" s="18">
        <f t="shared" si="20"/>
        <v>71</v>
      </c>
      <c r="Y21" s="21">
        <f t="shared" si="21"/>
        <v>213143.42</v>
      </c>
      <c r="Z21" s="32">
        <v>42563</v>
      </c>
      <c r="AA21" s="37"/>
      <c r="AB21" s="37"/>
    </row>
    <row r="22" spans="1:28" s="12" customFormat="1" x14ac:dyDescent="0.25">
      <c r="A22" s="165"/>
      <c r="B22" s="24" t="s">
        <v>25</v>
      </c>
      <c r="C22" s="25" t="s">
        <v>40</v>
      </c>
      <c r="D22" s="25" t="s">
        <v>40</v>
      </c>
      <c r="E22" s="14" t="s">
        <v>831</v>
      </c>
      <c r="F22" s="26">
        <f>40477*0.4536</f>
        <v>18360.367200000001</v>
      </c>
      <c r="G22" s="27">
        <v>18373.27</v>
      </c>
      <c r="H22" s="27">
        <f>G22-F22</f>
        <v>12.902799999999843</v>
      </c>
      <c r="I22" s="12" t="s">
        <v>3181</v>
      </c>
      <c r="J22" s="93" t="s">
        <v>44</v>
      </c>
      <c r="K22" s="17">
        <v>42556</v>
      </c>
      <c r="L22" s="17">
        <v>42557</v>
      </c>
      <c r="M22" s="25" t="s">
        <v>45</v>
      </c>
      <c r="N22" s="25" t="s">
        <v>3190</v>
      </c>
      <c r="O22" s="18"/>
      <c r="P22" s="28">
        <f>0.8206+0.1</f>
        <v>0.92059999999999997</v>
      </c>
      <c r="Q22" s="153">
        <v>20000</v>
      </c>
      <c r="R22" s="18">
        <v>9108</v>
      </c>
      <c r="S22" s="30">
        <v>18.64</v>
      </c>
      <c r="T22" s="31">
        <f>W22*F22*0.005</f>
        <v>3627.5641209965838</v>
      </c>
      <c r="V22" s="18">
        <v>0.1</v>
      </c>
      <c r="W22" s="18">
        <f t="shared" ref="W22" si="22">IF(O22&gt;0,O22,((P22*2.2046*S22)+(Q22+R22)/G22)+V22)</f>
        <v>39.515158727289332</v>
      </c>
      <c r="X22" s="18">
        <f t="shared" ref="X22" si="23">IF(O22&gt;0,O22,((P22*2.2046*S22)+(Q22+R22+T22)/G22)+V22)</f>
        <v>39.712595771484331</v>
      </c>
      <c r="Y22" s="21">
        <f t="shared" ref="Y22" si="24">X22*F22</f>
        <v>729137.84082961967</v>
      </c>
      <c r="Z22" s="32">
        <v>42570</v>
      </c>
      <c r="AA22" s="37"/>
      <c r="AB22" s="37"/>
    </row>
    <row r="23" spans="1:28" s="12" customFormat="1" x14ac:dyDescent="0.25">
      <c r="A23" s="165"/>
      <c r="B23" s="24" t="s">
        <v>32</v>
      </c>
      <c r="C23" s="14" t="s">
        <v>33</v>
      </c>
      <c r="D23" s="25" t="s">
        <v>3275</v>
      </c>
      <c r="E23" s="14">
        <f>249+10</f>
        <v>259</v>
      </c>
      <c r="F23" s="26">
        <f>28065+930</f>
        <v>28995</v>
      </c>
      <c r="G23" s="27">
        <f>16850+6290</f>
        <v>23140</v>
      </c>
      <c r="H23" s="27">
        <f t="shared" ref="H23" si="25">G23-F23</f>
        <v>-5855</v>
      </c>
      <c r="I23" s="25" t="s">
        <v>3276</v>
      </c>
      <c r="J23" s="14"/>
      <c r="K23" s="17"/>
      <c r="L23" s="17">
        <v>42557</v>
      </c>
      <c r="M23" s="25" t="s">
        <v>50</v>
      </c>
      <c r="N23" s="14"/>
      <c r="O23" s="18">
        <v>29</v>
      </c>
      <c r="P23" s="19"/>
      <c r="Q23" s="153">
        <v>17300</v>
      </c>
      <c r="R23" s="18">
        <f t="shared" ref="R23" si="26">61.75*E23</f>
        <v>15993.25</v>
      </c>
      <c r="S23" s="30">
        <f t="shared" ref="S23" si="27">-35*E23</f>
        <v>-9065</v>
      </c>
      <c r="T23" s="31">
        <f>W23*F23*0.0045</f>
        <v>4885.1714829029816</v>
      </c>
      <c r="U23" s="18">
        <f>E23*5</f>
        <v>1295</v>
      </c>
      <c r="V23" s="14"/>
      <c r="W23" s="18">
        <f>((O23*F23)+Q23+R23+S23+U23)/G23</f>
        <v>37.440719533275711</v>
      </c>
      <c r="X23" s="18">
        <f>((O23*F23)+Q23+R23+S23+T23+U23)/G23</f>
        <v>37.65183325336659</v>
      </c>
      <c r="Y23" s="21">
        <f>X23*G23</f>
        <v>871263.42148290284</v>
      </c>
      <c r="Z23" s="32">
        <v>42570</v>
      </c>
      <c r="AA23" s="37">
        <v>41</v>
      </c>
      <c r="AB23" s="37" t="s">
        <v>3298</v>
      </c>
    </row>
    <row r="24" spans="1:28" s="12" customFormat="1" x14ac:dyDescent="0.25">
      <c r="A24" s="165"/>
      <c r="B24" s="24" t="s">
        <v>25</v>
      </c>
      <c r="C24" s="25" t="s">
        <v>72</v>
      </c>
      <c r="D24" s="25" t="s">
        <v>72</v>
      </c>
      <c r="E24" s="14" t="s">
        <v>42</v>
      </c>
      <c r="F24" s="26">
        <f>42490*0.4536</f>
        <v>19273.464</v>
      </c>
      <c r="G24" s="27">
        <v>19210</v>
      </c>
      <c r="H24" s="27">
        <f>G24-F24</f>
        <v>-63.463999999999942</v>
      </c>
      <c r="I24" s="12" t="s">
        <v>3184</v>
      </c>
      <c r="J24" s="93" t="s">
        <v>44</v>
      </c>
      <c r="K24" s="17">
        <v>42557</v>
      </c>
      <c r="L24" s="17">
        <v>42558</v>
      </c>
      <c r="M24" s="25" t="s">
        <v>65</v>
      </c>
      <c r="N24" s="25" t="s">
        <v>3191</v>
      </c>
      <c r="O24" s="18"/>
      <c r="P24" s="28">
        <f>0.8126+0.105</f>
        <v>0.91759999999999997</v>
      </c>
      <c r="Q24" s="153">
        <v>20000</v>
      </c>
      <c r="R24" s="18">
        <v>9108</v>
      </c>
      <c r="S24" s="30">
        <v>18.61</v>
      </c>
      <c r="T24" s="31">
        <f>W24*F24*0.005</f>
        <v>3783.5914242047083</v>
      </c>
      <c r="V24" s="18">
        <v>0.1</v>
      </c>
      <c r="W24" s="18">
        <f t="shared" ref="W24" si="28">IF(O24&gt;0,O24,((P24*2.2046*S24)+(Q24+R24)/G24)+V24)</f>
        <v>39.262183738270487</v>
      </c>
      <c r="X24" s="18">
        <f t="shared" ref="X24" si="29">IF(O24&gt;0,O24,((P24*2.2046*S24)+(Q24+R24+T24)/G24)+V24)</f>
        <v>39.459143208557045</v>
      </c>
      <c r="Y24" s="21">
        <f t="shared" ref="Y24" si="30">X24*F24</f>
        <v>760514.37610096869</v>
      </c>
      <c r="Z24" s="32">
        <v>42551</v>
      </c>
      <c r="AA24" s="37">
        <v>41</v>
      </c>
      <c r="AB24" s="37"/>
    </row>
    <row r="25" spans="1:28" s="12" customFormat="1" x14ac:dyDescent="0.25">
      <c r="A25" s="165"/>
      <c r="B25" s="24" t="s">
        <v>25</v>
      </c>
      <c r="C25" s="25" t="s">
        <v>72</v>
      </c>
      <c r="D25" s="25" t="s">
        <v>72</v>
      </c>
      <c r="E25" s="14" t="s">
        <v>42</v>
      </c>
      <c r="F25" s="26">
        <f>42523*0.4536</f>
        <v>19288.432799999999</v>
      </c>
      <c r="G25" s="27">
        <v>19078.11</v>
      </c>
      <c r="H25" s="27">
        <f>G25-F25</f>
        <v>-210.3227999999981</v>
      </c>
      <c r="I25" s="12" t="s">
        <v>3185</v>
      </c>
      <c r="J25" s="93" t="s">
        <v>44</v>
      </c>
      <c r="K25" s="17">
        <v>42558</v>
      </c>
      <c r="L25" s="17">
        <v>42559</v>
      </c>
      <c r="M25" s="25" t="s">
        <v>65</v>
      </c>
      <c r="N25" s="25" t="s">
        <v>3191</v>
      </c>
      <c r="O25" s="18"/>
      <c r="P25" s="28">
        <v>0.91759999999999997</v>
      </c>
      <c r="Q25" s="153">
        <v>20000</v>
      </c>
      <c r="R25" s="18">
        <v>9108</v>
      </c>
      <c r="S25" s="30">
        <v>18.61</v>
      </c>
      <c r="T25" s="31">
        <f t="shared" ref="T25" si="31">W25*F25*0.005</f>
        <v>3787.5402121741367</v>
      </c>
      <c r="V25" s="18">
        <v>0.1</v>
      </c>
      <c r="W25" s="18">
        <f>IF(O25&gt;0,O25,((P25*2.2046*S25)+(Q25+R25)/G25)+V25)</f>
        <v>39.272658918915766</v>
      </c>
      <c r="X25" s="18">
        <f>IF(O25&gt;0,O25,((P25*2.2046*S25)+(Q25+R25+T25)/G25)+V25)</f>
        <v>39.471186981295851</v>
      </c>
      <c r="Y25" s="21">
        <f>X25*F25</f>
        <v>761337.33762495988</v>
      </c>
      <c r="Z25" s="32">
        <v>42551</v>
      </c>
      <c r="AA25" s="37">
        <v>41</v>
      </c>
      <c r="AB25" s="37"/>
    </row>
    <row r="26" spans="1:28" s="12" customFormat="1" x14ac:dyDescent="0.25">
      <c r="A26" s="165"/>
      <c r="B26" s="24" t="s">
        <v>32</v>
      </c>
      <c r="C26" s="14" t="s">
        <v>33</v>
      </c>
      <c r="D26" s="25" t="s">
        <v>1510</v>
      </c>
      <c r="E26" s="14">
        <v>250</v>
      </c>
      <c r="F26" s="26">
        <v>27660</v>
      </c>
      <c r="G26" s="27">
        <f>21650+100</f>
        <v>21750</v>
      </c>
      <c r="H26" s="27">
        <f t="shared" ref="H26:H37" si="32">G26-F26</f>
        <v>-5910</v>
      </c>
      <c r="I26" s="12" t="s">
        <v>3352</v>
      </c>
      <c r="J26" s="14"/>
      <c r="K26" s="17"/>
      <c r="L26" s="17">
        <v>42558</v>
      </c>
      <c r="M26" s="25" t="s">
        <v>65</v>
      </c>
      <c r="N26" s="14"/>
      <c r="O26" s="18">
        <v>29.5</v>
      </c>
      <c r="P26" s="19"/>
      <c r="Q26" s="153">
        <v>17300</v>
      </c>
      <c r="R26" s="18">
        <f t="shared" ref="R26:R27" si="33">61.75*E26</f>
        <v>15437.5</v>
      </c>
      <c r="S26" s="30">
        <f t="shared" ref="S26:S27" si="34">-35*E26</f>
        <v>-8750</v>
      </c>
      <c r="T26" s="31">
        <f t="shared" ref="T26:T27" si="35">W26*F26*0.0045</f>
        <v>4814.0274724137926</v>
      </c>
      <c r="U26" s="18">
        <f t="shared" ref="U26:U27" si="36">E26*5</f>
        <v>1250</v>
      </c>
      <c r="V26" s="14"/>
      <c r="W26" s="18">
        <f t="shared" ref="W26:W27" si="37">((O26*F26)+Q26+R26+S26+U26)/G26</f>
        <v>38.676206896551726</v>
      </c>
      <c r="X26" s="18">
        <f t="shared" ref="X26:X27" si="38">((O26*F26)+Q26+R26+S26+T26+U26)/G26</f>
        <v>38.897541492984544</v>
      </c>
      <c r="Y26" s="21">
        <f t="shared" ref="Y26:Y27" si="39">X26*G26</f>
        <v>846021.52747241384</v>
      </c>
      <c r="Z26" s="32">
        <v>42571</v>
      </c>
      <c r="AA26" s="37">
        <v>41</v>
      </c>
      <c r="AB26" s="37"/>
    </row>
    <row r="27" spans="1:28" s="12" customFormat="1" x14ac:dyDescent="0.25">
      <c r="A27" s="165"/>
      <c r="B27" s="24" t="s">
        <v>32</v>
      </c>
      <c r="C27" s="14" t="s">
        <v>33</v>
      </c>
      <c r="D27" s="25" t="s">
        <v>1102</v>
      </c>
      <c r="E27" s="14">
        <v>130</v>
      </c>
      <c r="F27" s="26">
        <v>13785</v>
      </c>
      <c r="G27" s="27">
        <f>10960-100</f>
        <v>10860</v>
      </c>
      <c r="H27" s="27">
        <f t="shared" si="32"/>
        <v>-2925</v>
      </c>
      <c r="I27" s="12" t="s">
        <v>3351</v>
      </c>
      <c r="J27" s="14"/>
      <c r="K27" s="17"/>
      <c r="L27" s="17">
        <v>42558</v>
      </c>
      <c r="M27" s="25" t="s">
        <v>65</v>
      </c>
      <c r="N27" s="14"/>
      <c r="O27" s="18">
        <v>29.5</v>
      </c>
      <c r="P27" s="19"/>
      <c r="Q27" s="153">
        <v>13600</v>
      </c>
      <c r="R27" s="18">
        <f t="shared" si="33"/>
        <v>8027.5</v>
      </c>
      <c r="S27" s="30">
        <f t="shared" si="34"/>
        <v>-4550</v>
      </c>
      <c r="T27" s="31">
        <f t="shared" si="35"/>
        <v>2424.0941540055246</v>
      </c>
      <c r="U27" s="18">
        <f t="shared" si="36"/>
        <v>650</v>
      </c>
      <c r="V27" s="14"/>
      <c r="W27" s="18">
        <f t="shared" si="37"/>
        <v>39.07780847145488</v>
      </c>
      <c r="X27" s="18">
        <f t="shared" si="38"/>
        <v>39.301021561142313</v>
      </c>
      <c r="Y27" s="21">
        <f t="shared" si="39"/>
        <v>426809.09415400552</v>
      </c>
      <c r="Z27" s="32">
        <v>42571</v>
      </c>
      <c r="AA27" s="37">
        <v>41</v>
      </c>
      <c r="AB27" s="37" t="s">
        <v>3359</v>
      </c>
    </row>
    <row r="28" spans="1:28" s="12" customFormat="1" x14ac:dyDescent="0.25">
      <c r="A28" s="165"/>
      <c r="B28" s="24" t="s">
        <v>2077</v>
      </c>
      <c r="C28" s="14" t="s">
        <v>72</v>
      </c>
      <c r="D28" s="25" t="s">
        <v>57</v>
      </c>
      <c r="E28" s="14" t="s">
        <v>67</v>
      </c>
      <c r="F28" s="26">
        <v>3717.5</v>
      </c>
      <c r="G28" s="27">
        <v>3717.5</v>
      </c>
      <c r="H28" s="27">
        <f t="shared" si="32"/>
        <v>0</v>
      </c>
      <c r="J28" s="14"/>
      <c r="K28" s="17"/>
      <c r="L28" s="17">
        <v>42558</v>
      </c>
      <c r="M28" s="25" t="s">
        <v>65</v>
      </c>
      <c r="N28" s="14"/>
      <c r="O28" s="18">
        <v>19</v>
      </c>
      <c r="P28" s="19"/>
      <c r="Q28" s="18"/>
      <c r="R28" s="18"/>
      <c r="S28" s="30"/>
      <c r="T28" s="31"/>
      <c r="U28" s="18"/>
      <c r="V28" s="18"/>
      <c r="W28" s="18">
        <f t="shared" ref="W28" si="40">IF(O28&gt;0,O28,((P28*2.2046*S28)+(Q28+R28)/G28)+V28)</f>
        <v>19</v>
      </c>
      <c r="X28" s="18">
        <f t="shared" ref="X28" si="41">IF(O28&gt;0,O28,((P28*2.2046*S28)+(Q28+R28+T28)/G28)+V28)</f>
        <v>19</v>
      </c>
      <c r="Y28" s="21">
        <f t="shared" ref="Y28" si="42">X28*F28</f>
        <v>70632.5</v>
      </c>
      <c r="Z28" s="32">
        <v>42566</v>
      </c>
      <c r="AA28" s="37"/>
      <c r="AB28" s="37"/>
    </row>
    <row r="29" spans="1:28" s="12" customFormat="1" x14ac:dyDescent="0.25">
      <c r="A29" s="165"/>
      <c r="B29" s="24" t="s">
        <v>25</v>
      </c>
      <c r="C29" s="25" t="s">
        <v>72</v>
      </c>
      <c r="D29" s="25" t="s">
        <v>72</v>
      </c>
      <c r="E29" s="14" t="s">
        <v>42</v>
      </c>
      <c r="F29" s="26">
        <f>42200*0.4536</f>
        <v>19141.920000000002</v>
      </c>
      <c r="G29" s="27">
        <v>19036.55</v>
      </c>
      <c r="H29" s="27">
        <f t="shared" si="32"/>
        <v>-105.37000000000262</v>
      </c>
      <c r="I29" s="12" t="s">
        <v>3186</v>
      </c>
      <c r="J29" s="93" t="s">
        <v>49</v>
      </c>
      <c r="K29" s="17">
        <v>42558</v>
      </c>
      <c r="L29" s="17">
        <v>42559</v>
      </c>
      <c r="M29" s="25" t="s">
        <v>84</v>
      </c>
      <c r="N29" s="25" t="s">
        <v>3192</v>
      </c>
      <c r="O29" s="18"/>
      <c r="P29" s="28">
        <f>0.8126+0.105</f>
        <v>0.91759999999999997</v>
      </c>
      <c r="Q29" s="153">
        <v>20000</v>
      </c>
      <c r="R29" s="18">
        <v>9108</v>
      </c>
      <c r="S29" s="30">
        <v>18.559999999999999</v>
      </c>
      <c r="T29" s="31">
        <f>W29*F29*0.005</f>
        <v>3749.4085336626085</v>
      </c>
      <c r="V29" s="18">
        <v>0.1</v>
      </c>
      <c r="W29" s="18">
        <f t="shared" ref="W29:W30" si="43">IF(O29&gt;0,O29,((P29*2.2046*S29)+(Q29+R29)/G29)+V29)</f>
        <v>39.174842791763915</v>
      </c>
      <c r="X29" s="18">
        <f t="shared" ref="X29:X30" si="44">IF(O29&gt;0,O29,((P29*2.2046*S29)+(Q29+R29+T29)/G29)+V29)</f>
        <v>39.371801197234582</v>
      </c>
      <c r="Y29" s="21">
        <f t="shared" ref="Y29:Y30" si="45">X29*F29</f>
        <v>753651.86877336865</v>
      </c>
      <c r="Z29" s="32">
        <v>42552</v>
      </c>
      <c r="AA29" s="37"/>
      <c r="AB29" s="37"/>
    </row>
    <row r="30" spans="1:28" s="12" customFormat="1" x14ac:dyDescent="0.25">
      <c r="A30" s="165"/>
      <c r="B30" s="24" t="s">
        <v>25</v>
      </c>
      <c r="C30" s="25" t="s">
        <v>72</v>
      </c>
      <c r="D30" s="25" t="s">
        <v>72</v>
      </c>
      <c r="E30" s="14" t="s">
        <v>42</v>
      </c>
      <c r="F30" s="26">
        <f>42512*0.4536</f>
        <v>19283.443200000002</v>
      </c>
      <c r="G30" s="27">
        <v>19125.68</v>
      </c>
      <c r="H30" s="27">
        <f t="shared" si="32"/>
        <v>-157.76320000000123</v>
      </c>
      <c r="I30" s="12" t="s">
        <v>3187</v>
      </c>
      <c r="J30" s="93" t="s">
        <v>44</v>
      </c>
      <c r="K30" s="17">
        <v>42558</v>
      </c>
      <c r="L30" s="17">
        <v>42559</v>
      </c>
      <c r="M30" s="25" t="s">
        <v>84</v>
      </c>
      <c r="N30" s="25" t="s">
        <v>3192</v>
      </c>
      <c r="O30" s="18"/>
      <c r="P30" s="28">
        <v>0.91759999999999997</v>
      </c>
      <c r="Q30" s="153">
        <v>20000</v>
      </c>
      <c r="R30" s="18">
        <v>9108</v>
      </c>
      <c r="S30" s="30">
        <v>18.559999999999999</v>
      </c>
      <c r="T30" s="31">
        <f>W30*F30*0.005</f>
        <v>3776.4422333530783</v>
      </c>
      <c r="V30" s="18">
        <v>0.1</v>
      </c>
      <c r="W30" s="18">
        <f t="shared" si="43"/>
        <v>39.167717032537823</v>
      </c>
      <c r="X30" s="18">
        <f t="shared" si="44"/>
        <v>39.365171043760071</v>
      </c>
      <c r="Y30" s="21">
        <f t="shared" si="45"/>
        <v>759096.03988063207</v>
      </c>
      <c r="Z30" s="32">
        <v>42552</v>
      </c>
      <c r="AA30" s="37"/>
      <c r="AB30" s="37"/>
    </row>
    <row r="31" spans="1:28" s="12" customFormat="1" x14ac:dyDescent="0.25">
      <c r="A31" s="165"/>
      <c r="B31" s="24" t="s">
        <v>32</v>
      </c>
      <c r="C31" s="14" t="s">
        <v>33</v>
      </c>
      <c r="D31" s="25" t="s">
        <v>1510</v>
      </c>
      <c r="E31" s="14">
        <v>250</v>
      </c>
      <c r="F31" s="26">
        <v>27640</v>
      </c>
      <c r="G31" s="27">
        <v>22090</v>
      </c>
      <c r="H31" s="27">
        <f t="shared" si="32"/>
        <v>-5550</v>
      </c>
      <c r="I31" s="12" t="s">
        <v>3357</v>
      </c>
      <c r="J31" s="14"/>
      <c r="K31" s="17"/>
      <c r="L31" s="17">
        <v>42559</v>
      </c>
      <c r="M31" s="25" t="s">
        <v>84</v>
      </c>
      <c r="N31" s="14"/>
      <c r="O31" s="18">
        <v>29.5</v>
      </c>
      <c r="P31" s="19"/>
      <c r="Q31" s="153">
        <v>17300</v>
      </c>
      <c r="R31" s="18">
        <f t="shared" ref="R31:R32" si="46">61.75*E31</f>
        <v>15437.5</v>
      </c>
      <c r="S31" s="30">
        <f>-35*E31</f>
        <v>-8750</v>
      </c>
      <c r="T31" s="31">
        <f>W31*F31*0.0045</f>
        <v>4733.1826459936619</v>
      </c>
      <c r="U31" s="18">
        <f>E31*5</f>
        <v>1250</v>
      </c>
      <c r="V31" s="14"/>
      <c r="W31" s="18">
        <f>((O31*F31)+Q31+R31+S31+U31)/G31</f>
        <v>38.054210049796289</v>
      </c>
      <c r="X31" s="18">
        <f>((O31*F31)+Q31+R31+S31+T31+U31)/G31</f>
        <v>38.268478164146387</v>
      </c>
      <c r="Y31" s="21">
        <f t="shared" ref="Y31:Y32" si="47">X31*G31</f>
        <v>845350.68264599366</v>
      </c>
      <c r="Z31" s="32">
        <v>42572</v>
      </c>
      <c r="AA31" s="2">
        <v>41</v>
      </c>
      <c r="AB31" s="2"/>
    </row>
    <row r="32" spans="1:28" s="12" customFormat="1" x14ac:dyDescent="0.25">
      <c r="A32" s="165"/>
      <c r="B32" s="24" t="s">
        <v>32</v>
      </c>
      <c r="C32" s="14" t="s">
        <v>33</v>
      </c>
      <c r="D32" s="25" t="s">
        <v>34</v>
      </c>
      <c r="E32" s="14">
        <v>130</v>
      </c>
      <c r="F32" s="26">
        <v>14440</v>
      </c>
      <c r="G32" s="27">
        <v>11340</v>
      </c>
      <c r="H32" s="27">
        <f t="shared" si="32"/>
        <v>-3100</v>
      </c>
      <c r="I32" s="25" t="s">
        <v>3358</v>
      </c>
      <c r="J32" s="14"/>
      <c r="K32" s="17"/>
      <c r="L32" s="17">
        <v>42559</v>
      </c>
      <c r="M32" s="25" t="s">
        <v>84</v>
      </c>
      <c r="N32" s="14"/>
      <c r="O32" s="18">
        <v>29.5</v>
      </c>
      <c r="P32" s="19"/>
      <c r="Q32" s="153">
        <v>13600</v>
      </c>
      <c r="R32" s="18">
        <f t="shared" si="46"/>
        <v>8027.5</v>
      </c>
      <c r="S32" s="30">
        <f>-35*E32</f>
        <v>-4550</v>
      </c>
      <c r="T32" s="31">
        <f>W32*F32*0.0045</f>
        <v>2542.5144047619046</v>
      </c>
      <c r="U32" s="18">
        <f>E32*5</f>
        <v>650</v>
      </c>
      <c r="V32" s="14"/>
      <c r="W32" s="18">
        <f>((O32*F32)+Q32+R32+S32+U32)/G32</f>
        <v>39.1276455026455</v>
      </c>
      <c r="X32" s="18">
        <f>((O32*F32)+Q32+R32+S32+T32+U32)/G32</f>
        <v>39.351853122113042</v>
      </c>
      <c r="Y32" s="21">
        <f t="shared" si="47"/>
        <v>446250.0144047619</v>
      </c>
      <c r="Z32" s="32">
        <v>42572</v>
      </c>
      <c r="AA32" s="2">
        <v>41</v>
      </c>
      <c r="AB32" s="2" t="s">
        <v>3360</v>
      </c>
    </row>
    <row r="33" spans="1:28" s="12" customFormat="1" x14ac:dyDescent="0.25">
      <c r="A33" s="165"/>
      <c r="B33" s="24" t="s">
        <v>25</v>
      </c>
      <c r="C33" s="25" t="s">
        <v>40</v>
      </c>
      <c r="D33" s="25" t="s">
        <v>40</v>
      </c>
      <c r="E33" s="14" t="s">
        <v>42</v>
      </c>
      <c r="F33" s="26">
        <f>42358*0.4536</f>
        <v>19213.588800000001</v>
      </c>
      <c r="G33" s="27">
        <v>19127.41</v>
      </c>
      <c r="H33" s="27">
        <f t="shared" si="32"/>
        <v>-86.178800000001502</v>
      </c>
      <c r="I33" s="12" t="s">
        <v>3182</v>
      </c>
      <c r="J33" s="93" t="s">
        <v>44</v>
      </c>
      <c r="K33" s="17">
        <v>42559</v>
      </c>
      <c r="L33" s="17">
        <v>43655</v>
      </c>
      <c r="M33" s="25" t="s">
        <v>30</v>
      </c>
      <c r="N33" s="25" t="s">
        <v>3194</v>
      </c>
      <c r="O33" s="18"/>
      <c r="P33" s="28">
        <f>0.8126+0.1</f>
        <v>0.91259999999999997</v>
      </c>
      <c r="Q33" s="153">
        <v>20000</v>
      </c>
      <c r="R33" s="18">
        <v>9108</v>
      </c>
      <c r="S33" s="30">
        <v>18.53</v>
      </c>
      <c r="T33" s="31">
        <f t="shared" ref="T33:T35" si="48">W33*F33*0.005</f>
        <v>3737.2961568686342</v>
      </c>
      <c r="V33" s="18">
        <v>0.1</v>
      </c>
      <c r="W33" s="18">
        <f>IF(O33&gt;0,O33,((P33*2.2046*S33)+(Q33+R33)/G33)+V33)</f>
        <v>38.902634960821416</v>
      </c>
      <c r="X33" s="18">
        <f>IF(O33&gt;0,O33,((P33*2.2046*S33)+(Q33+R33+T33)/G33)+V33)</f>
        <v>39.098024517320106</v>
      </c>
      <c r="Y33" s="21">
        <f t="shared" ref="Y33:Y35" si="49">X33*F33</f>
        <v>751213.36596810701</v>
      </c>
      <c r="Z33" s="32">
        <v>42572</v>
      </c>
      <c r="AA33" s="2"/>
      <c r="AB33" s="2"/>
    </row>
    <row r="34" spans="1:28" s="12" customFormat="1" x14ac:dyDescent="0.25">
      <c r="A34" s="165"/>
      <c r="B34" s="24" t="s">
        <v>25</v>
      </c>
      <c r="C34" s="25" t="s">
        <v>40</v>
      </c>
      <c r="D34" s="25" t="s">
        <v>40</v>
      </c>
      <c r="E34" s="14" t="s">
        <v>42</v>
      </c>
      <c r="F34" s="26">
        <f>41852*0.4536</f>
        <v>18984.067200000001</v>
      </c>
      <c r="G34" s="27">
        <v>19089.23</v>
      </c>
      <c r="H34" s="27">
        <f t="shared" si="32"/>
        <v>105.16279999999824</v>
      </c>
      <c r="I34" s="12" t="s">
        <v>3183</v>
      </c>
      <c r="J34" s="93" t="s">
        <v>74</v>
      </c>
      <c r="K34" s="17">
        <v>42559</v>
      </c>
      <c r="L34" s="17">
        <v>43655</v>
      </c>
      <c r="M34" s="25" t="s">
        <v>30</v>
      </c>
      <c r="N34" s="25" t="s">
        <v>3194</v>
      </c>
      <c r="O34" s="18"/>
      <c r="P34" s="28">
        <v>0.91259999999999997</v>
      </c>
      <c r="Q34" s="153">
        <v>20000</v>
      </c>
      <c r="R34" s="18">
        <v>9108</v>
      </c>
      <c r="S34" s="30">
        <v>18.355</v>
      </c>
      <c r="T34" s="31">
        <f t="shared" si="48"/>
        <v>3659.5200045016536</v>
      </c>
      <c r="V34" s="18">
        <v>0.1</v>
      </c>
      <c r="W34" s="18">
        <f>IF(O34&gt;0,O34,((P34*2.2046*S34)+(Q34+R34)/G34)+V34)</f>
        <v>38.553593030914399</v>
      </c>
      <c r="X34" s="18">
        <f>IF(O34&gt;0,O34,((P34*2.2046*S34)+(Q34+R34+T34)/G34)+V34)</f>
        <v>38.745299035006845</v>
      </c>
      <c r="Y34" s="21">
        <f t="shared" si="49"/>
        <v>735543.36056466517</v>
      </c>
      <c r="Z34" s="32">
        <v>42572</v>
      </c>
      <c r="AA34" s="2"/>
      <c r="AB34" s="2"/>
    </row>
    <row r="35" spans="1:28" s="12" customFormat="1" x14ac:dyDescent="0.25">
      <c r="A35" s="165"/>
      <c r="B35" s="24" t="s">
        <v>25</v>
      </c>
      <c r="C35" s="25" t="s">
        <v>26</v>
      </c>
      <c r="D35" s="25" t="s">
        <v>26</v>
      </c>
      <c r="E35" s="14" t="s">
        <v>27</v>
      </c>
      <c r="F35" s="26">
        <f>40573*0.4536</f>
        <v>18403.912800000002</v>
      </c>
      <c r="G35" s="27">
        <v>18403</v>
      </c>
      <c r="H35" s="27">
        <f t="shared" si="32"/>
        <v>-0.91280000000188011</v>
      </c>
      <c r="I35" s="177" t="s">
        <v>3189</v>
      </c>
      <c r="J35" s="93" t="s">
        <v>44</v>
      </c>
      <c r="K35" s="17">
        <v>42559</v>
      </c>
      <c r="L35" s="17">
        <v>43655</v>
      </c>
      <c r="M35" s="25" t="s">
        <v>30</v>
      </c>
      <c r="N35" s="25" t="s">
        <v>3195</v>
      </c>
      <c r="O35" s="18"/>
      <c r="P35" s="28">
        <f>0.8126+0.1075</f>
        <v>0.92010000000000003</v>
      </c>
      <c r="Q35" s="153">
        <v>20000</v>
      </c>
      <c r="R35" s="18">
        <v>9108</v>
      </c>
      <c r="S35" s="30">
        <v>18.559999999999999</v>
      </c>
      <c r="T35" s="31">
        <f t="shared" si="48"/>
        <v>3619.1088667630688</v>
      </c>
      <c r="V35" s="18">
        <v>0.1</v>
      </c>
      <c r="W35" s="18">
        <f>IF(O35&gt;0,O35,((P35*2.2046*S35)+(Q35+R35)/G35)+V35)</f>
        <v>39.329776293691943</v>
      </c>
      <c r="X35" s="18">
        <f>IF(O35&gt;0,O35,((P35*2.2046*S35)+(Q35+R35+T35)/G35)+V35)</f>
        <v>39.5264349290646</v>
      </c>
      <c r="Y35" s="21">
        <f t="shared" si="49"/>
        <v>727441.06172937911</v>
      </c>
      <c r="Z35" s="32">
        <v>42551</v>
      </c>
      <c r="AA35" s="2"/>
      <c r="AB35" s="2" t="s">
        <v>3431</v>
      </c>
    </row>
    <row r="36" spans="1:28" s="12" customFormat="1" x14ac:dyDescent="0.25">
      <c r="A36" s="165"/>
      <c r="B36" s="24" t="s">
        <v>55</v>
      </c>
      <c r="C36" s="25" t="s">
        <v>1749</v>
      </c>
      <c r="D36" s="25" t="s">
        <v>2772</v>
      </c>
      <c r="E36" s="14" t="s">
        <v>933</v>
      </c>
      <c r="F36" s="26">
        <v>18670.18</v>
      </c>
      <c r="G36" s="27">
        <v>18670.18</v>
      </c>
      <c r="H36" s="27">
        <f t="shared" si="32"/>
        <v>0</v>
      </c>
      <c r="I36" s="12" t="s">
        <v>3423</v>
      </c>
      <c r="J36" s="14"/>
      <c r="K36" s="17"/>
      <c r="L36" s="17">
        <v>42560</v>
      </c>
      <c r="M36" s="25" t="s">
        <v>30</v>
      </c>
      <c r="N36" s="25"/>
      <c r="O36" s="18">
        <v>38</v>
      </c>
      <c r="P36" s="28"/>
      <c r="Q36" s="18"/>
      <c r="R36" s="18"/>
      <c r="S36" s="30"/>
      <c r="T36" s="31"/>
      <c r="V36" s="18"/>
      <c r="W36" s="18">
        <f>IF(O36&gt;0,O36,((P36*2.2046*S36)+(Q36+R36)/G36)+V36)</f>
        <v>38</v>
      </c>
      <c r="X36" s="18">
        <f>IF(O36&gt;0,O36,((P36*2.2046*S36)+(Q36+R36+T36)/G36)+V36)</f>
        <v>38</v>
      </c>
      <c r="Y36" s="21">
        <f t="shared" ref="Y36:Y37" si="50">X36*F36</f>
        <v>709466.84</v>
      </c>
      <c r="Z36" s="32">
        <v>42580</v>
      </c>
      <c r="AA36" s="2"/>
      <c r="AB36" s="2"/>
    </row>
    <row r="37" spans="1:28" s="12" customFormat="1" x14ac:dyDescent="0.25">
      <c r="A37" s="165"/>
      <c r="B37" s="24" t="s">
        <v>2077</v>
      </c>
      <c r="C37" s="14" t="s">
        <v>72</v>
      </c>
      <c r="D37" s="25" t="s">
        <v>57</v>
      </c>
      <c r="E37" s="14" t="s">
        <v>832</v>
      </c>
      <c r="F37" s="26">
        <v>1858.4</v>
      </c>
      <c r="G37" s="27">
        <v>1858.4</v>
      </c>
      <c r="H37" s="27">
        <f t="shared" si="32"/>
        <v>0</v>
      </c>
      <c r="I37" s="92" t="s">
        <v>3430</v>
      </c>
      <c r="J37" s="14"/>
      <c r="K37" s="17"/>
      <c r="L37" s="17">
        <v>42560</v>
      </c>
      <c r="M37" s="25" t="s">
        <v>30</v>
      </c>
      <c r="N37" s="25"/>
      <c r="O37" s="18">
        <v>18.5</v>
      </c>
      <c r="P37" s="28"/>
      <c r="Q37" s="18"/>
      <c r="R37" s="18"/>
      <c r="S37" s="30"/>
      <c r="T37" s="31"/>
      <c r="V37" s="18"/>
      <c r="W37" s="18">
        <f t="shared" ref="W37" si="51">IF(O37&gt;0,O37,((P37*2.2046*S37)+(Q37+R37)/G37)+V37)</f>
        <v>18.5</v>
      </c>
      <c r="X37" s="18">
        <f t="shared" ref="X37" si="52">IF(O37&gt;0,O37,((P37*2.2046*S37)+(Q37+R37+T37)/G37)+V37)</f>
        <v>18.5</v>
      </c>
      <c r="Y37" s="21">
        <f t="shared" si="50"/>
        <v>34380.400000000001</v>
      </c>
      <c r="Z37" s="32">
        <v>42566</v>
      </c>
      <c r="AA37" s="2"/>
      <c r="AB37" s="2"/>
    </row>
    <row r="38" spans="1:28" s="12" customFormat="1" ht="15.75" thickBot="1" x14ac:dyDescent="0.3">
      <c r="A38" s="165"/>
      <c r="B38" s="41"/>
      <c r="C38" s="4"/>
      <c r="D38" s="4"/>
      <c r="E38" s="4"/>
      <c r="F38" s="42"/>
      <c r="G38" s="42"/>
      <c r="H38" s="42"/>
      <c r="I38" s="6"/>
      <c r="J38" s="4"/>
      <c r="K38" s="7"/>
      <c r="L38" s="7"/>
      <c r="M38" s="4"/>
      <c r="N38" s="4"/>
      <c r="O38" s="8"/>
      <c r="P38" s="9"/>
      <c r="Q38" s="8"/>
      <c r="R38" s="8"/>
      <c r="S38" s="8"/>
      <c r="T38" s="8"/>
      <c r="U38" s="8"/>
      <c r="V38" s="8"/>
      <c r="W38" s="8"/>
      <c r="X38" s="8"/>
      <c r="Y38" s="11"/>
      <c r="Z38" s="43"/>
      <c r="AA38" s="2"/>
      <c r="AB38" s="2"/>
    </row>
    <row r="39" spans="1:28" s="12" customFormat="1" x14ac:dyDescent="0.25">
      <c r="A39" s="109"/>
      <c r="B39" s="14" t="s">
        <v>32</v>
      </c>
      <c r="C39" s="14" t="s">
        <v>33</v>
      </c>
      <c r="D39" s="25" t="s">
        <v>34</v>
      </c>
      <c r="E39" s="14">
        <v>250</v>
      </c>
      <c r="F39" s="26">
        <v>28000</v>
      </c>
      <c r="G39" s="27">
        <v>22120</v>
      </c>
      <c r="H39" s="27">
        <f t="shared" ref="H39:H42" si="53">G39-F39</f>
        <v>-5880</v>
      </c>
      <c r="I39" s="25" t="s">
        <v>3426</v>
      </c>
      <c r="J39" s="14"/>
      <c r="K39" s="17"/>
      <c r="L39" s="17">
        <v>42561</v>
      </c>
      <c r="M39" s="25" t="s">
        <v>36</v>
      </c>
      <c r="N39" s="14"/>
      <c r="O39" s="18">
        <v>30</v>
      </c>
      <c r="P39" s="19"/>
      <c r="Q39" s="153">
        <v>17300</v>
      </c>
      <c r="R39" s="18">
        <f t="shared" ref="R39:R41" si="54">61.75*E39</f>
        <v>15437.5</v>
      </c>
      <c r="S39" s="30">
        <f>-35*E39</f>
        <v>-8750</v>
      </c>
      <c r="T39" s="31">
        <f>W39*F39*0.0045</f>
        <v>4928.5680379746827</v>
      </c>
      <c r="U39" s="18">
        <f>E39*5</f>
        <v>1250</v>
      </c>
      <c r="V39" s="14"/>
      <c r="W39" s="18">
        <f>((O39*F39)+Q39+R39+S39+U39)/G39</f>
        <v>39.115619349005428</v>
      </c>
      <c r="X39" s="18">
        <f>((O39*F39)+Q39+R39+S39+T39+U39)/G39</f>
        <v>39.338429838968111</v>
      </c>
      <c r="Y39" s="21">
        <f>X39*G39</f>
        <v>870166.06803797465</v>
      </c>
      <c r="Z39" s="32">
        <v>42576</v>
      </c>
      <c r="AA39" s="2">
        <v>41</v>
      </c>
      <c r="AB39" s="2"/>
    </row>
    <row r="40" spans="1:28" s="12" customFormat="1" x14ac:dyDescent="0.25">
      <c r="A40" s="109"/>
      <c r="B40" s="24" t="s">
        <v>32</v>
      </c>
      <c r="C40" s="14" t="s">
        <v>33</v>
      </c>
      <c r="D40" s="25" t="s">
        <v>87</v>
      </c>
      <c r="E40" s="14">
        <v>130</v>
      </c>
      <c r="F40" s="26">
        <v>14410</v>
      </c>
      <c r="G40" s="27">
        <v>11670</v>
      </c>
      <c r="H40" s="27">
        <f t="shared" si="53"/>
        <v>-2740</v>
      </c>
      <c r="I40" s="26" t="s">
        <v>3427</v>
      </c>
      <c r="J40" s="27"/>
      <c r="K40" s="17"/>
      <c r="L40" s="17">
        <v>42561</v>
      </c>
      <c r="M40" s="25" t="s">
        <v>36</v>
      </c>
      <c r="N40" s="14"/>
      <c r="O40" s="18">
        <v>30</v>
      </c>
      <c r="P40" s="19"/>
      <c r="Q40" s="153">
        <v>13600</v>
      </c>
      <c r="R40" s="18">
        <f t="shared" si="54"/>
        <v>8027.5</v>
      </c>
      <c r="S40" s="30">
        <f t="shared" ref="S40:S41" si="55">-35*E40</f>
        <v>-4550</v>
      </c>
      <c r="T40" s="31">
        <f>W40*F40*0.0045</f>
        <v>2500.6026767352187</v>
      </c>
      <c r="U40" s="18">
        <f>E40*5</f>
        <v>650</v>
      </c>
      <c r="V40" s="14"/>
      <c r="W40" s="18">
        <f>((O40*F40)+Q40+R40+S40+U40)/G40</f>
        <v>38.562767780634104</v>
      </c>
      <c r="X40" s="18">
        <f>((O40*F40)+Q40+R40+S40+T40+U40)/G40</f>
        <v>38.7770439311684</v>
      </c>
      <c r="Y40" s="21">
        <f>X40*G40</f>
        <v>452528.1026767352</v>
      </c>
      <c r="Z40" s="32">
        <v>42576</v>
      </c>
      <c r="AA40" s="2">
        <v>41</v>
      </c>
      <c r="AB40" s="2" t="s">
        <v>3432</v>
      </c>
    </row>
    <row r="41" spans="1:28" s="12" customFormat="1" x14ac:dyDescent="0.25">
      <c r="A41" s="109"/>
      <c r="B41" s="24" t="s">
        <v>32</v>
      </c>
      <c r="C41" s="14" t="s">
        <v>33</v>
      </c>
      <c r="D41" s="25" t="s">
        <v>34</v>
      </c>
      <c r="E41" s="14">
        <v>220</v>
      </c>
      <c r="F41" s="26">
        <v>24600</v>
      </c>
      <c r="G41" s="27">
        <f>13580+6200</f>
        <v>19780</v>
      </c>
      <c r="H41" s="27">
        <f t="shared" si="53"/>
        <v>-4820</v>
      </c>
      <c r="I41" s="25" t="s">
        <v>3682</v>
      </c>
      <c r="J41" s="14"/>
      <c r="K41" s="17"/>
      <c r="L41" s="17">
        <v>42562</v>
      </c>
      <c r="M41" s="25" t="s">
        <v>39</v>
      </c>
      <c r="N41" s="14"/>
      <c r="O41" s="18">
        <v>29.5</v>
      </c>
      <c r="P41" s="19"/>
      <c r="Q41" s="153">
        <v>17300</v>
      </c>
      <c r="R41" s="18">
        <f t="shared" si="54"/>
        <v>13585</v>
      </c>
      <c r="S41" s="30">
        <f t="shared" si="55"/>
        <v>-7700</v>
      </c>
      <c r="T41" s="31">
        <f>W41*F41*0.0045</f>
        <v>4197.3376895854399</v>
      </c>
      <c r="U41" s="18">
        <f>E41*5</f>
        <v>1100</v>
      </c>
      <c r="V41" s="14"/>
      <c r="W41" s="18">
        <f>((O41*F41)+Q41+R41+S41+U41)/G41</f>
        <v>37.916329625884735</v>
      </c>
      <c r="X41" s="18">
        <f>((O41*F41)+Q41+R41+S41+T41+U41)/G41</f>
        <v>38.128530722425957</v>
      </c>
      <c r="Y41" s="21">
        <f>X41*G41</f>
        <v>754182.3376895854</v>
      </c>
      <c r="Z41" s="32">
        <v>42576</v>
      </c>
      <c r="AA41" s="2">
        <v>41</v>
      </c>
      <c r="AB41" s="2" t="s">
        <v>3444</v>
      </c>
    </row>
    <row r="42" spans="1:28" s="12" customFormat="1" x14ac:dyDescent="0.25">
      <c r="A42" s="109"/>
      <c r="B42" s="24" t="s">
        <v>25</v>
      </c>
      <c r="C42" s="25" t="s">
        <v>72</v>
      </c>
      <c r="D42" s="25" t="s">
        <v>72</v>
      </c>
      <c r="E42" s="14" t="s">
        <v>42</v>
      </c>
      <c r="F42" s="26">
        <f>42047*0.4536</f>
        <v>19072.519199999999</v>
      </c>
      <c r="G42" s="27">
        <v>18856.22</v>
      </c>
      <c r="H42" s="27">
        <f t="shared" si="53"/>
        <v>-216.29919999999765</v>
      </c>
      <c r="I42" s="94" t="s">
        <v>3188</v>
      </c>
      <c r="J42" s="93" t="s">
        <v>74</v>
      </c>
      <c r="K42" s="17">
        <v>42559</v>
      </c>
      <c r="L42" s="17">
        <v>42563</v>
      </c>
      <c r="M42" s="25" t="s">
        <v>45</v>
      </c>
      <c r="N42" s="25" t="s">
        <v>3193</v>
      </c>
      <c r="O42" s="18"/>
      <c r="P42" s="28">
        <f>0.8181+0.105</f>
        <v>0.92310000000000003</v>
      </c>
      <c r="Q42" s="153">
        <v>20000</v>
      </c>
      <c r="R42" s="18">
        <v>9082</v>
      </c>
      <c r="S42" s="30">
        <v>18.850000000000001</v>
      </c>
      <c r="T42" s="31">
        <f t="shared" ref="T42" si="56">W42*F42*0.005</f>
        <v>3814.8187037459406</v>
      </c>
      <c r="V42" s="18">
        <v>0.1</v>
      </c>
      <c r="W42" s="18">
        <f>IF(O42&gt;0,O42,((P42*2.2046*S42)+(Q42+R42)/G42)+V42)</f>
        <v>40.003301753089239</v>
      </c>
      <c r="X42" s="18">
        <f>IF(O42&gt;0,O42,((P42*2.2046*S42)+(Q42+R42+T42)/G42)+V42)</f>
        <v>40.20561264592704</v>
      </c>
      <c r="Y42" s="21">
        <f t="shared" ref="Y42" si="57">X42*F42</f>
        <v>766822.31913720618</v>
      </c>
      <c r="Z42" s="32">
        <v>42550</v>
      </c>
      <c r="AA42" s="2"/>
    </row>
    <row r="43" spans="1:28" s="12" customFormat="1" x14ac:dyDescent="0.25">
      <c r="A43" s="109"/>
      <c r="B43" s="24" t="s">
        <v>25</v>
      </c>
      <c r="C43" s="25" t="s">
        <v>40</v>
      </c>
      <c r="D43" s="25" t="s">
        <v>40</v>
      </c>
      <c r="E43" s="14" t="s">
        <v>42</v>
      </c>
      <c r="F43" s="26">
        <f>41939*0.4536</f>
        <v>19023.5304</v>
      </c>
      <c r="G43" s="27">
        <v>19050.13</v>
      </c>
      <c r="H43" s="27">
        <f>G43-F43</f>
        <v>26.599600000001374</v>
      </c>
      <c r="I43" s="177" t="s">
        <v>3269</v>
      </c>
      <c r="J43" s="93" t="s">
        <v>49</v>
      </c>
      <c r="K43" s="17">
        <v>42562</v>
      </c>
      <c r="L43" s="17">
        <v>42563</v>
      </c>
      <c r="M43" s="25" t="s">
        <v>45</v>
      </c>
      <c r="N43" s="25" t="s">
        <v>3270</v>
      </c>
      <c r="O43" s="18"/>
      <c r="P43" s="28">
        <f>0.8174+0.1</f>
        <v>0.91739999999999999</v>
      </c>
      <c r="Q43" s="153">
        <v>20000</v>
      </c>
      <c r="R43" s="18">
        <v>9082</v>
      </c>
      <c r="S43" s="30">
        <v>18.597000000000001</v>
      </c>
      <c r="T43" s="31">
        <f>W43*F43*0.005</f>
        <v>3732.3250661183411</v>
      </c>
      <c r="V43" s="18">
        <v>0.1</v>
      </c>
      <c r="W43" s="18">
        <f t="shared" ref="W43:W44" si="58">IF(O43&gt;0,O43,((P43*2.2046*S43)+(Q43+R43)/G43)+V43)</f>
        <v>39.239036999339945</v>
      </c>
      <c r="X43" s="18">
        <f t="shared" ref="X43:X44" si="59">IF(O43&gt;0,O43,((P43*2.2046*S43)+(Q43+R43+T43)/G43)+V43)</f>
        <v>39.434958237993868</v>
      </c>
      <c r="Y43" s="21">
        <f t="shared" ref="Y43:Y44" si="60">X43*F43</f>
        <v>750192.12686320674</v>
      </c>
      <c r="Z43" s="32">
        <v>42576</v>
      </c>
      <c r="AA43" s="37"/>
      <c r="AB43" s="2" t="s">
        <v>3450</v>
      </c>
    </row>
    <row r="44" spans="1:28" s="12" customFormat="1" x14ac:dyDescent="0.25">
      <c r="A44" s="109"/>
      <c r="B44" s="24" t="s">
        <v>25</v>
      </c>
      <c r="C44" s="25" t="s">
        <v>72</v>
      </c>
      <c r="D44" s="25" t="s">
        <v>72</v>
      </c>
      <c r="E44" s="14" t="s">
        <v>42</v>
      </c>
      <c r="F44" s="26">
        <f>42862*0.4536</f>
        <v>19442.2032</v>
      </c>
      <c r="G44" s="27">
        <v>19377.41</v>
      </c>
      <c r="H44" s="27">
        <f>G44-F44</f>
        <v>-64.79320000000007</v>
      </c>
      <c r="I44" s="12" t="s">
        <v>3268</v>
      </c>
      <c r="J44" s="93" t="s">
        <v>44</v>
      </c>
      <c r="K44" s="17">
        <v>42562</v>
      </c>
      <c r="L44" s="17">
        <v>42563</v>
      </c>
      <c r="M44" s="25" t="s">
        <v>45</v>
      </c>
      <c r="N44" s="25" t="s">
        <v>3271</v>
      </c>
      <c r="O44" s="18"/>
      <c r="P44" s="28">
        <f>0.8174+0.105</f>
        <v>0.9224</v>
      </c>
      <c r="Q44" s="153">
        <v>20000</v>
      </c>
      <c r="R44" s="18">
        <v>9082</v>
      </c>
      <c r="S44" s="30">
        <v>19.04</v>
      </c>
      <c r="T44" s="31">
        <f>W44*F44*0.005</f>
        <v>3919.4605245867601</v>
      </c>
      <c r="V44" s="18">
        <v>0.1</v>
      </c>
      <c r="W44" s="18">
        <f t="shared" si="58"/>
        <v>40.319098450599057</v>
      </c>
      <c r="X44" s="18">
        <f t="shared" si="59"/>
        <v>40.521368027626465</v>
      </c>
      <c r="Y44" s="21">
        <f t="shared" si="60"/>
        <v>787824.67113509693</v>
      </c>
      <c r="Z44" s="32">
        <v>42548</v>
      </c>
      <c r="AA44" s="37"/>
      <c r="AB44" s="37"/>
    </row>
    <row r="45" spans="1:28" s="12" customFormat="1" x14ac:dyDescent="0.25">
      <c r="A45" s="109"/>
      <c r="B45" s="24" t="s">
        <v>25</v>
      </c>
      <c r="C45" s="25" t="s">
        <v>72</v>
      </c>
      <c r="D45" s="25" t="s">
        <v>72</v>
      </c>
      <c r="E45" s="14" t="s">
        <v>3272</v>
      </c>
      <c r="F45" s="26">
        <f>20057*0.4536</f>
        <v>9097.8552</v>
      </c>
      <c r="G45" s="27">
        <f>18170.73-9250</f>
        <v>8920.73</v>
      </c>
      <c r="H45" s="27">
        <f t="shared" ref="H45:H48" si="61">G45-F45</f>
        <v>-177.1252000000004</v>
      </c>
      <c r="I45" s="12" t="s">
        <v>3273</v>
      </c>
      <c r="J45" s="93" t="s">
        <v>74</v>
      </c>
      <c r="K45" s="17">
        <v>42562</v>
      </c>
      <c r="L45" s="17">
        <v>42563</v>
      </c>
      <c r="M45" s="25" t="s">
        <v>45</v>
      </c>
      <c r="N45" s="25" t="s">
        <v>3271</v>
      </c>
      <c r="O45" s="18"/>
      <c r="P45" s="28">
        <f>0.8174+0.105</f>
        <v>0.9224</v>
      </c>
      <c r="Q45" s="153">
        <f>(20000*G45)/(G45+G46)</f>
        <v>9818.7909896850597</v>
      </c>
      <c r="R45" s="18">
        <f>(9082*G45)/(G45+G46)</f>
        <v>4458.7129884159858</v>
      </c>
      <c r="S45" s="30">
        <v>18.77</v>
      </c>
      <c r="T45" s="31">
        <f t="shared" ref="T45:T47" si="62">W45*F45*0.005</f>
        <v>1813.6444022258199</v>
      </c>
      <c r="V45" s="18">
        <v>0.1</v>
      </c>
      <c r="W45" s="18">
        <f t="shared" ref="W45:W47" si="63">IF(O45&gt;0,O45,((P45*2.2046*S45)+(Q45+R45)/G45)+V45)</f>
        <v>39.869713517221506</v>
      </c>
      <c r="X45" s="18">
        <f t="shared" ref="X45:X47" si="64">IF(O45&gt;0,O45,((P45*2.2046*S45)+(Q45+R45+T45)/G45)+V45)</f>
        <v>40.07302024236909</v>
      </c>
      <c r="Y45" s="21">
        <f t="shared" ref="Y45:Y47" si="65">X45*F45</f>
        <v>364578.5355917429</v>
      </c>
      <c r="Z45" s="32">
        <v>42559</v>
      </c>
      <c r="AA45" s="37"/>
      <c r="AB45" s="37"/>
    </row>
    <row r="46" spans="1:28" s="12" customFormat="1" x14ac:dyDescent="0.25">
      <c r="A46" s="109"/>
      <c r="B46" s="24" t="s">
        <v>2426</v>
      </c>
      <c r="C46" s="25" t="s">
        <v>72</v>
      </c>
      <c r="D46" s="25" t="s">
        <v>72</v>
      </c>
      <c r="E46" s="14" t="s">
        <v>3272</v>
      </c>
      <c r="F46" s="26">
        <f>20445*0.4536</f>
        <v>9273.8520000000008</v>
      </c>
      <c r="G46" s="27">
        <v>9250</v>
      </c>
      <c r="H46" s="27">
        <f t="shared" si="61"/>
        <v>-23.852000000000771</v>
      </c>
      <c r="J46" s="14"/>
      <c r="K46" s="17">
        <v>42562</v>
      </c>
      <c r="L46" s="17">
        <v>42563</v>
      </c>
      <c r="M46" s="25" t="s">
        <v>45</v>
      </c>
      <c r="N46" s="25"/>
      <c r="O46" s="18"/>
      <c r="P46" s="28">
        <v>0.4</v>
      </c>
      <c r="Q46" s="153">
        <f>(20000*G46)/(G46+G45)</f>
        <v>10181.20901031494</v>
      </c>
      <c r="R46" s="18">
        <f>(9082*G46)/(G46+G45)</f>
        <v>4623.2870115840142</v>
      </c>
      <c r="S46" s="30">
        <v>18.77</v>
      </c>
      <c r="T46" s="31">
        <f t="shared" si="62"/>
        <v>846.36061491135172</v>
      </c>
      <c r="V46" s="18">
        <v>0.1</v>
      </c>
      <c r="W46" s="18">
        <f t="shared" si="63"/>
        <v>18.25262285642151</v>
      </c>
      <c r="X46" s="18">
        <f t="shared" si="64"/>
        <v>18.34412130127679</v>
      </c>
      <c r="Y46" s="21">
        <f t="shared" si="65"/>
        <v>170120.66601808838</v>
      </c>
      <c r="Z46" s="32">
        <v>42559</v>
      </c>
      <c r="AA46" s="37"/>
      <c r="AB46" s="37"/>
    </row>
    <row r="47" spans="1:28" s="12" customFormat="1" x14ac:dyDescent="0.25">
      <c r="A47" s="109"/>
      <c r="B47" s="24" t="s">
        <v>114</v>
      </c>
      <c r="C47" s="25" t="s">
        <v>115</v>
      </c>
      <c r="D47" s="25" t="s">
        <v>115</v>
      </c>
      <c r="E47" s="14" t="s">
        <v>3425</v>
      </c>
      <c r="F47" s="26">
        <f>40686.696*0.4536</f>
        <v>18455.485305600003</v>
      </c>
      <c r="G47" s="27">
        <v>18455.490000000002</v>
      </c>
      <c r="H47" s="27">
        <f t="shared" si="61"/>
        <v>4.6943999986979179E-3</v>
      </c>
      <c r="I47" s="12">
        <v>93477778</v>
      </c>
      <c r="J47" s="93" t="s">
        <v>3436</v>
      </c>
      <c r="K47" s="17">
        <v>42562</v>
      </c>
      <c r="L47" s="17">
        <v>42563</v>
      </c>
      <c r="M47" s="25" t="s">
        <v>45</v>
      </c>
      <c r="N47" s="25"/>
      <c r="O47" s="18"/>
      <c r="P47" s="28">
        <v>0.5</v>
      </c>
      <c r="Q47" s="153">
        <v>20000</v>
      </c>
      <c r="R47" s="18">
        <v>9178</v>
      </c>
      <c r="S47" s="30">
        <v>18.329999999999998</v>
      </c>
      <c r="T47" s="31">
        <f t="shared" si="62"/>
        <v>2019.5977806527912</v>
      </c>
      <c r="V47" s="18">
        <v>0.1</v>
      </c>
      <c r="W47" s="18">
        <f t="shared" si="63"/>
        <v>21.88615197282272</v>
      </c>
      <c r="X47" s="18">
        <f t="shared" si="64"/>
        <v>21.99558270485166</v>
      </c>
      <c r="Y47" s="21">
        <f t="shared" si="65"/>
        <v>405939.15339749941</v>
      </c>
      <c r="Z47" s="32">
        <v>42570</v>
      </c>
      <c r="AA47" s="37"/>
      <c r="AB47" s="37"/>
    </row>
    <row r="48" spans="1:28" s="12" customFormat="1" x14ac:dyDescent="0.25">
      <c r="A48" s="109"/>
      <c r="B48" s="24" t="s">
        <v>32</v>
      </c>
      <c r="C48" s="14" t="s">
        <v>33</v>
      </c>
      <c r="D48" s="25" t="s">
        <v>1102</v>
      </c>
      <c r="E48" s="14">
        <f>149+70</f>
        <v>219</v>
      </c>
      <c r="F48" s="26">
        <v>24420</v>
      </c>
      <c r="G48" s="27">
        <f>13040+6280</f>
        <v>19320</v>
      </c>
      <c r="H48" s="27">
        <f t="shared" si="61"/>
        <v>-5100</v>
      </c>
      <c r="I48" s="12" t="s">
        <v>3445</v>
      </c>
      <c r="J48" s="14"/>
      <c r="K48" s="17"/>
      <c r="L48" s="17">
        <v>42563</v>
      </c>
      <c r="M48" s="25" t="s">
        <v>45</v>
      </c>
      <c r="N48" s="14"/>
      <c r="O48" s="18">
        <v>29.5</v>
      </c>
      <c r="P48" s="19"/>
      <c r="Q48" s="153">
        <v>17300</v>
      </c>
      <c r="R48" s="18">
        <f t="shared" ref="R48" si="66">61.75*E48</f>
        <v>13523.25</v>
      </c>
      <c r="S48" s="30">
        <f t="shared" ref="S48" si="67">-35*E48</f>
        <v>-7665</v>
      </c>
      <c r="T48" s="31">
        <f>W48*F48*0.0045</f>
        <v>4235.4475539596269</v>
      </c>
      <c r="U48" s="18">
        <f>E48*5</f>
        <v>1095</v>
      </c>
      <c r="V48" s="14"/>
      <c r="W48" s="18">
        <f>((O48*F48)+Q48+R48+S48+U48)/G48</f>
        <v>38.542611283643893</v>
      </c>
      <c r="X48" s="18">
        <f>((O48*F48)+Q48+R48+S48+T48+U48)/G48</f>
        <v>38.761837347513442</v>
      </c>
      <c r="Y48" s="21">
        <f>X48*G48</f>
        <v>748878.69755395968</v>
      </c>
      <c r="Z48" s="32">
        <v>42576</v>
      </c>
      <c r="AA48" s="37">
        <v>41</v>
      </c>
      <c r="AB48" s="37" t="s">
        <v>3449</v>
      </c>
    </row>
    <row r="49" spans="1:29" s="12" customFormat="1" x14ac:dyDescent="0.25">
      <c r="A49" s="109"/>
      <c r="B49" s="24" t="s">
        <v>25</v>
      </c>
      <c r="C49" s="25" t="s">
        <v>72</v>
      </c>
      <c r="D49" s="25" t="s">
        <v>72</v>
      </c>
      <c r="E49" s="14" t="s">
        <v>42</v>
      </c>
      <c r="F49" s="26">
        <f>42444*0.4536</f>
        <v>19252.598399999999</v>
      </c>
      <c r="G49" s="27">
        <v>19079</v>
      </c>
      <c r="H49" s="27">
        <f>G49-F49</f>
        <v>-173.59839999999895</v>
      </c>
      <c r="I49" s="12" t="s">
        <v>3279</v>
      </c>
      <c r="J49" s="93" t="s">
        <v>44</v>
      </c>
      <c r="K49" s="17">
        <v>42563</v>
      </c>
      <c r="L49" s="17">
        <v>42565</v>
      </c>
      <c r="M49" s="25" t="s">
        <v>65</v>
      </c>
      <c r="N49" s="25" t="s">
        <v>3271</v>
      </c>
      <c r="O49" s="18"/>
      <c r="P49" s="28">
        <f>0.8174+0.105</f>
        <v>0.9224</v>
      </c>
      <c r="Q49" s="153">
        <v>20000</v>
      </c>
      <c r="R49" s="18">
        <v>12029</v>
      </c>
      <c r="S49" s="30">
        <v>18.78</v>
      </c>
      <c r="T49" s="31">
        <f>W49*F49*0.005</f>
        <v>3847.4700144539174</v>
      </c>
      <c r="V49" s="18">
        <v>0.1</v>
      </c>
      <c r="W49" s="18">
        <f t="shared" ref="W49" si="68">IF(O49&gt;0,O49,((P49*2.2046*S49)+(Q49+R49)/G49)+V49)</f>
        <v>39.968319439457247</v>
      </c>
      <c r="X49" s="18">
        <f t="shared" ref="X49" si="69">IF(O49&gt;0,O49,((P49*2.2046*S49)+(Q49+R49+T49)/G49)+V49)</f>
        <v>40.169979380463275</v>
      </c>
      <c r="Y49" s="21">
        <f t="shared" ref="Y49" si="70">X49*F49</f>
        <v>773376.48074834014</v>
      </c>
      <c r="Z49" s="32">
        <v>42557</v>
      </c>
      <c r="AA49" s="37"/>
      <c r="AB49" s="37"/>
    </row>
    <row r="50" spans="1:29" s="12" customFormat="1" x14ac:dyDescent="0.25">
      <c r="A50" s="109"/>
      <c r="B50" s="24" t="s">
        <v>32</v>
      </c>
      <c r="C50" s="14" t="s">
        <v>33</v>
      </c>
      <c r="D50" s="208" t="s">
        <v>3518</v>
      </c>
      <c r="E50" s="14">
        <f>250+10</f>
        <v>260</v>
      </c>
      <c r="F50" s="26">
        <f>27545+1095</f>
        <v>28640</v>
      </c>
      <c r="G50" s="27">
        <f>16670+6040</f>
        <v>22710</v>
      </c>
      <c r="H50" s="27">
        <f t="shared" ref="H50:H52" si="71">G50-F50</f>
        <v>-5930</v>
      </c>
      <c r="I50" s="12" t="s">
        <v>3451</v>
      </c>
      <c r="J50" s="14"/>
      <c r="K50" s="17"/>
      <c r="L50" s="17">
        <v>42564</v>
      </c>
      <c r="M50" s="25" t="s">
        <v>50</v>
      </c>
      <c r="N50" s="14"/>
      <c r="O50" s="18">
        <v>29.5</v>
      </c>
      <c r="P50" s="19"/>
      <c r="Q50" s="153">
        <v>17300</v>
      </c>
      <c r="R50" s="18">
        <f t="shared" ref="R50" si="72">61.75*E50</f>
        <v>16055</v>
      </c>
      <c r="S50" s="30">
        <f t="shared" ref="S50" si="73">-35*E50</f>
        <v>-9100</v>
      </c>
      <c r="T50" s="31">
        <f>W50*F50*0.0045</f>
        <v>4939.7473712021128</v>
      </c>
      <c r="U50" s="18">
        <f>E50*5</f>
        <v>1300</v>
      </c>
      <c r="V50" s="14"/>
      <c r="W50" s="18">
        <f>((O50*F50)+Q50+R50+S50+U50)/G50</f>
        <v>38.328269484808452</v>
      </c>
      <c r="X50" s="18">
        <f>((O50*F50)+Q50+R50+S50+T50+U50)/G50</f>
        <v>38.545783679929642</v>
      </c>
      <c r="Y50" s="21">
        <f>X50*G50</f>
        <v>875374.74737120222</v>
      </c>
      <c r="Z50" s="32">
        <v>42577</v>
      </c>
      <c r="AA50" s="37">
        <v>41.5</v>
      </c>
      <c r="AB50" s="37" t="s">
        <v>3490</v>
      </c>
    </row>
    <row r="51" spans="1:29" s="12" customFormat="1" x14ac:dyDescent="0.25">
      <c r="A51" s="109"/>
      <c r="B51" s="24" t="s">
        <v>55</v>
      </c>
      <c r="C51" s="25" t="s">
        <v>1749</v>
      </c>
      <c r="D51" s="25" t="s">
        <v>2772</v>
      </c>
      <c r="E51" s="14" t="s">
        <v>933</v>
      </c>
      <c r="F51" s="26">
        <f>686*27.216</f>
        <v>18670.175999999999</v>
      </c>
      <c r="G51" s="27">
        <v>18670.18</v>
      </c>
      <c r="H51" s="27">
        <f t="shared" si="71"/>
        <v>4.0000000008149073E-3</v>
      </c>
      <c r="I51" s="12" t="s">
        <v>3513</v>
      </c>
      <c r="J51" s="14"/>
      <c r="K51" s="17">
        <v>42562</v>
      </c>
      <c r="L51" s="17">
        <v>42565</v>
      </c>
      <c r="M51" s="25" t="s">
        <v>65</v>
      </c>
      <c r="N51" s="14"/>
      <c r="O51" s="18">
        <v>38</v>
      </c>
      <c r="P51" s="19"/>
      <c r="Q51" s="18"/>
      <c r="R51" s="18"/>
      <c r="S51" s="30"/>
      <c r="T51" s="31"/>
      <c r="U51" s="18"/>
      <c r="V51" s="18"/>
      <c r="W51" s="18">
        <f t="shared" ref="W51" si="74">IF(O51&gt;0,O51,((P51*2.2046*S51)+(Q51+R51)/G51)+V51)</f>
        <v>38</v>
      </c>
      <c r="X51" s="18">
        <f t="shared" ref="X51" si="75">IF(O51&gt;0,O51,((P51*2.2046*S51)+(Q51+R51+T51)/G51)+V51)</f>
        <v>38</v>
      </c>
      <c r="Y51" s="21">
        <f t="shared" ref="Y51" si="76">X51*F51</f>
        <v>709466.68799999997</v>
      </c>
      <c r="Z51" s="32">
        <v>42554</v>
      </c>
      <c r="AA51" s="37"/>
      <c r="AB51" s="37"/>
    </row>
    <row r="52" spans="1:29" s="12" customFormat="1" x14ac:dyDescent="0.25">
      <c r="A52" s="109"/>
      <c r="B52" s="24" t="s">
        <v>855</v>
      </c>
      <c r="C52" s="25" t="s">
        <v>2474</v>
      </c>
      <c r="D52" s="25" t="s">
        <v>857</v>
      </c>
      <c r="E52" s="14" t="s">
        <v>3516</v>
      </c>
      <c r="F52" s="26">
        <v>18080.359</v>
      </c>
      <c r="G52" s="27">
        <v>18081.900000000001</v>
      </c>
      <c r="H52" s="27">
        <f t="shared" si="71"/>
        <v>1.5410000000010768</v>
      </c>
      <c r="I52" s="12" t="s">
        <v>3517</v>
      </c>
      <c r="J52" s="14"/>
      <c r="K52" s="17"/>
      <c r="L52" s="17">
        <v>42564</v>
      </c>
      <c r="M52" s="25" t="s">
        <v>50</v>
      </c>
      <c r="N52" s="14"/>
      <c r="O52" s="18">
        <v>82</v>
      </c>
      <c r="P52" s="19"/>
      <c r="Q52" s="18"/>
      <c r="R52" s="18"/>
      <c r="S52" s="30"/>
      <c r="T52" s="31"/>
      <c r="U52" s="18"/>
      <c r="V52" s="18"/>
      <c r="W52" s="18">
        <f t="shared" ref="W52" si="77">IF(O52&gt;0,O52,((P52*2.2046*S52)+(Q52+R52)/G52)+V52)</f>
        <v>82</v>
      </c>
      <c r="X52" s="18">
        <f t="shared" ref="X52" si="78">IF(O52&gt;0,O52,((P52*2.2046*S52)+(Q52+R52+T52)/G52)+V52)</f>
        <v>82</v>
      </c>
      <c r="Y52" s="21">
        <f t="shared" ref="Y52" si="79">X52*F52</f>
        <v>1482589.4380000001</v>
      </c>
      <c r="Z52" s="32">
        <v>42585</v>
      </c>
      <c r="AA52" s="37"/>
      <c r="AB52" s="37"/>
    </row>
    <row r="53" spans="1:29" s="12" customFormat="1" x14ac:dyDescent="0.25">
      <c r="A53" s="109"/>
      <c r="B53" s="24" t="s">
        <v>25</v>
      </c>
      <c r="C53" s="25" t="s">
        <v>72</v>
      </c>
      <c r="D53" s="25" t="s">
        <v>72</v>
      </c>
      <c r="E53" s="14" t="s">
        <v>42</v>
      </c>
      <c r="F53" s="26">
        <f>42938*0.4536</f>
        <v>19476.676800000001</v>
      </c>
      <c r="G53" s="27">
        <v>19333.8</v>
      </c>
      <c r="H53" s="27">
        <f>G53-F53</f>
        <v>-142.87680000000182</v>
      </c>
      <c r="I53" s="12" t="s">
        <v>3280</v>
      </c>
      <c r="J53" s="93" t="s">
        <v>44</v>
      </c>
      <c r="K53" s="17">
        <v>42564</v>
      </c>
      <c r="L53" s="17">
        <v>42565</v>
      </c>
      <c r="M53" s="25" t="s">
        <v>65</v>
      </c>
      <c r="N53" s="25" t="s">
        <v>3282</v>
      </c>
      <c r="O53" s="18"/>
      <c r="P53" s="28">
        <f>0.8385+0.105</f>
        <v>0.94350000000000001</v>
      </c>
      <c r="Q53" s="153">
        <v>20000</v>
      </c>
      <c r="R53" s="18">
        <v>9056</v>
      </c>
      <c r="S53" s="30">
        <v>18.850000000000001</v>
      </c>
      <c r="T53" s="31">
        <f>W53*F53*0.005</f>
        <v>3974.3732882464737</v>
      </c>
      <c r="V53" s="18">
        <v>0.1</v>
      </c>
      <c r="W53" s="18">
        <f t="shared" ref="W53" si="80">IF(O53&gt;0,O53,((P53*2.2046*S53)+(Q53+R53)/G53)+V53)</f>
        <v>40.811616160786457</v>
      </c>
      <c r="X53" s="18">
        <f t="shared" ref="X53" si="81">IF(O53&gt;0,O53,((P53*2.2046*S53)+(Q53+R53+T53)/G53)+V53)</f>
        <v>41.017182230997513</v>
      </c>
      <c r="Y53" s="21">
        <f t="shared" ref="Y53" si="82">X53*F53</f>
        <v>798878.40155984159</v>
      </c>
      <c r="Z53" s="32">
        <v>42558</v>
      </c>
      <c r="AA53" s="37"/>
      <c r="AB53" s="37"/>
    </row>
    <row r="54" spans="1:29" s="12" customFormat="1" x14ac:dyDescent="0.25">
      <c r="A54" s="109"/>
      <c r="B54" s="24" t="s">
        <v>25</v>
      </c>
      <c r="C54" s="25" t="s">
        <v>72</v>
      </c>
      <c r="D54" s="25" t="s">
        <v>72</v>
      </c>
      <c r="E54" s="14" t="s">
        <v>42</v>
      </c>
      <c r="F54" s="26">
        <f>42966*0.4536</f>
        <v>19489.3776</v>
      </c>
      <c r="G54" s="27">
        <v>19378.38</v>
      </c>
      <c r="H54" s="27">
        <f>G54-F54</f>
        <v>-110.99759999999878</v>
      </c>
      <c r="I54" s="12" t="s">
        <v>3281</v>
      </c>
      <c r="J54" s="93" t="s">
        <v>44</v>
      </c>
      <c r="K54" s="17">
        <v>42564</v>
      </c>
      <c r="L54" s="17">
        <v>42565</v>
      </c>
      <c r="M54" s="25" t="s">
        <v>65</v>
      </c>
      <c r="N54" s="25" t="s">
        <v>3282</v>
      </c>
      <c r="O54" s="18"/>
      <c r="P54" s="28">
        <v>0.94350000000000001</v>
      </c>
      <c r="Q54" s="153">
        <v>20000</v>
      </c>
      <c r="R54" s="18">
        <v>9056</v>
      </c>
      <c r="S54" s="30">
        <v>18.850000000000001</v>
      </c>
      <c r="T54" s="31">
        <f t="shared" ref="T54" si="83">W54*F54*0.005</f>
        <v>3976.628082785393</v>
      </c>
      <c r="V54" s="18">
        <v>0.1</v>
      </c>
      <c r="W54" s="18">
        <f>IF(O54&gt;0,O54,((P54*2.2046*S54)+(Q54+R54)/G54)+V54)</f>
        <v>40.808158827867267</v>
      </c>
      <c r="X54" s="18">
        <f>IF(O54&gt;0,O54,((P54*2.2046*S54)+(Q54+R54+T54)/G54)+V54)</f>
        <v>41.013368349137124</v>
      </c>
      <c r="Y54" s="21">
        <f>X54*F54</f>
        <v>799325.02240422205</v>
      </c>
      <c r="Z54" s="32">
        <v>42558</v>
      </c>
      <c r="AA54" s="37"/>
      <c r="AB54" s="37"/>
    </row>
    <row r="55" spans="1:29" s="12" customFormat="1" x14ac:dyDescent="0.25">
      <c r="A55" s="109"/>
      <c r="B55" s="24" t="s">
        <v>32</v>
      </c>
      <c r="C55" s="14" t="s">
        <v>33</v>
      </c>
      <c r="D55" s="25" t="s">
        <v>1102</v>
      </c>
      <c r="E55" s="14">
        <v>250</v>
      </c>
      <c r="F55" s="26">
        <v>27440</v>
      </c>
      <c r="G55" s="27">
        <f>21940</f>
        <v>21940</v>
      </c>
      <c r="H55" s="27">
        <f t="shared" ref="H55:H56" si="84">G55-F55</f>
        <v>-5500</v>
      </c>
      <c r="I55" s="12" t="s">
        <v>3487</v>
      </c>
      <c r="J55" s="14"/>
      <c r="K55" s="17"/>
      <c r="L55" s="17">
        <v>42565</v>
      </c>
      <c r="M55" s="25" t="s">
        <v>65</v>
      </c>
      <c r="N55" s="14"/>
      <c r="O55" s="18">
        <v>29.5</v>
      </c>
      <c r="P55" s="19"/>
      <c r="Q55" s="153">
        <v>17300</v>
      </c>
      <c r="R55" s="18">
        <f t="shared" ref="R55:R56" si="85">61.75*E55</f>
        <v>15437.5</v>
      </c>
      <c r="S55" s="30">
        <f t="shared" ref="S55:S56" si="86">-35*E55</f>
        <v>-8750</v>
      </c>
      <c r="T55" s="31">
        <f t="shared" ref="T55:T56" si="87">W55*F55*0.0045</f>
        <v>4697.8540063810387</v>
      </c>
      <c r="U55" s="18">
        <f t="shared" ref="U55:U56" si="88">E55*5</f>
        <v>1250</v>
      </c>
      <c r="V55" s="14"/>
      <c r="W55" s="18">
        <f t="shared" ref="W55:W56" si="89">((O55*F55)+Q55+R55+S55+U55)/G55</f>
        <v>38.045464904284415</v>
      </c>
      <c r="X55" s="18">
        <f t="shared" ref="X55:X56" si="90">((O55*F55)+Q55+R55+S55+T55+U55)/G55</f>
        <v>38.259587694000956</v>
      </c>
      <c r="Y55" s="21">
        <f t="shared" ref="Y55:Y56" si="91">X55*G55</f>
        <v>839415.35400638101</v>
      </c>
      <c r="Z55" s="32">
        <v>42578</v>
      </c>
      <c r="AA55" s="37">
        <v>41.5</v>
      </c>
      <c r="AB55" s="37"/>
    </row>
    <row r="56" spans="1:29" s="12" customFormat="1" x14ac:dyDescent="0.25">
      <c r="A56" s="109"/>
      <c r="B56" s="24" t="s">
        <v>32</v>
      </c>
      <c r="C56" s="14" t="s">
        <v>33</v>
      </c>
      <c r="D56" s="25" t="s">
        <v>1510</v>
      </c>
      <c r="E56" s="14">
        <v>130</v>
      </c>
      <c r="F56" s="26">
        <v>14585</v>
      </c>
      <c r="G56" s="27">
        <f>11470</f>
        <v>11470</v>
      </c>
      <c r="H56" s="27">
        <f t="shared" si="84"/>
        <v>-3115</v>
      </c>
      <c r="I56" s="25" t="s">
        <v>3488</v>
      </c>
      <c r="J56" s="14"/>
      <c r="K56" s="17"/>
      <c r="L56" s="17">
        <v>42565</v>
      </c>
      <c r="M56" s="25" t="s">
        <v>65</v>
      </c>
      <c r="N56" s="14"/>
      <c r="O56" s="18">
        <v>30</v>
      </c>
      <c r="P56" s="19"/>
      <c r="Q56" s="153">
        <v>13600</v>
      </c>
      <c r="R56" s="18">
        <f t="shared" si="85"/>
        <v>8027.5</v>
      </c>
      <c r="S56" s="30">
        <f t="shared" si="86"/>
        <v>-4550</v>
      </c>
      <c r="T56" s="31">
        <f t="shared" si="87"/>
        <v>2605.1438987576284</v>
      </c>
      <c r="U56" s="18">
        <f t="shared" si="88"/>
        <v>650</v>
      </c>
      <c r="V56" s="14"/>
      <c r="W56" s="18">
        <f t="shared" si="89"/>
        <v>39.692894507410635</v>
      </c>
      <c r="X56" s="18">
        <f t="shared" si="90"/>
        <v>39.920021264059081</v>
      </c>
      <c r="Y56" s="21">
        <f t="shared" si="91"/>
        <v>457882.64389875764</v>
      </c>
      <c r="Z56" s="32">
        <v>42578</v>
      </c>
      <c r="AA56" s="37">
        <v>41.5</v>
      </c>
      <c r="AB56" s="37" t="s">
        <v>3492</v>
      </c>
    </row>
    <row r="57" spans="1:29" s="12" customFormat="1" x14ac:dyDescent="0.25">
      <c r="A57" s="109"/>
      <c r="B57" s="24" t="s">
        <v>25</v>
      </c>
      <c r="C57" s="25" t="s">
        <v>40</v>
      </c>
      <c r="D57" s="25" t="s">
        <v>40</v>
      </c>
      <c r="E57" s="14" t="s">
        <v>42</v>
      </c>
      <c r="F57" s="26">
        <f>42340*0.4536</f>
        <v>19205.423999999999</v>
      </c>
      <c r="G57" s="27">
        <v>19076.5</v>
      </c>
      <c r="H57" s="27">
        <f>G57-F57</f>
        <v>-128.92399999999907</v>
      </c>
      <c r="I57" s="12" t="s">
        <v>3283</v>
      </c>
      <c r="J57" s="93" t="s">
        <v>44</v>
      </c>
      <c r="K57" s="17">
        <v>42565</v>
      </c>
      <c r="L57" s="17">
        <v>42566</v>
      </c>
      <c r="M57" s="25" t="s">
        <v>84</v>
      </c>
      <c r="N57" s="25" t="s">
        <v>3284</v>
      </c>
      <c r="O57" s="18"/>
      <c r="P57" s="28">
        <f>0.8385+0.1</f>
        <v>0.9385</v>
      </c>
      <c r="Q57" s="153">
        <v>20000</v>
      </c>
      <c r="R57" s="18">
        <v>9056</v>
      </c>
      <c r="S57" s="30">
        <v>18.597000000000001</v>
      </c>
      <c r="T57" s="31">
        <f>W57*F57*0.005</f>
        <v>3850.7491193510236</v>
      </c>
      <c r="V57" s="18">
        <v>0.1</v>
      </c>
      <c r="W57" s="18">
        <f t="shared" ref="W57" si="92">IF(O57&gt;0,O57,((P57*2.2046*S57)+(Q57+R57)/G57)+V57)</f>
        <v>40.100641561998565</v>
      </c>
      <c r="X57" s="18">
        <f t="shared" ref="X57" si="93">IF(O57&gt;0,O57,((P57*2.2046*S57)+(Q57+R57+T57)/G57)+V57)</f>
        <v>40.302499823175978</v>
      </c>
      <c r="Y57" s="21">
        <f t="shared" ref="Y57" si="94">X57*F57</f>
        <v>774026.5973640196</v>
      </c>
      <c r="Z57" s="32">
        <v>42578</v>
      </c>
      <c r="AA57" s="37"/>
      <c r="AB57" s="205" t="s">
        <v>3524</v>
      </c>
    </row>
    <row r="58" spans="1:29" s="12" customFormat="1" x14ac:dyDescent="0.25">
      <c r="A58" s="109"/>
      <c r="B58" s="24" t="s">
        <v>32</v>
      </c>
      <c r="C58" s="14" t="s">
        <v>33</v>
      </c>
      <c r="D58" s="25" t="s">
        <v>3521</v>
      </c>
      <c r="E58" s="14">
        <v>250</v>
      </c>
      <c r="F58" s="26">
        <v>25990</v>
      </c>
      <c r="G58" s="27">
        <f>21060</f>
        <v>21060</v>
      </c>
      <c r="H58" s="27">
        <f t="shared" ref="H58:H62" si="95">G58-F58</f>
        <v>-4930</v>
      </c>
      <c r="I58" s="12" t="s">
        <v>3522</v>
      </c>
      <c r="J58" s="14"/>
      <c r="K58" s="17"/>
      <c r="L58" s="17">
        <v>42566</v>
      </c>
      <c r="M58" s="25" t="s">
        <v>84</v>
      </c>
      <c r="N58" s="14"/>
      <c r="O58" s="18">
        <v>30</v>
      </c>
      <c r="P58" s="19"/>
      <c r="Q58" s="153">
        <v>17300</v>
      </c>
      <c r="R58" s="18">
        <f t="shared" ref="R58:R59" si="96">61.75*E58</f>
        <v>15437.5</v>
      </c>
      <c r="S58" s="30">
        <f>-35*E58</f>
        <v>-8750</v>
      </c>
      <c r="T58" s="31">
        <f>W58*F58*0.0045</f>
        <v>4470.1550480769229</v>
      </c>
      <c r="U58" s="18">
        <f>E58*5</f>
        <v>1250</v>
      </c>
      <c r="V58" s="14"/>
      <c r="W58" s="18">
        <f>((O58*F58)+Q58+R58+S58+U58)/G58</f>
        <v>38.221153846153847</v>
      </c>
      <c r="X58" s="18">
        <f>((O58*F58)+Q58+R58+S58+T58+U58)/G58</f>
        <v>38.433411920611441</v>
      </c>
      <c r="Y58" s="21">
        <f t="shared" ref="Y58:Y59" si="97">X58*G58</f>
        <v>809407.65504807699</v>
      </c>
      <c r="Z58" s="32">
        <v>42579</v>
      </c>
      <c r="AA58" s="2"/>
      <c r="AB58" s="2"/>
    </row>
    <row r="59" spans="1:29" s="12" customFormat="1" x14ac:dyDescent="0.25">
      <c r="A59" s="109"/>
      <c r="B59" s="24" t="s">
        <v>32</v>
      </c>
      <c r="C59" s="14" t="s">
        <v>33</v>
      </c>
      <c r="D59" s="25" t="s">
        <v>1102</v>
      </c>
      <c r="E59" s="14">
        <v>130</v>
      </c>
      <c r="F59" s="26">
        <v>14385</v>
      </c>
      <c r="G59" s="27">
        <f>11270</f>
        <v>11270</v>
      </c>
      <c r="H59" s="27">
        <f t="shared" si="95"/>
        <v>-3115</v>
      </c>
      <c r="I59" s="25" t="s">
        <v>3523</v>
      </c>
      <c r="J59" s="14"/>
      <c r="K59" s="17"/>
      <c r="L59" s="17">
        <v>42566</v>
      </c>
      <c r="M59" s="25" t="s">
        <v>84</v>
      </c>
      <c r="N59" s="14"/>
      <c r="O59" s="18">
        <v>30</v>
      </c>
      <c r="P59" s="19"/>
      <c r="Q59" s="153">
        <v>13600</v>
      </c>
      <c r="R59" s="18">
        <f t="shared" si="96"/>
        <v>8027.5</v>
      </c>
      <c r="S59" s="30">
        <f>-35*E59</f>
        <v>-4550</v>
      </c>
      <c r="T59" s="31">
        <f>W59*F59*0.0045</f>
        <v>2580.5550815217393</v>
      </c>
      <c r="U59" s="18">
        <f>E59*5</f>
        <v>650</v>
      </c>
      <c r="V59" s="14"/>
      <c r="W59" s="18">
        <f>((O59*F59)+Q59+R59+S59+U59)/G59</f>
        <v>39.864906832298139</v>
      </c>
      <c r="X59" s="18">
        <f>((O59*F59)+Q59+R59+S59+T59+U59)/G59</f>
        <v>40.093882438466878</v>
      </c>
      <c r="Y59" s="21">
        <f t="shared" si="97"/>
        <v>451858.05508152168</v>
      </c>
      <c r="Z59" s="32">
        <v>42579</v>
      </c>
      <c r="AA59" s="2"/>
      <c r="AB59" s="37" t="s">
        <v>3530</v>
      </c>
    </row>
    <row r="60" spans="1:29" s="12" customFormat="1" x14ac:dyDescent="0.25">
      <c r="A60" s="109"/>
      <c r="B60" s="24" t="s">
        <v>25</v>
      </c>
      <c r="C60" s="25" t="s">
        <v>26</v>
      </c>
      <c r="D60" s="25" t="s">
        <v>26</v>
      </c>
      <c r="E60" s="14" t="s">
        <v>63</v>
      </c>
      <c r="F60" s="26">
        <f>39969*0.4536</f>
        <v>18129.938399999999</v>
      </c>
      <c r="G60" s="27">
        <v>18129</v>
      </c>
      <c r="H60" s="27">
        <f t="shared" si="95"/>
        <v>-0.93839999999909196</v>
      </c>
      <c r="I60" s="177" t="s">
        <v>3285</v>
      </c>
      <c r="J60" s="93" t="s">
        <v>74</v>
      </c>
      <c r="K60" s="17">
        <v>42566</v>
      </c>
      <c r="L60" s="17">
        <v>42567</v>
      </c>
      <c r="M60" s="25" t="s">
        <v>30</v>
      </c>
      <c r="N60" s="25" t="s">
        <v>3289</v>
      </c>
      <c r="O60" s="18"/>
      <c r="P60" s="28">
        <f>0.8367+0.1075</f>
        <v>0.94420000000000004</v>
      </c>
      <c r="Q60" s="153">
        <v>20000</v>
      </c>
      <c r="R60" s="18">
        <v>9056</v>
      </c>
      <c r="S60" s="30">
        <v>18.77</v>
      </c>
      <c r="T60" s="31">
        <f t="shared" ref="T60:T62" si="98">W60*F60*0.005</f>
        <v>3696.155515042502</v>
      </c>
      <c r="V60" s="18">
        <v>0.1</v>
      </c>
      <c r="W60" s="18">
        <f>IF(O60&gt;0,O60,((P60*2.2046*S60)+(Q60+R60)/G60)+V60)</f>
        <v>40.77405486432874</v>
      </c>
      <c r="X60" s="18">
        <f>IF(O60&gt;0,O60,((P60*2.2046*S60)+(Q60+R60+T60)/G60)+V60)</f>
        <v>40.977935691458889</v>
      </c>
      <c r="Y60" s="21">
        <f t="shared" ref="Y60:Y62" si="99">X60*F60</f>
        <v>742927.449845311</v>
      </c>
      <c r="Z60" s="32">
        <v>42559</v>
      </c>
      <c r="AA60" s="2" t="s">
        <v>3555</v>
      </c>
      <c r="AC60" s="39" t="s">
        <v>3525</v>
      </c>
    </row>
    <row r="61" spans="1:29" s="12" customFormat="1" x14ac:dyDescent="0.25">
      <c r="A61" s="109"/>
      <c r="B61" s="24" t="s">
        <v>25</v>
      </c>
      <c r="C61" s="25" t="s">
        <v>40</v>
      </c>
      <c r="D61" s="25" t="s">
        <v>40</v>
      </c>
      <c r="E61" s="14" t="s">
        <v>42</v>
      </c>
      <c r="F61" s="26">
        <f>41391*0.4536</f>
        <v>18774.957600000002</v>
      </c>
      <c r="G61" s="27">
        <v>18771.419999999998</v>
      </c>
      <c r="H61" s="27">
        <f>G61-F61</f>
        <v>-3.5376000000032946</v>
      </c>
      <c r="I61" s="12" t="s">
        <v>3286</v>
      </c>
      <c r="J61" s="93" t="s">
        <v>44</v>
      </c>
      <c r="K61" s="17">
        <v>42566</v>
      </c>
      <c r="L61" s="17">
        <v>42567</v>
      </c>
      <c r="M61" s="25" t="s">
        <v>30</v>
      </c>
      <c r="N61" s="25" t="s">
        <v>3288</v>
      </c>
      <c r="O61" s="18"/>
      <c r="P61" s="28">
        <f>0.8367+0.1</f>
        <v>0.93669999999999998</v>
      </c>
      <c r="Q61" s="153">
        <v>20000</v>
      </c>
      <c r="R61" s="18">
        <v>9056</v>
      </c>
      <c r="S61" s="30">
        <v>18.597000000000001</v>
      </c>
      <c r="T61" s="31">
        <f>W61*F61*0.005</f>
        <v>3759.8352652108333</v>
      </c>
      <c r="V61" s="18">
        <v>0.1</v>
      </c>
      <c r="W61" s="18">
        <f>IF(O61&gt;0,O61,((P61*2.2046*S61)+(Q61+R61)/G61)+V61)</f>
        <v>40.051597935015657</v>
      </c>
      <c r="X61" s="18">
        <f>IF(O61&gt;0,O61,((P61*2.2046*S61)+(Q61+R61+T61)/G61)+V61)</f>
        <v>40.25189366465203</v>
      </c>
      <c r="Y61" s="21">
        <f>X61*F61</f>
        <v>755727.59687355056</v>
      </c>
      <c r="Z61" s="32">
        <v>42578</v>
      </c>
      <c r="AA61" s="37"/>
      <c r="AB61" s="37"/>
    </row>
    <row r="62" spans="1:29" s="12" customFormat="1" x14ac:dyDescent="0.25">
      <c r="A62" s="109"/>
      <c r="B62" s="24" t="s">
        <v>25</v>
      </c>
      <c r="C62" s="25" t="s">
        <v>72</v>
      </c>
      <c r="D62" s="25" t="s">
        <v>72</v>
      </c>
      <c r="E62" s="187"/>
      <c r="F62" s="188">
        <v>19000</v>
      </c>
      <c r="G62" s="189">
        <v>19000</v>
      </c>
      <c r="H62" s="189">
        <f t="shared" si="95"/>
        <v>0</v>
      </c>
      <c r="I62" s="190" t="s">
        <v>3287</v>
      </c>
      <c r="J62" s="187" t="s">
        <v>487</v>
      </c>
      <c r="K62" s="191">
        <v>42566</v>
      </c>
      <c r="L62" s="191">
        <v>42567</v>
      </c>
      <c r="M62" s="186" t="s">
        <v>30</v>
      </c>
      <c r="N62" s="186" t="s">
        <v>3290</v>
      </c>
      <c r="O62" s="192"/>
      <c r="P62" s="193"/>
      <c r="Q62" s="192">
        <v>20000</v>
      </c>
      <c r="R62" s="192">
        <v>9200</v>
      </c>
      <c r="S62" s="194">
        <v>18.515000000000001</v>
      </c>
      <c r="T62" s="195">
        <f t="shared" si="98"/>
        <v>155.5</v>
      </c>
      <c r="U62" s="190"/>
      <c r="V62" s="192">
        <v>0.1</v>
      </c>
      <c r="W62" s="192">
        <f>IF(O62&gt;0,O62,((P62*2.2046*S62)+(Q62+R62)/G62)+V62)</f>
        <v>1.6368421052631579</v>
      </c>
      <c r="X62" s="192">
        <f>IF(O62&gt;0,O62,((P62*2.2046*S62)+(Q62+R62+T62)/G62)+V62)</f>
        <v>1.6450263157894738</v>
      </c>
      <c r="Y62" s="196">
        <f t="shared" si="99"/>
        <v>31255.500000000004</v>
      </c>
      <c r="Z62" s="197"/>
      <c r="AA62" s="2"/>
      <c r="AB62" s="2"/>
    </row>
    <row r="63" spans="1:29" s="12" customFormat="1" ht="15.75" thickBot="1" x14ac:dyDescent="0.3">
      <c r="A63" s="109"/>
      <c r="B63" s="41"/>
      <c r="C63" s="4"/>
      <c r="D63" s="4"/>
      <c r="E63" s="4"/>
      <c r="F63" s="42"/>
      <c r="G63" s="42"/>
      <c r="H63" s="42"/>
      <c r="I63" s="6"/>
      <c r="J63" s="4"/>
      <c r="K63" s="7"/>
      <c r="L63" s="7"/>
      <c r="M63" s="4"/>
      <c r="N63" s="4"/>
      <c r="O63" s="8"/>
      <c r="P63" s="9"/>
      <c r="Q63" s="8"/>
      <c r="R63" s="8"/>
      <c r="S63" s="8"/>
      <c r="T63" s="8"/>
      <c r="U63" s="8"/>
      <c r="V63" s="8"/>
      <c r="W63" s="8"/>
      <c r="X63" s="8"/>
      <c r="Y63" s="11"/>
      <c r="Z63" s="43"/>
      <c r="AA63" s="2"/>
      <c r="AB63" s="2"/>
    </row>
    <row r="64" spans="1:29" s="12" customFormat="1" x14ac:dyDescent="0.25">
      <c r="A64" s="202"/>
      <c r="B64" s="14" t="s">
        <v>32</v>
      </c>
      <c r="C64" s="14" t="s">
        <v>33</v>
      </c>
      <c r="D64" s="25" t="s">
        <v>87</v>
      </c>
      <c r="E64" s="14">
        <f>249+10</f>
        <v>259</v>
      </c>
      <c r="F64" s="26">
        <f>1010+27175</f>
        <v>28185</v>
      </c>
      <c r="G64" s="27">
        <f>16480+6030</f>
        <v>22510</v>
      </c>
      <c r="H64" s="27">
        <f t="shared" ref="H64:H65" si="100">G64-F64</f>
        <v>-5675</v>
      </c>
      <c r="I64" s="25" t="s">
        <v>3543</v>
      </c>
      <c r="J64" s="14"/>
      <c r="K64" s="17"/>
      <c r="L64" s="17">
        <v>42568</v>
      </c>
      <c r="M64" s="25" t="s">
        <v>36</v>
      </c>
      <c r="N64" s="14"/>
      <c r="O64" s="18">
        <v>30</v>
      </c>
      <c r="P64" s="19"/>
      <c r="Q64" s="211">
        <v>17300</v>
      </c>
      <c r="R64" s="18">
        <f t="shared" ref="R64:R65" si="101">61.75*E64</f>
        <v>15993.25</v>
      </c>
      <c r="S64" s="30">
        <f>-35*E64</f>
        <v>-9065</v>
      </c>
      <c r="T64" s="31">
        <f>W64*F64*0.0045</f>
        <v>4908.0585508940476</v>
      </c>
      <c r="U64" s="18">
        <f>E64*5</f>
        <v>1295</v>
      </c>
      <c r="V64" s="14"/>
      <c r="W64" s="18">
        <f>((O64*F64)+Q64+R64+S64+U64)/G64</f>
        <v>38.697167925366507</v>
      </c>
      <c r="X64" s="18">
        <f>((O64*F64)+Q64+R64+S64+T64+U64)/G64</f>
        <v>38.915206954726521</v>
      </c>
      <c r="Y64" s="21">
        <f>X64*G64</f>
        <v>875981.30855089403</v>
      </c>
      <c r="Z64" s="32">
        <v>42583</v>
      </c>
      <c r="AA64" s="2">
        <v>41.5</v>
      </c>
      <c r="AB64" s="2" t="s">
        <v>3554</v>
      </c>
    </row>
    <row r="65" spans="1:28" s="12" customFormat="1" x14ac:dyDescent="0.25">
      <c r="A65" s="202"/>
      <c r="B65" s="24" t="s">
        <v>32</v>
      </c>
      <c r="C65" s="14" t="s">
        <v>33</v>
      </c>
      <c r="D65" s="25" t="s">
        <v>1102</v>
      </c>
      <c r="E65" s="14">
        <v>220</v>
      </c>
      <c r="F65" s="26">
        <v>24750</v>
      </c>
      <c r="G65" s="27">
        <f>13600+6790</f>
        <v>20390</v>
      </c>
      <c r="H65" s="27">
        <f t="shared" si="100"/>
        <v>-4360</v>
      </c>
      <c r="I65" s="25" t="s">
        <v>3546</v>
      </c>
      <c r="J65" s="14"/>
      <c r="K65" s="17"/>
      <c r="L65" s="17">
        <v>42569</v>
      </c>
      <c r="M65" s="25" t="s">
        <v>39</v>
      </c>
      <c r="N65" s="14"/>
      <c r="O65" s="18">
        <v>30</v>
      </c>
      <c r="P65" s="19"/>
      <c r="Q65" s="211">
        <v>17300</v>
      </c>
      <c r="R65" s="18">
        <f t="shared" si="101"/>
        <v>13585</v>
      </c>
      <c r="S65" s="30">
        <f t="shared" ref="S65" si="102">-35*E65</f>
        <v>-7700</v>
      </c>
      <c r="T65" s="31">
        <f>W65*F65*0.0045</f>
        <v>4188.3609306032358</v>
      </c>
      <c r="U65" s="18">
        <f>E65*5</f>
        <v>1100</v>
      </c>
      <c r="V65" s="14"/>
      <c r="W65" s="18">
        <f>((O65*F65)+Q65+R65+S65+U65)/G65</f>
        <v>37.605934281510542</v>
      </c>
      <c r="X65" s="18">
        <f>((O65*F65)+Q65+R65+S65+T65+U65)/G65</f>
        <v>37.811346784237529</v>
      </c>
      <c r="Y65" s="21">
        <f>X65*G65</f>
        <v>770973.36093060323</v>
      </c>
      <c r="Z65" s="32">
        <v>42583</v>
      </c>
      <c r="AA65" s="2">
        <v>41.5</v>
      </c>
      <c r="AB65" s="2" t="s">
        <v>3604</v>
      </c>
    </row>
    <row r="66" spans="1:28" s="12" customFormat="1" x14ac:dyDescent="0.25">
      <c r="A66" s="202"/>
      <c r="B66" s="24" t="s">
        <v>25</v>
      </c>
      <c r="C66" s="25" t="s">
        <v>40</v>
      </c>
      <c r="D66" s="25" t="s">
        <v>40</v>
      </c>
      <c r="E66" s="14" t="s">
        <v>42</v>
      </c>
      <c r="F66" s="26">
        <f>41475*0.4536</f>
        <v>18813.060000000001</v>
      </c>
      <c r="G66" s="27">
        <v>18775.43</v>
      </c>
      <c r="H66" s="27">
        <f>G66-F66</f>
        <v>-37.630000000001019</v>
      </c>
      <c r="I66" s="94" t="s">
        <v>3305</v>
      </c>
      <c r="J66" s="93" t="s">
        <v>44</v>
      </c>
      <c r="K66" s="17">
        <v>42570</v>
      </c>
      <c r="L66" s="17">
        <v>42571</v>
      </c>
      <c r="M66" s="25" t="s">
        <v>50</v>
      </c>
      <c r="N66" s="25" t="s">
        <v>3299</v>
      </c>
      <c r="O66" s="18"/>
      <c r="P66" s="28">
        <f>0.833+0.1</f>
        <v>0.93299999999999994</v>
      </c>
      <c r="Q66" s="153">
        <v>20000</v>
      </c>
      <c r="R66" s="18">
        <v>9069</v>
      </c>
      <c r="S66" s="30">
        <v>18.64</v>
      </c>
      <c r="T66" s="31">
        <f>W66*F66*0.005</f>
        <v>3761.5500011730969</v>
      </c>
      <c r="V66" s="18">
        <v>0.1</v>
      </c>
      <c r="W66" s="18">
        <f t="shared" ref="W66:W67" si="103">IF(O66&gt;0,O66,((P66*2.2046*S66)+(Q66+R66)/G66)+V66)</f>
        <v>39.988709983097877</v>
      </c>
      <c r="X66" s="18">
        <f t="shared" ref="X66:X67" si="104">IF(O66&gt;0,O66,((P66*2.2046*S66)+(Q66+R66+T66)/G66)+V66)</f>
        <v>40.189054262891901</v>
      </c>
      <c r="Y66" s="21">
        <f t="shared" ref="Y66:Y67" si="105">X66*F66</f>
        <v>756079.08919104119</v>
      </c>
      <c r="Z66" s="32">
        <v>42580</v>
      </c>
      <c r="AA66" s="37">
        <v>41</v>
      </c>
      <c r="AB66" s="37"/>
    </row>
    <row r="67" spans="1:28" s="12" customFormat="1" x14ac:dyDescent="0.25">
      <c r="A67" s="202"/>
      <c r="B67" s="24" t="s">
        <v>25</v>
      </c>
      <c r="C67" s="25" t="s">
        <v>72</v>
      </c>
      <c r="D67" s="25" t="s">
        <v>72</v>
      </c>
      <c r="E67" s="14" t="s">
        <v>42</v>
      </c>
      <c r="F67" s="26">
        <f>42464*0.4536</f>
        <v>19261.670399999999</v>
      </c>
      <c r="G67" s="27">
        <v>19261.3</v>
      </c>
      <c r="H67" s="27">
        <f>G67-F67</f>
        <v>-0.37039999999979045</v>
      </c>
      <c r="I67" s="12" t="s">
        <v>3308</v>
      </c>
      <c r="J67" s="93" t="s">
        <v>49</v>
      </c>
      <c r="K67" s="17">
        <v>42569</v>
      </c>
      <c r="L67" s="17">
        <v>42570</v>
      </c>
      <c r="M67" s="25" t="s">
        <v>45</v>
      </c>
      <c r="N67" s="25" t="s">
        <v>3300</v>
      </c>
      <c r="O67" s="18"/>
      <c r="P67" s="28">
        <f>0.833+0.105</f>
        <v>0.93799999999999994</v>
      </c>
      <c r="Q67" s="153">
        <v>20000</v>
      </c>
      <c r="R67" s="18">
        <v>9082</v>
      </c>
      <c r="S67" s="30">
        <v>18.55</v>
      </c>
      <c r="T67" s="31">
        <f>W67*F67*0.005</f>
        <v>3849.4146343883622</v>
      </c>
      <c r="V67" s="18">
        <v>0.1</v>
      </c>
      <c r="W67" s="18">
        <f t="shared" si="103"/>
        <v>39.969686475253596</v>
      </c>
      <c r="X67" s="18">
        <f t="shared" si="104"/>
        <v>40.169538750769185</v>
      </c>
      <c r="Y67" s="21">
        <f t="shared" si="105"/>
        <v>773732.41553734371</v>
      </c>
      <c r="Z67" s="32">
        <v>42564</v>
      </c>
      <c r="AA67" s="37">
        <v>41</v>
      </c>
      <c r="AB67" s="37"/>
    </row>
    <row r="68" spans="1:28" s="12" customFormat="1" x14ac:dyDescent="0.25">
      <c r="A68" s="202"/>
      <c r="B68" s="24" t="s">
        <v>32</v>
      </c>
      <c r="C68" s="14" t="s">
        <v>33</v>
      </c>
      <c r="D68" s="25" t="s">
        <v>38</v>
      </c>
      <c r="E68" s="14">
        <v>221</v>
      </c>
      <c r="F68" s="26">
        <f>27080+123</f>
        <v>27203</v>
      </c>
      <c r="G68" s="27">
        <f>14450+7230</f>
        <v>21680</v>
      </c>
      <c r="H68" s="27">
        <f t="shared" ref="H68" si="106">G68-F68</f>
        <v>-5523</v>
      </c>
      <c r="I68" s="12" t="s">
        <v>3683</v>
      </c>
      <c r="J68" s="133">
        <v>221</v>
      </c>
      <c r="K68" s="17"/>
      <c r="L68" s="17">
        <v>42570</v>
      </c>
      <c r="M68" s="25" t="s">
        <v>45</v>
      </c>
      <c r="N68" s="14"/>
      <c r="O68" s="18">
        <v>30</v>
      </c>
      <c r="P68" s="19"/>
      <c r="Q68" s="211">
        <v>17300</v>
      </c>
      <c r="R68" s="18">
        <f t="shared" ref="R68" si="107">61.75*E68</f>
        <v>13646.75</v>
      </c>
      <c r="S68" s="30">
        <f t="shared" ref="S68" si="108">-35*E68</f>
        <v>-7735</v>
      </c>
      <c r="T68" s="31">
        <f>W68*F68*0.0045</f>
        <v>4745.2551518046575</v>
      </c>
      <c r="U68" s="18">
        <f>E68*5</f>
        <v>1105</v>
      </c>
      <c r="V68" s="14"/>
      <c r="W68" s="18">
        <f>((O68*F68)+Q68+R68+S68+U68)/G68</f>
        <v>38.764148985239849</v>
      </c>
      <c r="X68" s="18">
        <f>((O68*F68)+Q68+R68+S68+T68+U68)/G68</f>
        <v>38.983026067887671</v>
      </c>
      <c r="Y68" s="21">
        <f>X68*G68</f>
        <v>845152.00515180477</v>
      </c>
      <c r="Z68" s="32">
        <v>42583</v>
      </c>
      <c r="AA68" s="37">
        <v>41.5</v>
      </c>
      <c r="AB68" s="37" t="s">
        <v>3605</v>
      </c>
    </row>
    <row r="69" spans="1:28" s="12" customFormat="1" x14ac:dyDescent="0.25">
      <c r="A69" s="202"/>
      <c r="B69" s="24" t="s">
        <v>25</v>
      </c>
      <c r="C69" s="25" t="s">
        <v>72</v>
      </c>
      <c r="D69" s="25" t="s">
        <v>72</v>
      </c>
      <c r="E69" s="14" t="s">
        <v>831</v>
      </c>
      <c r="F69" s="26">
        <f>41168*0.4536</f>
        <v>18673.804800000002</v>
      </c>
      <c r="G69" s="27">
        <v>18562.810000000001</v>
      </c>
      <c r="H69" s="27">
        <f>G69-F69</f>
        <v>-110.9948000000004</v>
      </c>
      <c r="I69" s="12" t="s">
        <v>3309</v>
      </c>
      <c r="J69" s="93" t="s">
        <v>44</v>
      </c>
      <c r="K69" s="17">
        <v>42570</v>
      </c>
      <c r="L69" s="17">
        <v>42571</v>
      </c>
      <c r="M69" s="25" t="s">
        <v>50</v>
      </c>
      <c r="N69" s="25" t="s">
        <v>3300</v>
      </c>
      <c r="O69" s="18"/>
      <c r="P69" s="28">
        <f>0.833+0.105</f>
        <v>0.93799999999999994</v>
      </c>
      <c r="Q69" s="153">
        <v>20000</v>
      </c>
      <c r="R69" s="18">
        <v>9069</v>
      </c>
      <c r="S69" s="30">
        <v>18.565000000000001</v>
      </c>
      <c r="T69" s="31">
        <f>W69*F69*0.005</f>
        <v>3740.0660799720918</v>
      </c>
      <c r="V69" s="18">
        <v>0.1</v>
      </c>
      <c r="W69" s="18">
        <f t="shared" ref="W69" si="109">IF(O69&gt;0,O69,((P69*2.2046*S69)+(Q69+R69)/G69)+V69)</f>
        <v>40.056818843603757</v>
      </c>
      <c r="X69" s="18">
        <f t="shared" ref="X69" si="110">IF(O69&gt;0,O69,((P69*2.2046*S69)+(Q69+R69+T69)/G69)+V69)</f>
        <v>40.258300520137219</v>
      </c>
      <c r="Y69" s="21">
        <f t="shared" ref="Y69" si="111">X69*F69</f>
        <v>751775.64549278095</v>
      </c>
      <c r="Z69" s="32">
        <v>42564</v>
      </c>
      <c r="AA69" s="37"/>
      <c r="AB69" s="37"/>
    </row>
    <row r="70" spans="1:28" s="12" customFormat="1" x14ac:dyDescent="0.25">
      <c r="A70" s="202"/>
      <c r="B70" s="24" t="s">
        <v>32</v>
      </c>
      <c r="C70" s="14" t="s">
        <v>33</v>
      </c>
      <c r="D70" s="25" t="s">
        <v>1475</v>
      </c>
      <c r="E70" s="14">
        <v>250</v>
      </c>
      <c r="F70" s="26">
        <v>27900</v>
      </c>
      <c r="G70" s="27">
        <f>6090+16080</f>
        <v>22170</v>
      </c>
      <c r="H70" s="27">
        <f t="shared" ref="H70" si="112">G70-F70</f>
        <v>-5730</v>
      </c>
      <c r="I70" s="12" t="s">
        <v>3598</v>
      </c>
      <c r="J70" s="14"/>
      <c r="K70" s="17"/>
      <c r="L70" s="17">
        <v>42571</v>
      </c>
      <c r="M70" s="25" t="s">
        <v>50</v>
      </c>
      <c r="N70" s="14"/>
      <c r="O70" s="18">
        <v>30</v>
      </c>
      <c r="P70" s="19"/>
      <c r="Q70" s="211">
        <v>17300</v>
      </c>
      <c r="R70" s="18">
        <f t="shared" ref="R70" si="113">61.75*E70</f>
        <v>15437.5</v>
      </c>
      <c r="S70" s="30">
        <f t="shared" ref="S70" si="114">-35*E70</f>
        <v>-8750</v>
      </c>
      <c r="T70" s="31">
        <f>W70*F70*0.0045</f>
        <v>4882.9011332882274</v>
      </c>
      <c r="U70" s="18">
        <f>E70*5</f>
        <v>1250</v>
      </c>
      <c r="V70" s="14"/>
      <c r="W70" s="18">
        <f>((O70*F70)+Q70+R70+S70+U70)/G70</f>
        <v>38.892083897158322</v>
      </c>
      <c r="X70" s="18">
        <f>((O70*F70)+Q70+R70+S70+T70+U70)/G70</f>
        <v>39.112332031271464</v>
      </c>
      <c r="Y70" s="21">
        <f>X70*G70</f>
        <v>867120.4011332884</v>
      </c>
      <c r="Z70" s="32">
        <v>42584</v>
      </c>
      <c r="AA70" s="37"/>
      <c r="AB70" s="37" t="s">
        <v>3621</v>
      </c>
    </row>
    <row r="71" spans="1:28" s="12" customFormat="1" x14ac:dyDescent="0.25">
      <c r="A71" s="202"/>
      <c r="B71" s="24" t="s">
        <v>25</v>
      </c>
      <c r="C71" s="25" t="s">
        <v>72</v>
      </c>
      <c r="D71" s="25" t="s">
        <v>72</v>
      </c>
      <c r="E71" s="14" t="s">
        <v>42</v>
      </c>
      <c r="F71" s="26">
        <f>42756*0.4536</f>
        <v>19394.121599999999</v>
      </c>
      <c r="G71" s="27">
        <v>19394</v>
      </c>
      <c r="H71" s="27">
        <f>G71-F71</f>
        <v>-0.12159999999857973</v>
      </c>
      <c r="I71" s="177" t="s">
        <v>3310</v>
      </c>
      <c r="J71" s="93" t="s">
        <v>44</v>
      </c>
      <c r="K71" s="17">
        <v>42571</v>
      </c>
      <c r="L71" s="17">
        <v>42572</v>
      </c>
      <c r="M71" s="25" t="s">
        <v>65</v>
      </c>
      <c r="N71" s="25" t="s">
        <v>3301</v>
      </c>
      <c r="O71" s="18"/>
      <c r="P71" s="28">
        <f>0.8061+0.105</f>
        <v>0.91110000000000002</v>
      </c>
      <c r="Q71" s="153">
        <v>20000</v>
      </c>
      <c r="R71" s="18">
        <v>9095</v>
      </c>
      <c r="S71" s="30">
        <v>18.515000000000001</v>
      </c>
      <c r="T71" s="31">
        <f>W71*F71*0.005</f>
        <v>3761.454977350159</v>
      </c>
      <c r="V71" s="18">
        <v>0.1</v>
      </c>
      <c r="W71" s="18">
        <f t="shared" ref="W71" si="115">IF(O71&gt;0,O71,((P71*2.2046*S71)+(Q71+R71)/G71)+V71)</f>
        <v>38.78964002525548</v>
      </c>
      <c r="X71" s="18">
        <f t="shared" ref="X71" si="116">IF(O71&gt;0,O71,((P71*2.2046*S71)+(Q71+R71+T71)/G71)+V71)</f>
        <v>38.983589441433168</v>
      </c>
      <c r="Y71" s="21">
        <f t="shared" ref="Y71" si="117">X71*F71</f>
        <v>756052.4740316309</v>
      </c>
      <c r="Z71" s="32">
        <v>42562</v>
      </c>
      <c r="AA71" s="37">
        <v>41</v>
      </c>
      <c r="AB71" s="37" t="s">
        <v>3639</v>
      </c>
    </row>
    <row r="72" spans="1:28" s="12" customFormat="1" x14ac:dyDescent="0.25">
      <c r="A72" s="202"/>
      <c r="B72" s="24" t="s">
        <v>25</v>
      </c>
      <c r="C72" s="25" t="s">
        <v>72</v>
      </c>
      <c r="D72" s="25" t="s">
        <v>72</v>
      </c>
      <c r="E72" s="14" t="s">
        <v>42</v>
      </c>
      <c r="F72" s="26">
        <f>42942*0.4536</f>
        <v>19478.4912</v>
      </c>
      <c r="G72" s="27">
        <f>19478.2-132.11</f>
        <v>19346.09</v>
      </c>
      <c r="H72" s="27">
        <f>G72-F72</f>
        <v>-132.40120000000024</v>
      </c>
      <c r="I72" s="94" t="s">
        <v>3311</v>
      </c>
      <c r="J72" s="93" t="s">
        <v>44</v>
      </c>
      <c r="K72" s="17">
        <v>42571</v>
      </c>
      <c r="L72" s="17">
        <v>42572</v>
      </c>
      <c r="M72" s="25" t="s">
        <v>65</v>
      </c>
      <c r="N72" s="25" t="s">
        <v>3301</v>
      </c>
      <c r="O72" s="18"/>
      <c r="P72" s="28">
        <f>0.8061+0.105</f>
        <v>0.91110000000000002</v>
      </c>
      <c r="Q72" s="153">
        <v>20000</v>
      </c>
      <c r="R72" s="18">
        <v>9095</v>
      </c>
      <c r="S72" s="30">
        <v>18.381</v>
      </c>
      <c r="T72" s="31">
        <f t="shared" ref="T72" si="118">W72*F72*0.005</f>
        <v>3751.9665857032965</v>
      </c>
      <c r="V72" s="18">
        <v>0.1</v>
      </c>
      <c r="W72" s="18">
        <f>IF(O72&gt;0,O72,((P72*2.2046*S72)+(Q72+R72)/G72)+V72)</f>
        <v>38.524201358093862</v>
      </c>
      <c r="X72" s="18">
        <f>IF(O72&gt;0,O72,((P72*2.2046*S72)+(Q72+R72+T72)/G72)+V72)</f>
        <v>38.718140628804548</v>
      </c>
      <c r="Y72" s="21">
        <f>X72*F72</f>
        <v>754170.9615185319</v>
      </c>
      <c r="Z72" s="32">
        <v>42565</v>
      </c>
      <c r="AA72" s="37">
        <v>41</v>
      </c>
      <c r="AB72" s="37"/>
    </row>
    <row r="73" spans="1:28" s="12" customFormat="1" x14ac:dyDescent="0.25">
      <c r="A73" s="202"/>
      <c r="B73" s="24" t="s">
        <v>32</v>
      </c>
      <c r="C73" s="14" t="s">
        <v>33</v>
      </c>
      <c r="D73" s="25" t="s">
        <v>87</v>
      </c>
      <c r="E73" s="14">
        <f>250+1</f>
        <v>251</v>
      </c>
      <c r="F73" s="26">
        <f>29625+118</f>
        <v>29743</v>
      </c>
      <c r="G73" s="27">
        <f>22170</f>
        <v>22170</v>
      </c>
      <c r="H73" s="27">
        <f t="shared" ref="H73:H74" si="119">G73-F73</f>
        <v>-7573</v>
      </c>
      <c r="I73" s="94" t="s">
        <v>3614</v>
      </c>
      <c r="J73" s="133">
        <v>251</v>
      </c>
      <c r="K73" s="17"/>
      <c r="L73" s="17">
        <v>42572</v>
      </c>
      <c r="M73" s="25" t="s">
        <v>65</v>
      </c>
      <c r="N73" s="14"/>
      <c r="O73" s="18">
        <v>30</v>
      </c>
      <c r="P73" s="19"/>
      <c r="Q73" s="211">
        <v>17300</v>
      </c>
      <c r="R73" s="18">
        <f t="shared" ref="R73:R74" si="120">61.75*E73</f>
        <v>15499.25</v>
      </c>
      <c r="S73" s="30">
        <f t="shared" ref="S73:S74" si="121">-35*E73</f>
        <v>-8785</v>
      </c>
      <c r="T73" s="31">
        <f t="shared" ref="T73:T74" si="122">W73*F73*0.0045</f>
        <v>5539.4380458897158</v>
      </c>
      <c r="U73" s="18">
        <f t="shared" ref="U73:U74" si="123">E73*5</f>
        <v>1255</v>
      </c>
      <c r="V73" s="14"/>
      <c r="W73" s="18">
        <f t="shared" ref="W73:W74" si="124">((O73*F73)+Q73+R73+S73+U73)/G73</f>
        <v>41.387426702751469</v>
      </c>
      <c r="X73" s="18">
        <f t="shared" ref="X73:X74" si="125">((O73*F73)+Q73+R73+S73+T73+U73)/G73</f>
        <v>41.637288590252133</v>
      </c>
      <c r="Y73" s="21">
        <f t="shared" ref="Y73:Y74" si="126">X73*G73</f>
        <v>923098.68804588984</v>
      </c>
      <c r="Z73" s="32">
        <v>42585</v>
      </c>
      <c r="AA73" s="37">
        <v>41.5</v>
      </c>
      <c r="AB73" s="37"/>
    </row>
    <row r="74" spans="1:28" s="12" customFormat="1" x14ac:dyDescent="0.25">
      <c r="A74" s="202"/>
      <c r="B74" s="24" t="s">
        <v>32</v>
      </c>
      <c r="C74" s="14" t="s">
        <v>33</v>
      </c>
      <c r="D74" s="25" t="s">
        <v>87</v>
      </c>
      <c r="E74" s="14">
        <v>130</v>
      </c>
      <c r="F74" s="26">
        <v>13410</v>
      </c>
      <c r="G74" s="27">
        <f>12340</f>
        <v>12340</v>
      </c>
      <c r="H74" s="27">
        <f t="shared" si="119"/>
        <v>-1070</v>
      </c>
      <c r="I74" s="25" t="s">
        <v>3615</v>
      </c>
      <c r="J74" s="14"/>
      <c r="K74" s="17"/>
      <c r="L74" s="17">
        <v>42572</v>
      </c>
      <c r="M74" s="25" t="s">
        <v>65</v>
      </c>
      <c r="N74" s="14"/>
      <c r="O74" s="18">
        <v>30</v>
      </c>
      <c r="P74" s="19"/>
      <c r="Q74" s="211">
        <v>13600</v>
      </c>
      <c r="R74" s="18">
        <f t="shared" si="120"/>
        <v>8027.5</v>
      </c>
      <c r="S74" s="30">
        <f t="shared" si="121"/>
        <v>-4550</v>
      </c>
      <c r="T74" s="31">
        <f t="shared" si="122"/>
        <v>2054.0161659238247</v>
      </c>
      <c r="U74" s="18">
        <f t="shared" si="123"/>
        <v>650</v>
      </c>
      <c r="V74" s="14"/>
      <c r="W74" s="18">
        <f t="shared" si="124"/>
        <v>34.03788492706645</v>
      </c>
      <c r="X74" s="18">
        <f t="shared" si="125"/>
        <v>34.204336804369845</v>
      </c>
      <c r="Y74" s="21">
        <f t="shared" si="126"/>
        <v>422081.51616592391</v>
      </c>
      <c r="Z74" s="32">
        <v>42585</v>
      </c>
      <c r="AA74" s="37">
        <v>41.5</v>
      </c>
      <c r="AB74" s="37" t="s">
        <v>3622</v>
      </c>
    </row>
    <row r="75" spans="1:28" s="12" customFormat="1" x14ac:dyDescent="0.25">
      <c r="A75" s="202"/>
      <c r="B75" s="24" t="s">
        <v>25</v>
      </c>
      <c r="C75" s="25" t="s">
        <v>40</v>
      </c>
      <c r="D75" s="25" t="s">
        <v>40</v>
      </c>
      <c r="E75" s="14" t="s">
        <v>42</v>
      </c>
      <c r="F75" s="26">
        <f>41474.5*0.4536</f>
        <v>18812.833200000001</v>
      </c>
      <c r="G75" s="27">
        <v>18809.29</v>
      </c>
      <c r="H75" s="27">
        <f>G75-F75</f>
        <v>-3.5432000000000698</v>
      </c>
      <c r="I75" s="12" t="s">
        <v>3306</v>
      </c>
      <c r="J75" s="93" t="s">
        <v>44</v>
      </c>
      <c r="K75" s="17">
        <v>42572</v>
      </c>
      <c r="L75" s="17">
        <v>42573</v>
      </c>
      <c r="M75" s="25" t="s">
        <v>84</v>
      </c>
      <c r="N75" s="25" t="s">
        <v>3550</v>
      </c>
      <c r="O75" s="18"/>
      <c r="P75" s="28">
        <f>0.8061+0.1</f>
        <v>0.90610000000000002</v>
      </c>
      <c r="Q75" s="153">
        <v>20000</v>
      </c>
      <c r="R75" s="18">
        <v>9069</v>
      </c>
      <c r="S75" s="30">
        <v>18.64</v>
      </c>
      <c r="T75" s="31">
        <f>W75*F75*0.005</f>
        <v>3657.261914842883</v>
      </c>
      <c r="V75" s="18">
        <v>0.1</v>
      </c>
      <c r="W75" s="18">
        <f t="shared" ref="W75" si="127">IF(O75&gt;0,O75,((P75*2.2046*S75)+(Q75+R75)/G75)+V75)</f>
        <v>38.880501155380287</v>
      </c>
      <c r="X75" s="18">
        <f t="shared" ref="X75" si="128">IF(O75&gt;0,O75,((P75*2.2046*S75)+(Q75+R75+T75)/G75)+V75)</f>
        <v>39.07494028172917</v>
      </c>
      <c r="Y75" s="21">
        <f t="shared" ref="Y75" si="129">X75*F75</f>
        <v>735110.33382013196</v>
      </c>
      <c r="Z75" s="32">
        <v>42584</v>
      </c>
      <c r="AA75" s="37">
        <v>41</v>
      </c>
    </row>
    <row r="76" spans="1:28" s="12" customFormat="1" x14ac:dyDescent="0.25">
      <c r="A76" s="202"/>
      <c r="B76" s="24" t="s">
        <v>32</v>
      </c>
      <c r="C76" s="14" t="s">
        <v>33</v>
      </c>
      <c r="D76" s="25" t="s">
        <v>87</v>
      </c>
      <c r="E76" s="14">
        <f>250+2</f>
        <v>252</v>
      </c>
      <c r="F76" s="26">
        <f>29075+232</f>
        <v>29307</v>
      </c>
      <c r="G76" s="27">
        <f>23210</f>
        <v>23210</v>
      </c>
      <c r="H76" s="27">
        <f t="shared" ref="H76:H78" si="130">G76-F76</f>
        <v>-6097</v>
      </c>
      <c r="I76" s="12" t="s">
        <v>3618</v>
      </c>
      <c r="J76" s="133">
        <v>252</v>
      </c>
      <c r="K76" s="17"/>
      <c r="L76" s="17">
        <v>42573</v>
      </c>
      <c r="M76" s="25" t="s">
        <v>84</v>
      </c>
      <c r="N76" s="14"/>
      <c r="O76" s="18">
        <v>30</v>
      </c>
      <c r="P76" s="19"/>
      <c r="Q76" s="211">
        <v>17300</v>
      </c>
      <c r="R76" s="18">
        <f t="shared" ref="R76:R77" si="131">61.75*E76</f>
        <v>15561</v>
      </c>
      <c r="S76" s="30">
        <f>-35*E76</f>
        <v>-8820</v>
      </c>
      <c r="T76" s="31">
        <f>W76*F76*0.0045</f>
        <v>5139.5203552994399</v>
      </c>
      <c r="U76" s="18">
        <f>E76*5</f>
        <v>1260</v>
      </c>
      <c r="V76" s="14"/>
      <c r="W76" s="18">
        <f>((O76*F76)+Q76+R76+S76+U76)/G76</f>
        <v>38.970745368375702</v>
      </c>
      <c r="X76" s="18">
        <f>((O76*F76)+Q76+R76+S76+T76+U76)/G76</f>
        <v>39.192180971792311</v>
      </c>
      <c r="Y76" s="21">
        <f t="shared" ref="Y76:Y77" si="132">X76*G76</f>
        <v>909650.52035529958</v>
      </c>
      <c r="Z76" s="32">
        <v>42586</v>
      </c>
      <c r="AA76" s="2">
        <v>41.5</v>
      </c>
      <c r="AB76" s="2"/>
    </row>
    <row r="77" spans="1:28" s="12" customFormat="1" x14ac:dyDescent="0.25">
      <c r="A77" s="202"/>
      <c r="B77" s="24" t="s">
        <v>32</v>
      </c>
      <c r="C77" s="14" t="s">
        <v>33</v>
      </c>
      <c r="D77" s="25" t="s">
        <v>1475</v>
      </c>
      <c r="E77" s="14">
        <v>130</v>
      </c>
      <c r="F77" s="26">
        <v>13980</v>
      </c>
      <c r="G77" s="27">
        <f>11280</f>
        <v>11280</v>
      </c>
      <c r="H77" s="27">
        <f t="shared" si="130"/>
        <v>-2700</v>
      </c>
      <c r="I77" s="25" t="s">
        <v>3620</v>
      </c>
      <c r="J77" s="14"/>
      <c r="K77" s="17"/>
      <c r="L77" s="17">
        <v>42573</v>
      </c>
      <c r="M77" s="25" t="s">
        <v>84</v>
      </c>
      <c r="N77" s="14"/>
      <c r="O77" s="18">
        <v>30</v>
      </c>
      <c r="P77" s="19"/>
      <c r="Q77" s="211">
        <v>13600</v>
      </c>
      <c r="R77" s="18">
        <f t="shared" si="131"/>
        <v>8027.5</v>
      </c>
      <c r="S77" s="30">
        <f>-35*E77</f>
        <v>-4550</v>
      </c>
      <c r="T77" s="31">
        <f>W77*F77*0.0045</f>
        <v>2437.9158710106385</v>
      </c>
      <c r="U77" s="18">
        <f>E77*5</f>
        <v>650</v>
      </c>
      <c r="V77" s="14"/>
      <c r="W77" s="18">
        <f>((O77*F77)+Q77+R77+S77+U77)/G77</f>
        <v>38.752437943262414</v>
      </c>
      <c r="X77" s="18">
        <f>((O77*F77)+Q77+R77+S77+T77+U77)/G77</f>
        <v>38.968565236791726</v>
      </c>
      <c r="Y77" s="21">
        <f t="shared" si="132"/>
        <v>439565.41587101069</v>
      </c>
      <c r="Z77" s="32">
        <v>42586</v>
      </c>
      <c r="AA77" s="2">
        <v>41.5</v>
      </c>
      <c r="AB77" s="2" t="s">
        <v>3629</v>
      </c>
    </row>
    <row r="78" spans="1:28" s="12" customFormat="1" x14ac:dyDescent="0.25">
      <c r="A78" s="202"/>
      <c r="B78" s="24" t="s">
        <v>25</v>
      </c>
      <c r="C78" s="25" t="s">
        <v>26</v>
      </c>
      <c r="D78" s="25" t="s">
        <v>26</v>
      </c>
      <c r="E78" s="14" t="s">
        <v>27</v>
      </c>
      <c r="F78" s="26">
        <f>41294*0.4536</f>
        <v>18730.9584</v>
      </c>
      <c r="G78" s="27">
        <v>18730</v>
      </c>
      <c r="H78" s="27">
        <f t="shared" si="130"/>
        <v>-0.95839999999952852</v>
      </c>
      <c r="I78" s="94" t="s">
        <v>3322</v>
      </c>
      <c r="J78" s="93" t="s">
        <v>74</v>
      </c>
      <c r="K78" s="17">
        <v>42573</v>
      </c>
      <c r="L78" s="17">
        <v>42574</v>
      </c>
      <c r="M78" s="25" t="s">
        <v>30</v>
      </c>
      <c r="N78" s="25" t="s">
        <v>3302</v>
      </c>
      <c r="O78" s="18"/>
      <c r="P78" s="28">
        <f>0.8399+0.1075</f>
        <v>0.94740000000000002</v>
      </c>
      <c r="Q78" s="211">
        <v>20000</v>
      </c>
      <c r="R78" s="18">
        <v>9082</v>
      </c>
      <c r="S78" s="30">
        <v>18.355</v>
      </c>
      <c r="T78" s="31">
        <f t="shared" ref="T78" si="133">W78*F78*0.005</f>
        <v>3745.2221125368328</v>
      </c>
      <c r="V78" s="18">
        <v>0.1</v>
      </c>
      <c r="W78" s="18">
        <f>IF(O78&gt;0,O78,((P78*2.2046*S78)+(Q78+R78)/G78)+V78)</f>
        <v>39.989647433489921</v>
      </c>
      <c r="X78" s="18">
        <f>IF(O78&gt;0,O78,((P78*2.2046*S78)+(Q78+R78+T78)/G78)+V78)</f>
        <v>40.189605901858144</v>
      </c>
      <c r="Y78" s="21">
        <f t="shared" ref="Y78" si="134">X78*F78</f>
        <v>752789.83626009931</v>
      </c>
      <c r="Z78" s="32">
        <v>42566</v>
      </c>
      <c r="AA78" s="2">
        <v>41</v>
      </c>
      <c r="AB78" s="2"/>
    </row>
    <row r="79" spans="1:28" s="12" customFormat="1" x14ac:dyDescent="0.25">
      <c r="A79" s="202"/>
      <c r="B79" s="24" t="s">
        <v>25</v>
      </c>
      <c r="C79" s="25" t="s">
        <v>40</v>
      </c>
      <c r="D79" s="25" t="s">
        <v>40</v>
      </c>
      <c r="E79" s="14" t="s">
        <v>42</v>
      </c>
      <c r="F79" s="26">
        <f>41589*0.4536</f>
        <v>18864.770400000001</v>
      </c>
      <c r="G79" s="27">
        <v>18861.22</v>
      </c>
      <c r="H79" s="27">
        <f>G79-F79</f>
        <v>-3.5504000000000815</v>
      </c>
      <c r="I79" s="12" t="s">
        <v>3307</v>
      </c>
      <c r="J79" s="93" t="s">
        <v>44</v>
      </c>
      <c r="K79" s="17">
        <v>42573</v>
      </c>
      <c r="L79" s="17">
        <v>42574</v>
      </c>
      <c r="M79" s="25" t="s">
        <v>30</v>
      </c>
      <c r="N79" s="25" t="s">
        <v>3303</v>
      </c>
      <c r="O79" s="18"/>
      <c r="P79" s="28">
        <f>0.8399+0.1</f>
        <v>0.93989999999999996</v>
      </c>
      <c r="Q79" s="211">
        <v>20000</v>
      </c>
      <c r="R79" s="18">
        <v>9082</v>
      </c>
      <c r="S79" s="30">
        <v>18.64</v>
      </c>
      <c r="T79" s="31">
        <f>W79*F79*0.005</f>
        <v>3798.0351584287091</v>
      </c>
      <c r="V79" s="18">
        <v>0.1</v>
      </c>
      <c r="W79" s="18">
        <f>IF(O79&gt;0,O79,((P79*2.2046*S79)+(Q79+R79)/G79)+V79)</f>
        <v>40.265903882177213</v>
      </c>
      <c r="X79" s="18">
        <f>IF(O79&gt;0,O79,((P79*2.2046*S79)+(Q79+R79+T79)/G79)+V79)</f>
        <v>40.467271299471996</v>
      </c>
      <c r="Y79" s="21">
        <f>X79*F79</f>
        <v>763405.78177904885</v>
      </c>
      <c r="Z79" s="32">
        <v>42585</v>
      </c>
      <c r="AA79" s="37">
        <v>41</v>
      </c>
      <c r="AB79" s="37"/>
    </row>
    <row r="80" spans="1:28" s="12" customFormat="1" ht="15.75" thickBot="1" x14ac:dyDescent="0.3">
      <c r="A80" s="202"/>
      <c r="B80" s="41"/>
      <c r="C80" s="4"/>
      <c r="D80" s="4"/>
      <c r="E80" s="4"/>
      <c r="F80" s="42"/>
      <c r="G80" s="42"/>
      <c r="H80" s="42"/>
      <c r="I80" s="6"/>
      <c r="J80" s="4"/>
      <c r="K80" s="7"/>
      <c r="L80" s="7"/>
      <c r="M80" s="4"/>
      <c r="N80" s="4"/>
      <c r="O80" s="8"/>
      <c r="P80" s="9"/>
      <c r="Q80" s="8"/>
      <c r="R80" s="8"/>
      <c r="S80" s="8"/>
      <c r="T80" s="8"/>
      <c r="U80" s="8"/>
      <c r="V80" s="8"/>
      <c r="W80" s="8"/>
      <c r="X80" s="8"/>
      <c r="Y80" s="11"/>
      <c r="Z80" s="43"/>
      <c r="AA80" s="2"/>
      <c r="AB80" s="2"/>
    </row>
    <row r="81" spans="1:28" s="12" customFormat="1" x14ac:dyDescent="0.25">
      <c r="A81" s="201"/>
      <c r="B81" s="14" t="s">
        <v>32</v>
      </c>
      <c r="C81" s="14" t="s">
        <v>33</v>
      </c>
      <c r="D81" s="25" t="s">
        <v>1510</v>
      </c>
      <c r="E81" s="14">
        <v>230</v>
      </c>
      <c r="F81" s="26">
        <v>26285</v>
      </c>
      <c r="G81" s="27">
        <f>16400+4510</f>
        <v>20910</v>
      </c>
      <c r="H81" s="27">
        <f t="shared" ref="H81:H82" si="135">G81-F81</f>
        <v>-5375</v>
      </c>
      <c r="I81" s="25" t="s">
        <v>3630</v>
      </c>
      <c r="J81" s="14"/>
      <c r="K81" s="17"/>
      <c r="L81" s="17">
        <v>42575</v>
      </c>
      <c r="M81" s="25" t="s">
        <v>36</v>
      </c>
      <c r="N81" s="14"/>
      <c r="O81" s="18">
        <v>30</v>
      </c>
      <c r="P81" s="19"/>
      <c r="Q81" s="18">
        <v>17300</v>
      </c>
      <c r="R81" s="18">
        <f t="shared" ref="R81:R82" si="136">61.75*E81</f>
        <v>14202.5</v>
      </c>
      <c r="S81" s="30">
        <f>-35*E81</f>
        <v>-8050</v>
      </c>
      <c r="T81" s="31">
        <f>W81*F81*0.0045</f>
        <v>4599.794862804878</v>
      </c>
      <c r="U81" s="18">
        <f>E81*5</f>
        <v>1150</v>
      </c>
      <c r="V81" s="14"/>
      <c r="W81" s="18">
        <f>((O81*F81)+Q81+R81+S81+U81)/G81</f>
        <v>38.888211382113823</v>
      </c>
      <c r="X81" s="18">
        <f>((O81*F81)+Q81+R81+S81+T81+U81)/G81</f>
        <v>39.108192006829505</v>
      </c>
      <c r="Y81" s="21">
        <f>X81*G81</f>
        <v>817752.29486280493</v>
      </c>
      <c r="Z81" s="32">
        <v>42590</v>
      </c>
      <c r="AA81" s="2">
        <v>41.5</v>
      </c>
      <c r="AB81" s="2" t="s">
        <v>3640</v>
      </c>
    </row>
    <row r="82" spans="1:28" s="12" customFormat="1" x14ac:dyDescent="0.25">
      <c r="A82" s="201"/>
      <c r="B82" s="24" t="s">
        <v>32</v>
      </c>
      <c r="C82" s="14" t="s">
        <v>33</v>
      </c>
      <c r="D82" s="25" t="s">
        <v>1510</v>
      </c>
      <c r="E82" s="14">
        <v>200</v>
      </c>
      <c r="F82" s="26">
        <v>22495</v>
      </c>
      <c r="G82" s="27">
        <f>11510+6430</f>
        <v>17940</v>
      </c>
      <c r="H82" s="27">
        <f t="shared" si="135"/>
        <v>-4555</v>
      </c>
      <c r="I82" s="25" t="s">
        <v>3638</v>
      </c>
      <c r="J82" s="14"/>
      <c r="K82" s="17"/>
      <c r="L82" s="17">
        <v>42576</v>
      </c>
      <c r="M82" s="25" t="s">
        <v>39</v>
      </c>
      <c r="N82" s="14"/>
      <c r="O82" s="18">
        <v>30</v>
      </c>
      <c r="P82" s="19"/>
      <c r="Q82" s="18">
        <v>17300</v>
      </c>
      <c r="R82" s="18">
        <f t="shared" si="136"/>
        <v>12350</v>
      </c>
      <c r="S82" s="30">
        <f t="shared" ref="S82" si="137">-35*E82</f>
        <v>-7000</v>
      </c>
      <c r="T82" s="31">
        <f>W82*F82*0.0045</f>
        <v>3941.3271321070229</v>
      </c>
      <c r="U82" s="18">
        <f>E82*5</f>
        <v>1000</v>
      </c>
      <c r="V82" s="14"/>
      <c r="W82" s="18">
        <f>((O82*F82)+Q82+R82+S82+U82)/G82</f>
        <v>38.935340022296543</v>
      </c>
      <c r="X82" s="18">
        <f>((O82*F82)+Q82+R82+S82+T82+U82)/G82</f>
        <v>39.155034957196598</v>
      </c>
      <c r="Y82" s="21">
        <f>X82*G82</f>
        <v>702441.32713210699</v>
      </c>
      <c r="Z82" s="32">
        <v>42590</v>
      </c>
      <c r="AA82" s="2">
        <v>41.5</v>
      </c>
      <c r="AB82" s="2" t="s">
        <v>3642</v>
      </c>
    </row>
    <row r="83" spans="1:28" s="12" customFormat="1" x14ac:dyDescent="0.25">
      <c r="A83" s="201"/>
      <c r="B83" s="24" t="s">
        <v>25</v>
      </c>
      <c r="C83" s="25" t="s">
        <v>72</v>
      </c>
      <c r="D83" s="25" t="s">
        <v>72</v>
      </c>
      <c r="E83" s="14" t="s">
        <v>42</v>
      </c>
      <c r="F83" s="26">
        <f>42374*0.4536</f>
        <v>19220.846399999999</v>
      </c>
      <c r="G83" s="27">
        <v>19220.400000000001</v>
      </c>
      <c r="H83" s="27">
        <f t="shared" ref="H83" si="138">G83-F83</f>
        <v>-0.4463999999970838</v>
      </c>
      <c r="I83" s="12" t="s">
        <v>3312</v>
      </c>
      <c r="J83" s="93" t="s">
        <v>74</v>
      </c>
      <c r="K83" s="17">
        <v>42576</v>
      </c>
      <c r="L83" s="17">
        <v>42577</v>
      </c>
      <c r="M83" s="25" t="s">
        <v>30</v>
      </c>
      <c r="N83" s="25" t="s">
        <v>3304</v>
      </c>
      <c r="O83" s="18"/>
      <c r="P83" s="28">
        <f>0.8285+0.105</f>
        <v>0.9335</v>
      </c>
      <c r="Q83" s="211">
        <v>20000</v>
      </c>
      <c r="R83" s="18">
        <v>9200</v>
      </c>
      <c r="S83" s="30">
        <v>18.329999999999998</v>
      </c>
      <c r="T83" s="31">
        <f t="shared" ref="T83" si="139">W83*F83*0.005</f>
        <v>3780.9568190412738</v>
      </c>
      <c r="V83" s="18">
        <v>0.1</v>
      </c>
      <c r="W83" s="18">
        <f>IF(O83&gt;0,O83,((P83*2.2046*S83)+(Q83+R83)/G83)+V83)</f>
        <v>39.342251015972678</v>
      </c>
      <c r="X83" s="18">
        <f>IF(O83&gt;0,O83,((P83*2.2046*S83)+(Q83+R83+T83)/G83)+V83)</f>
        <v>39.538966839734996</v>
      </c>
      <c r="Y83" s="21">
        <f t="shared" ref="Y83" si="140">X83*F83</f>
        <v>759972.40844123974</v>
      </c>
      <c r="Z83" s="32">
        <v>42569</v>
      </c>
      <c r="AA83" s="2">
        <v>37</v>
      </c>
      <c r="AB83" s="2"/>
    </row>
    <row r="84" spans="1:28" s="12" customFormat="1" x14ac:dyDescent="0.25">
      <c r="A84" s="201"/>
      <c r="B84" s="24" t="s">
        <v>25</v>
      </c>
      <c r="C84" s="25" t="s">
        <v>40</v>
      </c>
      <c r="D84" s="25" t="s">
        <v>40</v>
      </c>
      <c r="E84" s="14" t="s">
        <v>42</v>
      </c>
      <c r="F84" s="26">
        <f>41685*0.4536</f>
        <v>18908.315999999999</v>
      </c>
      <c r="G84" s="27">
        <v>18904.75</v>
      </c>
      <c r="H84" s="27">
        <f>G84-F84</f>
        <v>-3.5659999999988941</v>
      </c>
      <c r="I84" s="177" t="s">
        <v>3313</v>
      </c>
      <c r="J84" s="93" t="s">
        <v>44</v>
      </c>
      <c r="K84" s="17">
        <v>42576</v>
      </c>
      <c r="L84" s="17">
        <v>42577</v>
      </c>
      <c r="M84" s="25" t="s">
        <v>45</v>
      </c>
      <c r="N84" s="25" t="s">
        <v>3332</v>
      </c>
      <c r="O84" s="18"/>
      <c r="P84" s="28">
        <f>0.7281+0.1</f>
        <v>0.82809999999999995</v>
      </c>
      <c r="Q84" s="211">
        <v>20000</v>
      </c>
      <c r="R84" s="18">
        <v>9200</v>
      </c>
      <c r="S84" s="30">
        <v>18.8</v>
      </c>
      <c r="T84" s="31">
        <f>W84*F84*0.005</f>
        <v>3400.321742967948</v>
      </c>
      <c r="V84" s="18">
        <v>0.1</v>
      </c>
      <c r="W84" s="18">
        <f t="shared" ref="W84:W87" si="141">IF(O84&gt;0,O84,((P84*2.2046*S84)+(Q84+R84)/G84)+V84)</f>
        <v>35.966415443532341</v>
      </c>
      <c r="X84" s="18">
        <f t="shared" ref="X84:X87" si="142">IF(O84&gt;0,O84,((P84*2.2046*S84)+(Q84+R84+T84)/G84)+V84)</f>
        <v>36.146281442446259</v>
      </c>
      <c r="Y84" s="21">
        <f t="shared" ref="Y84:Y87" si="143">X84*F84</f>
        <v>683465.31173870969</v>
      </c>
      <c r="Z84" s="32">
        <v>42587</v>
      </c>
      <c r="AA84" s="37">
        <v>37</v>
      </c>
      <c r="AB84" s="2" t="s">
        <v>3645</v>
      </c>
    </row>
    <row r="85" spans="1:28" s="12" customFormat="1" x14ac:dyDescent="0.25">
      <c r="A85" s="201"/>
      <c r="B85" s="24" t="s">
        <v>25</v>
      </c>
      <c r="C85" s="25" t="s">
        <v>72</v>
      </c>
      <c r="D85" s="25" t="s">
        <v>72</v>
      </c>
      <c r="E85" s="14" t="s">
        <v>42</v>
      </c>
      <c r="F85" s="26">
        <f>42466*0.4536</f>
        <v>19262.577600000001</v>
      </c>
      <c r="G85" s="27">
        <v>19262.099999999999</v>
      </c>
      <c r="H85" s="27">
        <f>G85-F85</f>
        <v>-0.47760000000198488</v>
      </c>
      <c r="I85" s="12" t="s">
        <v>3316</v>
      </c>
      <c r="J85" s="93" t="s">
        <v>74</v>
      </c>
      <c r="K85" s="17">
        <v>42576</v>
      </c>
      <c r="L85" s="17">
        <v>42577</v>
      </c>
      <c r="M85" s="25" t="s">
        <v>45</v>
      </c>
      <c r="N85" s="25" t="s">
        <v>3333</v>
      </c>
      <c r="O85" s="18"/>
      <c r="P85" s="28">
        <f>0.7281+0.105</f>
        <v>0.83309999999999995</v>
      </c>
      <c r="Q85" s="211">
        <v>20000</v>
      </c>
      <c r="R85" s="18">
        <v>9200</v>
      </c>
      <c r="S85" s="30">
        <v>18.510000000000002</v>
      </c>
      <c r="T85" s="31">
        <f>W85*F85*0.005</f>
        <v>3429.9295848035986</v>
      </c>
      <c r="V85" s="18">
        <v>0.1</v>
      </c>
      <c r="W85" s="18">
        <f t="shared" si="141"/>
        <v>35.612363579042494</v>
      </c>
      <c r="X85" s="18">
        <f t="shared" si="142"/>
        <v>35.790429811945636</v>
      </c>
      <c r="Y85" s="21">
        <f t="shared" si="143"/>
        <v>689415.93158995628</v>
      </c>
      <c r="Z85" s="32">
        <v>42571</v>
      </c>
      <c r="AA85" s="37">
        <v>37</v>
      </c>
      <c r="AB85" s="37"/>
    </row>
    <row r="86" spans="1:28" s="12" customFormat="1" x14ac:dyDescent="0.25">
      <c r="A86" s="201"/>
      <c r="B86" s="24" t="s">
        <v>25</v>
      </c>
      <c r="C86" s="25" t="s">
        <v>72</v>
      </c>
      <c r="D86" s="25" t="s">
        <v>72</v>
      </c>
      <c r="E86" s="14" t="s">
        <v>3272</v>
      </c>
      <c r="F86" s="26">
        <f>20447*0.4536</f>
        <v>9274.7592000000004</v>
      </c>
      <c r="G86" s="27">
        <f>18479.7-9205</f>
        <v>9274.7000000000007</v>
      </c>
      <c r="H86" s="27">
        <f t="shared" ref="H86:H91" si="144">G86-F86</f>
        <v>-5.9199999999691499E-2</v>
      </c>
      <c r="I86" s="12" t="s">
        <v>3334</v>
      </c>
      <c r="J86" s="93" t="s">
        <v>44</v>
      </c>
      <c r="K86" s="17">
        <v>42576</v>
      </c>
      <c r="L86" s="17">
        <v>42577</v>
      </c>
      <c r="M86" s="25" t="s">
        <v>45</v>
      </c>
      <c r="N86" s="25" t="s">
        <v>3333</v>
      </c>
      <c r="O86" s="18"/>
      <c r="P86" s="28">
        <v>0.83309999999999995</v>
      </c>
      <c r="Q86" s="211">
        <f>(20000*G86)/(G86+G87)</f>
        <v>10037.717062506426</v>
      </c>
      <c r="R86" s="18">
        <f>(9121*G86)/(G86+G87)</f>
        <v>4577.7008663560555</v>
      </c>
      <c r="S86" s="30">
        <v>18.510000000000002</v>
      </c>
      <c r="T86" s="31">
        <f t="shared" ref="T86:T91" si="145">W86*F86*0.005</f>
        <v>1654.2585997857368</v>
      </c>
      <c r="V86" s="18">
        <v>0.1</v>
      </c>
      <c r="W86" s="18">
        <f t="shared" si="141"/>
        <v>35.672270602685551</v>
      </c>
      <c r="X86" s="18">
        <f t="shared" si="142"/>
        <v>35.850633094171613</v>
      </c>
      <c r="Y86" s="21">
        <f t="shared" si="143"/>
        <v>332505.98911599268</v>
      </c>
      <c r="Z86" s="32">
        <v>42571</v>
      </c>
      <c r="AA86" s="37">
        <v>37</v>
      </c>
      <c r="AB86" s="37"/>
    </row>
    <row r="87" spans="1:28" s="12" customFormat="1" x14ac:dyDescent="0.25">
      <c r="A87" s="201"/>
      <c r="B87" s="24" t="s">
        <v>2426</v>
      </c>
      <c r="C87" s="25" t="s">
        <v>72</v>
      </c>
      <c r="D87" s="25" t="s">
        <v>72</v>
      </c>
      <c r="E87" s="14" t="s">
        <v>3272</v>
      </c>
      <c r="F87" s="26">
        <f>20294*0.4536</f>
        <v>9205.3583999999992</v>
      </c>
      <c r="G87" s="27">
        <v>9205</v>
      </c>
      <c r="H87" s="27">
        <f t="shared" si="144"/>
        <v>-0.35839999999916472</v>
      </c>
      <c r="I87" s="12" t="s">
        <v>3334</v>
      </c>
      <c r="J87" s="14"/>
      <c r="K87" s="17">
        <v>42576</v>
      </c>
      <c r="L87" s="17">
        <v>42577</v>
      </c>
      <c r="M87" s="25" t="s">
        <v>45</v>
      </c>
      <c r="N87" s="25"/>
      <c r="O87" s="18"/>
      <c r="P87" s="28">
        <v>0.4</v>
      </c>
      <c r="Q87" s="211">
        <f>(20000*G87)/(G87+G86)</f>
        <v>9962.2829374935736</v>
      </c>
      <c r="R87" s="18">
        <f>(9121*G87)/(G87+G86)</f>
        <v>4543.2991336439445</v>
      </c>
      <c r="S87" s="30">
        <v>18.510000000000002</v>
      </c>
      <c r="T87" s="31">
        <f t="shared" si="145"/>
        <v>828.4222218783284</v>
      </c>
      <c r="V87" s="18">
        <v>0.1</v>
      </c>
      <c r="W87" s="18">
        <f t="shared" si="141"/>
        <v>17.998695670085556</v>
      </c>
      <c r="X87" s="18">
        <f t="shared" si="142"/>
        <v>18.088692652364571</v>
      </c>
      <c r="Y87" s="21">
        <f t="shared" si="143"/>
        <v>166512.89885246247</v>
      </c>
      <c r="Z87" s="32">
        <v>42571</v>
      </c>
      <c r="AA87" s="37">
        <v>20</v>
      </c>
      <c r="AB87" s="37"/>
    </row>
    <row r="88" spans="1:28" s="12" customFormat="1" x14ac:dyDescent="0.25">
      <c r="A88" s="201"/>
      <c r="B88" s="24" t="s">
        <v>1000</v>
      </c>
      <c r="C88" s="25"/>
      <c r="D88" s="25" t="s">
        <v>3686</v>
      </c>
      <c r="E88" s="36" t="s">
        <v>3685</v>
      </c>
      <c r="F88" s="222">
        <v>5035.7</v>
      </c>
      <c r="G88" s="40">
        <v>5035.7</v>
      </c>
      <c r="H88" s="27"/>
      <c r="J88" s="14"/>
      <c r="K88" s="17"/>
      <c r="L88" s="17">
        <v>42577</v>
      </c>
      <c r="M88" s="25" t="s">
        <v>45</v>
      </c>
      <c r="N88" s="25"/>
      <c r="O88" s="18">
        <v>68</v>
      </c>
      <c r="P88" s="28"/>
      <c r="Q88" s="18"/>
      <c r="R88" s="18"/>
      <c r="S88" s="30"/>
      <c r="T88" s="31"/>
      <c r="V88" s="18"/>
      <c r="W88" s="18"/>
      <c r="X88" s="18">
        <f t="shared" ref="X88" si="146">IF(O88&gt;0,O88,((P88*2.2046*S88)+(Q88+R88+T88)/G88)+V88)</f>
        <v>68</v>
      </c>
      <c r="Y88" s="21">
        <f t="shared" ref="Y88" si="147">X88*F88</f>
        <v>342427.6</v>
      </c>
      <c r="Z88" s="32">
        <v>42590</v>
      </c>
      <c r="AA88" s="37"/>
      <c r="AB88" s="37"/>
    </row>
    <row r="89" spans="1:28" s="12" customFormat="1" x14ac:dyDescent="0.25">
      <c r="A89" s="201"/>
      <c r="B89" s="24" t="s">
        <v>1285</v>
      </c>
      <c r="C89" s="25" t="s">
        <v>72</v>
      </c>
      <c r="D89" s="25" t="s">
        <v>72</v>
      </c>
      <c r="E89" s="14" t="s">
        <v>3671</v>
      </c>
      <c r="F89" s="26">
        <f>27672*0.4536</f>
        <v>12552.019200000001</v>
      </c>
      <c r="G89" s="26">
        <v>12567.7</v>
      </c>
      <c r="H89" s="27">
        <f t="shared" si="144"/>
        <v>15.68080000000009</v>
      </c>
      <c r="I89" s="12" t="s">
        <v>3337</v>
      </c>
      <c r="J89" s="93" t="s">
        <v>74</v>
      </c>
      <c r="K89" s="17">
        <v>42576</v>
      </c>
      <c r="L89" s="17">
        <v>42577</v>
      </c>
      <c r="M89" s="25" t="s">
        <v>45</v>
      </c>
      <c r="N89" s="25"/>
      <c r="O89" s="18"/>
      <c r="P89" s="28">
        <v>1.37</v>
      </c>
      <c r="Q89" s="211">
        <f>(20000*G89)/(G89+G90+G91)</f>
        <v>14374.009961856726</v>
      </c>
      <c r="R89" s="18">
        <f>(9121*G89)/(G89+G90+G91)</f>
        <v>6555.2672431047595</v>
      </c>
      <c r="S89" s="30">
        <v>18.5</v>
      </c>
      <c r="T89" s="31">
        <f t="shared" si="145"/>
        <v>3617.5490318332759</v>
      </c>
      <c r="V89" s="18">
        <v>0.1</v>
      </c>
      <c r="W89" s="18">
        <f t="shared" ref="W89:W91" si="148">IF(O89&gt;0,O89,((P89*2.2046*S89)+(Q89+R89)/G89)+V89)</f>
        <v>57.640909788176167</v>
      </c>
      <c r="X89" s="18">
        <f t="shared" ref="X89:X91" si="149">IF(O89&gt;0,O89,((P89*2.2046*S89)+(Q89+R89+T89)/G89)+V89)</f>
        <v>57.928754742450479</v>
      </c>
      <c r="Y89" s="21">
        <f t="shared" ref="Y89:Y91" si="150">X89*F89</f>
        <v>727122.84175932955</v>
      </c>
      <c r="Z89" s="32">
        <v>42571</v>
      </c>
      <c r="AA89" s="37"/>
      <c r="AB89" s="37"/>
    </row>
    <row r="90" spans="1:28" s="12" customFormat="1" x14ac:dyDescent="0.25">
      <c r="A90" s="201"/>
      <c r="B90" s="24" t="s">
        <v>3335</v>
      </c>
      <c r="C90" s="25" t="s">
        <v>72</v>
      </c>
      <c r="D90" s="25" t="s">
        <v>72</v>
      </c>
      <c r="E90" s="14" t="s">
        <v>3672</v>
      </c>
      <c r="F90" s="26">
        <f>8177.8*0.4536</f>
        <v>3709.4500800000001</v>
      </c>
      <c r="G90" s="26">
        <v>3790</v>
      </c>
      <c r="H90" s="27">
        <f t="shared" si="144"/>
        <v>80.549919999999929</v>
      </c>
      <c r="I90" s="12" t="s">
        <v>3337</v>
      </c>
      <c r="J90" s="14"/>
      <c r="K90" s="17">
        <v>42576</v>
      </c>
      <c r="L90" s="17">
        <v>42577</v>
      </c>
      <c r="M90" s="25" t="s">
        <v>45</v>
      </c>
      <c r="N90" s="25"/>
      <c r="O90" s="18"/>
      <c r="P90" s="28">
        <v>1</v>
      </c>
      <c r="Q90" s="211">
        <f>(20000*G90)/(G90+G91+G89)</f>
        <v>4334.7229608788393</v>
      </c>
      <c r="R90" s="18">
        <f>(9121*G90)/(G90+G91+G89)</f>
        <v>1976.8504063087946</v>
      </c>
      <c r="S90" s="30">
        <v>18.5</v>
      </c>
      <c r="T90" s="31">
        <f t="shared" si="145"/>
        <v>789.19334607816938</v>
      </c>
      <c r="V90" s="18">
        <v>0.1</v>
      </c>
      <c r="W90" s="18">
        <f t="shared" si="148"/>
        <v>42.550422788176157</v>
      </c>
      <c r="X90" s="18">
        <f t="shared" si="149"/>
        <v>42.758653222497578</v>
      </c>
      <c r="Y90" s="21">
        <f t="shared" si="150"/>
        <v>158611.0896168859</v>
      </c>
      <c r="Z90" s="32">
        <v>42571</v>
      </c>
      <c r="AA90" s="37">
        <v>50</v>
      </c>
      <c r="AB90" s="37"/>
    </row>
    <row r="91" spans="1:28" s="12" customFormat="1" x14ac:dyDescent="0.25">
      <c r="A91" s="201"/>
      <c r="B91" s="24" t="s">
        <v>3336</v>
      </c>
      <c r="C91" s="25" t="s">
        <v>72</v>
      </c>
      <c r="D91" s="25" t="s">
        <v>72</v>
      </c>
      <c r="E91" s="14" t="s">
        <v>3637</v>
      </c>
      <c r="F91" s="26">
        <f>2490*0.4536</f>
        <v>1129.4639999999999</v>
      </c>
      <c r="G91" s="26">
        <v>1129</v>
      </c>
      <c r="H91" s="27">
        <f t="shared" si="144"/>
        <v>-0.46399999999994179</v>
      </c>
      <c r="I91" s="12" t="s">
        <v>3337</v>
      </c>
      <c r="J91" s="14"/>
      <c r="K91" s="17">
        <v>42576</v>
      </c>
      <c r="L91" s="17">
        <v>42577</v>
      </c>
      <c r="M91" s="25" t="s">
        <v>45</v>
      </c>
      <c r="N91" s="25"/>
      <c r="O91" s="18"/>
      <c r="P91" s="28">
        <v>1.1000000000000001</v>
      </c>
      <c r="Q91" s="211">
        <f>(20000*G91)/(G91+G89+G90)</f>
        <v>1291.2670772644351</v>
      </c>
      <c r="R91" s="18">
        <f>(9121*G91)/(G91+G89+G90)</f>
        <v>588.88235058644568</v>
      </c>
      <c r="S91" s="30">
        <v>18.5</v>
      </c>
      <c r="T91" s="31">
        <f t="shared" si="145"/>
        <v>263.32850471332301</v>
      </c>
      <c r="V91" s="18">
        <v>0.1</v>
      </c>
      <c r="W91" s="18">
        <f t="shared" si="148"/>
        <v>46.628932788176158</v>
      </c>
      <c r="X91" s="18">
        <f t="shared" si="149"/>
        <v>46.862173270650317</v>
      </c>
      <c r="Y91" s="21">
        <f t="shared" si="150"/>
        <v>52929.137670961783</v>
      </c>
      <c r="Z91" s="32">
        <v>42571</v>
      </c>
      <c r="AA91" s="37"/>
      <c r="AB91" s="37"/>
    </row>
    <row r="92" spans="1:28" s="12" customFormat="1" x14ac:dyDescent="0.25">
      <c r="A92" s="201"/>
      <c r="B92" s="24" t="s">
        <v>32</v>
      </c>
      <c r="C92" s="14" t="s">
        <v>33</v>
      </c>
      <c r="D92" s="25" t="s">
        <v>87</v>
      </c>
      <c r="E92" s="14">
        <v>200</v>
      </c>
      <c r="F92" s="26">
        <v>21610</v>
      </c>
      <c r="G92" s="27">
        <f>13160+4410</f>
        <v>17570</v>
      </c>
      <c r="H92" s="27">
        <f t="shared" ref="H92" si="151">G92-F92</f>
        <v>-4040</v>
      </c>
      <c r="I92" s="12" t="s">
        <v>3644</v>
      </c>
      <c r="J92" s="14"/>
      <c r="K92" s="17"/>
      <c r="L92" s="17">
        <v>42577</v>
      </c>
      <c r="M92" s="25" t="s">
        <v>45</v>
      </c>
      <c r="N92" s="14"/>
      <c r="O92" s="18">
        <v>30</v>
      </c>
      <c r="P92" s="19"/>
      <c r="Q92" s="18">
        <v>17300</v>
      </c>
      <c r="R92" s="18">
        <f t="shared" ref="R92" si="152">61.75*E92</f>
        <v>12350</v>
      </c>
      <c r="S92" s="30">
        <f t="shared" ref="S92" si="153">-35*E92</f>
        <v>-7000</v>
      </c>
      <c r="T92" s="31">
        <f>W92*F92*0.0045</f>
        <v>3719.0539413773472</v>
      </c>
      <c r="U92" s="18">
        <f>E92*5</f>
        <v>1000</v>
      </c>
      <c r="V92" s="14"/>
      <c r="W92" s="18">
        <f>((O92*F92)+Q92+R92+S92+U92)/G92</f>
        <v>38.244166192373363</v>
      </c>
      <c r="X92" s="18">
        <f>((O92*F92)+Q92+R92+S92+T92+U92)/G92</f>
        <v>38.455836877710716</v>
      </c>
      <c r="Y92" s="21">
        <f>X92*G92</f>
        <v>675669.05394137732</v>
      </c>
      <c r="Z92" s="32">
        <v>42591</v>
      </c>
      <c r="AA92" s="37">
        <v>41.5</v>
      </c>
      <c r="AB92" s="37" t="s">
        <v>3646</v>
      </c>
    </row>
    <row r="93" spans="1:28" s="12" customFormat="1" x14ac:dyDescent="0.25">
      <c r="A93" s="201"/>
      <c r="B93" s="24" t="s">
        <v>25</v>
      </c>
      <c r="C93" s="25" t="s">
        <v>72</v>
      </c>
      <c r="D93" s="25" t="s">
        <v>72</v>
      </c>
      <c r="E93" s="14" t="s">
        <v>42</v>
      </c>
      <c r="F93" s="26">
        <f>43024*0.4536</f>
        <v>19515.686399999999</v>
      </c>
      <c r="G93" s="27">
        <v>19515.3</v>
      </c>
      <c r="H93" s="27">
        <f>G93-F93</f>
        <v>-0.3863999999994121</v>
      </c>
      <c r="I93" s="12" t="s">
        <v>3317</v>
      </c>
      <c r="J93" s="93" t="s">
        <v>49</v>
      </c>
      <c r="K93" s="17">
        <v>42577</v>
      </c>
      <c r="L93" s="17">
        <v>42548</v>
      </c>
      <c r="M93" s="25" t="s">
        <v>50</v>
      </c>
      <c r="N93" s="25" t="s">
        <v>3333</v>
      </c>
      <c r="O93" s="18"/>
      <c r="P93" s="28">
        <f>0.7281+0.105</f>
        <v>0.83309999999999995</v>
      </c>
      <c r="Q93" s="211">
        <v>20000</v>
      </c>
      <c r="R93" s="18">
        <v>9200</v>
      </c>
      <c r="S93" s="30">
        <v>18.66</v>
      </c>
      <c r="T93" s="31">
        <f>W93*F93*0.005</f>
        <v>3499.9620393146565</v>
      </c>
      <c r="V93" s="18">
        <v>0.1</v>
      </c>
      <c r="W93" s="18">
        <f t="shared" ref="W93" si="154">IF(O93&gt;0,O93,((P93*2.2046*S93)+(Q93+R93)/G93)+V93)</f>
        <v>35.868193078924001</v>
      </c>
      <c r="X93" s="18">
        <f t="shared" ref="X93" si="155">IF(O93&gt;0,O93,((P93*2.2046*S93)+(Q93+R93+T93)/G93)+V93)</f>
        <v>36.047537595242716</v>
      </c>
      <c r="Y93" s="21">
        <f t="shared" ref="Y93" si="156">X93*F93</f>
        <v>703492.43920096697</v>
      </c>
      <c r="Z93" s="32">
        <v>42572</v>
      </c>
      <c r="AA93" s="37">
        <v>37</v>
      </c>
      <c r="AB93" s="37"/>
    </row>
    <row r="94" spans="1:28" s="12" customFormat="1" x14ac:dyDescent="0.25">
      <c r="A94" s="201"/>
      <c r="B94" s="24" t="s">
        <v>32</v>
      </c>
      <c r="C94" s="14" t="s">
        <v>33</v>
      </c>
      <c r="D94" s="25" t="s">
        <v>1102</v>
      </c>
      <c r="E94" s="14">
        <f>250-7</f>
        <v>243</v>
      </c>
      <c r="F94" s="26">
        <v>26560</v>
      </c>
      <c r="G94" s="27">
        <f>14980+5650</f>
        <v>20630</v>
      </c>
      <c r="H94" s="27">
        <f t="shared" ref="H94" si="157">G94-F94</f>
        <v>-5930</v>
      </c>
      <c r="I94" s="12" t="s">
        <v>3657</v>
      </c>
      <c r="J94" s="133">
        <v>243</v>
      </c>
      <c r="K94" s="17"/>
      <c r="L94" s="17">
        <v>42548</v>
      </c>
      <c r="M94" s="25" t="s">
        <v>50</v>
      </c>
      <c r="N94" s="14"/>
      <c r="O94" s="18">
        <v>30</v>
      </c>
      <c r="P94" s="19"/>
      <c r="Q94" s="18">
        <v>17300</v>
      </c>
      <c r="R94" s="18">
        <f t="shared" ref="R94" si="158">61.75*E94</f>
        <v>15005.25</v>
      </c>
      <c r="S94" s="30">
        <f t="shared" ref="S94" si="159">-35*E94</f>
        <v>-8505</v>
      </c>
      <c r="T94" s="31">
        <f>W94*F94*0.0045</f>
        <v>4761.1904352884148</v>
      </c>
      <c r="U94" s="18">
        <f>E94*5</f>
        <v>1215</v>
      </c>
      <c r="V94" s="14"/>
      <c r="W94" s="18">
        <f>((O94*F94)+Q94+R94+S94+U94)/G94</f>
        <v>39.835930683470671</v>
      </c>
      <c r="X94" s="18">
        <f>((O94*F94)+Q94+R94+S94+T94+U94)/G94</f>
        <v>40.066720331327602</v>
      </c>
      <c r="Y94" s="21">
        <f>X94*G94</f>
        <v>826576.44043528847</v>
      </c>
      <c r="Z94" s="32">
        <v>42592</v>
      </c>
      <c r="AA94" s="37">
        <v>41.5</v>
      </c>
      <c r="AB94" s="37" t="s">
        <v>3663</v>
      </c>
    </row>
    <row r="95" spans="1:28" s="12" customFormat="1" x14ac:dyDescent="0.25">
      <c r="A95" s="201"/>
      <c r="B95" s="24" t="s">
        <v>25</v>
      </c>
      <c r="C95" s="25" t="s">
        <v>72</v>
      </c>
      <c r="D95" s="25" t="s">
        <v>72</v>
      </c>
      <c r="E95" s="14" t="s">
        <v>3669</v>
      </c>
      <c r="F95" s="26">
        <f>41258*0.4536</f>
        <v>18714.628799999999</v>
      </c>
      <c r="G95" s="27">
        <v>18714.099999999999</v>
      </c>
      <c r="H95" s="27">
        <f>G95-F95</f>
        <v>-0.52880000000004657</v>
      </c>
      <c r="I95" s="12" t="s">
        <v>3318</v>
      </c>
      <c r="J95" s="93" t="s">
        <v>3647</v>
      </c>
      <c r="K95" s="17">
        <v>42578</v>
      </c>
      <c r="L95" s="17">
        <v>42579</v>
      </c>
      <c r="M95" s="25" t="s">
        <v>65</v>
      </c>
      <c r="N95" s="25" t="s">
        <v>3338</v>
      </c>
      <c r="O95" s="18"/>
      <c r="P95" s="28">
        <f>0.7124+0.105</f>
        <v>0.81740000000000002</v>
      </c>
      <c r="Q95" s="211">
        <v>20000</v>
      </c>
      <c r="R95" s="18">
        <v>9200</v>
      </c>
      <c r="S95" s="30">
        <v>18.66</v>
      </c>
      <c r="T95" s="31">
        <f>W95*F95*0.005</f>
        <v>3301.8582631320246</v>
      </c>
      <c r="V95" s="18">
        <v>0.1</v>
      </c>
      <c r="W95" s="18">
        <f t="shared" ref="W95" si="160">IF(O95&gt;0,O95,((P95*2.2046*S95)+(Q95+R95)/G95)+V95)</f>
        <v>35.286387974011269</v>
      </c>
      <c r="X95" s="18">
        <f t="shared" ref="X95" si="161">IF(O95&gt;0,O95,((P95*2.2046*S95)+(Q95+R95+T95)/G95)+V95)</f>
        <v>35.462824899277891</v>
      </c>
      <c r="Y95" s="21">
        <f t="shared" ref="Y95" si="162">X95*F95</f>
        <v>663673.6041893831</v>
      </c>
      <c r="Z95" s="32">
        <v>42572</v>
      </c>
      <c r="AA95" s="37">
        <v>37</v>
      </c>
      <c r="AB95" s="37"/>
    </row>
    <row r="96" spans="1:28" s="12" customFormat="1" x14ac:dyDescent="0.25">
      <c r="A96" s="201"/>
      <c r="B96" s="24" t="s">
        <v>25</v>
      </c>
      <c r="C96" s="25" t="s">
        <v>72</v>
      </c>
      <c r="D96" s="25" t="s">
        <v>72</v>
      </c>
      <c r="E96" s="14" t="s">
        <v>42</v>
      </c>
      <c r="F96" s="26">
        <f>42170*0.4536</f>
        <v>19128.312000000002</v>
      </c>
      <c r="G96" s="27">
        <v>19127.8</v>
      </c>
      <c r="H96" s="27">
        <f>G96-F96</f>
        <v>-0.51200000000244472</v>
      </c>
      <c r="I96" s="177" t="s">
        <v>3319</v>
      </c>
      <c r="J96" s="93" t="s">
        <v>3648</v>
      </c>
      <c r="K96" s="17">
        <v>42578</v>
      </c>
      <c r="L96" s="17">
        <v>42579</v>
      </c>
      <c r="M96" s="25" t="s">
        <v>65</v>
      </c>
      <c r="N96" s="25" t="s">
        <v>3338</v>
      </c>
      <c r="O96" s="18"/>
      <c r="P96" s="28">
        <f>0.7124+0.105</f>
        <v>0.81740000000000002</v>
      </c>
      <c r="Q96" s="211">
        <v>20000</v>
      </c>
      <c r="R96" s="18">
        <v>9200</v>
      </c>
      <c r="S96" s="30">
        <v>18.66</v>
      </c>
      <c r="T96" s="31">
        <f t="shared" ref="T96" si="163">W96*F96*0.005</f>
        <v>3371.6175825755963</v>
      </c>
      <c r="V96" s="18">
        <v>0.1</v>
      </c>
      <c r="W96" s="18">
        <f>IF(O96&gt;0,O96,((P96*2.2046*S96)+(Q96+R96)/G96)+V96)</f>
        <v>35.252641033621742</v>
      </c>
      <c r="X96" s="18">
        <f>IF(O96&gt;0,O96,((P96*2.2046*S96)+(Q96+R96+T96)/G96)+V96)</f>
        <v>35.428908956883994</v>
      </c>
      <c r="Y96" s="21">
        <f>X96*F96</f>
        <v>677695.2243468716</v>
      </c>
      <c r="Z96" s="32">
        <v>42572</v>
      </c>
      <c r="AA96" s="37">
        <v>37</v>
      </c>
      <c r="AB96" s="37"/>
    </row>
    <row r="97" spans="1:30" s="12" customFormat="1" x14ac:dyDescent="0.25">
      <c r="A97" s="201"/>
      <c r="B97" s="24" t="s">
        <v>32</v>
      </c>
      <c r="C97" s="14" t="s">
        <v>33</v>
      </c>
      <c r="D97" s="25" t="s">
        <v>87</v>
      </c>
      <c r="E97" s="14">
        <f>249+3</f>
        <v>252</v>
      </c>
      <c r="F97" s="26">
        <v>26890</v>
      </c>
      <c r="G97" s="27">
        <f>21960</f>
        <v>21960</v>
      </c>
      <c r="H97" s="27">
        <f t="shared" ref="H97:H98" si="164">G97-F97</f>
        <v>-4930</v>
      </c>
      <c r="I97" s="12" t="s">
        <v>3659</v>
      </c>
      <c r="J97" s="133">
        <v>252</v>
      </c>
      <c r="K97" s="17"/>
      <c r="L97" s="17">
        <v>42579</v>
      </c>
      <c r="M97" s="25" t="s">
        <v>65</v>
      </c>
      <c r="N97" s="14"/>
      <c r="O97" s="18">
        <v>30</v>
      </c>
      <c r="P97" s="19"/>
      <c r="Q97" s="18">
        <v>17300</v>
      </c>
      <c r="R97" s="18">
        <f t="shared" ref="R97:R98" si="165">61.75*E97</f>
        <v>15561</v>
      </c>
      <c r="S97" s="30">
        <f t="shared" ref="S97:S98" si="166">-35*E97</f>
        <v>-8820</v>
      </c>
      <c r="T97" s="31">
        <f t="shared" ref="T97:T98" si="167">W97*F97*0.0045</f>
        <v>4584.5301004098355</v>
      </c>
      <c r="U97" s="18">
        <f t="shared" ref="U97:U98" si="168">E97*5</f>
        <v>1260</v>
      </c>
      <c r="V97" s="14"/>
      <c r="W97" s="18">
        <f t="shared" ref="W97:W98" si="169">((O97*F97)+Q97+R97+S97+U97)/G97</f>
        <v>37.887112932604737</v>
      </c>
      <c r="X97" s="18">
        <f t="shared" ref="X97:X98" si="170">((O97*F97)+Q97+R97+S97+T97+U97)/G97</f>
        <v>38.095880241366572</v>
      </c>
      <c r="Y97" s="21">
        <f t="shared" ref="Y97:Y98" si="171">X97*G97</f>
        <v>836585.53010040987</v>
      </c>
      <c r="Z97" s="32">
        <v>42593</v>
      </c>
      <c r="AA97" s="37">
        <v>41.5</v>
      </c>
      <c r="AB97" s="37"/>
    </row>
    <row r="98" spans="1:30" s="12" customFormat="1" x14ac:dyDescent="0.25">
      <c r="A98" s="201"/>
      <c r="B98" s="24" t="s">
        <v>32</v>
      </c>
      <c r="C98" s="14" t="s">
        <v>33</v>
      </c>
      <c r="D98" s="25" t="s">
        <v>1475</v>
      </c>
      <c r="E98" s="14">
        <f>139-3</f>
        <v>136</v>
      </c>
      <c r="F98" s="26">
        <v>14755</v>
      </c>
      <c r="G98" s="27">
        <f>11470</f>
        <v>11470</v>
      </c>
      <c r="H98" s="27">
        <f t="shared" si="164"/>
        <v>-3285</v>
      </c>
      <c r="I98" s="25" t="s">
        <v>3660</v>
      </c>
      <c r="J98" s="133">
        <v>136</v>
      </c>
      <c r="K98" s="17"/>
      <c r="L98" s="17">
        <v>42579</v>
      </c>
      <c r="M98" s="25" t="s">
        <v>65</v>
      </c>
      <c r="N98" s="14"/>
      <c r="O98" s="18">
        <v>30</v>
      </c>
      <c r="P98" s="19"/>
      <c r="Q98" s="18">
        <v>13600</v>
      </c>
      <c r="R98" s="18">
        <f t="shared" si="165"/>
        <v>8398</v>
      </c>
      <c r="S98" s="30">
        <f t="shared" si="166"/>
        <v>-4760</v>
      </c>
      <c r="T98" s="31">
        <f t="shared" si="167"/>
        <v>2666.1345928509154</v>
      </c>
      <c r="U98" s="18">
        <f t="shared" si="168"/>
        <v>680</v>
      </c>
      <c r="V98" s="14"/>
      <c r="W98" s="18">
        <f t="shared" si="169"/>
        <v>40.154141238012208</v>
      </c>
      <c r="X98" s="18">
        <f t="shared" si="170"/>
        <v>40.386585404782117</v>
      </c>
      <c r="Y98" s="21">
        <f t="shared" si="171"/>
        <v>463234.13459285087</v>
      </c>
      <c r="Z98" s="32">
        <v>42593</v>
      </c>
      <c r="AA98" s="37">
        <v>41.5</v>
      </c>
      <c r="AB98" s="37" t="s">
        <v>3670</v>
      </c>
    </row>
    <row r="99" spans="1:30" s="12" customFormat="1" x14ac:dyDescent="0.25">
      <c r="A99" s="201"/>
      <c r="B99" s="24" t="s">
        <v>25</v>
      </c>
      <c r="C99" s="25" t="s">
        <v>40</v>
      </c>
      <c r="D99" s="25" t="s">
        <v>40</v>
      </c>
      <c r="E99" s="14" t="s">
        <v>42</v>
      </c>
      <c r="F99" s="26">
        <f>41657*0.4536</f>
        <v>18895.6152</v>
      </c>
      <c r="G99" s="27">
        <v>18892.080000000002</v>
      </c>
      <c r="H99" s="27">
        <f>G99-F99</f>
        <v>-3.53519999999844</v>
      </c>
      <c r="I99" s="12" t="s">
        <v>3314</v>
      </c>
      <c r="J99" s="93" t="s">
        <v>3664</v>
      </c>
      <c r="K99" s="17">
        <v>42579</v>
      </c>
      <c r="L99" s="17">
        <v>42580</v>
      </c>
      <c r="M99" s="25" t="s">
        <v>84</v>
      </c>
      <c r="N99" s="25" t="s">
        <v>3339</v>
      </c>
      <c r="O99" s="18"/>
      <c r="P99" s="28">
        <f>0.7124+0.1</f>
        <v>0.81240000000000001</v>
      </c>
      <c r="Q99" s="211">
        <v>20000</v>
      </c>
      <c r="R99" s="18">
        <v>9200</v>
      </c>
      <c r="S99" s="38">
        <v>18.899999999999999</v>
      </c>
      <c r="T99" s="31">
        <f>W99*F99*0.005</f>
        <v>3353.5789800245748</v>
      </c>
      <c r="V99" s="18">
        <v>0.1</v>
      </c>
      <c r="W99" s="18">
        <f t="shared" ref="W99" si="172">IF(O99&gt;0,O99,((P99*2.2046*S99)+(Q99+R99)/G99)+V99)</f>
        <v>35.495843289871551</v>
      </c>
      <c r="X99" s="18">
        <f t="shared" ref="X99" si="173">IF(O99&gt;0,O99,((P99*2.2046*S99)+(Q99+R99+T99)/G99)+V99)</f>
        <v>35.673355717302755</v>
      </c>
      <c r="Y99" s="21">
        <f t="shared" ref="Y99" si="174">X99*F99</f>
        <v>674070.00252687279</v>
      </c>
      <c r="Z99" s="32">
        <v>42590</v>
      </c>
      <c r="AA99" s="37">
        <v>37</v>
      </c>
      <c r="AB99" s="37"/>
    </row>
    <row r="100" spans="1:30" s="12" customFormat="1" x14ac:dyDescent="0.25">
      <c r="A100" s="201"/>
      <c r="B100" s="24" t="s">
        <v>32</v>
      </c>
      <c r="C100" s="14" t="s">
        <v>33</v>
      </c>
      <c r="D100" s="25" t="s">
        <v>87</v>
      </c>
      <c r="E100" s="14">
        <v>200</v>
      </c>
      <c r="F100" s="26">
        <v>21205</v>
      </c>
      <c r="G100" s="27">
        <v>17320</v>
      </c>
      <c r="H100" s="27">
        <f t="shared" ref="H100:H102" si="175">G100-F100</f>
        <v>-3885</v>
      </c>
      <c r="I100" s="12" t="s">
        <v>3665</v>
      </c>
      <c r="J100" s="14"/>
      <c r="K100" s="17"/>
      <c r="L100" s="17">
        <v>42580</v>
      </c>
      <c r="M100" s="25" t="s">
        <v>84</v>
      </c>
      <c r="N100" s="14"/>
      <c r="O100" s="18">
        <v>30</v>
      </c>
      <c r="P100" s="19"/>
      <c r="Q100" s="18">
        <v>17300</v>
      </c>
      <c r="R100" s="18">
        <f t="shared" ref="R100:R101" si="176">61.75*E100</f>
        <v>12350</v>
      </c>
      <c r="S100" s="30">
        <f>-35*E100</f>
        <v>-7000</v>
      </c>
      <c r="T100" s="31">
        <f>W100*F100*0.0045</f>
        <v>3635.0903868360278</v>
      </c>
      <c r="U100" s="18">
        <f>E100*5</f>
        <v>1000</v>
      </c>
      <c r="V100" s="14"/>
      <c r="W100" s="18">
        <f>((O100*F100)+Q100+R100+S100+U100)/G100</f>
        <v>38.094688221709006</v>
      </c>
      <c r="X100" s="18">
        <f>((O100*F100)+Q100+R100+S100+T100+U100)/G100</f>
        <v>38.30456641956328</v>
      </c>
      <c r="Y100" s="21">
        <f t="shared" ref="Y100:Y101" si="177">X100*G100</f>
        <v>663435.09038683597</v>
      </c>
      <c r="Z100" s="32">
        <v>42594</v>
      </c>
      <c r="AA100" s="2">
        <v>41.5</v>
      </c>
      <c r="AB100" s="2"/>
    </row>
    <row r="101" spans="1:30" s="12" customFormat="1" x14ac:dyDescent="0.25">
      <c r="A101" s="201"/>
      <c r="B101" s="24" t="s">
        <v>32</v>
      </c>
      <c r="C101" s="14" t="s">
        <v>33</v>
      </c>
      <c r="D101" s="25" t="s">
        <v>1510</v>
      </c>
      <c r="E101" s="14">
        <v>130</v>
      </c>
      <c r="F101" s="26">
        <v>14960</v>
      </c>
      <c r="G101" s="27">
        <v>11890</v>
      </c>
      <c r="H101" s="27">
        <f t="shared" si="175"/>
        <v>-3070</v>
      </c>
      <c r="I101" s="25" t="s">
        <v>3666</v>
      </c>
      <c r="J101" s="14"/>
      <c r="K101" s="17"/>
      <c r="L101" s="17">
        <v>42580</v>
      </c>
      <c r="M101" s="25" t="s">
        <v>84</v>
      </c>
      <c r="N101" s="14"/>
      <c r="O101" s="18">
        <v>30</v>
      </c>
      <c r="P101" s="19"/>
      <c r="Q101" s="18">
        <v>13600</v>
      </c>
      <c r="R101" s="18">
        <f t="shared" si="176"/>
        <v>8027.5</v>
      </c>
      <c r="S101" s="30">
        <f>-35*E101</f>
        <v>-4550</v>
      </c>
      <c r="T101" s="31">
        <f>W101*F101*0.0045</f>
        <v>2641.4324053826745</v>
      </c>
      <c r="U101" s="18">
        <f>E101*5</f>
        <v>650</v>
      </c>
      <c r="V101" s="14"/>
      <c r="W101" s="18">
        <f>((O101*F101)+Q101+R101+S101+U101)/G101</f>
        <v>39.236963835155592</v>
      </c>
      <c r="X101" s="18">
        <f>((O101*F101)+Q101+R101+S101+T101+U101)/G101</f>
        <v>39.459119630393836</v>
      </c>
      <c r="Y101" s="21">
        <f t="shared" si="177"/>
        <v>469168.93240538269</v>
      </c>
      <c r="Z101" s="32">
        <v>42594</v>
      </c>
      <c r="AA101" s="2">
        <v>41.5</v>
      </c>
      <c r="AB101" s="2" t="s">
        <v>3677</v>
      </c>
    </row>
    <row r="102" spans="1:30" s="12" customFormat="1" x14ac:dyDescent="0.25">
      <c r="A102" s="201"/>
      <c r="B102" s="24" t="s">
        <v>25</v>
      </c>
      <c r="C102" s="25" t="s">
        <v>26</v>
      </c>
      <c r="D102" s="25" t="s">
        <v>26</v>
      </c>
      <c r="E102" s="14" t="s">
        <v>27</v>
      </c>
      <c r="F102" s="26">
        <f>41766*0.4536</f>
        <v>18945.0576</v>
      </c>
      <c r="G102" s="27">
        <v>18945</v>
      </c>
      <c r="H102" s="27">
        <f t="shared" si="175"/>
        <v>-5.7600000000093132E-2</v>
      </c>
      <c r="I102" s="177" t="s">
        <v>3323</v>
      </c>
      <c r="J102" s="93" t="s">
        <v>74</v>
      </c>
      <c r="K102" s="17">
        <v>42580</v>
      </c>
      <c r="L102" s="17">
        <v>42581</v>
      </c>
      <c r="M102" s="25" t="s">
        <v>30</v>
      </c>
      <c r="N102" s="25" t="s">
        <v>3340</v>
      </c>
      <c r="O102" s="18"/>
      <c r="P102" s="28">
        <f>0.7061+0.1075</f>
        <v>0.81359999999999999</v>
      </c>
      <c r="Q102" s="211">
        <v>20000</v>
      </c>
      <c r="R102" s="18">
        <v>9200</v>
      </c>
      <c r="S102" s="30">
        <v>18.663</v>
      </c>
      <c r="T102" s="31">
        <f t="shared" ref="T102" si="178">W102*F102*0.005</f>
        <v>3326.4137682746505</v>
      </c>
      <c r="V102" s="18">
        <v>0.1</v>
      </c>
      <c r="W102" s="18">
        <f>IF(O102&gt;0,O102,((P102*2.2046*S102)+(Q102+R102)/G102)+V102)</f>
        <v>35.116428131362873</v>
      </c>
      <c r="X102" s="18">
        <f>IF(O102&gt;0,O102,((P102*2.2046*S102)+(Q102+R102+T102)/G102)+V102)</f>
        <v>35.29201080585613</v>
      </c>
      <c r="Y102" s="21">
        <f t="shared" ref="Y102" si="179">X102*F102</f>
        <v>668609.17753676674</v>
      </c>
      <c r="Z102" s="32">
        <v>42573</v>
      </c>
      <c r="AA102" s="2"/>
      <c r="AB102" s="2" t="s">
        <v>3679</v>
      </c>
    </row>
    <row r="103" spans="1:30" s="12" customFormat="1" x14ac:dyDescent="0.25">
      <c r="A103" s="201"/>
      <c r="B103" s="24" t="s">
        <v>25</v>
      </c>
      <c r="C103" s="25" t="s">
        <v>40</v>
      </c>
      <c r="D103" s="25" t="s">
        <v>40</v>
      </c>
      <c r="E103" s="105"/>
      <c r="F103" s="107">
        <v>18500</v>
      </c>
      <c r="G103" s="108">
        <v>18500</v>
      </c>
      <c r="H103" s="108">
        <f>G103-F103</f>
        <v>0</v>
      </c>
      <c r="I103" s="169" t="s">
        <v>3315</v>
      </c>
      <c r="J103" s="105" t="s">
        <v>487</v>
      </c>
      <c r="K103" s="213">
        <v>42580</v>
      </c>
      <c r="L103" s="213">
        <v>42581</v>
      </c>
      <c r="M103" s="212" t="s">
        <v>30</v>
      </c>
      <c r="N103" s="212" t="s">
        <v>3341</v>
      </c>
      <c r="O103" s="123"/>
      <c r="P103" s="214">
        <f>0.7061+0.1</f>
        <v>0.80609999999999993</v>
      </c>
      <c r="Q103" s="123">
        <v>20000</v>
      </c>
      <c r="R103" s="123">
        <v>9200</v>
      </c>
      <c r="S103" s="215">
        <v>19</v>
      </c>
      <c r="T103" s="216">
        <f>W103*F103*0.005</f>
        <v>3278.5525654500002</v>
      </c>
      <c r="U103" s="169"/>
      <c r="V103" s="123">
        <v>0.1</v>
      </c>
      <c r="W103" s="123">
        <f>IF(O103&gt;0,O103,((P103*2.2046*S103)+(Q103+R103)/G103)+V103)</f>
        <v>35.443811518378382</v>
      </c>
      <c r="X103" s="123">
        <f>IF(O103&gt;0,O103,((P103*2.2046*S103)+(Q103+R103+T103)/G103)+V103)</f>
        <v>35.621030575970273</v>
      </c>
      <c r="Y103" s="124">
        <f>X103*F103</f>
        <v>658989.0656554501</v>
      </c>
      <c r="Z103" s="106"/>
      <c r="AA103" s="37"/>
      <c r="AB103" s="37"/>
    </row>
    <row r="104" spans="1:30" s="12" customFormat="1" x14ac:dyDescent="0.25">
      <c r="A104" s="201"/>
      <c r="B104" s="24" t="s">
        <v>25</v>
      </c>
      <c r="C104" s="25" t="s">
        <v>72</v>
      </c>
      <c r="D104" s="25" t="s">
        <v>72</v>
      </c>
      <c r="E104" s="14"/>
      <c r="F104" s="26">
        <f>42743*0.4536</f>
        <v>19388.2248</v>
      </c>
      <c r="G104" s="27">
        <v>19387.900000000001</v>
      </c>
      <c r="H104" s="27">
        <f t="shared" ref="H104" si="180">G104-F104</f>
        <v>-0.32479999999850406</v>
      </c>
      <c r="I104" s="12" t="s">
        <v>3320</v>
      </c>
      <c r="J104" s="93" t="s">
        <v>44</v>
      </c>
      <c r="K104" s="17">
        <v>42580</v>
      </c>
      <c r="L104" s="17">
        <v>42581</v>
      </c>
      <c r="M104" s="25" t="s">
        <v>30</v>
      </c>
      <c r="N104" s="25" t="s">
        <v>3342</v>
      </c>
      <c r="O104" s="18"/>
      <c r="P104" s="28">
        <f>0.6832+0.105</f>
        <v>0.78820000000000001</v>
      </c>
      <c r="Q104" s="211">
        <v>20000</v>
      </c>
      <c r="R104" s="18">
        <v>9200</v>
      </c>
      <c r="S104" s="30">
        <v>18.597000000000001</v>
      </c>
      <c r="T104" s="31">
        <f t="shared" ref="T104" si="181">W104*F104*0.005</f>
        <v>3288.3847899076577</v>
      </c>
      <c r="V104" s="18">
        <v>0.1</v>
      </c>
      <c r="W104" s="18">
        <f>IF(O104&gt;0,O104,((P104*2.2046*S104)+(Q104+R104)/G104)+V104)</f>
        <v>33.9214634019269</v>
      </c>
      <c r="X104" s="18">
        <f>IF(O104&gt;0,O104,((P104*2.2046*S104)+(Q104+R104+T104)/G104)+V104)</f>
        <v>34.091073560319899</v>
      </c>
      <c r="Y104" s="21">
        <f t="shared" ref="Y104" si="182">X104*F104</f>
        <v>660965.39786081854</v>
      </c>
      <c r="Z104" s="32">
        <v>42576</v>
      </c>
      <c r="AA104" s="2">
        <v>37</v>
      </c>
      <c r="AB104" s="2"/>
    </row>
    <row r="105" spans="1:30" s="12" customFormat="1" ht="15.75" thickBot="1" x14ac:dyDescent="0.3">
      <c r="A105" s="201"/>
      <c r="B105" s="41"/>
      <c r="C105" s="4"/>
      <c r="D105" s="4"/>
      <c r="E105" s="4"/>
      <c r="F105" s="42"/>
      <c r="G105" s="42"/>
      <c r="H105" s="42"/>
      <c r="I105" s="6"/>
      <c r="J105" s="4"/>
      <c r="K105" s="7"/>
      <c r="L105" s="7"/>
      <c r="M105" s="4"/>
      <c r="N105" s="4"/>
      <c r="O105" s="8"/>
      <c r="P105" s="9"/>
      <c r="Q105" s="8"/>
      <c r="R105" s="8"/>
      <c r="S105" s="8"/>
      <c r="T105" s="8"/>
      <c r="U105" s="8"/>
      <c r="V105" s="8"/>
      <c r="W105" s="8"/>
      <c r="X105" s="8"/>
      <c r="Y105" s="11"/>
      <c r="Z105" s="43"/>
      <c r="AA105" s="2"/>
      <c r="AB105" s="2"/>
    </row>
    <row r="106" spans="1:30" s="12" customFormat="1" x14ac:dyDescent="0.25">
      <c r="A106" s="204"/>
      <c r="B106" s="14" t="s">
        <v>32</v>
      </c>
      <c r="C106" s="14" t="s">
        <v>33</v>
      </c>
      <c r="D106" s="25" t="s">
        <v>38</v>
      </c>
      <c r="E106" s="14">
        <v>200</v>
      </c>
      <c r="F106" s="26">
        <v>23175</v>
      </c>
      <c r="G106" s="27">
        <f>14020+4710</f>
        <v>18730</v>
      </c>
      <c r="H106" s="27">
        <f t="shared" ref="H106" si="183">G106-F106</f>
        <v>-4445</v>
      </c>
      <c r="I106" s="25" t="s">
        <v>3675</v>
      </c>
      <c r="J106" s="14"/>
      <c r="K106" s="17"/>
      <c r="L106" s="17">
        <v>42582</v>
      </c>
      <c r="M106" s="25" t="s">
        <v>36</v>
      </c>
      <c r="N106" s="14"/>
      <c r="O106" s="18">
        <v>30</v>
      </c>
      <c r="P106" s="19"/>
      <c r="Q106" s="18">
        <v>17300</v>
      </c>
      <c r="R106" s="18">
        <f t="shared" ref="R106" si="184">61.75*E106</f>
        <v>12350</v>
      </c>
      <c r="S106" s="30">
        <f>-35*E106</f>
        <v>-7000</v>
      </c>
      <c r="T106" s="31">
        <f>W106*F106*0.0045</f>
        <v>4002.7914442071542</v>
      </c>
      <c r="U106" s="18">
        <f>E106*5</f>
        <v>1000</v>
      </c>
      <c r="V106" s="14"/>
      <c r="W106" s="18">
        <f>((O106*F106)+Q106+R106+S106+U106)/G106</f>
        <v>38.382274426054458</v>
      </c>
      <c r="X106" s="18">
        <f>((O106*F106)+Q106+R106+S106+T106+U106)/G106</f>
        <v>38.59598459392457</v>
      </c>
      <c r="Y106" s="21">
        <f>X106*G106</f>
        <v>722902.79144420719</v>
      </c>
      <c r="Z106" s="32">
        <v>42597</v>
      </c>
      <c r="AA106" s="2">
        <v>41.5</v>
      </c>
      <c r="AB106" s="2" t="s">
        <v>3678</v>
      </c>
    </row>
    <row r="107" spans="1:30" s="12" customFormat="1" ht="15.75" thickBot="1" x14ac:dyDescent="0.3">
      <c r="A107" s="204"/>
      <c r="B107" s="41"/>
      <c r="C107" s="4"/>
      <c r="D107" s="4"/>
      <c r="E107" s="4"/>
      <c r="F107" s="42"/>
      <c r="G107" s="42"/>
      <c r="H107" s="42"/>
      <c r="I107" s="6"/>
      <c r="J107" s="4"/>
      <c r="K107" s="7"/>
      <c r="L107" s="7"/>
      <c r="M107" s="4"/>
      <c r="N107" s="4"/>
      <c r="O107" s="8"/>
      <c r="P107" s="9"/>
      <c r="Q107" s="8"/>
      <c r="R107" s="8"/>
      <c r="S107" s="8"/>
      <c r="T107" s="8"/>
      <c r="U107" s="8"/>
      <c r="V107" s="8"/>
      <c r="W107" s="8"/>
      <c r="X107" s="8"/>
      <c r="Y107" s="11"/>
      <c r="Z107" s="43"/>
      <c r="AA107" s="2"/>
      <c r="AB107" s="2" t="s">
        <v>3688</v>
      </c>
      <c r="AD107" s="12" t="s">
        <v>3696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4"/>
  <sheetViews>
    <sheetView topLeftCell="B1" zoomScale="73" zoomScaleNormal="73" workbookViewId="0">
      <selection activeCell="I22" sqref="I22"/>
    </sheetView>
  </sheetViews>
  <sheetFormatPr baseColWidth="10" defaultRowHeight="15" x14ac:dyDescent="0.25"/>
  <cols>
    <col min="1" max="1" width="3.140625" customWidth="1"/>
    <col min="2" max="2" width="16" customWidth="1"/>
    <col min="4" max="4" width="17.28515625" customWidth="1"/>
    <col min="9" max="9" width="15.5703125" customWidth="1"/>
    <col min="13" max="13" width="4.42578125" customWidth="1"/>
    <col min="17" max="17" width="12.140625" customWidth="1"/>
    <col min="18" max="18" width="11.85546875" customWidth="1"/>
    <col min="19" max="19" width="13.140625" customWidth="1"/>
    <col min="20" max="20" width="14.42578125" customWidth="1"/>
    <col min="22" max="22" width="9.28515625" customWidth="1"/>
    <col min="23" max="23" width="0" hidden="1" customWidth="1"/>
    <col min="24" max="24" width="14.140625" customWidth="1"/>
    <col min="25" max="25" width="18.28515625" customWidth="1"/>
    <col min="26" max="26" width="12.5703125" customWidth="1"/>
  </cols>
  <sheetData>
    <row r="1" spans="1:28" x14ac:dyDescent="0.25">
      <c r="A1" s="1" t="s">
        <v>3350</v>
      </c>
      <c r="Y1" s="2"/>
    </row>
    <row r="2" spans="1:28" ht="30.7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4" t="s">
        <v>9</v>
      </c>
      <c r="K2" s="7" t="s">
        <v>10</v>
      </c>
      <c r="L2" s="7" t="s">
        <v>11</v>
      </c>
      <c r="M2" s="4" t="s">
        <v>12</v>
      </c>
      <c r="N2" s="4" t="s">
        <v>13</v>
      </c>
      <c r="O2" s="8" t="s">
        <v>14</v>
      </c>
      <c r="P2" s="9" t="s">
        <v>15</v>
      </c>
      <c r="Q2" s="8" t="s">
        <v>16</v>
      </c>
      <c r="R2" s="10" t="s">
        <v>17</v>
      </c>
      <c r="S2" s="10" t="s">
        <v>18</v>
      </c>
      <c r="T2" s="10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11" t="s">
        <v>24</v>
      </c>
      <c r="Z2" s="8"/>
    </row>
    <row r="3" spans="1:28" s="12" customFormat="1" x14ac:dyDescent="0.25">
      <c r="A3" s="202"/>
      <c r="B3" s="24" t="s">
        <v>32</v>
      </c>
      <c r="C3" s="14" t="s">
        <v>33</v>
      </c>
      <c r="D3" s="25" t="s">
        <v>1228</v>
      </c>
      <c r="E3" s="14">
        <f>200-2</f>
        <v>198</v>
      </c>
      <c r="F3" s="26">
        <v>21695</v>
      </c>
      <c r="G3" s="27">
        <f>12920+4300</f>
        <v>17220</v>
      </c>
      <c r="H3" s="27">
        <f t="shared" ref="H3" si="0">G3-F3</f>
        <v>-4475</v>
      </c>
      <c r="I3" s="25" t="s">
        <v>3680</v>
      </c>
      <c r="J3" s="133">
        <v>198</v>
      </c>
      <c r="K3" s="17"/>
      <c r="L3" s="17">
        <v>42583</v>
      </c>
      <c r="M3" s="25" t="s">
        <v>39</v>
      </c>
      <c r="N3" s="14"/>
      <c r="O3" s="18">
        <v>30</v>
      </c>
      <c r="P3" s="19"/>
      <c r="Q3" s="18">
        <v>17300</v>
      </c>
      <c r="R3" s="18">
        <f t="shared" ref="R3" si="1">61.75*E3</f>
        <v>12226.5</v>
      </c>
      <c r="S3" s="30">
        <f t="shared" ref="S3" si="2">-35*E3</f>
        <v>-6930</v>
      </c>
      <c r="T3" s="31">
        <f>W3*F3*0.0045</f>
        <v>3823.6672127613238</v>
      </c>
      <c r="U3" s="18">
        <f>E3*5</f>
        <v>990</v>
      </c>
      <c r="V3" s="14"/>
      <c r="W3" s="18">
        <f>((O3*F3)+Q3+R3+S3+U3)/G3</f>
        <v>39.165882694541232</v>
      </c>
      <c r="X3" s="18">
        <f>((O3*F3)+Q3+R3+S3+T3+U3)/G3</f>
        <v>39.387930732448396</v>
      </c>
      <c r="Y3" s="21">
        <f>X3*G3</f>
        <v>678260.16721276136</v>
      </c>
      <c r="Z3" s="32">
        <v>42598</v>
      </c>
      <c r="AA3" s="2">
        <v>41.5</v>
      </c>
      <c r="AB3" s="2" t="s">
        <v>3695</v>
      </c>
    </row>
    <row r="4" spans="1:28" s="12" customFormat="1" x14ac:dyDescent="0.25">
      <c r="A4" s="202"/>
      <c r="B4" s="24" t="s">
        <v>25</v>
      </c>
      <c r="C4" s="25" t="s">
        <v>40</v>
      </c>
      <c r="D4" s="25" t="s">
        <v>40</v>
      </c>
      <c r="E4" s="14" t="s">
        <v>42</v>
      </c>
      <c r="F4" s="26">
        <f>41288*0.4536</f>
        <v>18728.236799999999</v>
      </c>
      <c r="G4" s="40">
        <v>18500</v>
      </c>
      <c r="H4" s="27">
        <f>G4-F4</f>
        <v>-228.23679999999877</v>
      </c>
      <c r="I4" s="39" t="s">
        <v>3324</v>
      </c>
      <c r="J4" s="36" t="s">
        <v>3647</v>
      </c>
      <c r="K4" s="17">
        <v>42583</v>
      </c>
      <c r="L4" s="17">
        <v>42584</v>
      </c>
      <c r="M4" s="25" t="s">
        <v>45</v>
      </c>
      <c r="N4" s="25" t="s">
        <v>3343</v>
      </c>
      <c r="O4" s="18"/>
      <c r="P4" s="28">
        <f>0.6482+0.1</f>
        <v>0.74819999999999998</v>
      </c>
      <c r="Q4" s="18">
        <v>20000</v>
      </c>
      <c r="R4" s="18">
        <v>9200</v>
      </c>
      <c r="S4" s="38">
        <v>19.2</v>
      </c>
      <c r="T4" s="31">
        <f>W4*F4*0.005</f>
        <v>3122.7862264967557</v>
      </c>
      <c r="V4" s="18">
        <v>0.1</v>
      </c>
      <c r="W4" s="18">
        <f t="shared" ref="W4:W5" si="3">IF(O4&gt;0,O4,((P4*2.2046*S4)+(Q4+R4)/G4)+V4)</f>
        <v>33.348427402378384</v>
      </c>
      <c r="X4" s="18">
        <f t="shared" ref="X4:X5" si="4">IF(O4&gt;0,O4,((P4*2.2046*S4)+(Q4+R4+T4)/G4)+V4)</f>
        <v>33.51722665786469</v>
      </c>
      <c r="Y4" s="21">
        <f t="shared" ref="Y4:Y5" si="5">X4*F4</f>
        <v>627718.5577277625</v>
      </c>
      <c r="Z4" s="32">
        <v>42594</v>
      </c>
      <c r="AA4" s="37">
        <v>35</v>
      </c>
      <c r="AB4" s="37" t="s">
        <v>3694</v>
      </c>
    </row>
    <row r="5" spans="1:28" s="12" customFormat="1" x14ac:dyDescent="0.25">
      <c r="A5" s="202"/>
      <c r="B5" s="24" t="s">
        <v>25</v>
      </c>
      <c r="C5" s="25" t="s">
        <v>72</v>
      </c>
      <c r="D5" s="25" t="s">
        <v>72</v>
      </c>
      <c r="E5" s="14" t="s">
        <v>42</v>
      </c>
      <c r="F5" s="26">
        <f>42610*0.4536</f>
        <v>19327.896000000001</v>
      </c>
      <c r="G5" s="27">
        <v>19327.5</v>
      </c>
      <c r="H5" s="27">
        <f>G5-F5</f>
        <v>-0.39600000000064028</v>
      </c>
      <c r="I5" s="12" t="s">
        <v>3321</v>
      </c>
      <c r="J5" s="36" t="s">
        <v>3701</v>
      </c>
      <c r="K5" s="17">
        <v>42583</v>
      </c>
      <c r="L5" s="17">
        <v>42584</v>
      </c>
      <c r="M5" s="25" t="s">
        <v>45</v>
      </c>
      <c r="N5" s="25" t="s">
        <v>3344</v>
      </c>
      <c r="O5" s="18"/>
      <c r="P5" s="28">
        <f>0.6482+0.105</f>
        <v>0.75319999999999998</v>
      </c>
      <c r="Q5" s="18">
        <v>20000</v>
      </c>
      <c r="R5" s="18">
        <v>9200</v>
      </c>
      <c r="S5" s="30">
        <v>18.875</v>
      </c>
      <c r="T5" s="31">
        <f>W5*F5*0.005</f>
        <v>3184.5440911891051</v>
      </c>
      <c r="V5" s="18">
        <v>0.1</v>
      </c>
      <c r="W5" s="18">
        <f t="shared" si="3"/>
        <v>32.952827262616736</v>
      </c>
      <c r="X5" s="18">
        <f t="shared" si="4"/>
        <v>33.117594774772428</v>
      </c>
      <c r="Y5" s="21">
        <f t="shared" si="5"/>
        <v>640093.42757694493</v>
      </c>
      <c r="Z5" s="32">
        <v>42578</v>
      </c>
      <c r="AA5" s="37">
        <v>35</v>
      </c>
      <c r="AB5" s="37"/>
    </row>
    <row r="6" spans="1:28" s="12" customFormat="1" x14ac:dyDescent="0.25">
      <c r="A6" s="202"/>
      <c r="B6" s="24" t="s">
        <v>32</v>
      </c>
      <c r="C6" s="14" t="s">
        <v>33</v>
      </c>
      <c r="D6" s="25" t="s">
        <v>1228</v>
      </c>
      <c r="E6" s="14">
        <v>200</v>
      </c>
      <c r="F6" s="26">
        <v>21890</v>
      </c>
      <c r="G6" s="27">
        <f>13340+4450</f>
        <v>17790</v>
      </c>
      <c r="H6" s="27">
        <f t="shared" ref="H6" si="6">G6-F6</f>
        <v>-4100</v>
      </c>
      <c r="I6" s="12" t="s">
        <v>3692</v>
      </c>
      <c r="J6" s="14"/>
      <c r="K6" s="17"/>
      <c r="L6" s="17">
        <v>42584</v>
      </c>
      <c r="M6" s="25" t="s">
        <v>45</v>
      </c>
      <c r="N6" s="14"/>
      <c r="O6" s="18">
        <v>30</v>
      </c>
      <c r="P6" s="19"/>
      <c r="Q6" s="18">
        <v>17300</v>
      </c>
      <c r="R6" s="18">
        <f t="shared" ref="R6" si="7">61.75*E6</f>
        <v>12350</v>
      </c>
      <c r="S6" s="30">
        <f t="shared" ref="S6" si="8">-35*E6</f>
        <v>-7000</v>
      </c>
      <c r="T6" s="31">
        <f>W6*F6*0.0045</f>
        <v>3767.1656408094427</v>
      </c>
      <c r="U6" s="18">
        <f>E6*5</f>
        <v>1000</v>
      </c>
      <c r="V6" s="14"/>
      <c r="W6" s="18">
        <f>((O6*F6)+Q6+R6+S6+U6)/G6</f>
        <v>38.243395165823493</v>
      </c>
      <c r="X6" s="18">
        <f>((O6*F6)+Q6+R6+S6+T6+U6)/G6</f>
        <v>38.455152649848763</v>
      </c>
      <c r="Y6" s="21">
        <f>X6*G6</f>
        <v>684117.16564080946</v>
      </c>
      <c r="Z6" s="32">
        <v>42599</v>
      </c>
      <c r="AA6" s="37">
        <v>41.5</v>
      </c>
      <c r="AB6" s="37" t="s">
        <v>3700</v>
      </c>
    </row>
    <row r="7" spans="1:28" s="12" customFormat="1" x14ac:dyDescent="0.25">
      <c r="A7" s="202"/>
      <c r="B7" s="24" t="s">
        <v>25</v>
      </c>
      <c r="C7" s="25" t="s">
        <v>72</v>
      </c>
      <c r="D7" s="25" t="s">
        <v>72</v>
      </c>
      <c r="E7" s="14"/>
      <c r="F7" s="26">
        <f>42498*0.4536</f>
        <v>19277.092799999999</v>
      </c>
      <c r="G7" s="40">
        <v>19000</v>
      </c>
      <c r="H7" s="27">
        <f>G7-F7</f>
        <v>-277.09279999999853</v>
      </c>
      <c r="I7" s="12" t="s">
        <v>3327</v>
      </c>
      <c r="J7" s="36" t="s">
        <v>3648</v>
      </c>
      <c r="K7" s="17">
        <v>42584</v>
      </c>
      <c r="L7" s="17">
        <v>42585</v>
      </c>
      <c r="M7" s="25" t="s">
        <v>50</v>
      </c>
      <c r="N7" s="25" t="s">
        <v>3344</v>
      </c>
      <c r="O7" s="18"/>
      <c r="P7" s="28">
        <f>0.6482+0.105</f>
        <v>0.75319999999999998</v>
      </c>
      <c r="Q7" s="18">
        <v>20000</v>
      </c>
      <c r="R7" s="18">
        <v>9200</v>
      </c>
      <c r="S7" s="30">
        <v>18.875</v>
      </c>
      <c r="T7" s="31">
        <f>W7*F7*0.005</f>
        <v>3178.6835613880139</v>
      </c>
      <c r="V7" s="18">
        <v>0.1</v>
      </c>
      <c r="W7" s="18">
        <f t="shared" ref="W7" si="9">IF(O7&gt;0,O7,((P7*2.2046*S7)+(Q7+R7)/G7)+V7)</f>
        <v>32.978868695263159</v>
      </c>
      <c r="X7" s="18">
        <f t="shared" ref="X7" si="10">IF(O7&gt;0,O7,((P7*2.2046*S7)+(Q7+R7+T7)/G7)+V7)</f>
        <v>33.146167830073054</v>
      </c>
      <c r="Y7" s="21">
        <f t="shared" ref="Y7" si="11">X7*F7</f>
        <v>638961.75322469289</v>
      </c>
      <c r="Z7" s="32">
        <v>42578</v>
      </c>
      <c r="AA7" s="37"/>
      <c r="AB7" s="37"/>
    </row>
    <row r="8" spans="1:28" s="12" customFormat="1" x14ac:dyDescent="0.25">
      <c r="A8" s="202"/>
      <c r="B8" s="24" t="s">
        <v>32</v>
      </c>
      <c r="C8" s="14" t="s">
        <v>33</v>
      </c>
      <c r="D8" s="25" t="s">
        <v>1228</v>
      </c>
      <c r="E8" s="14">
        <v>220</v>
      </c>
      <c r="F8" s="26">
        <v>22265</v>
      </c>
      <c r="G8" s="27"/>
      <c r="H8" s="27">
        <f t="shared" ref="H8" si="12">G8-F8</f>
        <v>-22265</v>
      </c>
      <c r="I8" s="12" t="s">
        <v>3698</v>
      </c>
      <c r="J8" s="14"/>
      <c r="K8" s="17"/>
      <c r="L8" s="17">
        <v>42585</v>
      </c>
      <c r="M8" s="25" t="s">
        <v>50</v>
      </c>
      <c r="N8" s="14"/>
      <c r="O8" s="18">
        <v>30</v>
      </c>
      <c r="P8" s="19"/>
      <c r="Q8" s="18">
        <v>17300</v>
      </c>
      <c r="R8" s="18">
        <f t="shared" ref="R8" si="13">61.75*E8</f>
        <v>13585</v>
      </c>
      <c r="S8" s="30">
        <f t="shared" ref="S8" si="14">-35*E8</f>
        <v>-7700</v>
      </c>
      <c r="T8" s="31" t="e">
        <f>W8*F8*0.0045</f>
        <v>#DIV/0!</v>
      </c>
      <c r="U8" s="18">
        <f>E8*5</f>
        <v>1100</v>
      </c>
      <c r="V8" s="14"/>
      <c r="W8" s="18" t="e">
        <f>((O8*F8)+Q8+R8+S8+U8)/G8</f>
        <v>#DIV/0!</v>
      </c>
      <c r="X8" s="18" t="e">
        <f>((O8*F8)+Q8+R8+S8+T8+U8)/G8</f>
        <v>#DIV/0!</v>
      </c>
      <c r="Y8" s="21" t="e">
        <f>X8*G8</f>
        <v>#DIV/0!</v>
      </c>
      <c r="Z8" s="32">
        <v>42600</v>
      </c>
      <c r="AA8" s="37"/>
      <c r="AB8" s="37"/>
    </row>
    <row r="9" spans="1:28" s="12" customFormat="1" x14ac:dyDescent="0.25">
      <c r="A9" s="202"/>
      <c r="B9" s="24" t="s">
        <v>25</v>
      </c>
      <c r="C9" s="25" t="s">
        <v>72</v>
      </c>
      <c r="D9" s="25" t="s">
        <v>72</v>
      </c>
      <c r="E9" s="14"/>
      <c r="F9" s="26">
        <v>19000</v>
      </c>
      <c r="G9" s="40">
        <v>19000</v>
      </c>
      <c r="H9" s="27">
        <f>G9-F9</f>
        <v>0</v>
      </c>
      <c r="I9" s="12" t="s">
        <v>3328</v>
      </c>
      <c r="J9" s="36"/>
      <c r="K9" s="17">
        <v>42585</v>
      </c>
      <c r="L9" s="17">
        <v>42586</v>
      </c>
      <c r="M9" s="25" t="s">
        <v>65</v>
      </c>
      <c r="N9" s="25" t="s">
        <v>3345</v>
      </c>
      <c r="O9" s="18"/>
      <c r="P9" s="28">
        <f>0.6324+0.105</f>
        <v>0.73739999999999994</v>
      </c>
      <c r="Q9" s="18">
        <v>20000</v>
      </c>
      <c r="R9" s="46">
        <v>9200</v>
      </c>
      <c r="S9" s="38">
        <v>19.2</v>
      </c>
      <c r="T9" s="31">
        <f>W9*F9*0.005</f>
        <v>3120.7258009599996</v>
      </c>
      <c r="V9" s="18">
        <v>0.1</v>
      </c>
      <c r="W9" s="18">
        <f t="shared" ref="W9" si="15">IF(O9&gt;0,O9,((P9*2.2046*S9)+(Q9+R9)/G9)+V9)</f>
        <v>32.849745273263153</v>
      </c>
      <c r="X9" s="18">
        <f t="shared" ref="X9" si="16">IF(O9&gt;0,O9,((P9*2.2046*S9)+(Q9+R9+T9)/G9)+V9)</f>
        <v>33.01399399962947</v>
      </c>
      <c r="Y9" s="21">
        <f t="shared" ref="Y9" si="17">X9*F9</f>
        <v>627265.88599295996</v>
      </c>
      <c r="Z9" s="32"/>
      <c r="AA9" s="37"/>
      <c r="AB9" s="37"/>
    </row>
    <row r="10" spans="1:28" s="12" customFormat="1" x14ac:dyDescent="0.25">
      <c r="A10" s="202"/>
      <c r="B10" s="24" t="s">
        <v>25</v>
      </c>
      <c r="C10" s="25" t="s">
        <v>72</v>
      </c>
      <c r="D10" s="25" t="s">
        <v>72</v>
      </c>
      <c r="E10" s="14"/>
      <c r="F10" s="26">
        <v>19000</v>
      </c>
      <c r="G10" s="40">
        <v>19000</v>
      </c>
      <c r="H10" s="27">
        <f>G10-F10</f>
        <v>0</v>
      </c>
      <c r="I10" s="12" t="s">
        <v>3329</v>
      </c>
      <c r="J10" s="36"/>
      <c r="K10" s="17">
        <v>42585</v>
      </c>
      <c r="L10" s="17">
        <v>42586</v>
      </c>
      <c r="M10" s="25" t="s">
        <v>65</v>
      </c>
      <c r="N10" s="25" t="s">
        <v>3345</v>
      </c>
      <c r="O10" s="18"/>
      <c r="P10" s="28">
        <f>0.6324+0.105</f>
        <v>0.73739999999999994</v>
      </c>
      <c r="Q10" s="18">
        <v>20000</v>
      </c>
      <c r="R10" s="18">
        <v>9200</v>
      </c>
      <c r="S10" s="38">
        <v>19.2</v>
      </c>
      <c r="T10" s="31">
        <f t="shared" ref="T10" si="18">W10*F10*0.005</f>
        <v>3120.7258009599996</v>
      </c>
      <c r="V10" s="18">
        <v>0.1</v>
      </c>
      <c r="W10" s="18">
        <f>IF(O10&gt;0,O10,((P10*2.2046*S10)+(Q10+R10)/G10)+V10)</f>
        <v>32.849745273263153</v>
      </c>
      <c r="X10" s="18">
        <f>IF(O10&gt;0,O10,((P10*2.2046*S10)+(Q10+R10+T10)/G10)+V10)</f>
        <v>33.01399399962947</v>
      </c>
      <c r="Y10" s="21">
        <f>X10*F10</f>
        <v>627265.88599295996</v>
      </c>
      <c r="Z10" s="32"/>
      <c r="AA10" s="37"/>
      <c r="AB10" s="37"/>
    </row>
    <row r="11" spans="1:28" s="12" customFormat="1" x14ac:dyDescent="0.25">
      <c r="A11" s="202"/>
      <c r="B11" s="24" t="s">
        <v>32</v>
      </c>
      <c r="C11" s="14" t="s">
        <v>33</v>
      </c>
      <c r="D11" s="25"/>
      <c r="E11" s="14">
        <v>260</v>
      </c>
      <c r="F11" s="26"/>
      <c r="G11" s="27"/>
      <c r="H11" s="27">
        <f t="shared" ref="H11" si="19">G11-F11</f>
        <v>0</v>
      </c>
      <c r="J11" s="14"/>
      <c r="K11" s="17"/>
      <c r="L11" s="17">
        <v>42586</v>
      </c>
      <c r="M11" s="25" t="s">
        <v>65</v>
      </c>
      <c r="N11" s="14"/>
      <c r="O11" s="18"/>
      <c r="P11" s="19"/>
      <c r="Q11" s="18">
        <v>17300</v>
      </c>
      <c r="R11" s="18">
        <f t="shared" ref="R11" si="20">61.75*E11</f>
        <v>16055</v>
      </c>
      <c r="S11" s="30">
        <f t="shared" ref="S11" si="21">-35*E11</f>
        <v>-9100</v>
      </c>
      <c r="T11" s="31" t="e">
        <f t="shared" ref="T11" si="22">W11*F11*0.0045</f>
        <v>#DIV/0!</v>
      </c>
      <c r="U11" s="18">
        <f t="shared" ref="U11" si="23">E11*5</f>
        <v>1300</v>
      </c>
      <c r="V11" s="14"/>
      <c r="W11" s="18" t="e">
        <f t="shared" ref="W11" si="24">((O11*F11)+Q11+R11+S11+U11)/G11</f>
        <v>#DIV/0!</v>
      </c>
      <c r="X11" s="18" t="e">
        <f t="shared" ref="X11" si="25">((O11*F11)+Q11+R11+S11+T11+U11)/G11</f>
        <v>#DIV/0!</v>
      </c>
      <c r="Y11" s="21" t="e">
        <f t="shared" ref="Y11" si="26">X11*G11</f>
        <v>#DIV/0!</v>
      </c>
      <c r="Z11" s="32"/>
      <c r="AA11" s="37"/>
      <c r="AB11" s="37"/>
    </row>
    <row r="12" spans="1:28" s="12" customFormat="1" x14ac:dyDescent="0.25">
      <c r="A12" s="202"/>
      <c r="B12" s="24" t="s">
        <v>25</v>
      </c>
      <c r="C12" s="25" t="s">
        <v>40</v>
      </c>
      <c r="D12" s="25" t="s">
        <v>40</v>
      </c>
      <c r="E12" s="14" t="s">
        <v>42</v>
      </c>
      <c r="F12" s="26">
        <f>41671*0.4536</f>
        <v>18901.9656</v>
      </c>
      <c r="G12" s="40">
        <v>18500</v>
      </c>
      <c r="H12" s="27">
        <f>G12-F12</f>
        <v>-401.96559999999954</v>
      </c>
      <c r="I12" s="12" t="s">
        <v>3325</v>
      </c>
      <c r="J12" s="36"/>
      <c r="K12" s="17">
        <v>42586</v>
      </c>
      <c r="L12" s="17">
        <v>42587</v>
      </c>
      <c r="M12" s="25" t="s">
        <v>84</v>
      </c>
      <c r="N12" s="25" t="s">
        <v>3346</v>
      </c>
      <c r="O12" s="18"/>
      <c r="P12" s="28">
        <f>0.6324+0.1</f>
        <v>0.73239999999999994</v>
      </c>
      <c r="Q12" s="18">
        <v>20000</v>
      </c>
      <c r="R12" s="46">
        <v>9200</v>
      </c>
      <c r="S12" s="38">
        <v>19.2</v>
      </c>
      <c r="T12" s="31">
        <f>W12*F12*0.005</f>
        <v>3088.5471504341499</v>
      </c>
      <c r="V12" s="18">
        <v>0.1</v>
      </c>
      <c r="W12" s="18">
        <f t="shared" ref="W12" si="27">IF(O12&gt;0,O12,((P12*2.2046*S12)+(Q12+R12)/G12)+V12)</f>
        <v>32.67963994637838</v>
      </c>
      <c r="X12" s="18">
        <f t="shared" ref="X12" si="28">IF(O12&gt;0,O12,((P12*2.2046*S12)+(Q12+R12+T12)/G12)+V12)</f>
        <v>32.846588440996442</v>
      </c>
      <c r="Y12" s="21">
        <f t="shared" ref="Y12" si="29">X12*F12</f>
        <v>620865.0847890724</v>
      </c>
      <c r="Z12" s="32">
        <v>42598</v>
      </c>
      <c r="AA12" s="37"/>
      <c r="AB12" s="37"/>
    </row>
    <row r="13" spans="1:28" s="12" customFormat="1" x14ac:dyDescent="0.25">
      <c r="A13" s="202"/>
      <c r="B13" s="24" t="s">
        <v>32</v>
      </c>
      <c r="C13" s="14" t="s">
        <v>33</v>
      </c>
      <c r="D13" s="25"/>
      <c r="E13" s="14">
        <v>230</v>
      </c>
      <c r="F13" s="26"/>
      <c r="G13" s="27"/>
      <c r="H13" s="27">
        <f t="shared" ref="H13:H15" si="30">G13-F13</f>
        <v>0</v>
      </c>
      <c r="J13" s="14"/>
      <c r="K13" s="17"/>
      <c r="L13" s="17">
        <v>42587</v>
      </c>
      <c r="M13" s="25" t="s">
        <v>84</v>
      </c>
      <c r="N13" s="14"/>
      <c r="O13" s="18"/>
      <c r="P13" s="19"/>
      <c r="Q13" s="18">
        <v>17300</v>
      </c>
      <c r="R13" s="18">
        <f t="shared" ref="R13:R14" si="31">61.75*E13</f>
        <v>14202.5</v>
      </c>
      <c r="S13" s="30">
        <f>-35*E13</f>
        <v>-8050</v>
      </c>
      <c r="T13" s="31" t="e">
        <f>W13*F13*0.0045</f>
        <v>#DIV/0!</v>
      </c>
      <c r="U13" s="18">
        <f>E13*5</f>
        <v>1150</v>
      </c>
      <c r="V13" s="14"/>
      <c r="W13" s="18" t="e">
        <f>((O13*F13)+Q13+R13+S13+U13)/G13</f>
        <v>#DIV/0!</v>
      </c>
      <c r="X13" s="18" t="e">
        <f>((O13*F13)+Q13+R13+S13+T13+U13)/G13</f>
        <v>#DIV/0!</v>
      </c>
      <c r="Y13" s="21" t="e">
        <f t="shared" ref="Y13:Y14" si="32">X13*G13</f>
        <v>#DIV/0!</v>
      </c>
      <c r="Z13" s="32"/>
      <c r="AA13" s="2"/>
      <c r="AB13" s="2"/>
    </row>
    <row r="14" spans="1:28" s="12" customFormat="1" x14ac:dyDescent="0.25">
      <c r="A14" s="202"/>
      <c r="B14" s="24" t="s">
        <v>32</v>
      </c>
      <c r="C14" s="14" t="s">
        <v>33</v>
      </c>
      <c r="D14" s="25"/>
      <c r="E14" s="14">
        <v>130</v>
      </c>
      <c r="F14" s="26"/>
      <c r="G14" s="27"/>
      <c r="H14" s="27">
        <f t="shared" si="30"/>
        <v>0</v>
      </c>
      <c r="I14" s="25"/>
      <c r="J14" s="14"/>
      <c r="K14" s="17"/>
      <c r="L14" s="17">
        <v>42587</v>
      </c>
      <c r="M14" s="25" t="s">
        <v>84</v>
      </c>
      <c r="N14" s="14"/>
      <c r="O14" s="18"/>
      <c r="P14" s="19"/>
      <c r="Q14" s="18">
        <v>13600</v>
      </c>
      <c r="R14" s="18">
        <f t="shared" si="31"/>
        <v>8027.5</v>
      </c>
      <c r="S14" s="30">
        <f>-35*E14</f>
        <v>-4550</v>
      </c>
      <c r="T14" s="31" t="e">
        <f>W14*F14*0.0045</f>
        <v>#DIV/0!</v>
      </c>
      <c r="U14" s="18">
        <f>E14*5</f>
        <v>650</v>
      </c>
      <c r="V14" s="14"/>
      <c r="W14" s="18" t="e">
        <f>((O14*F14)+Q14+R14+S14+U14)/G14</f>
        <v>#DIV/0!</v>
      </c>
      <c r="X14" s="18" t="e">
        <f>((O14*F14)+Q14+R14+S14+T14+U14)/G14</f>
        <v>#DIV/0!</v>
      </c>
      <c r="Y14" s="21" t="e">
        <f t="shared" si="32"/>
        <v>#DIV/0!</v>
      </c>
      <c r="Z14" s="32"/>
      <c r="AA14" s="2"/>
      <c r="AB14" s="2"/>
    </row>
    <row r="15" spans="1:28" s="12" customFormat="1" x14ac:dyDescent="0.25">
      <c r="A15" s="202"/>
      <c r="B15" s="24" t="s">
        <v>25</v>
      </c>
      <c r="C15" s="25" t="s">
        <v>26</v>
      </c>
      <c r="D15" s="25" t="s">
        <v>26</v>
      </c>
      <c r="E15" s="14"/>
      <c r="F15" s="26">
        <v>18500</v>
      </c>
      <c r="G15" s="40">
        <v>18500</v>
      </c>
      <c r="H15" s="27">
        <f t="shared" si="30"/>
        <v>0</v>
      </c>
      <c r="I15" s="177" t="s">
        <v>3331</v>
      </c>
      <c r="J15" s="36"/>
      <c r="K15" s="17">
        <v>42587</v>
      </c>
      <c r="L15" s="17">
        <v>42588</v>
      </c>
      <c r="M15" s="25" t="s">
        <v>30</v>
      </c>
      <c r="N15" s="25" t="s">
        <v>3347</v>
      </c>
      <c r="O15" s="18"/>
      <c r="P15" s="28">
        <f>0.6283+0.1075</f>
        <v>0.73580000000000001</v>
      </c>
      <c r="Q15" s="18">
        <v>20000</v>
      </c>
      <c r="R15" s="46">
        <v>9200</v>
      </c>
      <c r="S15" s="30">
        <v>18.86</v>
      </c>
      <c r="T15" s="31">
        <f t="shared" ref="T15" si="33">W15*F15*0.005</f>
        <v>2985.1625014940005</v>
      </c>
      <c r="V15" s="18">
        <v>0.1</v>
      </c>
      <c r="W15" s="18">
        <f>IF(O15&gt;0,O15,((P15*2.2046*S15)+(Q15+R15)/G15)+V15)</f>
        <v>32.272027043178383</v>
      </c>
      <c r="X15" s="18">
        <f>IF(O15&gt;0,O15,((P15*2.2046*S15)+(Q15+R15+T15)/G15)+V15)</f>
        <v>32.43338717839427</v>
      </c>
      <c r="Y15" s="21">
        <f t="shared" ref="Y15" si="34">X15*F15</f>
        <v>600017.662800294</v>
      </c>
      <c r="Z15" s="32"/>
      <c r="AA15" s="2"/>
      <c r="AB15" s="2" t="s">
        <v>3699</v>
      </c>
    </row>
    <row r="16" spans="1:28" s="12" customFormat="1" x14ac:dyDescent="0.25">
      <c r="A16" s="202"/>
      <c r="B16" s="24" t="s">
        <v>25</v>
      </c>
      <c r="C16" s="25" t="s">
        <v>40</v>
      </c>
      <c r="D16" s="25" t="s">
        <v>40</v>
      </c>
      <c r="E16" s="14" t="s">
        <v>42</v>
      </c>
      <c r="F16" s="26">
        <f>41607*0.4536</f>
        <v>18872.9352</v>
      </c>
      <c r="G16" s="40">
        <v>18500</v>
      </c>
      <c r="H16" s="27">
        <f>G16-F16</f>
        <v>-372.9351999999999</v>
      </c>
      <c r="I16" s="12" t="s">
        <v>3326</v>
      </c>
      <c r="J16" s="36"/>
      <c r="K16" s="17">
        <v>42587</v>
      </c>
      <c r="L16" s="17">
        <v>42588</v>
      </c>
      <c r="M16" s="25" t="s">
        <v>30</v>
      </c>
      <c r="N16" s="25" t="s">
        <v>3348</v>
      </c>
      <c r="O16" s="18"/>
      <c r="P16" s="28">
        <f>0.6283+0.1</f>
        <v>0.72829999999999995</v>
      </c>
      <c r="Q16" s="18">
        <v>20000</v>
      </c>
      <c r="R16" s="46">
        <v>9200</v>
      </c>
      <c r="S16" s="38">
        <v>19.2</v>
      </c>
      <c r="T16" s="31">
        <f>W16*F16*0.005</f>
        <v>3067.4270127067139</v>
      </c>
      <c r="V16" s="18">
        <v>0.1</v>
      </c>
      <c r="W16" s="18">
        <f>IF(O16&gt;0,O16,((P16*2.2046*S16)+(Q16+R16)/G16)+V16)</f>
        <v>32.506093834378383</v>
      </c>
      <c r="X16" s="18">
        <f>IF(O16&gt;0,O16,((P16*2.2046*S16)+(Q16+R16+T16)/G16)+V16)</f>
        <v>32.671900699930092</v>
      </c>
      <c r="Y16" s="21">
        <f>X16*F16</f>
        <v>616614.66477061529</v>
      </c>
      <c r="Z16" s="32">
        <v>42599</v>
      </c>
      <c r="AA16" s="37"/>
      <c r="AB16" s="37"/>
    </row>
    <row r="17" spans="1:28" s="12" customFormat="1" x14ac:dyDescent="0.25">
      <c r="A17" s="202"/>
      <c r="B17" s="24" t="s">
        <v>25</v>
      </c>
      <c r="C17" s="25" t="s">
        <v>72</v>
      </c>
      <c r="D17" s="25" t="s">
        <v>72</v>
      </c>
      <c r="E17" s="14"/>
      <c r="F17" s="26">
        <v>19000</v>
      </c>
      <c r="G17" s="40">
        <v>19000</v>
      </c>
      <c r="H17" s="27">
        <f t="shared" ref="H17" si="35">G17-F17</f>
        <v>0</v>
      </c>
      <c r="I17" s="12" t="s">
        <v>3330</v>
      </c>
      <c r="J17" s="36"/>
      <c r="K17" s="17">
        <v>42587</v>
      </c>
      <c r="L17" s="17">
        <v>42588</v>
      </c>
      <c r="M17" s="25" t="s">
        <v>30</v>
      </c>
      <c r="N17" s="25" t="s">
        <v>3349</v>
      </c>
      <c r="O17" s="18"/>
      <c r="P17" s="28">
        <f>0.5989+0.105</f>
        <v>0.70389999999999997</v>
      </c>
      <c r="Q17" s="18">
        <v>20000</v>
      </c>
      <c r="R17" s="46">
        <v>9200</v>
      </c>
      <c r="S17" s="30">
        <v>18.925000000000001</v>
      </c>
      <c r="T17" s="31">
        <f t="shared" ref="T17" si="36">W17*F17*0.005</f>
        <v>2945.4746788775001</v>
      </c>
      <c r="V17" s="18">
        <v>0.1</v>
      </c>
      <c r="W17" s="18">
        <f>IF(O17&gt;0,O17,((P17*2.2046*S17)+(Q17+R17)/G17)+V17)</f>
        <v>31.004996619763162</v>
      </c>
      <c r="X17" s="18">
        <f>IF(O17&gt;0,O17,((P17*2.2046*S17)+(Q17+R17+T17)/G17)+V17)</f>
        <v>31.160021602861978</v>
      </c>
      <c r="Y17" s="21">
        <f t="shared" ref="Y17" si="37">X17*F17</f>
        <v>592040.41045437753</v>
      </c>
      <c r="Z17" s="32"/>
      <c r="AA17" s="2"/>
      <c r="AB17" s="2"/>
    </row>
    <row r="18" spans="1:28" s="12" customFormat="1" ht="15.75" thickBot="1" x14ac:dyDescent="0.3">
      <c r="A18" s="202"/>
      <c r="B18" s="41"/>
      <c r="C18" s="4"/>
      <c r="D18" s="4"/>
      <c r="E18" s="4"/>
      <c r="F18" s="42"/>
      <c r="G18" s="42"/>
      <c r="H18" s="42"/>
      <c r="I18" s="6"/>
      <c r="J18" s="4"/>
      <c r="K18" s="7"/>
      <c r="L18" s="7"/>
      <c r="M18" s="4"/>
      <c r="N18" s="4"/>
      <c r="O18" s="8"/>
      <c r="P18" s="9"/>
      <c r="Q18" s="8"/>
      <c r="R18" s="8"/>
      <c r="S18" s="8"/>
      <c r="T18" s="8"/>
      <c r="U18" s="8"/>
      <c r="V18" s="8"/>
      <c r="W18" s="8"/>
      <c r="X18" s="8"/>
      <c r="Y18" s="11"/>
      <c r="Z18" s="43"/>
      <c r="AA18" s="2"/>
      <c r="AB18" s="2"/>
    </row>
    <row r="19" spans="1:28" s="12" customFormat="1" x14ac:dyDescent="0.25">
      <c r="A19" s="203"/>
      <c r="B19" s="14" t="s">
        <v>32</v>
      </c>
      <c r="C19" s="14" t="s">
        <v>33</v>
      </c>
      <c r="D19" s="25"/>
      <c r="E19" s="14">
        <v>250</v>
      </c>
      <c r="F19" s="26"/>
      <c r="G19" s="27"/>
      <c r="H19" s="27">
        <f t="shared" ref="H19:H21" si="38">G19-F19</f>
        <v>0</v>
      </c>
      <c r="I19" s="25"/>
      <c r="J19" s="14"/>
      <c r="K19" s="17"/>
      <c r="L19" s="17">
        <v>42589</v>
      </c>
      <c r="M19" s="25" t="s">
        <v>36</v>
      </c>
      <c r="N19" s="14"/>
      <c r="O19" s="18"/>
      <c r="P19" s="19"/>
      <c r="Q19" s="18">
        <v>17300</v>
      </c>
      <c r="R19" s="18">
        <f t="shared" ref="R19:R21" si="39">61.75*E19</f>
        <v>15437.5</v>
      </c>
      <c r="S19" s="30">
        <f>-35*E19</f>
        <v>-8750</v>
      </c>
      <c r="T19" s="31" t="e">
        <f>W19*F19*0.0045</f>
        <v>#DIV/0!</v>
      </c>
      <c r="U19" s="18">
        <f>E19*5</f>
        <v>1250</v>
      </c>
      <c r="V19" s="14"/>
      <c r="W19" s="18" t="e">
        <f>((O19*F19)+Q19+R19+S19+U19)/G19</f>
        <v>#DIV/0!</v>
      </c>
      <c r="X19" s="18" t="e">
        <f>((O19*F19)+Q19+R19+S19+T19+U19)/G19</f>
        <v>#DIV/0!</v>
      </c>
      <c r="Y19" s="21" t="e">
        <f>X19*G19</f>
        <v>#DIV/0!</v>
      </c>
      <c r="Z19" s="32"/>
      <c r="AA19" s="2"/>
      <c r="AB19" s="2"/>
    </row>
    <row r="20" spans="1:28" s="12" customFormat="1" x14ac:dyDescent="0.25">
      <c r="A20" s="203"/>
      <c r="B20" s="24" t="s">
        <v>32</v>
      </c>
      <c r="C20" s="14" t="s">
        <v>33</v>
      </c>
      <c r="D20" s="25"/>
      <c r="E20" s="14">
        <v>130</v>
      </c>
      <c r="F20" s="26"/>
      <c r="G20" s="27"/>
      <c r="H20" s="27">
        <f t="shared" si="38"/>
        <v>0</v>
      </c>
      <c r="I20" s="25"/>
      <c r="J20" s="14"/>
      <c r="K20" s="17"/>
      <c r="L20" s="17">
        <v>42589</v>
      </c>
      <c r="M20" s="25" t="s">
        <v>36</v>
      </c>
      <c r="N20" s="14"/>
      <c r="O20" s="18"/>
      <c r="P20" s="19"/>
      <c r="Q20" s="18">
        <v>13600</v>
      </c>
      <c r="R20" s="18">
        <f t="shared" si="39"/>
        <v>8027.5</v>
      </c>
      <c r="S20" s="30">
        <f t="shared" ref="S20:S21" si="40">-35*E20</f>
        <v>-4550</v>
      </c>
      <c r="T20" s="31" t="e">
        <f>W20*F20*0.0045</f>
        <v>#DIV/0!</v>
      </c>
      <c r="U20" s="18">
        <f>E20*5</f>
        <v>650</v>
      </c>
      <c r="V20" s="14"/>
      <c r="W20" s="18" t="e">
        <f>((O20*F20)+Q20+R20+S20+U20)/G20</f>
        <v>#DIV/0!</v>
      </c>
      <c r="X20" s="18" t="e">
        <f>((O20*F20)+Q20+R20+S20+T20+U20)/G20</f>
        <v>#DIV/0!</v>
      </c>
      <c r="Y20" s="21" t="e">
        <f>X20*G20</f>
        <v>#DIV/0!</v>
      </c>
      <c r="Z20" s="32"/>
      <c r="AA20" s="2"/>
      <c r="AB20" s="2"/>
    </row>
    <row r="21" spans="1:28" s="12" customFormat="1" x14ac:dyDescent="0.25">
      <c r="A21" s="203"/>
      <c r="B21" s="24" t="s">
        <v>32</v>
      </c>
      <c r="C21" s="14" t="s">
        <v>33</v>
      </c>
      <c r="D21" s="25"/>
      <c r="E21" s="14">
        <v>220</v>
      </c>
      <c r="F21" s="26"/>
      <c r="G21" s="27"/>
      <c r="H21" s="27">
        <f t="shared" si="38"/>
        <v>0</v>
      </c>
      <c r="I21" s="25"/>
      <c r="J21" s="14"/>
      <c r="K21" s="17"/>
      <c r="L21" s="17">
        <v>42590</v>
      </c>
      <c r="M21" s="25" t="s">
        <v>39</v>
      </c>
      <c r="N21" s="14"/>
      <c r="O21" s="18"/>
      <c r="P21" s="19"/>
      <c r="Q21" s="18">
        <v>17300</v>
      </c>
      <c r="R21" s="18">
        <f t="shared" si="39"/>
        <v>13585</v>
      </c>
      <c r="S21" s="30">
        <f t="shared" si="40"/>
        <v>-7700</v>
      </c>
      <c r="T21" s="31" t="e">
        <f>W21*F21*0.0045</f>
        <v>#DIV/0!</v>
      </c>
      <c r="U21" s="18">
        <f>E21*5</f>
        <v>1100</v>
      </c>
      <c r="V21" s="14"/>
      <c r="W21" s="18" t="e">
        <f>((O21*F21)+Q21+R21+S21+U21)/G21</f>
        <v>#DIV/0!</v>
      </c>
      <c r="X21" s="18" t="e">
        <f>((O21*F21)+Q21+R21+S21+T21+U21)/G21</f>
        <v>#DIV/0!</v>
      </c>
      <c r="Y21" s="21" t="e">
        <f>X21*G21</f>
        <v>#DIV/0!</v>
      </c>
      <c r="Z21" s="32"/>
      <c r="AA21" s="2"/>
      <c r="AB21" s="2"/>
    </row>
    <row r="22" spans="1:28" s="12" customFormat="1" x14ac:dyDescent="0.25">
      <c r="A22" s="203"/>
      <c r="B22" s="24" t="s">
        <v>25</v>
      </c>
      <c r="C22" s="25" t="s">
        <v>40</v>
      </c>
      <c r="D22" s="25" t="s">
        <v>40</v>
      </c>
      <c r="E22" s="14"/>
      <c r="F22" s="26">
        <v>18500</v>
      </c>
      <c r="G22" s="40">
        <v>18500</v>
      </c>
      <c r="H22" s="27">
        <f>G22-F22</f>
        <v>0</v>
      </c>
      <c r="I22" s="12" t="s">
        <v>3706</v>
      </c>
      <c r="J22" s="36"/>
      <c r="K22" s="17">
        <v>42590</v>
      </c>
      <c r="L22" s="17">
        <v>42591</v>
      </c>
      <c r="M22" s="25" t="s">
        <v>45</v>
      </c>
      <c r="N22" s="25" t="s">
        <v>3557</v>
      </c>
      <c r="O22" s="18"/>
      <c r="P22" s="28"/>
      <c r="Q22" s="18">
        <v>20000</v>
      </c>
      <c r="R22" s="46">
        <v>9200</v>
      </c>
      <c r="S22" s="38">
        <v>19.2</v>
      </c>
      <c r="T22" s="31">
        <f>W22*F22*0.005</f>
        <v>155.25000000000003</v>
      </c>
      <c r="V22" s="18">
        <v>0.1</v>
      </c>
      <c r="W22" s="18">
        <f t="shared" ref="W22:W23" si="41">IF(O22&gt;0,O22,((P22*2.2046*S22)+(Q22+R22)/G22)+V22)</f>
        <v>1.6783783783783786</v>
      </c>
      <c r="X22" s="18">
        <f t="shared" ref="X22:X23" si="42">IF(O22&gt;0,O22,((P22*2.2046*S22)+(Q22+R22+T22)/G22)+V22)</f>
        <v>1.6867702702702703</v>
      </c>
      <c r="Y22" s="21">
        <f t="shared" ref="Y22:Y23" si="43">X22*F22</f>
        <v>31205.25</v>
      </c>
      <c r="Z22" s="32"/>
      <c r="AA22" s="37"/>
      <c r="AB22" s="37"/>
    </row>
    <row r="23" spans="1:28" s="12" customFormat="1" x14ac:dyDescent="0.25">
      <c r="A23" s="203"/>
      <c r="B23" s="24" t="s">
        <v>25</v>
      </c>
      <c r="C23" s="25" t="s">
        <v>72</v>
      </c>
      <c r="D23" s="25" t="s">
        <v>72</v>
      </c>
      <c r="E23" s="14"/>
      <c r="F23" s="26">
        <v>19000</v>
      </c>
      <c r="G23" s="40">
        <v>19000</v>
      </c>
      <c r="H23" s="27">
        <f>G23-F23</f>
        <v>0</v>
      </c>
      <c r="I23" s="12" t="s">
        <v>3705</v>
      </c>
      <c r="J23" s="36"/>
      <c r="K23" s="17">
        <v>42590</v>
      </c>
      <c r="L23" s="17">
        <v>42591</v>
      </c>
      <c r="M23" s="25" t="s">
        <v>45</v>
      </c>
      <c r="N23" s="25" t="s">
        <v>3558</v>
      </c>
      <c r="O23" s="18"/>
      <c r="P23" s="28"/>
      <c r="Q23" s="18">
        <v>20000</v>
      </c>
      <c r="R23" s="46">
        <v>9200</v>
      </c>
      <c r="S23" s="30">
        <v>18.998000000000001</v>
      </c>
      <c r="T23" s="31">
        <f>W23*F23*0.005</f>
        <v>155.5</v>
      </c>
      <c r="V23" s="18">
        <v>0.1</v>
      </c>
      <c r="W23" s="18">
        <f t="shared" si="41"/>
        <v>1.6368421052631579</v>
      </c>
      <c r="X23" s="18">
        <f t="shared" si="42"/>
        <v>1.6450263157894738</v>
      </c>
      <c r="Y23" s="21">
        <f t="shared" si="43"/>
        <v>31255.500000000004</v>
      </c>
      <c r="Z23" s="32"/>
      <c r="AA23" s="37"/>
      <c r="AB23" s="37"/>
    </row>
    <row r="24" spans="1:28" s="12" customFormat="1" x14ac:dyDescent="0.25">
      <c r="A24" s="203"/>
      <c r="B24" s="24" t="s">
        <v>32</v>
      </c>
      <c r="C24" s="14" t="s">
        <v>33</v>
      </c>
      <c r="D24" s="25"/>
      <c r="E24" s="14">
        <v>220</v>
      </c>
      <c r="F24" s="26"/>
      <c r="G24" s="27"/>
      <c r="H24" s="27">
        <f t="shared" ref="H24" si="44">G24-F24</f>
        <v>0</v>
      </c>
      <c r="J24" s="14"/>
      <c r="K24" s="17"/>
      <c r="L24" s="17">
        <v>42591</v>
      </c>
      <c r="M24" s="25" t="s">
        <v>45</v>
      </c>
      <c r="N24" s="14"/>
      <c r="O24" s="18"/>
      <c r="P24" s="19"/>
      <c r="Q24" s="18">
        <v>17300</v>
      </c>
      <c r="R24" s="18">
        <f t="shared" ref="R24" si="45">61.75*E24</f>
        <v>13585</v>
      </c>
      <c r="S24" s="30">
        <f t="shared" ref="S24" si="46">-35*E24</f>
        <v>-7700</v>
      </c>
      <c r="T24" s="31" t="e">
        <f>W24*F24*0.0045</f>
        <v>#DIV/0!</v>
      </c>
      <c r="U24" s="18">
        <f>E24*5</f>
        <v>1100</v>
      </c>
      <c r="V24" s="14"/>
      <c r="W24" s="18" t="e">
        <f>((O24*F24)+Q24+R24+S24+U24)/G24</f>
        <v>#DIV/0!</v>
      </c>
      <c r="X24" s="18" t="e">
        <f>((O24*F24)+Q24+R24+S24+T24+U24)/G24</f>
        <v>#DIV/0!</v>
      </c>
      <c r="Y24" s="21" t="e">
        <f>X24*G24</f>
        <v>#DIV/0!</v>
      </c>
      <c r="Z24" s="32"/>
      <c r="AA24" s="37"/>
      <c r="AB24" s="37"/>
    </row>
    <row r="25" spans="1:28" s="12" customFormat="1" x14ac:dyDescent="0.25">
      <c r="A25" s="203"/>
      <c r="B25" s="24" t="s">
        <v>25</v>
      </c>
      <c r="C25" s="25" t="s">
        <v>72</v>
      </c>
      <c r="D25" s="25" t="s">
        <v>72</v>
      </c>
      <c r="E25" s="14"/>
      <c r="F25" s="26">
        <v>19000</v>
      </c>
      <c r="G25" s="40">
        <v>19000</v>
      </c>
      <c r="H25" s="27">
        <f>G25-F25</f>
        <v>0</v>
      </c>
      <c r="I25" s="12" t="s">
        <v>3707</v>
      </c>
      <c r="J25" s="36"/>
      <c r="K25" s="17">
        <v>42591</v>
      </c>
      <c r="L25" s="17">
        <v>42592</v>
      </c>
      <c r="M25" s="25" t="s">
        <v>50</v>
      </c>
      <c r="N25" s="25" t="s">
        <v>3558</v>
      </c>
      <c r="O25" s="18"/>
      <c r="P25" s="28"/>
      <c r="Q25" s="18">
        <v>20000</v>
      </c>
      <c r="R25" s="46">
        <v>9200</v>
      </c>
      <c r="S25" s="30">
        <v>19.035</v>
      </c>
      <c r="T25" s="31">
        <f>W25*F25*0.005</f>
        <v>155.5</v>
      </c>
      <c r="V25" s="18">
        <v>0.1</v>
      </c>
      <c r="W25" s="18">
        <f t="shared" ref="W25" si="47">IF(O25&gt;0,O25,((P25*2.2046*S25)+(Q25+R25)/G25)+V25)</f>
        <v>1.6368421052631579</v>
      </c>
      <c r="X25" s="18">
        <f t="shared" ref="X25" si="48">IF(O25&gt;0,O25,((P25*2.2046*S25)+(Q25+R25+T25)/G25)+V25)</f>
        <v>1.6450263157894738</v>
      </c>
      <c r="Y25" s="21">
        <f t="shared" ref="Y25" si="49">X25*F25</f>
        <v>31255.500000000004</v>
      </c>
      <c r="Z25" s="32"/>
      <c r="AA25" s="37"/>
      <c r="AB25" s="37"/>
    </row>
    <row r="26" spans="1:28" s="12" customFormat="1" x14ac:dyDescent="0.25">
      <c r="A26" s="203"/>
      <c r="B26" s="24" t="s">
        <v>32</v>
      </c>
      <c r="C26" s="14" t="s">
        <v>33</v>
      </c>
      <c r="D26" s="25"/>
      <c r="E26" s="14">
        <v>260</v>
      </c>
      <c r="F26" s="26"/>
      <c r="G26" s="27"/>
      <c r="H26" s="27">
        <f t="shared" ref="H26" si="50">G26-F26</f>
        <v>0</v>
      </c>
      <c r="J26" s="14"/>
      <c r="K26" s="17"/>
      <c r="L26" s="17">
        <v>42592</v>
      </c>
      <c r="M26" s="25" t="s">
        <v>50</v>
      </c>
      <c r="N26" s="14"/>
      <c r="O26" s="18"/>
      <c r="P26" s="19"/>
      <c r="Q26" s="18">
        <v>17300</v>
      </c>
      <c r="R26" s="18">
        <f t="shared" ref="R26" si="51">61.75*E26</f>
        <v>16055</v>
      </c>
      <c r="S26" s="30">
        <f t="shared" ref="S26" si="52">-35*E26</f>
        <v>-9100</v>
      </c>
      <c r="T26" s="31" t="e">
        <f>W26*F26*0.0045</f>
        <v>#DIV/0!</v>
      </c>
      <c r="U26" s="18">
        <f>E26*5</f>
        <v>1300</v>
      </c>
      <c r="V26" s="14"/>
      <c r="W26" s="18" t="e">
        <f>((O26*F26)+Q26+R26+S26+U26)/G26</f>
        <v>#DIV/0!</v>
      </c>
      <c r="X26" s="18" t="e">
        <f>((O26*F26)+Q26+R26+S26+T26+U26)/G26</f>
        <v>#DIV/0!</v>
      </c>
      <c r="Y26" s="21" t="e">
        <f>X26*G26</f>
        <v>#DIV/0!</v>
      </c>
      <c r="Z26" s="32"/>
      <c r="AA26" s="37"/>
      <c r="AB26" s="37"/>
    </row>
    <row r="27" spans="1:28" s="12" customFormat="1" x14ac:dyDescent="0.25">
      <c r="A27" s="203"/>
      <c r="B27" s="24" t="s">
        <v>25</v>
      </c>
      <c r="C27" s="25" t="s">
        <v>72</v>
      </c>
      <c r="D27" s="25" t="s">
        <v>72</v>
      </c>
      <c r="E27" s="14"/>
      <c r="F27" s="26">
        <v>19000</v>
      </c>
      <c r="G27" s="40">
        <v>19000</v>
      </c>
      <c r="H27" s="27">
        <f>G27-F27</f>
        <v>0</v>
      </c>
      <c r="I27" s="12" t="s">
        <v>3708</v>
      </c>
      <c r="J27" s="36"/>
      <c r="K27" s="17">
        <v>42592</v>
      </c>
      <c r="L27" s="17">
        <v>42593</v>
      </c>
      <c r="M27" s="25" t="s">
        <v>65</v>
      </c>
      <c r="N27" s="25" t="s">
        <v>3559</v>
      </c>
      <c r="O27" s="18"/>
      <c r="P27" s="28"/>
      <c r="Q27" s="18">
        <v>20000</v>
      </c>
      <c r="R27" s="46">
        <v>9200</v>
      </c>
      <c r="S27" s="38">
        <v>19.2</v>
      </c>
      <c r="T27" s="31">
        <f>W27*F27*0.005</f>
        <v>155.5</v>
      </c>
      <c r="V27" s="18">
        <v>0.1</v>
      </c>
      <c r="W27" s="18">
        <f t="shared" ref="W27" si="53">IF(O27&gt;0,O27,((P27*2.2046*S27)+(Q27+R27)/G27)+V27)</f>
        <v>1.6368421052631579</v>
      </c>
      <c r="X27" s="18">
        <f t="shared" ref="X27" si="54">IF(O27&gt;0,O27,((P27*2.2046*S27)+(Q27+R27+T27)/G27)+V27)</f>
        <v>1.6450263157894738</v>
      </c>
      <c r="Y27" s="21">
        <f t="shared" ref="Y27" si="55">X27*F27</f>
        <v>31255.500000000004</v>
      </c>
      <c r="Z27" s="32"/>
      <c r="AA27" s="37"/>
      <c r="AB27" s="37"/>
    </row>
    <row r="28" spans="1:28" s="12" customFormat="1" x14ac:dyDescent="0.25">
      <c r="A28" s="203"/>
      <c r="B28" s="24" t="s">
        <v>25</v>
      </c>
      <c r="C28" s="25" t="s">
        <v>72</v>
      </c>
      <c r="D28" s="25" t="s">
        <v>72</v>
      </c>
      <c r="E28" s="14"/>
      <c r="F28" s="26">
        <v>19000</v>
      </c>
      <c r="G28" s="40">
        <v>19000</v>
      </c>
      <c r="H28" s="27">
        <f>G28-F28</f>
        <v>0</v>
      </c>
      <c r="I28" s="12" t="s">
        <v>3709</v>
      </c>
      <c r="J28" s="36"/>
      <c r="K28" s="17">
        <v>42592</v>
      </c>
      <c r="L28" s="17">
        <v>42593</v>
      </c>
      <c r="M28" s="25" t="s">
        <v>65</v>
      </c>
      <c r="N28" s="25" t="s">
        <v>3559</v>
      </c>
      <c r="O28" s="18"/>
      <c r="P28" s="28"/>
      <c r="Q28" s="18">
        <v>20000</v>
      </c>
      <c r="R28" s="46">
        <v>9200</v>
      </c>
      <c r="S28" s="38">
        <v>19.2</v>
      </c>
      <c r="T28" s="31">
        <f t="shared" ref="T28" si="56">W28*F28*0.005</f>
        <v>155.5</v>
      </c>
      <c r="V28" s="18">
        <v>0.1</v>
      </c>
      <c r="W28" s="18">
        <f>IF(O28&gt;0,O28,((P28*2.2046*S28)+(Q28+R28)/G28)+V28)</f>
        <v>1.6368421052631579</v>
      </c>
      <c r="X28" s="18">
        <f>IF(O28&gt;0,O28,((P28*2.2046*S28)+(Q28+R28+T28)/G28)+V28)</f>
        <v>1.6450263157894738</v>
      </c>
      <c r="Y28" s="21">
        <f>X28*F28</f>
        <v>31255.500000000004</v>
      </c>
      <c r="Z28" s="32"/>
      <c r="AA28" s="37"/>
      <c r="AB28" s="37"/>
    </row>
    <row r="29" spans="1:28" s="12" customFormat="1" x14ac:dyDescent="0.25">
      <c r="A29" s="203"/>
      <c r="B29" s="24" t="s">
        <v>32</v>
      </c>
      <c r="C29" s="14" t="s">
        <v>33</v>
      </c>
      <c r="D29" s="25"/>
      <c r="E29" s="14">
        <v>250</v>
      </c>
      <c r="F29" s="26"/>
      <c r="G29" s="27"/>
      <c r="H29" s="27">
        <f t="shared" ref="H29:H30" si="57">G29-F29</f>
        <v>0</v>
      </c>
      <c r="J29" s="14"/>
      <c r="K29" s="17"/>
      <c r="L29" s="17">
        <v>42593</v>
      </c>
      <c r="M29" s="25" t="s">
        <v>65</v>
      </c>
      <c r="N29" s="14"/>
      <c r="O29" s="18"/>
      <c r="P29" s="19"/>
      <c r="Q29" s="18">
        <v>17300</v>
      </c>
      <c r="R29" s="18">
        <f t="shared" ref="R29:R30" si="58">61.75*E29</f>
        <v>15437.5</v>
      </c>
      <c r="S29" s="30">
        <f t="shared" ref="S29:S30" si="59">-35*E29</f>
        <v>-8750</v>
      </c>
      <c r="T29" s="31" t="e">
        <f t="shared" ref="T29:T30" si="60">W29*F29*0.0045</f>
        <v>#DIV/0!</v>
      </c>
      <c r="U29" s="18">
        <f t="shared" ref="U29:U30" si="61">E29*5</f>
        <v>1250</v>
      </c>
      <c r="V29" s="14"/>
      <c r="W29" s="18" t="e">
        <f t="shared" ref="W29:W30" si="62">((O29*F29)+Q29+R29+S29+U29)/G29</f>
        <v>#DIV/0!</v>
      </c>
      <c r="X29" s="18" t="e">
        <f t="shared" ref="X29:X30" si="63">((O29*F29)+Q29+R29+S29+T29+U29)/G29</f>
        <v>#DIV/0!</v>
      </c>
      <c r="Y29" s="21" t="e">
        <f t="shared" ref="Y29:Y30" si="64">X29*G29</f>
        <v>#DIV/0!</v>
      </c>
      <c r="Z29" s="32"/>
      <c r="AA29" s="37"/>
      <c r="AB29" s="37"/>
    </row>
    <row r="30" spans="1:28" s="12" customFormat="1" x14ac:dyDescent="0.25">
      <c r="A30" s="203"/>
      <c r="B30" s="24" t="s">
        <v>32</v>
      </c>
      <c r="C30" s="14" t="s">
        <v>33</v>
      </c>
      <c r="D30" s="25"/>
      <c r="E30" s="14">
        <v>130</v>
      </c>
      <c r="F30" s="26"/>
      <c r="G30" s="27"/>
      <c r="H30" s="27">
        <f t="shared" si="57"/>
        <v>0</v>
      </c>
      <c r="I30" s="25"/>
      <c r="J30" s="14"/>
      <c r="K30" s="17"/>
      <c r="L30" s="17">
        <v>42593</v>
      </c>
      <c r="M30" s="25" t="s">
        <v>65</v>
      </c>
      <c r="N30" s="14"/>
      <c r="O30" s="18"/>
      <c r="P30" s="19"/>
      <c r="Q30" s="18">
        <v>13600</v>
      </c>
      <c r="R30" s="18">
        <f t="shared" si="58"/>
        <v>8027.5</v>
      </c>
      <c r="S30" s="30">
        <f t="shared" si="59"/>
        <v>-4550</v>
      </c>
      <c r="T30" s="31" t="e">
        <f t="shared" si="60"/>
        <v>#DIV/0!</v>
      </c>
      <c r="U30" s="18">
        <f t="shared" si="61"/>
        <v>650</v>
      </c>
      <c r="V30" s="14"/>
      <c r="W30" s="18" t="e">
        <f t="shared" si="62"/>
        <v>#DIV/0!</v>
      </c>
      <c r="X30" s="18" t="e">
        <f t="shared" si="63"/>
        <v>#DIV/0!</v>
      </c>
      <c r="Y30" s="21" t="e">
        <f t="shared" si="64"/>
        <v>#DIV/0!</v>
      </c>
      <c r="Z30" s="32"/>
      <c r="AA30" s="37"/>
      <c r="AB30" s="37"/>
    </row>
    <row r="31" spans="1:28" s="12" customFormat="1" x14ac:dyDescent="0.25">
      <c r="A31" s="203"/>
      <c r="B31" s="24" t="s">
        <v>25</v>
      </c>
      <c r="C31" s="25" t="s">
        <v>40</v>
      </c>
      <c r="D31" s="25" t="s">
        <v>40</v>
      </c>
      <c r="E31" s="14"/>
      <c r="F31" s="26">
        <v>18500</v>
      </c>
      <c r="G31" s="40">
        <v>18500</v>
      </c>
      <c r="H31" s="27">
        <f>G31-F31</f>
        <v>0</v>
      </c>
      <c r="I31" s="12" t="s">
        <v>3710</v>
      </c>
      <c r="J31" s="36"/>
      <c r="K31" s="17">
        <v>42593</v>
      </c>
      <c r="L31" s="17">
        <v>42594</v>
      </c>
      <c r="M31" s="25" t="s">
        <v>84</v>
      </c>
      <c r="N31" s="25" t="s">
        <v>3560</v>
      </c>
      <c r="O31" s="18"/>
      <c r="P31" s="28"/>
      <c r="Q31" s="18">
        <v>20000</v>
      </c>
      <c r="R31" s="46">
        <v>9200</v>
      </c>
      <c r="S31" s="38">
        <v>19.2</v>
      </c>
      <c r="T31" s="31">
        <f>W31*F31*0.005</f>
        <v>155.25000000000003</v>
      </c>
      <c r="V31" s="18">
        <v>0.1</v>
      </c>
      <c r="W31" s="18">
        <f t="shared" ref="W31" si="65">IF(O31&gt;0,O31,((P31*2.2046*S31)+(Q31+R31)/G31)+V31)</f>
        <v>1.6783783783783786</v>
      </c>
      <c r="X31" s="18">
        <f t="shared" ref="X31" si="66">IF(O31&gt;0,O31,((P31*2.2046*S31)+(Q31+R31+T31)/G31)+V31)</f>
        <v>1.6867702702702703</v>
      </c>
      <c r="Y31" s="21">
        <f t="shared" ref="Y31" si="67">X31*F31</f>
        <v>31205.25</v>
      </c>
      <c r="Z31" s="32"/>
      <c r="AA31" s="37"/>
      <c r="AB31" s="37"/>
    </row>
    <row r="32" spans="1:28" s="12" customFormat="1" x14ac:dyDescent="0.25">
      <c r="A32" s="203"/>
      <c r="B32" s="24" t="s">
        <v>32</v>
      </c>
      <c r="C32" s="14" t="s">
        <v>33</v>
      </c>
      <c r="D32" s="25"/>
      <c r="E32" s="14">
        <v>250</v>
      </c>
      <c r="F32" s="26"/>
      <c r="G32" s="27"/>
      <c r="H32" s="27">
        <f t="shared" ref="H32:H34" si="68">G32-F32</f>
        <v>0</v>
      </c>
      <c r="J32" s="14"/>
      <c r="K32" s="17"/>
      <c r="L32" s="17">
        <v>42594</v>
      </c>
      <c r="M32" s="25" t="s">
        <v>84</v>
      </c>
      <c r="N32" s="14"/>
      <c r="O32" s="18"/>
      <c r="P32" s="19"/>
      <c r="Q32" s="18">
        <v>17300</v>
      </c>
      <c r="R32" s="18">
        <f t="shared" ref="R32:R33" si="69">61.75*E32</f>
        <v>15437.5</v>
      </c>
      <c r="S32" s="30">
        <f>-35*E32</f>
        <v>-8750</v>
      </c>
      <c r="T32" s="31" t="e">
        <f>W32*F32*0.0045</f>
        <v>#DIV/0!</v>
      </c>
      <c r="U32" s="18">
        <f>E32*5</f>
        <v>1250</v>
      </c>
      <c r="V32" s="14"/>
      <c r="W32" s="18" t="e">
        <f>((O32*F32)+Q32+R32+S32+U32)/G32</f>
        <v>#DIV/0!</v>
      </c>
      <c r="X32" s="18" t="e">
        <f>((O32*F32)+Q32+R32+S32+T32+U32)/G32</f>
        <v>#DIV/0!</v>
      </c>
      <c r="Y32" s="21" t="e">
        <f t="shared" ref="Y32:Y33" si="70">X32*G32</f>
        <v>#DIV/0!</v>
      </c>
      <c r="Z32" s="32"/>
      <c r="AA32" s="2"/>
      <c r="AB32" s="2"/>
    </row>
    <row r="33" spans="1:28" s="12" customFormat="1" x14ac:dyDescent="0.25">
      <c r="A33" s="203"/>
      <c r="B33" s="24" t="s">
        <v>32</v>
      </c>
      <c r="C33" s="14" t="s">
        <v>33</v>
      </c>
      <c r="D33" s="25"/>
      <c r="E33" s="14">
        <v>130</v>
      </c>
      <c r="F33" s="26"/>
      <c r="G33" s="27"/>
      <c r="H33" s="27">
        <f t="shared" si="68"/>
        <v>0</v>
      </c>
      <c r="I33" s="25"/>
      <c r="J33" s="14"/>
      <c r="K33" s="17"/>
      <c r="L33" s="17">
        <v>42594</v>
      </c>
      <c r="M33" s="25" t="s">
        <v>84</v>
      </c>
      <c r="N33" s="14"/>
      <c r="O33" s="18"/>
      <c r="P33" s="19"/>
      <c r="Q33" s="18">
        <v>13600</v>
      </c>
      <c r="R33" s="18">
        <f t="shared" si="69"/>
        <v>8027.5</v>
      </c>
      <c r="S33" s="30">
        <f>-35*E33</f>
        <v>-4550</v>
      </c>
      <c r="T33" s="31" t="e">
        <f>W33*F33*0.0045</f>
        <v>#DIV/0!</v>
      </c>
      <c r="U33" s="18">
        <f>E33*5</f>
        <v>650</v>
      </c>
      <c r="V33" s="14"/>
      <c r="W33" s="18" t="e">
        <f>((O33*F33)+Q33+R33+S33+U33)/G33</f>
        <v>#DIV/0!</v>
      </c>
      <c r="X33" s="18" t="e">
        <f>((O33*F33)+Q33+R33+S33+T33+U33)/G33</f>
        <v>#DIV/0!</v>
      </c>
      <c r="Y33" s="21" t="e">
        <f t="shared" si="70"/>
        <v>#DIV/0!</v>
      </c>
      <c r="Z33" s="32"/>
      <c r="AA33" s="2"/>
      <c r="AB33" s="2"/>
    </row>
    <row r="34" spans="1:28" s="12" customFormat="1" x14ac:dyDescent="0.25">
      <c r="A34" s="203"/>
      <c r="B34" s="24" t="s">
        <v>25</v>
      </c>
      <c r="C34" s="25" t="s">
        <v>26</v>
      </c>
      <c r="D34" s="25" t="s">
        <v>26</v>
      </c>
      <c r="E34" s="14"/>
      <c r="F34" s="26">
        <v>18500</v>
      </c>
      <c r="G34" s="40">
        <v>18500</v>
      </c>
      <c r="H34" s="27">
        <f t="shared" si="68"/>
        <v>0</v>
      </c>
      <c r="I34" s="12" t="s">
        <v>3711</v>
      </c>
      <c r="J34" s="36"/>
      <c r="K34" s="17">
        <v>42594</v>
      </c>
      <c r="L34" s="17">
        <v>42595</v>
      </c>
      <c r="M34" s="25" t="s">
        <v>30</v>
      </c>
      <c r="N34" s="25" t="s">
        <v>3561</v>
      </c>
      <c r="O34" s="18"/>
      <c r="P34" s="28"/>
      <c r="Q34" s="18">
        <v>20000</v>
      </c>
      <c r="R34" s="46">
        <v>9200</v>
      </c>
      <c r="S34" s="38">
        <v>19.2</v>
      </c>
      <c r="T34" s="31">
        <f t="shared" ref="T34" si="71">W34*F34*0.005</f>
        <v>155.25000000000003</v>
      </c>
      <c r="V34" s="18">
        <v>0.1</v>
      </c>
      <c r="W34" s="18">
        <f>IF(O34&gt;0,O34,((P34*2.2046*S34)+(Q34+R34)/G34)+V34)</f>
        <v>1.6783783783783786</v>
      </c>
      <c r="X34" s="18">
        <f>IF(O34&gt;0,O34,((P34*2.2046*S34)+(Q34+R34+T34)/G34)+V34)</f>
        <v>1.6867702702702703</v>
      </c>
      <c r="Y34" s="21">
        <f t="shared" ref="Y34" si="72">X34*F34</f>
        <v>31205.25</v>
      </c>
      <c r="Z34" s="32"/>
      <c r="AA34" s="2"/>
      <c r="AB34" s="2"/>
    </row>
    <row r="35" spans="1:28" s="12" customFormat="1" x14ac:dyDescent="0.25">
      <c r="A35" s="203"/>
      <c r="B35" s="24" t="s">
        <v>25</v>
      </c>
      <c r="C35" s="25" t="s">
        <v>40</v>
      </c>
      <c r="D35" s="25" t="s">
        <v>40</v>
      </c>
      <c r="E35" s="14"/>
      <c r="F35" s="26">
        <v>18500</v>
      </c>
      <c r="G35" s="40">
        <v>18500</v>
      </c>
      <c r="H35" s="27">
        <f>G35-F35</f>
        <v>0</v>
      </c>
      <c r="I35" s="12" t="s">
        <v>3712</v>
      </c>
      <c r="J35" s="36"/>
      <c r="K35" s="17">
        <v>42594</v>
      </c>
      <c r="L35" s="17">
        <v>42595</v>
      </c>
      <c r="M35" s="25" t="s">
        <v>30</v>
      </c>
      <c r="N35" s="25" t="s">
        <v>3562</v>
      </c>
      <c r="O35" s="18"/>
      <c r="P35" s="28"/>
      <c r="Q35" s="18">
        <v>20000</v>
      </c>
      <c r="R35" s="46">
        <v>9200</v>
      </c>
      <c r="S35" s="38">
        <v>19.2</v>
      </c>
      <c r="T35" s="31">
        <f>W35*F35*0.005</f>
        <v>155.25000000000003</v>
      </c>
      <c r="V35" s="18">
        <v>0.1</v>
      </c>
      <c r="W35" s="18">
        <f>IF(O35&gt;0,O35,((P35*2.2046*S35)+(Q35+R35)/G35)+V35)</f>
        <v>1.6783783783783786</v>
      </c>
      <c r="X35" s="18">
        <f>IF(O35&gt;0,O35,((P35*2.2046*S35)+(Q35+R35+T35)/G35)+V35)</f>
        <v>1.6867702702702703</v>
      </c>
      <c r="Y35" s="21">
        <f>X35*F35</f>
        <v>31205.25</v>
      </c>
      <c r="Z35" s="32"/>
      <c r="AA35" s="37"/>
      <c r="AB35" s="37"/>
    </row>
    <row r="36" spans="1:28" s="12" customFormat="1" x14ac:dyDescent="0.25">
      <c r="A36" s="203"/>
      <c r="B36" s="24" t="s">
        <v>25</v>
      </c>
      <c r="C36" s="25" t="s">
        <v>72</v>
      </c>
      <c r="D36" s="25" t="s">
        <v>72</v>
      </c>
      <c r="E36" s="14"/>
      <c r="F36" s="26">
        <v>19000</v>
      </c>
      <c r="G36" s="40">
        <v>19000</v>
      </c>
      <c r="H36" s="27">
        <f t="shared" ref="H36" si="73">G36-F36</f>
        <v>0</v>
      </c>
      <c r="I36" s="12" t="s">
        <v>3713</v>
      </c>
      <c r="J36" s="36"/>
      <c r="K36" s="17">
        <v>42594</v>
      </c>
      <c r="L36" s="17">
        <v>42595</v>
      </c>
      <c r="M36" s="25" t="s">
        <v>30</v>
      </c>
      <c r="N36" s="25" t="s">
        <v>3563</v>
      </c>
      <c r="O36" s="18"/>
      <c r="P36" s="28"/>
      <c r="Q36" s="18">
        <v>20000</v>
      </c>
      <c r="R36" s="46">
        <v>9200</v>
      </c>
      <c r="S36" s="38">
        <v>19.2</v>
      </c>
      <c r="T36" s="31">
        <f t="shared" ref="T36" si="74">W36*F36*0.005</f>
        <v>155.5</v>
      </c>
      <c r="V36" s="18">
        <v>0.1</v>
      </c>
      <c r="W36" s="18">
        <f>IF(O36&gt;0,O36,((P36*2.2046*S36)+(Q36+R36)/G36)+V36)</f>
        <v>1.6368421052631579</v>
      </c>
      <c r="X36" s="18">
        <f>IF(O36&gt;0,O36,((P36*2.2046*S36)+(Q36+R36+T36)/G36)+V36)</f>
        <v>1.6450263157894738</v>
      </c>
      <c r="Y36" s="21">
        <f t="shared" ref="Y36" si="75">X36*F36</f>
        <v>31255.500000000004</v>
      </c>
      <c r="Z36" s="32"/>
      <c r="AA36" s="2"/>
      <c r="AB36" s="2"/>
    </row>
    <row r="37" spans="1:28" s="12" customFormat="1" ht="15.75" thickBot="1" x14ac:dyDescent="0.3">
      <c r="A37" s="203"/>
      <c r="B37" s="41"/>
      <c r="C37" s="4"/>
      <c r="D37" s="4"/>
      <c r="E37" s="4"/>
      <c r="F37" s="42"/>
      <c r="G37" s="42"/>
      <c r="H37" s="42"/>
      <c r="I37" s="6"/>
      <c r="J37" s="4"/>
      <c r="K37" s="7"/>
      <c r="L37" s="7"/>
      <c r="M37" s="4"/>
      <c r="N37" s="4"/>
      <c r="O37" s="8"/>
      <c r="P37" s="9"/>
      <c r="Q37" s="8"/>
      <c r="R37" s="8"/>
      <c r="S37" s="8"/>
      <c r="T37" s="8"/>
      <c r="U37" s="8"/>
      <c r="V37" s="8"/>
      <c r="W37" s="8"/>
      <c r="X37" s="8"/>
      <c r="Y37" s="11"/>
      <c r="Z37" s="43"/>
      <c r="AA37" s="2"/>
      <c r="AB37" s="2"/>
    </row>
    <row r="38" spans="1:28" s="12" customFormat="1" x14ac:dyDescent="0.25">
      <c r="A38" s="209"/>
      <c r="B38" s="14" t="s">
        <v>32</v>
      </c>
      <c r="C38" s="14" t="s">
        <v>33</v>
      </c>
      <c r="D38" s="25"/>
      <c r="E38" s="14">
        <v>250</v>
      </c>
      <c r="F38" s="26"/>
      <c r="G38" s="27"/>
      <c r="H38" s="27">
        <f t="shared" ref="H38:H40" si="76">G38-F38</f>
        <v>0</v>
      </c>
      <c r="I38" s="25"/>
      <c r="J38" s="14"/>
      <c r="K38" s="17"/>
      <c r="L38" s="17">
        <v>42596</v>
      </c>
      <c r="M38" s="25" t="s">
        <v>36</v>
      </c>
      <c r="N38" s="14"/>
      <c r="O38" s="18"/>
      <c r="P38" s="19"/>
      <c r="Q38" s="18">
        <v>17300</v>
      </c>
      <c r="R38" s="18">
        <f t="shared" ref="R38:R40" si="77">61.75*E38</f>
        <v>15437.5</v>
      </c>
      <c r="S38" s="30">
        <f>-35*E38</f>
        <v>-8750</v>
      </c>
      <c r="T38" s="31" t="e">
        <f>W38*F38*0.0045</f>
        <v>#DIV/0!</v>
      </c>
      <c r="U38" s="18">
        <f>E38*5</f>
        <v>1250</v>
      </c>
      <c r="V38" s="14"/>
      <c r="W38" s="18" t="e">
        <f>((O38*F38)+Q38+R38+S38+U38)/G38</f>
        <v>#DIV/0!</v>
      </c>
      <c r="X38" s="18" t="e">
        <f>((O38*F38)+Q38+R38+S38+T38+U38)/G38</f>
        <v>#DIV/0!</v>
      </c>
      <c r="Y38" s="21" t="e">
        <f>X38*G38</f>
        <v>#DIV/0!</v>
      </c>
      <c r="Z38" s="32"/>
      <c r="AA38" s="2"/>
      <c r="AB38" s="2"/>
    </row>
    <row r="39" spans="1:28" s="12" customFormat="1" x14ac:dyDescent="0.25">
      <c r="A39" s="209"/>
      <c r="B39" s="24" t="s">
        <v>32</v>
      </c>
      <c r="C39" s="14" t="s">
        <v>33</v>
      </c>
      <c r="D39" s="25"/>
      <c r="E39" s="14">
        <v>130</v>
      </c>
      <c r="F39" s="26"/>
      <c r="G39" s="27"/>
      <c r="H39" s="27">
        <f t="shared" si="76"/>
        <v>0</v>
      </c>
      <c r="I39" s="25"/>
      <c r="J39" s="14"/>
      <c r="K39" s="17"/>
      <c r="L39" s="17">
        <v>42596</v>
      </c>
      <c r="M39" s="25" t="s">
        <v>36</v>
      </c>
      <c r="N39" s="14"/>
      <c r="O39" s="18"/>
      <c r="P39" s="19"/>
      <c r="Q39" s="18">
        <v>13600</v>
      </c>
      <c r="R39" s="18">
        <f t="shared" si="77"/>
        <v>8027.5</v>
      </c>
      <c r="S39" s="30">
        <f t="shared" ref="S39:S40" si="78">-35*E39</f>
        <v>-4550</v>
      </c>
      <c r="T39" s="31" t="e">
        <f>W39*F39*0.0045</f>
        <v>#DIV/0!</v>
      </c>
      <c r="U39" s="18">
        <f>E39*5</f>
        <v>650</v>
      </c>
      <c r="V39" s="14"/>
      <c r="W39" s="18" t="e">
        <f>((O39*F39)+Q39+R39+S39+U39)/G39</f>
        <v>#DIV/0!</v>
      </c>
      <c r="X39" s="18" t="e">
        <f>((O39*F39)+Q39+R39+S39+T39+U39)/G39</f>
        <v>#DIV/0!</v>
      </c>
      <c r="Y39" s="21" t="e">
        <f>X39*G39</f>
        <v>#DIV/0!</v>
      </c>
      <c r="Z39" s="32"/>
      <c r="AA39" s="2"/>
      <c r="AB39" s="2"/>
    </row>
    <row r="40" spans="1:28" s="12" customFormat="1" x14ac:dyDescent="0.25">
      <c r="A40" s="209"/>
      <c r="B40" s="24" t="s">
        <v>32</v>
      </c>
      <c r="C40" s="14" t="s">
        <v>33</v>
      </c>
      <c r="D40" s="25"/>
      <c r="E40" s="14">
        <v>220</v>
      </c>
      <c r="F40" s="26"/>
      <c r="G40" s="27"/>
      <c r="H40" s="27">
        <f t="shared" si="76"/>
        <v>0</v>
      </c>
      <c r="I40" s="25"/>
      <c r="J40" s="14"/>
      <c r="K40" s="17"/>
      <c r="L40" s="17">
        <v>42597</v>
      </c>
      <c r="M40" s="25" t="s">
        <v>39</v>
      </c>
      <c r="N40" s="14"/>
      <c r="O40" s="18"/>
      <c r="P40" s="19"/>
      <c r="Q40" s="18">
        <v>17300</v>
      </c>
      <c r="R40" s="18">
        <f t="shared" si="77"/>
        <v>13585</v>
      </c>
      <c r="S40" s="30">
        <f t="shared" si="78"/>
        <v>-7700</v>
      </c>
      <c r="T40" s="31" t="e">
        <f>W40*F40*0.0045</f>
        <v>#DIV/0!</v>
      </c>
      <c r="U40" s="18">
        <f>E40*5</f>
        <v>1100</v>
      </c>
      <c r="V40" s="14"/>
      <c r="W40" s="18" t="e">
        <f>((O40*F40)+Q40+R40+S40+U40)/G40</f>
        <v>#DIV/0!</v>
      </c>
      <c r="X40" s="18" t="e">
        <f>((O40*F40)+Q40+R40+S40+T40+U40)/G40</f>
        <v>#DIV/0!</v>
      </c>
      <c r="Y40" s="21" t="e">
        <f>X40*G40</f>
        <v>#DIV/0!</v>
      </c>
      <c r="Z40" s="32"/>
      <c r="AA40" s="2"/>
      <c r="AB40" s="2"/>
    </row>
    <row r="41" spans="1:28" s="12" customFormat="1" x14ac:dyDescent="0.25">
      <c r="A41" s="209"/>
      <c r="B41" s="24" t="s">
        <v>25</v>
      </c>
      <c r="C41" s="25" t="s">
        <v>40</v>
      </c>
      <c r="D41" s="25" t="s">
        <v>40</v>
      </c>
      <c r="E41" s="14"/>
      <c r="F41" s="26">
        <v>18500</v>
      </c>
      <c r="G41" s="40">
        <v>18500</v>
      </c>
      <c r="H41" s="27">
        <f>G41-F41</f>
        <v>0</v>
      </c>
      <c r="J41" s="36"/>
      <c r="K41" s="17">
        <v>42597</v>
      </c>
      <c r="L41" s="17">
        <v>42598</v>
      </c>
      <c r="M41" s="25" t="s">
        <v>45</v>
      </c>
      <c r="N41" s="25" t="s">
        <v>3564</v>
      </c>
      <c r="O41" s="18"/>
      <c r="P41" s="28"/>
      <c r="Q41" s="18">
        <v>20000</v>
      </c>
      <c r="R41" s="46">
        <v>9200</v>
      </c>
      <c r="S41" s="38">
        <v>19.2</v>
      </c>
      <c r="T41" s="31">
        <f>W41*F41*0.005</f>
        <v>155.25000000000003</v>
      </c>
      <c r="V41" s="18">
        <v>0.1</v>
      </c>
      <c r="W41" s="18">
        <f t="shared" ref="W41:W42" si="79">IF(O41&gt;0,O41,((P41*2.2046*S41)+(Q41+R41)/G41)+V41)</f>
        <v>1.6783783783783786</v>
      </c>
      <c r="X41" s="18">
        <f t="shared" ref="X41:X42" si="80">IF(O41&gt;0,O41,((P41*2.2046*S41)+(Q41+R41+T41)/G41)+V41)</f>
        <v>1.6867702702702703</v>
      </c>
      <c r="Y41" s="21">
        <f t="shared" ref="Y41:Y42" si="81">X41*F41</f>
        <v>31205.25</v>
      </c>
      <c r="Z41" s="32"/>
      <c r="AA41" s="37"/>
      <c r="AB41" s="37"/>
    </row>
    <row r="42" spans="1:28" s="12" customFormat="1" x14ac:dyDescent="0.25">
      <c r="A42" s="209"/>
      <c r="B42" s="24" t="s">
        <v>25</v>
      </c>
      <c r="C42" s="25" t="s">
        <v>72</v>
      </c>
      <c r="D42" s="25" t="s">
        <v>72</v>
      </c>
      <c r="E42" s="14"/>
      <c r="F42" s="26">
        <v>19000</v>
      </c>
      <c r="G42" s="40">
        <v>19000</v>
      </c>
      <c r="H42" s="27">
        <f>G42-F42</f>
        <v>0</v>
      </c>
      <c r="J42" s="36"/>
      <c r="K42" s="17">
        <v>42597</v>
      </c>
      <c r="L42" s="17">
        <v>42598</v>
      </c>
      <c r="M42" s="25" t="s">
        <v>45</v>
      </c>
      <c r="N42" s="25" t="s">
        <v>3565</v>
      </c>
      <c r="O42" s="18"/>
      <c r="P42" s="28"/>
      <c r="Q42" s="18">
        <v>20000</v>
      </c>
      <c r="R42" s="46">
        <v>9200</v>
      </c>
      <c r="S42" s="38">
        <v>19.2</v>
      </c>
      <c r="T42" s="31">
        <f>W42*F42*0.005</f>
        <v>155.5</v>
      </c>
      <c r="V42" s="18">
        <v>0.1</v>
      </c>
      <c r="W42" s="18">
        <f t="shared" si="79"/>
        <v>1.6368421052631579</v>
      </c>
      <c r="X42" s="18">
        <f t="shared" si="80"/>
        <v>1.6450263157894738</v>
      </c>
      <c r="Y42" s="21">
        <f t="shared" si="81"/>
        <v>31255.500000000004</v>
      </c>
      <c r="Z42" s="32"/>
      <c r="AA42" s="37"/>
      <c r="AB42" s="37"/>
    </row>
    <row r="43" spans="1:28" s="12" customFormat="1" x14ac:dyDescent="0.25">
      <c r="A43" s="209"/>
      <c r="B43" s="24" t="s">
        <v>32</v>
      </c>
      <c r="C43" s="14" t="s">
        <v>33</v>
      </c>
      <c r="D43" s="25"/>
      <c r="E43" s="14">
        <v>220</v>
      </c>
      <c r="F43" s="26"/>
      <c r="G43" s="27"/>
      <c r="H43" s="27">
        <f t="shared" ref="H43" si="82">G43-F43</f>
        <v>0</v>
      </c>
      <c r="J43" s="14"/>
      <c r="K43" s="17"/>
      <c r="L43" s="17">
        <v>42598</v>
      </c>
      <c r="M43" s="25" t="s">
        <v>45</v>
      </c>
      <c r="N43" s="14"/>
      <c r="O43" s="18"/>
      <c r="P43" s="19"/>
      <c r="Q43" s="18">
        <v>17300</v>
      </c>
      <c r="R43" s="18">
        <f t="shared" ref="R43" si="83">61.75*E43</f>
        <v>13585</v>
      </c>
      <c r="S43" s="30">
        <f t="shared" ref="S43" si="84">-35*E43</f>
        <v>-7700</v>
      </c>
      <c r="T43" s="31" t="e">
        <f>W43*F43*0.0045</f>
        <v>#DIV/0!</v>
      </c>
      <c r="U43" s="18">
        <f>E43*5</f>
        <v>1100</v>
      </c>
      <c r="V43" s="14"/>
      <c r="W43" s="18" t="e">
        <f>((O43*F43)+Q43+R43+S43+U43)/G43</f>
        <v>#DIV/0!</v>
      </c>
      <c r="X43" s="18" t="e">
        <f>((O43*F43)+Q43+R43+S43+T43+U43)/G43</f>
        <v>#DIV/0!</v>
      </c>
      <c r="Y43" s="21" t="e">
        <f>X43*G43</f>
        <v>#DIV/0!</v>
      </c>
      <c r="Z43" s="32"/>
      <c r="AA43" s="37"/>
      <c r="AB43" s="37"/>
    </row>
    <row r="44" spans="1:28" s="12" customFormat="1" x14ac:dyDescent="0.25">
      <c r="A44" s="209"/>
      <c r="B44" s="24" t="s">
        <v>25</v>
      </c>
      <c r="C44" s="25" t="s">
        <v>72</v>
      </c>
      <c r="D44" s="25" t="s">
        <v>72</v>
      </c>
      <c r="E44" s="14"/>
      <c r="F44" s="26">
        <v>19000</v>
      </c>
      <c r="G44" s="40">
        <v>19000</v>
      </c>
      <c r="H44" s="27">
        <f>G44-F44</f>
        <v>0</v>
      </c>
      <c r="J44" s="36"/>
      <c r="K44" s="17">
        <v>42598</v>
      </c>
      <c r="L44" s="17">
        <v>42599</v>
      </c>
      <c r="M44" s="25" t="s">
        <v>50</v>
      </c>
      <c r="N44" s="25" t="s">
        <v>3565</v>
      </c>
      <c r="O44" s="18"/>
      <c r="P44" s="28"/>
      <c r="Q44" s="18">
        <v>20000</v>
      </c>
      <c r="R44" s="46">
        <v>9200</v>
      </c>
      <c r="S44" s="38">
        <v>19.2</v>
      </c>
      <c r="T44" s="31">
        <f>W44*F44*0.005</f>
        <v>155.5</v>
      </c>
      <c r="V44" s="18">
        <v>0.1</v>
      </c>
      <c r="W44" s="18">
        <f t="shared" ref="W44" si="85">IF(O44&gt;0,O44,((P44*2.2046*S44)+(Q44+R44)/G44)+V44)</f>
        <v>1.6368421052631579</v>
      </c>
      <c r="X44" s="18">
        <f t="shared" ref="X44" si="86">IF(O44&gt;0,O44,((P44*2.2046*S44)+(Q44+R44+T44)/G44)+V44)</f>
        <v>1.6450263157894738</v>
      </c>
      <c r="Y44" s="21">
        <f t="shared" ref="Y44" si="87">X44*F44</f>
        <v>31255.500000000004</v>
      </c>
      <c r="Z44" s="32"/>
      <c r="AA44" s="37"/>
      <c r="AB44" s="37"/>
    </row>
    <row r="45" spans="1:28" s="12" customFormat="1" x14ac:dyDescent="0.25">
      <c r="A45" s="209"/>
      <c r="B45" s="24" t="s">
        <v>32</v>
      </c>
      <c r="C45" s="14" t="s">
        <v>33</v>
      </c>
      <c r="D45" s="25"/>
      <c r="E45" s="14">
        <v>260</v>
      </c>
      <c r="F45" s="26"/>
      <c r="G45" s="27"/>
      <c r="H45" s="27">
        <f t="shared" ref="H45" si="88">G45-F45</f>
        <v>0</v>
      </c>
      <c r="J45" s="14"/>
      <c r="K45" s="17"/>
      <c r="L45" s="17">
        <v>42599</v>
      </c>
      <c r="M45" s="25" t="s">
        <v>50</v>
      </c>
      <c r="N45" s="14"/>
      <c r="O45" s="18"/>
      <c r="P45" s="19"/>
      <c r="Q45" s="18">
        <v>17300</v>
      </c>
      <c r="R45" s="18">
        <f t="shared" ref="R45" si="89">61.75*E45</f>
        <v>16055</v>
      </c>
      <c r="S45" s="30">
        <f t="shared" ref="S45" si="90">-35*E45</f>
        <v>-9100</v>
      </c>
      <c r="T45" s="31" t="e">
        <f>W45*F45*0.0045</f>
        <v>#DIV/0!</v>
      </c>
      <c r="U45" s="18">
        <f>E45*5</f>
        <v>1300</v>
      </c>
      <c r="V45" s="14"/>
      <c r="W45" s="18" t="e">
        <f>((O45*F45)+Q45+R45+S45+U45)/G45</f>
        <v>#DIV/0!</v>
      </c>
      <c r="X45" s="18" t="e">
        <f>((O45*F45)+Q45+R45+S45+T45+U45)/G45</f>
        <v>#DIV/0!</v>
      </c>
      <c r="Y45" s="21" t="e">
        <f>X45*G45</f>
        <v>#DIV/0!</v>
      </c>
      <c r="Z45" s="32"/>
      <c r="AA45" s="37"/>
      <c r="AB45" s="37"/>
    </row>
    <row r="46" spans="1:28" s="12" customFormat="1" x14ac:dyDescent="0.25">
      <c r="A46" s="209"/>
      <c r="B46" s="24" t="s">
        <v>25</v>
      </c>
      <c r="C46" s="25" t="s">
        <v>72</v>
      </c>
      <c r="D46" s="25" t="s">
        <v>72</v>
      </c>
      <c r="E46" s="14"/>
      <c r="F46" s="26">
        <v>19000</v>
      </c>
      <c r="G46" s="40">
        <v>19000</v>
      </c>
      <c r="H46" s="27">
        <f>G46-F46</f>
        <v>0</v>
      </c>
      <c r="J46" s="36"/>
      <c r="K46" s="17">
        <v>42599</v>
      </c>
      <c r="L46" s="17">
        <v>42600</v>
      </c>
      <c r="M46" s="25" t="s">
        <v>65</v>
      </c>
      <c r="N46" s="25" t="s">
        <v>3566</v>
      </c>
      <c r="O46" s="18"/>
      <c r="P46" s="28"/>
      <c r="Q46" s="18">
        <v>20000</v>
      </c>
      <c r="R46" s="46">
        <v>9200</v>
      </c>
      <c r="S46" s="38">
        <v>19.2</v>
      </c>
      <c r="T46" s="31">
        <f>W46*F46*0.005</f>
        <v>155.5</v>
      </c>
      <c r="V46" s="18">
        <v>0.1</v>
      </c>
      <c r="W46" s="18">
        <f t="shared" ref="W46" si="91">IF(O46&gt;0,O46,((P46*2.2046*S46)+(Q46+R46)/G46)+V46)</f>
        <v>1.6368421052631579</v>
      </c>
      <c r="X46" s="18">
        <f t="shared" ref="X46" si="92">IF(O46&gt;0,O46,((P46*2.2046*S46)+(Q46+R46+T46)/G46)+V46)</f>
        <v>1.6450263157894738</v>
      </c>
      <c r="Y46" s="21">
        <f t="shared" ref="Y46" si="93">X46*F46</f>
        <v>31255.500000000004</v>
      </c>
      <c r="Z46" s="32"/>
      <c r="AA46" s="37"/>
      <c r="AB46" s="37"/>
    </row>
    <row r="47" spans="1:28" s="12" customFormat="1" x14ac:dyDescent="0.25">
      <c r="A47" s="209"/>
      <c r="B47" s="24" t="s">
        <v>25</v>
      </c>
      <c r="C47" s="25" t="s">
        <v>72</v>
      </c>
      <c r="D47" s="25" t="s">
        <v>72</v>
      </c>
      <c r="E47" s="14"/>
      <c r="F47" s="26">
        <v>19000</v>
      </c>
      <c r="G47" s="40">
        <v>19000</v>
      </c>
      <c r="H47" s="27">
        <f>G47-F47</f>
        <v>0</v>
      </c>
      <c r="J47" s="36"/>
      <c r="K47" s="17">
        <v>42599</v>
      </c>
      <c r="L47" s="17">
        <v>42600</v>
      </c>
      <c r="M47" s="25" t="s">
        <v>65</v>
      </c>
      <c r="N47" s="25" t="s">
        <v>3566</v>
      </c>
      <c r="O47" s="18"/>
      <c r="P47" s="28"/>
      <c r="Q47" s="18">
        <v>20000</v>
      </c>
      <c r="R47" s="46">
        <v>9200</v>
      </c>
      <c r="S47" s="38">
        <v>19.2</v>
      </c>
      <c r="T47" s="31">
        <f t="shared" ref="T47" si="94">W47*F47*0.005</f>
        <v>155.5</v>
      </c>
      <c r="V47" s="18">
        <v>0.1</v>
      </c>
      <c r="W47" s="18">
        <f>IF(O47&gt;0,O47,((P47*2.2046*S47)+(Q47+R47)/G47)+V47)</f>
        <v>1.6368421052631579</v>
      </c>
      <c r="X47" s="18">
        <f>IF(O47&gt;0,O47,((P47*2.2046*S47)+(Q47+R47+T47)/G47)+V47)</f>
        <v>1.6450263157894738</v>
      </c>
      <c r="Y47" s="21">
        <f>X47*F47</f>
        <v>31255.500000000004</v>
      </c>
      <c r="Z47" s="32"/>
      <c r="AA47" s="37"/>
      <c r="AB47" s="37"/>
    </row>
    <row r="48" spans="1:28" s="12" customFormat="1" x14ac:dyDescent="0.25">
      <c r="A48" s="209"/>
      <c r="B48" s="24" t="s">
        <v>32</v>
      </c>
      <c r="C48" s="14" t="s">
        <v>33</v>
      </c>
      <c r="D48" s="25"/>
      <c r="E48" s="14">
        <v>250</v>
      </c>
      <c r="F48" s="26"/>
      <c r="G48" s="27"/>
      <c r="H48" s="27">
        <f t="shared" ref="H48:H49" si="95">G48-F48</f>
        <v>0</v>
      </c>
      <c r="J48" s="14"/>
      <c r="K48" s="17"/>
      <c r="L48" s="17">
        <v>42600</v>
      </c>
      <c r="M48" s="25" t="s">
        <v>65</v>
      </c>
      <c r="N48" s="14"/>
      <c r="O48" s="18"/>
      <c r="P48" s="19"/>
      <c r="Q48" s="18">
        <v>17300</v>
      </c>
      <c r="R48" s="18">
        <f t="shared" ref="R48:R49" si="96">61.75*E48</f>
        <v>15437.5</v>
      </c>
      <c r="S48" s="30">
        <f t="shared" ref="S48:S49" si="97">-35*E48</f>
        <v>-8750</v>
      </c>
      <c r="T48" s="31" t="e">
        <f t="shared" ref="T48:T49" si="98">W48*F48*0.0045</f>
        <v>#DIV/0!</v>
      </c>
      <c r="U48" s="18">
        <f t="shared" ref="U48:U49" si="99">E48*5</f>
        <v>1250</v>
      </c>
      <c r="V48" s="14"/>
      <c r="W48" s="18" t="e">
        <f t="shared" ref="W48:W49" si="100">((O48*F48)+Q48+R48+S48+U48)/G48</f>
        <v>#DIV/0!</v>
      </c>
      <c r="X48" s="18" t="e">
        <f t="shared" ref="X48:X49" si="101">((O48*F48)+Q48+R48+S48+T48+U48)/G48</f>
        <v>#DIV/0!</v>
      </c>
      <c r="Y48" s="21" t="e">
        <f t="shared" ref="Y48:Y49" si="102">X48*G48</f>
        <v>#DIV/0!</v>
      </c>
      <c r="Z48" s="32"/>
      <c r="AA48" s="37"/>
      <c r="AB48" s="37"/>
    </row>
    <row r="49" spans="1:28" s="12" customFormat="1" x14ac:dyDescent="0.25">
      <c r="A49" s="209"/>
      <c r="B49" s="24" t="s">
        <v>32</v>
      </c>
      <c r="C49" s="14" t="s">
        <v>33</v>
      </c>
      <c r="D49" s="25"/>
      <c r="E49" s="14">
        <v>130</v>
      </c>
      <c r="F49" s="26"/>
      <c r="G49" s="27"/>
      <c r="H49" s="27">
        <f t="shared" si="95"/>
        <v>0</v>
      </c>
      <c r="I49" s="25"/>
      <c r="J49" s="14"/>
      <c r="K49" s="17"/>
      <c r="L49" s="17">
        <v>42600</v>
      </c>
      <c r="M49" s="25" t="s">
        <v>65</v>
      </c>
      <c r="N49" s="14"/>
      <c r="O49" s="18"/>
      <c r="P49" s="19"/>
      <c r="Q49" s="18">
        <v>13600</v>
      </c>
      <c r="R49" s="18">
        <f t="shared" si="96"/>
        <v>8027.5</v>
      </c>
      <c r="S49" s="30">
        <f t="shared" si="97"/>
        <v>-4550</v>
      </c>
      <c r="T49" s="31" t="e">
        <f t="shared" si="98"/>
        <v>#DIV/0!</v>
      </c>
      <c r="U49" s="18">
        <f t="shared" si="99"/>
        <v>650</v>
      </c>
      <c r="V49" s="14"/>
      <c r="W49" s="18" t="e">
        <f t="shared" si="100"/>
        <v>#DIV/0!</v>
      </c>
      <c r="X49" s="18" t="e">
        <f t="shared" si="101"/>
        <v>#DIV/0!</v>
      </c>
      <c r="Y49" s="21" t="e">
        <f t="shared" si="102"/>
        <v>#DIV/0!</v>
      </c>
      <c r="Z49" s="32"/>
      <c r="AA49" s="37"/>
      <c r="AB49" s="37"/>
    </row>
    <row r="50" spans="1:28" s="12" customFormat="1" x14ac:dyDescent="0.25">
      <c r="A50" s="209"/>
      <c r="B50" s="24" t="s">
        <v>25</v>
      </c>
      <c r="C50" s="25" t="s">
        <v>40</v>
      </c>
      <c r="D50" s="25" t="s">
        <v>40</v>
      </c>
      <c r="E50" s="14"/>
      <c r="F50" s="26">
        <v>18500</v>
      </c>
      <c r="G50" s="40">
        <v>18500</v>
      </c>
      <c r="H50" s="27">
        <f>G50-F50</f>
        <v>0</v>
      </c>
      <c r="J50" s="36"/>
      <c r="K50" s="17">
        <v>42600</v>
      </c>
      <c r="L50" s="17">
        <v>42601</v>
      </c>
      <c r="M50" s="25" t="s">
        <v>84</v>
      </c>
      <c r="N50" s="25" t="s">
        <v>3567</v>
      </c>
      <c r="O50" s="18"/>
      <c r="P50" s="28"/>
      <c r="Q50" s="18">
        <v>20000</v>
      </c>
      <c r="R50" s="46">
        <v>9200</v>
      </c>
      <c r="S50" s="38">
        <v>19.2</v>
      </c>
      <c r="T50" s="31">
        <f>W50*F50*0.005</f>
        <v>155.25000000000003</v>
      </c>
      <c r="V50" s="18">
        <v>0.1</v>
      </c>
      <c r="W50" s="18">
        <f t="shared" ref="W50" si="103">IF(O50&gt;0,O50,((P50*2.2046*S50)+(Q50+R50)/G50)+V50)</f>
        <v>1.6783783783783786</v>
      </c>
      <c r="X50" s="18">
        <f t="shared" ref="X50" si="104">IF(O50&gt;0,O50,((P50*2.2046*S50)+(Q50+R50+T50)/G50)+V50)</f>
        <v>1.6867702702702703</v>
      </c>
      <c r="Y50" s="21">
        <f t="shared" ref="Y50" si="105">X50*F50</f>
        <v>31205.25</v>
      </c>
      <c r="Z50" s="32"/>
      <c r="AA50" s="37"/>
      <c r="AB50" s="37"/>
    </row>
    <row r="51" spans="1:28" s="12" customFormat="1" x14ac:dyDescent="0.25">
      <c r="A51" s="209"/>
      <c r="B51" s="24" t="s">
        <v>32</v>
      </c>
      <c r="C51" s="14" t="s">
        <v>33</v>
      </c>
      <c r="D51" s="25"/>
      <c r="E51" s="14">
        <v>250</v>
      </c>
      <c r="F51" s="26"/>
      <c r="G51" s="27"/>
      <c r="H51" s="27">
        <f t="shared" ref="H51:H53" si="106">G51-F51</f>
        <v>0</v>
      </c>
      <c r="J51" s="14"/>
      <c r="K51" s="17"/>
      <c r="L51" s="17">
        <v>42601</v>
      </c>
      <c r="M51" s="25" t="s">
        <v>84</v>
      </c>
      <c r="N51" s="14"/>
      <c r="O51" s="18"/>
      <c r="P51" s="19"/>
      <c r="Q51" s="18">
        <v>17300</v>
      </c>
      <c r="R51" s="18">
        <f t="shared" ref="R51:R52" si="107">61.75*E51</f>
        <v>15437.5</v>
      </c>
      <c r="S51" s="30">
        <f>-35*E51</f>
        <v>-8750</v>
      </c>
      <c r="T51" s="31" t="e">
        <f>W51*F51*0.0045</f>
        <v>#DIV/0!</v>
      </c>
      <c r="U51" s="18">
        <f>E51*5</f>
        <v>1250</v>
      </c>
      <c r="V51" s="14"/>
      <c r="W51" s="18" t="e">
        <f>((O51*F51)+Q51+R51+S51+U51)/G51</f>
        <v>#DIV/0!</v>
      </c>
      <c r="X51" s="18" t="e">
        <f>((O51*F51)+Q51+R51+S51+T51+U51)/G51</f>
        <v>#DIV/0!</v>
      </c>
      <c r="Y51" s="21" t="e">
        <f t="shared" ref="Y51:Y52" si="108">X51*G51</f>
        <v>#DIV/0!</v>
      </c>
      <c r="Z51" s="32"/>
      <c r="AA51" s="2"/>
      <c r="AB51" s="2"/>
    </row>
    <row r="52" spans="1:28" s="12" customFormat="1" x14ac:dyDescent="0.25">
      <c r="A52" s="209"/>
      <c r="B52" s="24" t="s">
        <v>32</v>
      </c>
      <c r="C52" s="14" t="s">
        <v>33</v>
      </c>
      <c r="D52" s="25"/>
      <c r="E52" s="14">
        <v>130</v>
      </c>
      <c r="F52" s="26"/>
      <c r="G52" s="27"/>
      <c r="H52" s="27">
        <f t="shared" si="106"/>
        <v>0</v>
      </c>
      <c r="I52" s="25"/>
      <c r="J52" s="14"/>
      <c r="K52" s="17"/>
      <c r="L52" s="17">
        <v>42601</v>
      </c>
      <c r="M52" s="25" t="s">
        <v>84</v>
      </c>
      <c r="N52" s="14"/>
      <c r="O52" s="18"/>
      <c r="P52" s="19"/>
      <c r="Q52" s="18">
        <v>13600</v>
      </c>
      <c r="R52" s="18">
        <f t="shared" si="107"/>
        <v>8027.5</v>
      </c>
      <c r="S52" s="30">
        <f>-35*E52</f>
        <v>-4550</v>
      </c>
      <c r="T52" s="31" t="e">
        <f>W52*F52*0.0045</f>
        <v>#DIV/0!</v>
      </c>
      <c r="U52" s="18">
        <f>E52*5</f>
        <v>650</v>
      </c>
      <c r="V52" s="14"/>
      <c r="W52" s="18" t="e">
        <f>((O52*F52)+Q52+R52+S52+U52)/G52</f>
        <v>#DIV/0!</v>
      </c>
      <c r="X52" s="18" t="e">
        <f>((O52*F52)+Q52+R52+S52+T52+U52)/G52</f>
        <v>#DIV/0!</v>
      </c>
      <c r="Y52" s="21" t="e">
        <f t="shared" si="108"/>
        <v>#DIV/0!</v>
      </c>
      <c r="Z52" s="32"/>
      <c r="AA52" s="2"/>
      <c r="AB52" s="2"/>
    </row>
    <row r="53" spans="1:28" s="12" customFormat="1" x14ac:dyDescent="0.25">
      <c r="A53" s="209"/>
      <c r="B53" s="24" t="s">
        <v>25</v>
      </c>
      <c r="C53" s="25" t="s">
        <v>26</v>
      </c>
      <c r="D53" s="25" t="s">
        <v>26</v>
      </c>
      <c r="E53" s="14"/>
      <c r="F53" s="26">
        <v>18500</v>
      </c>
      <c r="G53" s="40">
        <v>18500</v>
      </c>
      <c r="H53" s="27">
        <f t="shared" si="106"/>
        <v>0</v>
      </c>
      <c r="J53" s="36"/>
      <c r="K53" s="17">
        <v>42601</v>
      </c>
      <c r="L53" s="17">
        <v>42602</v>
      </c>
      <c r="M53" s="25" t="s">
        <v>30</v>
      </c>
      <c r="N53" s="25" t="s">
        <v>3568</v>
      </c>
      <c r="O53" s="18"/>
      <c r="P53" s="28"/>
      <c r="Q53" s="18">
        <v>20000</v>
      </c>
      <c r="R53" s="46">
        <v>9200</v>
      </c>
      <c r="S53" s="38">
        <v>19.2</v>
      </c>
      <c r="T53" s="31">
        <f t="shared" ref="T53" si="109">W53*F53*0.005</f>
        <v>155.25000000000003</v>
      </c>
      <c r="V53" s="18">
        <v>0.1</v>
      </c>
      <c r="W53" s="18">
        <f>IF(O53&gt;0,O53,((P53*2.2046*S53)+(Q53+R53)/G53)+V53)</f>
        <v>1.6783783783783786</v>
      </c>
      <c r="X53" s="18">
        <f>IF(O53&gt;0,O53,((P53*2.2046*S53)+(Q53+R53+T53)/G53)+V53)</f>
        <v>1.6867702702702703</v>
      </c>
      <c r="Y53" s="21">
        <f t="shared" ref="Y53" si="110">X53*F53</f>
        <v>31205.25</v>
      </c>
      <c r="Z53" s="32"/>
      <c r="AA53" s="2"/>
      <c r="AB53" s="2"/>
    </row>
    <row r="54" spans="1:28" s="12" customFormat="1" x14ac:dyDescent="0.25">
      <c r="A54" s="209"/>
      <c r="B54" s="24" t="s">
        <v>25</v>
      </c>
      <c r="C54" s="25" t="s">
        <v>40</v>
      </c>
      <c r="D54" s="25" t="s">
        <v>40</v>
      </c>
      <c r="E54" s="14"/>
      <c r="F54" s="26">
        <v>18500</v>
      </c>
      <c r="G54" s="40">
        <v>18500</v>
      </c>
      <c r="H54" s="27">
        <f>G54-F54</f>
        <v>0</v>
      </c>
      <c r="J54" s="36"/>
      <c r="K54" s="17">
        <v>42601</v>
      </c>
      <c r="L54" s="17">
        <v>42602</v>
      </c>
      <c r="M54" s="25" t="s">
        <v>30</v>
      </c>
      <c r="N54" s="25" t="s">
        <v>3569</v>
      </c>
      <c r="O54" s="18"/>
      <c r="P54" s="28"/>
      <c r="Q54" s="18">
        <v>20000</v>
      </c>
      <c r="R54" s="46">
        <v>9200</v>
      </c>
      <c r="S54" s="38">
        <v>19.2</v>
      </c>
      <c r="T54" s="31">
        <f>W54*F54*0.005</f>
        <v>155.25000000000003</v>
      </c>
      <c r="V54" s="18">
        <v>0.1</v>
      </c>
      <c r="W54" s="18">
        <f>IF(O54&gt;0,O54,((P54*2.2046*S54)+(Q54+R54)/G54)+V54)</f>
        <v>1.6783783783783786</v>
      </c>
      <c r="X54" s="18">
        <f>IF(O54&gt;0,O54,((P54*2.2046*S54)+(Q54+R54+T54)/G54)+V54)</f>
        <v>1.6867702702702703</v>
      </c>
      <c r="Y54" s="21">
        <f>X54*F54</f>
        <v>31205.25</v>
      </c>
      <c r="Z54" s="32"/>
      <c r="AA54" s="37"/>
      <c r="AB54" s="37"/>
    </row>
    <row r="55" spans="1:28" s="12" customFormat="1" x14ac:dyDescent="0.25">
      <c r="A55" s="209"/>
      <c r="B55" s="24" t="s">
        <v>25</v>
      </c>
      <c r="C55" s="25" t="s">
        <v>72</v>
      </c>
      <c r="D55" s="25" t="s">
        <v>72</v>
      </c>
      <c r="E55" s="14"/>
      <c r="F55" s="26">
        <v>19000</v>
      </c>
      <c r="G55" s="40">
        <v>19000</v>
      </c>
      <c r="H55" s="27">
        <f t="shared" ref="H55" si="111">G55-F55</f>
        <v>0</v>
      </c>
      <c r="J55" s="36"/>
      <c r="K55" s="17">
        <v>42601</v>
      </c>
      <c r="L55" s="17">
        <v>42602</v>
      </c>
      <c r="M55" s="25" t="s">
        <v>30</v>
      </c>
      <c r="N55" s="25" t="s">
        <v>3570</v>
      </c>
      <c r="O55" s="18"/>
      <c r="P55" s="28"/>
      <c r="Q55" s="18">
        <v>20000</v>
      </c>
      <c r="R55" s="46">
        <v>9200</v>
      </c>
      <c r="S55" s="38">
        <v>19.2</v>
      </c>
      <c r="T55" s="31">
        <f t="shared" ref="T55" si="112">W55*F55*0.005</f>
        <v>155.5</v>
      </c>
      <c r="V55" s="18">
        <v>0.1</v>
      </c>
      <c r="W55" s="18">
        <f>IF(O55&gt;0,O55,((P55*2.2046*S55)+(Q55+R55)/G55)+V55)</f>
        <v>1.6368421052631579</v>
      </c>
      <c r="X55" s="18">
        <f>IF(O55&gt;0,O55,((P55*2.2046*S55)+(Q55+R55+T55)/G55)+V55)</f>
        <v>1.6450263157894738</v>
      </c>
      <c r="Y55" s="21">
        <f t="shared" ref="Y55" si="113">X55*F55</f>
        <v>31255.500000000004</v>
      </c>
      <c r="Z55" s="32"/>
      <c r="AA55" s="2"/>
      <c r="AB55" s="2"/>
    </row>
    <row r="56" spans="1:28" s="12" customFormat="1" ht="15.75" thickBot="1" x14ac:dyDescent="0.3">
      <c r="A56" s="209"/>
      <c r="B56" s="41"/>
      <c r="C56" s="4"/>
      <c r="D56" s="4"/>
      <c r="E56" s="4"/>
      <c r="F56" s="42"/>
      <c r="G56" s="42"/>
      <c r="H56" s="42"/>
      <c r="I56" s="6"/>
      <c r="J56" s="4"/>
      <c r="K56" s="7"/>
      <c r="L56" s="7"/>
      <c r="M56" s="4"/>
      <c r="N56" s="4"/>
      <c r="O56" s="8"/>
      <c r="P56" s="9"/>
      <c r="Q56" s="8"/>
      <c r="R56" s="8"/>
      <c r="S56" s="8"/>
      <c r="T56" s="8"/>
      <c r="U56" s="8"/>
      <c r="V56" s="8"/>
      <c r="W56" s="8"/>
      <c r="X56" s="8"/>
      <c r="Y56" s="11"/>
      <c r="Z56" s="43"/>
      <c r="AA56" s="2"/>
      <c r="AB56" s="2"/>
    </row>
    <row r="57" spans="1:28" s="12" customFormat="1" x14ac:dyDescent="0.25">
      <c r="A57" s="198"/>
      <c r="B57" s="14" t="s">
        <v>32</v>
      </c>
      <c r="C57" s="14" t="s">
        <v>33</v>
      </c>
      <c r="D57" s="25"/>
      <c r="E57" s="14">
        <v>250</v>
      </c>
      <c r="F57" s="26"/>
      <c r="G57" s="27"/>
      <c r="H57" s="27">
        <f t="shared" ref="H57:H59" si="114">G57-F57</f>
        <v>0</v>
      </c>
      <c r="I57" s="25"/>
      <c r="J57" s="14"/>
      <c r="K57" s="17"/>
      <c r="L57" s="17">
        <v>42603</v>
      </c>
      <c r="M57" s="25" t="s">
        <v>36</v>
      </c>
      <c r="N57" s="14"/>
      <c r="O57" s="18"/>
      <c r="P57" s="19"/>
      <c r="Q57" s="18">
        <v>17300</v>
      </c>
      <c r="R57" s="18">
        <f t="shared" ref="R57:R59" si="115">61.75*E57</f>
        <v>15437.5</v>
      </c>
      <c r="S57" s="30">
        <f>-35*E57</f>
        <v>-8750</v>
      </c>
      <c r="T57" s="31" t="e">
        <f>W57*F57*0.0045</f>
        <v>#DIV/0!</v>
      </c>
      <c r="U57" s="18">
        <f>E57*5</f>
        <v>1250</v>
      </c>
      <c r="V57" s="14"/>
      <c r="W57" s="18" t="e">
        <f>((O57*F57)+Q57+R57+S57+U57)/G57</f>
        <v>#DIV/0!</v>
      </c>
      <c r="X57" s="18" t="e">
        <f>((O57*F57)+Q57+R57+S57+T57+U57)/G57</f>
        <v>#DIV/0!</v>
      </c>
      <c r="Y57" s="21" t="e">
        <f>X57*G57</f>
        <v>#DIV/0!</v>
      </c>
      <c r="Z57" s="32"/>
      <c r="AA57" s="2"/>
      <c r="AB57" s="2"/>
    </row>
    <row r="58" spans="1:28" s="12" customFormat="1" x14ac:dyDescent="0.25">
      <c r="A58" s="198"/>
      <c r="B58" s="24" t="s">
        <v>32</v>
      </c>
      <c r="C58" s="14" t="s">
        <v>33</v>
      </c>
      <c r="D58" s="25"/>
      <c r="E58" s="14">
        <v>130</v>
      </c>
      <c r="F58" s="26"/>
      <c r="G58" s="27"/>
      <c r="H58" s="27">
        <f t="shared" si="114"/>
        <v>0</v>
      </c>
      <c r="I58" s="25"/>
      <c r="J58" s="14"/>
      <c r="K58" s="17"/>
      <c r="L58" s="17">
        <v>42603</v>
      </c>
      <c r="M58" s="25" t="s">
        <v>36</v>
      </c>
      <c r="N58" s="14"/>
      <c r="O58" s="18"/>
      <c r="P58" s="19"/>
      <c r="Q58" s="18">
        <v>13600</v>
      </c>
      <c r="R58" s="18">
        <f t="shared" si="115"/>
        <v>8027.5</v>
      </c>
      <c r="S58" s="30">
        <f t="shared" ref="S58:S59" si="116">-35*E58</f>
        <v>-4550</v>
      </c>
      <c r="T58" s="31" t="e">
        <f>W58*F58*0.0045</f>
        <v>#DIV/0!</v>
      </c>
      <c r="U58" s="18">
        <f>E58*5</f>
        <v>650</v>
      </c>
      <c r="V58" s="14"/>
      <c r="W58" s="18" t="e">
        <f>((O58*F58)+Q58+R58+S58+U58)/G58</f>
        <v>#DIV/0!</v>
      </c>
      <c r="X58" s="18" t="e">
        <f>((O58*F58)+Q58+R58+S58+T58+U58)/G58</f>
        <v>#DIV/0!</v>
      </c>
      <c r="Y58" s="21" t="e">
        <f>X58*G58</f>
        <v>#DIV/0!</v>
      </c>
      <c r="Z58" s="32"/>
      <c r="AA58" s="2"/>
      <c r="AB58" s="2"/>
    </row>
    <row r="59" spans="1:28" s="12" customFormat="1" x14ac:dyDescent="0.25">
      <c r="A59" s="198"/>
      <c r="B59" s="24" t="s">
        <v>32</v>
      </c>
      <c r="C59" s="14" t="s">
        <v>33</v>
      </c>
      <c r="D59" s="25"/>
      <c r="E59" s="14">
        <v>220</v>
      </c>
      <c r="F59" s="26"/>
      <c r="G59" s="27"/>
      <c r="H59" s="27">
        <f t="shared" si="114"/>
        <v>0</v>
      </c>
      <c r="I59" s="25"/>
      <c r="J59" s="14"/>
      <c r="K59" s="17"/>
      <c r="L59" s="17">
        <v>42604</v>
      </c>
      <c r="M59" s="25" t="s">
        <v>39</v>
      </c>
      <c r="N59" s="14"/>
      <c r="O59" s="18"/>
      <c r="P59" s="19"/>
      <c r="Q59" s="18">
        <v>17300</v>
      </c>
      <c r="R59" s="18">
        <f t="shared" si="115"/>
        <v>13585</v>
      </c>
      <c r="S59" s="30">
        <f t="shared" si="116"/>
        <v>-7700</v>
      </c>
      <c r="T59" s="31" t="e">
        <f>W59*F59*0.0045</f>
        <v>#DIV/0!</v>
      </c>
      <c r="U59" s="18">
        <f>E59*5</f>
        <v>1100</v>
      </c>
      <c r="V59" s="14"/>
      <c r="W59" s="18" t="e">
        <f>((O59*F59)+Q59+R59+S59+U59)/G59</f>
        <v>#DIV/0!</v>
      </c>
      <c r="X59" s="18" t="e">
        <f>((O59*F59)+Q59+R59+S59+T59+U59)/G59</f>
        <v>#DIV/0!</v>
      </c>
      <c r="Y59" s="21" t="e">
        <f>X59*G59</f>
        <v>#DIV/0!</v>
      </c>
      <c r="Z59" s="32"/>
      <c r="AA59" s="2"/>
      <c r="AB59" s="2"/>
    </row>
    <row r="60" spans="1:28" s="12" customFormat="1" x14ac:dyDescent="0.25">
      <c r="A60" s="198"/>
      <c r="B60" s="24" t="s">
        <v>25</v>
      </c>
      <c r="C60" s="25" t="s">
        <v>40</v>
      </c>
      <c r="D60" s="25" t="s">
        <v>40</v>
      </c>
      <c r="E60" s="14"/>
      <c r="F60" s="26">
        <v>18500</v>
      </c>
      <c r="G60" s="40">
        <v>18500</v>
      </c>
      <c r="H60" s="27">
        <f>G60-F60</f>
        <v>0</v>
      </c>
      <c r="J60" s="36"/>
      <c r="K60" s="17">
        <v>42604</v>
      </c>
      <c r="L60" s="17">
        <v>42605</v>
      </c>
      <c r="M60" s="25" t="s">
        <v>45</v>
      </c>
      <c r="N60" s="25" t="s">
        <v>3571</v>
      </c>
      <c r="O60" s="18"/>
      <c r="P60" s="28"/>
      <c r="Q60" s="18">
        <v>20000</v>
      </c>
      <c r="R60" s="46">
        <v>9200</v>
      </c>
      <c r="S60" s="38">
        <v>19.2</v>
      </c>
      <c r="T60" s="31">
        <f>W60*F60*0.005</f>
        <v>155.25000000000003</v>
      </c>
      <c r="V60" s="18">
        <v>0.1</v>
      </c>
      <c r="W60" s="18">
        <f t="shared" ref="W60:W61" si="117">IF(O60&gt;0,O60,((P60*2.2046*S60)+(Q60+R60)/G60)+V60)</f>
        <v>1.6783783783783786</v>
      </c>
      <c r="X60" s="18">
        <f t="shared" ref="X60:X61" si="118">IF(O60&gt;0,O60,((P60*2.2046*S60)+(Q60+R60+T60)/G60)+V60)</f>
        <v>1.6867702702702703</v>
      </c>
      <c r="Y60" s="21">
        <f t="shared" ref="Y60:Y61" si="119">X60*F60</f>
        <v>31205.25</v>
      </c>
      <c r="Z60" s="32"/>
      <c r="AA60" s="37"/>
      <c r="AB60" s="37"/>
    </row>
    <row r="61" spans="1:28" s="12" customFormat="1" x14ac:dyDescent="0.25">
      <c r="A61" s="198"/>
      <c r="B61" s="24" t="s">
        <v>25</v>
      </c>
      <c r="C61" s="25" t="s">
        <v>72</v>
      </c>
      <c r="D61" s="25" t="s">
        <v>72</v>
      </c>
      <c r="E61" s="14"/>
      <c r="F61" s="26">
        <v>19000</v>
      </c>
      <c r="G61" s="40">
        <v>19000</v>
      </c>
      <c r="H61" s="27">
        <f>G61-F61</f>
        <v>0</v>
      </c>
      <c r="J61" s="36"/>
      <c r="K61" s="17">
        <v>42604</v>
      </c>
      <c r="L61" s="17">
        <v>42605</v>
      </c>
      <c r="M61" s="25" t="s">
        <v>45</v>
      </c>
      <c r="N61" s="25" t="s">
        <v>3572</v>
      </c>
      <c r="O61" s="18"/>
      <c r="P61" s="28"/>
      <c r="Q61" s="18">
        <v>20000</v>
      </c>
      <c r="R61" s="46">
        <v>9200</v>
      </c>
      <c r="S61" s="38">
        <v>19.2</v>
      </c>
      <c r="T61" s="31">
        <f>W61*F61*0.005</f>
        <v>155.5</v>
      </c>
      <c r="V61" s="18">
        <v>0.1</v>
      </c>
      <c r="W61" s="18">
        <f t="shared" si="117"/>
        <v>1.6368421052631579</v>
      </c>
      <c r="X61" s="18">
        <f t="shared" si="118"/>
        <v>1.6450263157894738</v>
      </c>
      <c r="Y61" s="21">
        <f t="shared" si="119"/>
        <v>31255.500000000004</v>
      </c>
      <c r="Z61" s="32"/>
      <c r="AA61" s="37"/>
      <c r="AB61" s="37"/>
    </row>
    <row r="62" spans="1:28" s="12" customFormat="1" x14ac:dyDescent="0.25">
      <c r="A62" s="198"/>
      <c r="B62" s="24" t="s">
        <v>32</v>
      </c>
      <c r="C62" s="14" t="s">
        <v>33</v>
      </c>
      <c r="D62" s="25"/>
      <c r="E62" s="14">
        <v>220</v>
      </c>
      <c r="F62" s="26"/>
      <c r="G62" s="27"/>
      <c r="H62" s="27">
        <f t="shared" ref="H62" si="120">G62-F62</f>
        <v>0</v>
      </c>
      <c r="J62" s="14"/>
      <c r="K62" s="17"/>
      <c r="L62" s="17">
        <v>42605</v>
      </c>
      <c r="M62" s="25" t="s">
        <v>45</v>
      </c>
      <c r="N62" s="14"/>
      <c r="O62" s="18"/>
      <c r="P62" s="19"/>
      <c r="Q62" s="18">
        <v>17300</v>
      </c>
      <c r="R62" s="18">
        <f t="shared" ref="R62" si="121">61.75*E62</f>
        <v>13585</v>
      </c>
      <c r="S62" s="30">
        <f t="shared" ref="S62" si="122">-35*E62</f>
        <v>-7700</v>
      </c>
      <c r="T62" s="31" t="e">
        <f>W62*F62*0.0045</f>
        <v>#DIV/0!</v>
      </c>
      <c r="U62" s="18">
        <f>E62*5</f>
        <v>1100</v>
      </c>
      <c r="V62" s="14"/>
      <c r="W62" s="18" t="e">
        <f>((O62*F62)+Q62+R62+S62+U62)/G62</f>
        <v>#DIV/0!</v>
      </c>
      <c r="X62" s="18" t="e">
        <f>((O62*F62)+Q62+R62+S62+T62+U62)/G62</f>
        <v>#DIV/0!</v>
      </c>
      <c r="Y62" s="21" t="e">
        <f>X62*G62</f>
        <v>#DIV/0!</v>
      </c>
      <c r="Z62" s="32"/>
      <c r="AA62" s="37"/>
      <c r="AB62" s="37"/>
    </row>
    <row r="63" spans="1:28" s="12" customFormat="1" x14ac:dyDescent="0.25">
      <c r="A63" s="198"/>
      <c r="B63" s="24" t="s">
        <v>25</v>
      </c>
      <c r="C63" s="25" t="s">
        <v>72</v>
      </c>
      <c r="D63" s="25" t="s">
        <v>72</v>
      </c>
      <c r="E63" s="14"/>
      <c r="F63" s="26">
        <v>19000</v>
      </c>
      <c r="G63" s="40">
        <v>19000</v>
      </c>
      <c r="H63" s="27">
        <f>G63-F63</f>
        <v>0</v>
      </c>
      <c r="J63" s="36"/>
      <c r="K63" s="17">
        <v>42605</v>
      </c>
      <c r="L63" s="17">
        <v>42606</v>
      </c>
      <c r="M63" s="25" t="s">
        <v>50</v>
      </c>
      <c r="N63" s="25" t="s">
        <v>3572</v>
      </c>
      <c r="O63" s="18"/>
      <c r="P63" s="28"/>
      <c r="Q63" s="18">
        <v>20000</v>
      </c>
      <c r="R63" s="46">
        <v>9200</v>
      </c>
      <c r="S63" s="38">
        <v>19.2</v>
      </c>
      <c r="T63" s="31">
        <f>W63*F63*0.005</f>
        <v>155.5</v>
      </c>
      <c r="V63" s="18">
        <v>0.1</v>
      </c>
      <c r="W63" s="18">
        <f t="shared" ref="W63" si="123">IF(O63&gt;0,O63,((P63*2.2046*S63)+(Q63+R63)/G63)+V63)</f>
        <v>1.6368421052631579</v>
      </c>
      <c r="X63" s="18">
        <f t="shared" ref="X63" si="124">IF(O63&gt;0,O63,((P63*2.2046*S63)+(Q63+R63+T63)/G63)+V63)</f>
        <v>1.6450263157894738</v>
      </c>
      <c r="Y63" s="21">
        <f t="shared" ref="Y63" si="125">X63*F63</f>
        <v>31255.500000000004</v>
      </c>
      <c r="Z63" s="32"/>
      <c r="AA63" s="37"/>
      <c r="AB63" s="37"/>
    </row>
    <row r="64" spans="1:28" s="12" customFormat="1" x14ac:dyDescent="0.25">
      <c r="A64" s="198"/>
      <c r="B64" s="24" t="s">
        <v>32</v>
      </c>
      <c r="C64" s="14" t="s">
        <v>33</v>
      </c>
      <c r="D64" s="25"/>
      <c r="E64" s="14">
        <v>260</v>
      </c>
      <c r="F64" s="26"/>
      <c r="G64" s="27"/>
      <c r="H64" s="27">
        <f t="shared" ref="H64" si="126">G64-F64</f>
        <v>0</v>
      </c>
      <c r="J64" s="14"/>
      <c r="K64" s="17"/>
      <c r="L64" s="17">
        <v>42606</v>
      </c>
      <c r="M64" s="25" t="s">
        <v>50</v>
      </c>
      <c r="N64" s="14"/>
      <c r="O64" s="18"/>
      <c r="P64" s="19"/>
      <c r="Q64" s="18">
        <v>17300</v>
      </c>
      <c r="R64" s="18">
        <f t="shared" ref="R64" si="127">61.75*E64</f>
        <v>16055</v>
      </c>
      <c r="S64" s="30">
        <f t="shared" ref="S64" si="128">-35*E64</f>
        <v>-9100</v>
      </c>
      <c r="T64" s="31" t="e">
        <f>W64*F64*0.0045</f>
        <v>#DIV/0!</v>
      </c>
      <c r="U64" s="18">
        <f>E64*5</f>
        <v>1300</v>
      </c>
      <c r="V64" s="14"/>
      <c r="W64" s="18" t="e">
        <f>((O64*F64)+Q64+R64+S64+U64)/G64</f>
        <v>#DIV/0!</v>
      </c>
      <c r="X64" s="18" t="e">
        <f>((O64*F64)+Q64+R64+S64+T64+U64)/G64</f>
        <v>#DIV/0!</v>
      </c>
      <c r="Y64" s="21" t="e">
        <f>X64*G64</f>
        <v>#DIV/0!</v>
      </c>
      <c r="Z64" s="32"/>
      <c r="AA64" s="37"/>
      <c r="AB64" s="37"/>
    </row>
    <row r="65" spans="1:28" s="12" customFormat="1" x14ac:dyDescent="0.25">
      <c r="A65" s="198"/>
      <c r="B65" s="24" t="s">
        <v>25</v>
      </c>
      <c r="C65" s="25" t="s">
        <v>72</v>
      </c>
      <c r="D65" s="25" t="s">
        <v>72</v>
      </c>
      <c r="E65" s="14"/>
      <c r="F65" s="26">
        <v>19000</v>
      </c>
      <c r="G65" s="40">
        <v>19000</v>
      </c>
      <c r="H65" s="27">
        <f>G65-F65</f>
        <v>0</v>
      </c>
      <c r="J65" s="36"/>
      <c r="K65" s="17">
        <v>42606</v>
      </c>
      <c r="L65" s="17">
        <v>42607</v>
      </c>
      <c r="M65" s="25" t="s">
        <v>65</v>
      </c>
      <c r="N65" s="25" t="s">
        <v>3573</v>
      </c>
      <c r="O65" s="18"/>
      <c r="P65" s="28"/>
      <c r="Q65" s="18">
        <v>20000</v>
      </c>
      <c r="R65" s="46">
        <v>9200</v>
      </c>
      <c r="S65" s="38">
        <v>19.2</v>
      </c>
      <c r="T65" s="31">
        <f>W65*F65*0.005</f>
        <v>155.5</v>
      </c>
      <c r="V65" s="18">
        <v>0.1</v>
      </c>
      <c r="W65" s="18">
        <f t="shared" ref="W65" si="129">IF(O65&gt;0,O65,((P65*2.2046*S65)+(Q65+R65)/G65)+V65)</f>
        <v>1.6368421052631579</v>
      </c>
      <c r="X65" s="18">
        <f t="shared" ref="X65" si="130">IF(O65&gt;0,O65,((P65*2.2046*S65)+(Q65+R65+T65)/G65)+V65)</f>
        <v>1.6450263157894738</v>
      </c>
      <c r="Y65" s="21">
        <f t="shared" ref="Y65" si="131">X65*F65</f>
        <v>31255.500000000004</v>
      </c>
      <c r="Z65" s="32"/>
      <c r="AA65" s="37"/>
      <c r="AB65" s="37"/>
    </row>
    <row r="66" spans="1:28" s="12" customFormat="1" x14ac:dyDescent="0.25">
      <c r="A66" s="198"/>
      <c r="B66" s="24" t="s">
        <v>25</v>
      </c>
      <c r="C66" s="25" t="s">
        <v>72</v>
      </c>
      <c r="D66" s="25" t="s">
        <v>72</v>
      </c>
      <c r="E66" s="14"/>
      <c r="F66" s="26">
        <v>19000</v>
      </c>
      <c r="G66" s="40">
        <v>19000</v>
      </c>
      <c r="H66" s="27">
        <f>G66-F66</f>
        <v>0</v>
      </c>
      <c r="J66" s="36"/>
      <c r="K66" s="17">
        <v>42606</v>
      </c>
      <c r="L66" s="17">
        <v>42607</v>
      </c>
      <c r="M66" s="25" t="s">
        <v>65</v>
      </c>
      <c r="N66" s="25" t="s">
        <v>3573</v>
      </c>
      <c r="O66" s="18"/>
      <c r="P66" s="28"/>
      <c r="Q66" s="18">
        <v>20000</v>
      </c>
      <c r="R66" s="46">
        <v>9200</v>
      </c>
      <c r="S66" s="38">
        <v>19.2</v>
      </c>
      <c r="T66" s="31">
        <f t="shared" ref="T66" si="132">W66*F66*0.005</f>
        <v>155.5</v>
      </c>
      <c r="V66" s="18">
        <v>0.1</v>
      </c>
      <c r="W66" s="18">
        <f>IF(O66&gt;0,O66,((P66*2.2046*S66)+(Q66+R66)/G66)+V66)</f>
        <v>1.6368421052631579</v>
      </c>
      <c r="X66" s="18">
        <f>IF(O66&gt;0,O66,((P66*2.2046*S66)+(Q66+R66+T66)/G66)+V66)</f>
        <v>1.6450263157894738</v>
      </c>
      <c r="Y66" s="21">
        <f>X66*F66</f>
        <v>31255.500000000004</v>
      </c>
      <c r="Z66" s="32"/>
      <c r="AA66" s="37"/>
      <c r="AB66" s="37"/>
    </row>
    <row r="67" spans="1:28" s="12" customFormat="1" x14ac:dyDescent="0.25">
      <c r="A67" s="198"/>
      <c r="B67" s="24" t="s">
        <v>32</v>
      </c>
      <c r="C67" s="14" t="s">
        <v>33</v>
      </c>
      <c r="D67" s="25"/>
      <c r="E67" s="14">
        <v>250</v>
      </c>
      <c r="F67" s="26"/>
      <c r="G67" s="27"/>
      <c r="H67" s="27">
        <f t="shared" ref="H67:H68" si="133">G67-F67</f>
        <v>0</v>
      </c>
      <c r="J67" s="14"/>
      <c r="K67" s="17"/>
      <c r="L67" s="17">
        <v>42607</v>
      </c>
      <c r="M67" s="25" t="s">
        <v>65</v>
      </c>
      <c r="N67" s="14"/>
      <c r="O67" s="18"/>
      <c r="P67" s="19"/>
      <c r="Q67" s="18">
        <v>17300</v>
      </c>
      <c r="R67" s="18">
        <f t="shared" ref="R67:R68" si="134">61.75*E67</f>
        <v>15437.5</v>
      </c>
      <c r="S67" s="30">
        <f t="shared" ref="S67:S68" si="135">-35*E67</f>
        <v>-8750</v>
      </c>
      <c r="T67" s="31" t="e">
        <f t="shared" ref="T67:T68" si="136">W67*F67*0.0045</f>
        <v>#DIV/0!</v>
      </c>
      <c r="U67" s="18">
        <f t="shared" ref="U67:U68" si="137">E67*5</f>
        <v>1250</v>
      </c>
      <c r="V67" s="14"/>
      <c r="W67" s="18" t="e">
        <f t="shared" ref="W67:W68" si="138">((O67*F67)+Q67+R67+S67+U67)/G67</f>
        <v>#DIV/0!</v>
      </c>
      <c r="X67" s="18" t="e">
        <f t="shared" ref="X67:X68" si="139">((O67*F67)+Q67+R67+S67+T67+U67)/G67</f>
        <v>#DIV/0!</v>
      </c>
      <c r="Y67" s="21" t="e">
        <f t="shared" ref="Y67:Y68" si="140">X67*G67</f>
        <v>#DIV/0!</v>
      </c>
      <c r="Z67" s="32"/>
      <c r="AA67" s="37"/>
      <c r="AB67" s="37"/>
    </row>
    <row r="68" spans="1:28" s="12" customFormat="1" x14ac:dyDescent="0.25">
      <c r="A68" s="198"/>
      <c r="B68" s="24" t="s">
        <v>32</v>
      </c>
      <c r="C68" s="14" t="s">
        <v>33</v>
      </c>
      <c r="D68" s="25"/>
      <c r="E68" s="14">
        <v>130</v>
      </c>
      <c r="F68" s="26"/>
      <c r="G68" s="27"/>
      <c r="H68" s="27">
        <f t="shared" si="133"/>
        <v>0</v>
      </c>
      <c r="I68" s="25"/>
      <c r="J68" s="14"/>
      <c r="K68" s="17"/>
      <c r="L68" s="17">
        <v>42607</v>
      </c>
      <c r="M68" s="25" t="s">
        <v>65</v>
      </c>
      <c r="N68" s="14"/>
      <c r="O68" s="18"/>
      <c r="P68" s="19"/>
      <c r="Q68" s="18">
        <v>13600</v>
      </c>
      <c r="R68" s="18">
        <f t="shared" si="134"/>
        <v>8027.5</v>
      </c>
      <c r="S68" s="30">
        <f t="shared" si="135"/>
        <v>-4550</v>
      </c>
      <c r="T68" s="31" t="e">
        <f t="shared" si="136"/>
        <v>#DIV/0!</v>
      </c>
      <c r="U68" s="18">
        <f t="shared" si="137"/>
        <v>650</v>
      </c>
      <c r="V68" s="14"/>
      <c r="W68" s="18" t="e">
        <f t="shared" si="138"/>
        <v>#DIV/0!</v>
      </c>
      <c r="X68" s="18" t="e">
        <f t="shared" si="139"/>
        <v>#DIV/0!</v>
      </c>
      <c r="Y68" s="21" t="e">
        <f t="shared" si="140"/>
        <v>#DIV/0!</v>
      </c>
      <c r="Z68" s="32"/>
      <c r="AA68" s="37"/>
      <c r="AB68" s="37"/>
    </row>
    <row r="69" spans="1:28" s="12" customFormat="1" x14ac:dyDescent="0.25">
      <c r="A69" s="198"/>
      <c r="B69" s="24" t="s">
        <v>25</v>
      </c>
      <c r="C69" s="25" t="s">
        <v>40</v>
      </c>
      <c r="D69" s="25" t="s">
        <v>40</v>
      </c>
      <c r="E69" s="14"/>
      <c r="F69" s="26">
        <v>18500</v>
      </c>
      <c r="G69" s="40">
        <v>18500</v>
      </c>
      <c r="H69" s="27">
        <f>G69-F69</f>
        <v>0</v>
      </c>
      <c r="J69" s="36"/>
      <c r="K69" s="17">
        <v>42607</v>
      </c>
      <c r="L69" s="17">
        <v>42608</v>
      </c>
      <c r="M69" s="25" t="s">
        <v>84</v>
      </c>
      <c r="N69" s="25" t="s">
        <v>3574</v>
      </c>
      <c r="O69" s="18"/>
      <c r="P69" s="28"/>
      <c r="Q69" s="18">
        <v>20000</v>
      </c>
      <c r="R69" s="46">
        <v>9200</v>
      </c>
      <c r="S69" s="38">
        <v>19.2</v>
      </c>
      <c r="T69" s="31">
        <f>W69*F69*0.005</f>
        <v>155.25000000000003</v>
      </c>
      <c r="V69" s="18">
        <v>0.1</v>
      </c>
      <c r="W69" s="18">
        <f t="shared" ref="W69" si="141">IF(O69&gt;0,O69,((P69*2.2046*S69)+(Q69+R69)/G69)+V69)</f>
        <v>1.6783783783783786</v>
      </c>
      <c r="X69" s="18">
        <f t="shared" ref="X69" si="142">IF(O69&gt;0,O69,((P69*2.2046*S69)+(Q69+R69+T69)/G69)+V69)</f>
        <v>1.6867702702702703</v>
      </c>
      <c r="Y69" s="21">
        <f t="shared" ref="Y69" si="143">X69*F69</f>
        <v>31205.25</v>
      </c>
      <c r="Z69" s="32"/>
      <c r="AA69" s="37"/>
      <c r="AB69" s="37"/>
    </row>
    <row r="70" spans="1:28" s="12" customFormat="1" x14ac:dyDescent="0.25">
      <c r="A70" s="198"/>
      <c r="B70" s="24" t="s">
        <v>32</v>
      </c>
      <c r="C70" s="14" t="s">
        <v>33</v>
      </c>
      <c r="D70" s="25"/>
      <c r="E70" s="14">
        <v>250</v>
      </c>
      <c r="F70" s="26"/>
      <c r="G70" s="27"/>
      <c r="H70" s="27">
        <f t="shared" ref="H70:H72" si="144">G70-F70</f>
        <v>0</v>
      </c>
      <c r="J70" s="14"/>
      <c r="K70" s="17"/>
      <c r="L70" s="17">
        <v>42608</v>
      </c>
      <c r="M70" s="25" t="s">
        <v>84</v>
      </c>
      <c r="N70" s="14"/>
      <c r="O70" s="18"/>
      <c r="P70" s="19"/>
      <c r="Q70" s="18">
        <v>17300</v>
      </c>
      <c r="R70" s="18">
        <f t="shared" ref="R70:R71" si="145">61.75*E70</f>
        <v>15437.5</v>
      </c>
      <c r="S70" s="30">
        <f>-35*E70</f>
        <v>-8750</v>
      </c>
      <c r="T70" s="31" t="e">
        <f>W70*F70*0.0045</f>
        <v>#DIV/0!</v>
      </c>
      <c r="U70" s="18">
        <f>E70*5</f>
        <v>1250</v>
      </c>
      <c r="V70" s="14"/>
      <c r="W70" s="18" t="e">
        <f>((O70*F70)+Q70+R70+S70+U70)/G70</f>
        <v>#DIV/0!</v>
      </c>
      <c r="X70" s="18" t="e">
        <f>((O70*F70)+Q70+R70+S70+T70+U70)/G70</f>
        <v>#DIV/0!</v>
      </c>
      <c r="Y70" s="21" t="e">
        <f t="shared" ref="Y70:Y71" si="146">X70*G70</f>
        <v>#DIV/0!</v>
      </c>
      <c r="Z70" s="32"/>
      <c r="AA70" s="2"/>
      <c r="AB70" s="2"/>
    </row>
    <row r="71" spans="1:28" s="12" customFormat="1" x14ac:dyDescent="0.25">
      <c r="A71" s="198"/>
      <c r="B71" s="24" t="s">
        <v>32</v>
      </c>
      <c r="C71" s="14" t="s">
        <v>33</v>
      </c>
      <c r="D71" s="25"/>
      <c r="E71" s="14">
        <v>130</v>
      </c>
      <c r="F71" s="26"/>
      <c r="G71" s="27"/>
      <c r="H71" s="27">
        <f t="shared" si="144"/>
        <v>0</v>
      </c>
      <c r="I71" s="25"/>
      <c r="J71" s="14"/>
      <c r="K71" s="17"/>
      <c r="L71" s="17">
        <v>42608</v>
      </c>
      <c r="M71" s="25" t="s">
        <v>84</v>
      </c>
      <c r="N71" s="14"/>
      <c r="O71" s="18"/>
      <c r="P71" s="19"/>
      <c r="Q71" s="18">
        <v>13600</v>
      </c>
      <c r="R71" s="18">
        <f t="shared" si="145"/>
        <v>8027.5</v>
      </c>
      <c r="S71" s="30">
        <f>-35*E71</f>
        <v>-4550</v>
      </c>
      <c r="T71" s="31" t="e">
        <f>W71*F71*0.0045</f>
        <v>#DIV/0!</v>
      </c>
      <c r="U71" s="18">
        <f>E71*5</f>
        <v>650</v>
      </c>
      <c r="V71" s="14"/>
      <c r="W71" s="18" t="e">
        <f>((O71*F71)+Q71+R71+S71+U71)/G71</f>
        <v>#DIV/0!</v>
      </c>
      <c r="X71" s="18" t="e">
        <f>((O71*F71)+Q71+R71+S71+T71+U71)/G71</f>
        <v>#DIV/0!</v>
      </c>
      <c r="Y71" s="21" t="e">
        <f t="shared" si="146"/>
        <v>#DIV/0!</v>
      </c>
      <c r="Z71" s="32"/>
      <c r="AA71" s="2"/>
      <c r="AB71" s="2"/>
    </row>
    <row r="72" spans="1:28" s="12" customFormat="1" x14ac:dyDescent="0.25">
      <c r="A72" s="198"/>
      <c r="B72" s="24" t="s">
        <v>25</v>
      </c>
      <c r="C72" s="25" t="s">
        <v>26</v>
      </c>
      <c r="D72" s="25" t="s">
        <v>26</v>
      </c>
      <c r="E72" s="14"/>
      <c r="F72" s="26">
        <v>18500</v>
      </c>
      <c r="G72" s="40">
        <v>18500</v>
      </c>
      <c r="H72" s="27">
        <f t="shared" si="144"/>
        <v>0</v>
      </c>
      <c r="J72" s="36"/>
      <c r="K72" s="17">
        <v>42608</v>
      </c>
      <c r="L72" s="17">
        <v>42609</v>
      </c>
      <c r="M72" s="25" t="s">
        <v>30</v>
      </c>
      <c r="N72" s="25" t="s">
        <v>3575</v>
      </c>
      <c r="O72" s="18"/>
      <c r="P72" s="28"/>
      <c r="Q72" s="18">
        <v>20000</v>
      </c>
      <c r="R72" s="46">
        <v>9200</v>
      </c>
      <c r="S72" s="38">
        <v>19.2</v>
      </c>
      <c r="T72" s="31">
        <f t="shared" ref="T72" si="147">W72*F72*0.005</f>
        <v>155.25000000000003</v>
      </c>
      <c r="V72" s="18">
        <v>0.1</v>
      </c>
      <c r="W72" s="18">
        <f>IF(O72&gt;0,O72,((P72*2.2046*S72)+(Q72+R72)/G72)+V72)</f>
        <v>1.6783783783783786</v>
      </c>
      <c r="X72" s="18">
        <f>IF(O72&gt;0,O72,((P72*2.2046*S72)+(Q72+R72+T72)/G72)+V72)</f>
        <v>1.6867702702702703</v>
      </c>
      <c r="Y72" s="21">
        <f t="shared" ref="Y72" si="148">X72*F72</f>
        <v>31205.25</v>
      </c>
      <c r="Z72" s="32"/>
      <c r="AA72" s="2"/>
      <c r="AB72" s="2"/>
    </row>
    <row r="73" spans="1:28" s="12" customFormat="1" x14ac:dyDescent="0.25">
      <c r="A73" s="198"/>
      <c r="B73" s="24" t="s">
        <v>25</v>
      </c>
      <c r="C73" s="25" t="s">
        <v>40</v>
      </c>
      <c r="D73" s="25" t="s">
        <v>40</v>
      </c>
      <c r="E73" s="14"/>
      <c r="F73" s="26">
        <v>18500</v>
      </c>
      <c r="G73" s="40">
        <v>18500</v>
      </c>
      <c r="H73" s="27">
        <f>G73-F73</f>
        <v>0</v>
      </c>
      <c r="J73" s="36"/>
      <c r="K73" s="17">
        <v>42608</v>
      </c>
      <c r="L73" s="17">
        <v>42609</v>
      </c>
      <c r="M73" s="25" t="s">
        <v>30</v>
      </c>
      <c r="N73" s="25" t="s">
        <v>3576</v>
      </c>
      <c r="O73" s="18"/>
      <c r="P73" s="28"/>
      <c r="Q73" s="18">
        <v>20000</v>
      </c>
      <c r="R73" s="46">
        <v>9200</v>
      </c>
      <c r="S73" s="38">
        <v>19.2</v>
      </c>
      <c r="T73" s="31">
        <f>W73*F73*0.005</f>
        <v>155.25000000000003</v>
      </c>
      <c r="V73" s="18">
        <v>0.1</v>
      </c>
      <c r="W73" s="18">
        <f>IF(O73&gt;0,O73,((P73*2.2046*S73)+(Q73+R73)/G73)+V73)</f>
        <v>1.6783783783783786</v>
      </c>
      <c r="X73" s="18">
        <f>IF(O73&gt;0,O73,((P73*2.2046*S73)+(Q73+R73+T73)/G73)+V73)</f>
        <v>1.6867702702702703</v>
      </c>
      <c r="Y73" s="21">
        <f>X73*F73</f>
        <v>31205.25</v>
      </c>
      <c r="Z73" s="32"/>
      <c r="AA73" s="37"/>
      <c r="AB73" s="37"/>
    </row>
    <row r="74" spans="1:28" s="12" customFormat="1" x14ac:dyDescent="0.25">
      <c r="A74" s="198"/>
      <c r="B74" s="24" t="s">
        <v>25</v>
      </c>
      <c r="C74" s="25" t="s">
        <v>72</v>
      </c>
      <c r="D74" s="25" t="s">
        <v>72</v>
      </c>
      <c r="E74" s="14"/>
      <c r="F74" s="26">
        <v>19000</v>
      </c>
      <c r="G74" s="40">
        <v>19000</v>
      </c>
      <c r="H74" s="27">
        <f t="shared" ref="H74" si="149">G74-F74</f>
        <v>0</v>
      </c>
      <c r="J74" s="36"/>
      <c r="K74" s="17">
        <v>42608</v>
      </c>
      <c r="L74" s="17">
        <v>42609</v>
      </c>
      <c r="M74" s="25" t="s">
        <v>30</v>
      </c>
      <c r="N74" s="25" t="s">
        <v>3577</v>
      </c>
      <c r="O74" s="18"/>
      <c r="P74" s="28"/>
      <c r="Q74" s="18">
        <v>20000</v>
      </c>
      <c r="R74" s="46">
        <v>9200</v>
      </c>
      <c r="S74" s="38">
        <v>19.2</v>
      </c>
      <c r="T74" s="31">
        <f t="shared" ref="T74" si="150">W74*F74*0.005</f>
        <v>155.5</v>
      </c>
      <c r="V74" s="18">
        <v>0.1</v>
      </c>
      <c r="W74" s="18">
        <f>IF(O74&gt;0,O74,((P74*2.2046*S74)+(Q74+R74)/G74)+V74)</f>
        <v>1.6368421052631579</v>
      </c>
      <c r="X74" s="18">
        <f>IF(O74&gt;0,O74,((P74*2.2046*S74)+(Q74+R74+T74)/G74)+V74)</f>
        <v>1.6450263157894738</v>
      </c>
      <c r="Y74" s="21">
        <f t="shared" ref="Y74" si="151">X74*F74</f>
        <v>31255.500000000004</v>
      </c>
      <c r="Z74" s="32"/>
      <c r="AA74" s="2"/>
      <c r="AB74" s="2"/>
    </row>
    <row r="75" spans="1:28" s="12" customFormat="1" ht="15.75" thickBot="1" x14ac:dyDescent="0.3">
      <c r="A75" s="198"/>
      <c r="B75" s="41"/>
      <c r="C75" s="4"/>
      <c r="D75" s="4"/>
      <c r="E75" s="4"/>
      <c r="F75" s="42"/>
      <c r="G75" s="42"/>
      <c r="H75" s="42"/>
      <c r="I75" s="6"/>
      <c r="J75" s="4"/>
      <c r="K75" s="7"/>
      <c r="L75" s="7"/>
      <c r="M75" s="4"/>
      <c r="N75" s="4"/>
      <c r="O75" s="8"/>
      <c r="P75" s="9"/>
      <c r="Q75" s="8"/>
      <c r="R75" s="8"/>
      <c r="S75" s="8"/>
      <c r="T75" s="8"/>
      <c r="U75" s="8"/>
      <c r="V75" s="8"/>
      <c r="W75" s="8"/>
      <c r="X75" s="8"/>
      <c r="Y75" s="11"/>
      <c r="Z75" s="43"/>
      <c r="AA75" s="2"/>
      <c r="AB75" s="2"/>
    </row>
    <row r="76" spans="1:28" s="12" customFormat="1" x14ac:dyDescent="0.25">
      <c r="A76" s="204"/>
      <c r="B76" s="14" t="s">
        <v>32</v>
      </c>
      <c r="C76" s="14" t="s">
        <v>33</v>
      </c>
      <c r="D76" s="25"/>
      <c r="E76" s="14">
        <v>250</v>
      </c>
      <c r="F76" s="26"/>
      <c r="G76" s="27"/>
      <c r="H76" s="27">
        <f t="shared" ref="H76:H78" si="152">G76-F76</f>
        <v>0</v>
      </c>
      <c r="I76" s="25"/>
      <c r="J76" s="14"/>
      <c r="K76" s="17"/>
      <c r="L76" s="17">
        <v>42610</v>
      </c>
      <c r="M76" s="25" t="s">
        <v>36</v>
      </c>
      <c r="N76" s="14"/>
      <c r="O76" s="18"/>
      <c r="P76" s="19"/>
      <c r="Q76" s="18">
        <v>17300</v>
      </c>
      <c r="R76" s="18">
        <f t="shared" ref="R76:R78" si="153">61.75*E76</f>
        <v>15437.5</v>
      </c>
      <c r="S76" s="30">
        <f>-35*E76</f>
        <v>-8750</v>
      </c>
      <c r="T76" s="31" t="e">
        <f>W76*F76*0.0045</f>
        <v>#DIV/0!</v>
      </c>
      <c r="U76" s="18">
        <f>E76*5</f>
        <v>1250</v>
      </c>
      <c r="V76" s="14"/>
      <c r="W76" s="18" t="e">
        <f>((O76*F76)+Q76+R76+S76+U76)/G76</f>
        <v>#DIV/0!</v>
      </c>
      <c r="X76" s="18" t="e">
        <f>((O76*F76)+Q76+R76+S76+T76+U76)/G76</f>
        <v>#DIV/0!</v>
      </c>
      <c r="Y76" s="21" t="e">
        <f>X76*G76</f>
        <v>#DIV/0!</v>
      </c>
      <c r="Z76" s="32"/>
      <c r="AA76" s="2"/>
      <c r="AB76" s="2"/>
    </row>
    <row r="77" spans="1:28" s="12" customFormat="1" x14ac:dyDescent="0.25">
      <c r="A77" s="204"/>
      <c r="B77" s="24" t="s">
        <v>32</v>
      </c>
      <c r="C77" s="14" t="s">
        <v>33</v>
      </c>
      <c r="D77" s="25"/>
      <c r="E77" s="14">
        <v>130</v>
      </c>
      <c r="F77" s="26"/>
      <c r="G77" s="27"/>
      <c r="H77" s="27">
        <f t="shared" si="152"/>
        <v>0</v>
      </c>
      <c r="I77" s="25"/>
      <c r="J77" s="14"/>
      <c r="K77" s="17"/>
      <c r="L77" s="17">
        <v>42610</v>
      </c>
      <c r="M77" s="25" t="s">
        <v>36</v>
      </c>
      <c r="N77" s="14"/>
      <c r="O77" s="18"/>
      <c r="P77" s="19"/>
      <c r="Q77" s="18">
        <v>13600</v>
      </c>
      <c r="R77" s="18">
        <f t="shared" si="153"/>
        <v>8027.5</v>
      </c>
      <c r="S77" s="30">
        <f t="shared" ref="S77:S78" si="154">-35*E77</f>
        <v>-4550</v>
      </c>
      <c r="T77" s="31" t="e">
        <f>W77*F77*0.0045</f>
        <v>#DIV/0!</v>
      </c>
      <c r="U77" s="18">
        <f>E77*5</f>
        <v>650</v>
      </c>
      <c r="V77" s="14"/>
      <c r="W77" s="18" t="e">
        <f>((O77*F77)+Q77+R77+S77+U77)/G77</f>
        <v>#DIV/0!</v>
      </c>
      <c r="X77" s="18" t="e">
        <f>((O77*F77)+Q77+R77+S77+T77+U77)/G77</f>
        <v>#DIV/0!</v>
      </c>
      <c r="Y77" s="21" t="e">
        <f>X77*G77</f>
        <v>#DIV/0!</v>
      </c>
      <c r="Z77" s="32"/>
      <c r="AA77" s="2"/>
      <c r="AB77" s="2"/>
    </row>
    <row r="78" spans="1:28" s="12" customFormat="1" x14ac:dyDescent="0.25">
      <c r="A78" s="204"/>
      <c r="B78" s="24" t="s">
        <v>32</v>
      </c>
      <c r="C78" s="14" t="s">
        <v>33</v>
      </c>
      <c r="D78" s="25"/>
      <c r="E78" s="14">
        <v>220</v>
      </c>
      <c r="F78" s="26"/>
      <c r="G78" s="27"/>
      <c r="H78" s="27">
        <f t="shared" si="152"/>
        <v>0</v>
      </c>
      <c r="I78" s="25"/>
      <c r="J78" s="14"/>
      <c r="K78" s="17"/>
      <c r="L78" s="17">
        <v>42611</v>
      </c>
      <c r="M78" s="25" t="s">
        <v>39</v>
      </c>
      <c r="N78" s="14"/>
      <c r="O78" s="18"/>
      <c r="P78" s="19"/>
      <c r="Q78" s="18">
        <v>17300</v>
      </c>
      <c r="R78" s="18">
        <f t="shared" si="153"/>
        <v>13585</v>
      </c>
      <c r="S78" s="30">
        <f t="shared" si="154"/>
        <v>-7700</v>
      </c>
      <c r="T78" s="31" t="e">
        <f>W78*F78*0.0045</f>
        <v>#DIV/0!</v>
      </c>
      <c r="U78" s="18">
        <f>E78*5</f>
        <v>1100</v>
      </c>
      <c r="V78" s="14"/>
      <c r="W78" s="18" t="e">
        <f>((O78*F78)+Q78+R78+S78+U78)/G78</f>
        <v>#DIV/0!</v>
      </c>
      <c r="X78" s="18" t="e">
        <f>((O78*F78)+Q78+R78+S78+T78+U78)/G78</f>
        <v>#DIV/0!</v>
      </c>
      <c r="Y78" s="21" t="e">
        <f>X78*G78</f>
        <v>#DIV/0!</v>
      </c>
      <c r="Z78" s="32"/>
      <c r="AA78" s="2"/>
      <c r="AB78" s="2"/>
    </row>
    <row r="79" spans="1:28" s="12" customFormat="1" x14ac:dyDescent="0.25">
      <c r="A79" s="204"/>
      <c r="B79" s="24" t="s">
        <v>25</v>
      </c>
      <c r="C79" s="25" t="s">
        <v>40</v>
      </c>
      <c r="D79" s="25" t="s">
        <v>40</v>
      </c>
      <c r="E79" s="14"/>
      <c r="F79" s="26">
        <v>18500</v>
      </c>
      <c r="G79" s="40">
        <v>18500</v>
      </c>
      <c r="H79" s="27">
        <f>G79-F79</f>
        <v>0</v>
      </c>
      <c r="J79" s="36"/>
      <c r="K79" s="17">
        <v>42611</v>
      </c>
      <c r="L79" s="17">
        <v>42612</v>
      </c>
      <c r="M79" s="25" t="s">
        <v>45</v>
      </c>
      <c r="N79" s="25" t="s">
        <v>3578</v>
      </c>
      <c r="O79" s="18"/>
      <c r="P79" s="28"/>
      <c r="Q79" s="18">
        <v>20000</v>
      </c>
      <c r="R79" s="46">
        <v>9200</v>
      </c>
      <c r="S79" s="38">
        <v>19.2</v>
      </c>
      <c r="T79" s="31">
        <f>W79*F79*0.005</f>
        <v>155.25000000000003</v>
      </c>
      <c r="V79" s="18">
        <v>0.1</v>
      </c>
      <c r="W79" s="18">
        <f t="shared" ref="W79:W80" si="155">IF(O79&gt;0,O79,((P79*2.2046*S79)+(Q79+R79)/G79)+V79)</f>
        <v>1.6783783783783786</v>
      </c>
      <c r="X79" s="18">
        <f t="shared" ref="X79:X80" si="156">IF(O79&gt;0,O79,((P79*2.2046*S79)+(Q79+R79+T79)/G79)+V79)</f>
        <v>1.6867702702702703</v>
      </c>
      <c r="Y79" s="21">
        <f t="shared" ref="Y79:Y80" si="157">X79*F79</f>
        <v>31205.25</v>
      </c>
      <c r="Z79" s="32"/>
      <c r="AA79" s="37"/>
      <c r="AB79" s="37"/>
    </row>
    <row r="80" spans="1:28" s="12" customFormat="1" x14ac:dyDescent="0.25">
      <c r="A80" s="204"/>
      <c r="B80" s="24" t="s">
        <v>25</v>
      </c>
      <c r="C80" s="25" t="s">
        <v>72</v>
      </c>
      <c r="D80" s="25" t="s">
        <v>72</v>
      </c>
      <c r="E80" s="14"/>
      <c r="F80" s="26">
        <v>19000</v>
      </c>
      <c r="G80" s="40">
        <v>19000</v>
      </c>
      <c r="H80" s="27">
        <f>G80-F80</f>
        <v>0</v>
      </c>
      <c r="J80" s="36"/>
      <c r="K80" s="17">
        <v>42611</v>
      </c>
      <c r="L80" s="17">
        <v>42612</v>
      </c>
      <c r="M80" s="25" t="s">
        <v>45</v>
      </c>
      <c r="N80" s="25" t="s">
        <v>3579</v>
      </c>
      <c r="O80" s="18"/>
      <c r="P80" s="28"/>
      <c r="Q80" s="18">
        <v>20000</v>
      </c>
      <c r="R80" s="46">
        <v>9200</v>
      </c>
      <c r="S80" s="38">
        <v>19.2</v>
      </c>
      <c r="T80" s="31">
        <f>W80*F80*0.005</f>
        <v>155.5</v>
      </c>
      <c r="V80" s="18">
        <v>0.1</v>
      </c>
      <c r="W80" s="18">
        <f t="shared" si="155"/>
        <v>1.6368421052631579</v>
      </c>
      <c r="X80" s="18">
        <f t="shared" si="156"/>
        <v>1.6450263157894738</v>
      </c>
      <c r="Y80" s="21">
        <f t="shared" si="157"/>
        <v>31255.500000000004</v>
      </c>
      <c r="Z80" s="32"/>
      <c r="AA80" s="37"/>
      <c r="AB80" s="37"/>
    </row>
    <row r="81" spans="1:28" s="12" customFormat="1" x14ac:dyDescent="0.25">
      <c r="A81" s="204"/>
      <c r="B81" s="24" t="s">
        <v>32</v>
      </c>
      <c r="C81" s="14" t="s">
        <v>33</v>
      </c>
      <c r="D81" s="25"/>
      <c r="E81" s="14">
        <v>220</v>
      </c>
      <c r="F81" s="26"/>
      <c r="G81" s="27"/>
      <c r="H81" s="27">
        <f t="shared" ref="H81" si="158">G81-F81</f>
        <v>0</v>
      </c>
      <c r="J81" s="14"/>
      <c r="K81" s="17"/>
      <c r="L81" s="17">
        <v>42612</v>
      </c>
      <c r="M81" s="25" t="s">
        <v>45</v>
      </c>
      <c r="N81" s="14"/>
      <c r="O81" s="18"/>
      <c r="P81" s="19"/>
      <c r="Q81" s="18">
        <v>17300</v>
      </c>
      <c r="R81" s="18">
        <f t="shared" ref="R81" si="159">61.75*E81</f>
        <v>13585</v>
      </c>
      <c r="S81" s="30">
        <f t="shared" ref="S81" si="160">-35*E81</f>
        <v>-7700</v>
      </c>
      <c r="T81" s="31" t="e">
        <f>W81*F81*0.0045</f>
        <v>#DIV/0!</v>
      </c>
      <c r="U81" s="18">
        <f>E81*5</f>
        <v>1100</v>
      </c>
      <c r="V81" s="14"/>
      <c r="W81" s="18" t="e">
        <f>((O81*F81)+Q81+R81+S81+U81)/G81</f>
        <v>#DIV/0!</v>
      </c>
      <c r="X81" s="18" t="e">
        <f>((O81*F81)+Q81+R81+S81+T81+U81)/G81</f>
        <v>#DIV/0!</v>
      </c>
      <c r="Y81" s="21" t="e">
        <f>X81*G81</f>
        <v>#DIV/0!</v>
      </c>
      <c r="Z81" s="32"/>
      <c r="AA81" s="37"/>
      <c r="AB81" s="37"/>
    </row>
    <row r="82" spans="1:28" s="12" customFormat="1" x14ac:dyDescent="0.25">
      <c r="A82" s="204"/>
      <c r="B82" s="24" t="s">
        <v>25</v>
      </c>
      <c r="C82" s="25" t="s">
        <v>72</v>
      </c>
      <c r="D82" s="25" t="s">
        <v>72</v>
      </c>
      <c r="E82" s="14"/>
      <c r="F82" s="26">
        <v>19000</v>
      </c>
      <c r="G82" s="40">
        <v>19000</v>
      </c>
      <c r="H82" s="27">
        <f>G82-F82</f>
        <v>0</v>
      </c>
      <c r="J82" s="36"/>
      <c r="K82" s="17">
        <v>42612</v>
      </c>
      <c r="L82" s="17">
        <v>42613</v>
      </c>
      <c r="M82" s="25" t="s">
        <v>50</v>
      </c>
      <c r="N82" s="25" t="s">
        <v>3579</v>
      </c>
      <c r="O82" s="18"/>
      <c r="P82" s="28"/>
      <c r="Q82" s="18">
        <v>20000</v>
      </c>
      <c r="R82" s="46">
        <v>9200</v>
      </c>
      <c r="S82" s="38">
        <v>19.2</v>
      </c>
      <c r="T82" s="31">
        <f>W82*F82*0.005</f>
        <v>155.5</v>
      </c>
      <c r="V82" s="18">
        <v>0.1</v>
      </c>
      <c r="W82" s="18">
        <f t="shared" ref="W82" si="161">IF(O82&gt;0,O82,((P82*2.2046*S82)+(Q82+R82)/G82)+V82)</f>
        <v>1.6368421052631579</v>
      </c>
      <c r="X82" s="18">
        <f t="shared" ref="X82" si="162">IF(O82&gt;0,O82,((P82*2.2046*S82)+(Q82+R82+T82)/G82)+V82)</f>
        <v>1.6450263157894738</v>
      </c>
      <c r="Y82" s="21">
        <f t="shared" ref="Y82" si="163">X82*F82</f>
        <v>31255.500000000004</v>
      </c>
      <c r="Z82" s="32"/>
      <c r="AA82" s="37"/>
      <c r="AB82" s="37"/>
    </row>
    <row r="83" spans="1:28" s="12" customFormat="1" x14ac:dyDescent="0.25">
      <c r="A83" s="204"/>
      <c r="B83" s="24" t="s">
        <v>32</v>
      </c>
      <c r="C83" s="14" t="s">
        <v>33</v>
      </c>
      <c r="D83" s="25"/>
      <c r="E83" s="14">
        <v>260</v>
      </c>
      <c r="F83" s="26"/>
      <c r="G83" s="27"/>
      <c r="H83" s="27">
        <f t="shared" ref="H83" si="164">G83-F83</f>
        <v>0</v>
      </c>
      <c r="J83" s="14"/>
      <c r="K83" s="17"/>
      <c r="L83" s="17">
        <v>42613</v>
      </c>
      <c r="M83" s="25" t="s">
        <v>50</v>
      </c>
      <c r="N83" s="14"/>
      <c r="O83" s="18"/>
      <c r="P83" s="19"/>
      <c r="Q83" s="18">
        <v>17300</v>
      </c>
      <c r="R83" s="18">
        <f t="shared" ref="R83" si="165">61.75*E83</f>
        <v>16055</v>
      </c>
      <c r="S83" s="30">
        <f t="shared" ref="S83" si="166">-35*E83</f>
        <v>-9100</v>
      </c>
      <c r="T83" s="31" t="e">
        <f>W83*F83*0.0045</f>
        <v>#DIV/0!</v>
      </c>
      <c r="U83" s="18">
        <f>E83*5</f>
        <v>1300</v>
      </c>
      <c r="V83" s="14"/>
      <c r="W83" s="18" t="e">
        <f>((O83*F83)+Q83+R83+S83+U83)/G83</f>
        <v>#DIV/0!</v>
      </c>
      <c r="X83" s="18" t="e">
        <f>((O83*F83)+Q83+R83+S83+T83+U83)/G83</f>
        <v>#DIV/0!</v>
      </c>
      <c r="Y83" s="21" t="e">
        <f>X83*G83</f>
        <v>#DIV/0!</v>
      </c>
      <c r="Z83" s="32"/>
      <c r="AA83" s="37"/>
      <c r="AB83" s="37"/>
    </row>
    <row r="84" spans="1:28" s="12" customFormat="1" x14ac:dyDescent="0.25">
      <c r="A84" s="204"/>
      <c r="B84" s="24" t="s">
        <v>25</v>
      </c>
      <c r="C84" s="25" t="s">
        <v>72</v>
      </c>
      <c r="D84" s="25" t="s">
        <v>72</v>
      </c>
      <c r="E84" s="14"/>
      <c r="F84" s="26">
        <v>19000</v>
      </c>
      <c r="G84" s="40">
        <v>19000</v>
      </c>
      <c r="H84" s="27">
        <f>G84-F84</f>
        <v>0</v>
      </c>
      <c r="J84" s="36"/>
      <c r="K84" s="17">
        <v>42613</v>
      </c>
      <c r="L84" s="17">
        <v>42614</v>
      </c>
      <c r="M84" s="25" t="s">
        <v>65</v>
      </c>
      <c r="N84" s="25" t="s">
        <v>3580</v>
      </c>
      <c r="O84" s="18"/>
      <c r="P84" s="28"/>
      <c r="Q84" s="18">
        <v>20000</v>
      </c>
      <c r="R84" s="46">
        <v>9200</v>
      </c>
      <c r="S84" s="38">
        <v>19.2</v>
      </c>
      <c r="T84" s="31">
        <f>W84*F84*0.005</f>
        <v>155.5</v>
      </c>
      <c r="V84" s="18">
        <v>0.1</v>
      </c>
      <c r="W84" s="18">
        <f t="shared" ref="W84" si="167">IF(O84&gt;0,O84,((P84*2.2046*S84)+(Q84+R84)/G84)+V84)</f>
        <v>1.6368421052631579</v>
      </c>
      <c r="X84" s="18">
        <f t="shared" ref="X84" si="168">IF(O84&gt;0,O84,((P84*2.2046*S84)+(Q84+R84+T84)/G84)+V84)</f>
        <v>1.6450263157894738</v>
      </c>
      <c r="Y84" s="21">
        <f t="shared" ref="Y84" si="169">X84*F84</f>
        <v>31255.500000000004</v>
      </c>
      <c r="Z84" s="32"/>
      <c r="AA84" s="37"/>
      <c r="AB84" s="37"/>
    </row>
    <row r="85" spans="1:28" s="12" customFormat="1" x14ac:dyDescent="0.25">
      <c r="A85" s="204"/>
      <c r="B85" s="24" t="s">
        <v>25</v>
      </c>
      <c r="C85" s="25" t="s">
        <v>72</v>
      </c>
      <c r="D85" s="25" t="s">
        <v>72</v>
      </c>
      <c r="E85" s="14"/>
      <c r="F85" s="26">
        <v>19000</v>
      </c>
      <c r="G85" s="40">
        <v>19000</v>
      </c>
      <c r="H85" s="27">
        <f>G85-F85</f>
        <v>0</v>
      </c>
      <c r="J85" s="36"/>
      <c r="K85" s="17">
        <v>42613</v>
      </c>
      <c r="L85" s="17">
        <v>42614</v>
      </c>
      <c r="M85" s="25" t="s">
        <v>65</v>
      </c>
      <c r="N85" s="25" t="s">
        <v>3580</v>
      </c>
      <c r="O85" s="18"/>
      <c r="P85" s="28"/>
      <c r="Q85" s="18">
        <v>20000</v>
      </c>
      <c r="R85" s="46">
        <v>9200</v>
      </c>
      <c r="S85" s="38">
        <v>19.2</v>
      </c>
      <c r="T85" s="31">
        <f t="shared" ref="T85" si="170">W85*F85*0.005</f>
        <v>155.5</v>
      </c>
      <c r="V85" s="18">
        <v>0.1</v>
      </c>
      <c r="W85" s="18">
        <f>IF(O85&gt;0,O85,((P85*2.2046*S85)+(Q85+R85)/G85)+V85)</f>
        <v>1.6368421052631579</v>
      </c>
      <c r="X85" s="18">
        <f>IF(O85&gt;0,O85,((P85*2.2046*S85)+(Q85+R85+T85)/G85)+V85)</f>
        <v>1.6450263157894738</v>
      </c>
      <c r="Y85" s="21">
        <f>X85*F85</f>
        <v>31255.500000000004</v>
      </c>
      <c r="Z85" s="32"/>
      <c r="AA85" s="37"/>
      <c r="AB85" s="37"/>
    </row>
    <row r="86" spans="1:28" s="12" customFormat="1" x14ac:dyDescent="0.25">
      <c r="A86" s="204"/>
      <c r="B86" s="24" t="s">
        <v>32</v>
      </c>
      <c r="C86" s="14" t="s">
        <v>33</v>
      </c>
      <c r="D86" s="25"/>
      <c r="E86" s="14">
        <v>250</v>
      </c>
      <c r="F86" s="26"/>
      <c r="G86" s="27"/>
      <c r="H86" s="27">
        <f t="shared" ref="H86:H87" si="171">G86-F86</f>
        <v>0</v>
      </c>
      <c r="J86" s="14"/>
      <c r="K86" s="17"/>
      <c r="L86" s="17">
        <v>42614</v>
      </c>
      <c r="M86" s="25" t="s">
        <v>65</v>
      </c>
      <c r="N86" s="14"/>
      <c r="O86" s="18"/>
      <c r="P86" s="19"/>
      <c r="Q86" s="18">
        <v>17300</v>
      </c>
      <c r="R86" s="18">
        <f t="shared" ref="R86:R87" si="172">61.75*E86</f>
        <v>15437.5</v>
      </c>
      <c r="S86" s="30">
        <f t="shared" ref="S86:S87" si="173">-35*E86</f>
        <v>-8750</v>
      </c>
      <c r="T86" s="31" t="e">
        <f t="shared" ref="T86:T87" si="174">W86*F86*0.0045</f>
        <v>#DIV/0!</v>
      </c>
      <c r="U86" s="18">
        <f t="shared" ref="U86:U87" si="175">E86*5</f>
        <v>1250</v>
      </c>
      <c r="V86" s="14"/>
      <c r="W86" s="18" t="e">
        <f t="shared" ref="W86:W87" si="176">((O86*F86)+Q86+R86+S86+U86)/G86</f>
        <v>#DIV/0!</v>
      </c>
      <c r="X86" s="18" t="e">
        <f t="shared" ref="X86:X87" si="177">((O86*F86)+Q86+R86+S86+T86+U86)/G86</f>
        <v>#DIV/0!</v>
      </c>
      <c r="Y86" s="21" t="e">
        <f t="shared" ref="Y86:Y87" si="178">X86*G86</f>
        <v>#DIV/0!</v>
      </c>
      <c r="Z86" s="32"/>
      <c r="AA86" s="37"/>
      <c r="AB86" s="37"/>
    </row>
    <row r="87" spans="1:28" s="12" customFormat="1" x14ac:dyDescent="0.25">
      <c r="A87" s="204"/>
      <c r="B87" s="24" t="s">
        <v>32</v>
      </c>
      <c r="C87" s="14" t="s">
        <v>33</v>
      </c>
      <c r="D87" s="25"/>
      <c r="E87" s="14">
        <v>130</v>
      </c>
      <c r="F87" s="26"/>
      <c r="G87" s="27"/>
      <c r="H87" s="27">
        <f t="shared" si="171"/>
        <v>0</v>
      </c>
      <c r="I87" s="25"/>
      <c r="J87" s="14"/>
      <c r="K87" s="17"/>
      <c r="L87" s="17">
        <v>42614</v>
      </c>
      <c r="M87" s="25" t="s">
        <v>65</v>
      </c>
      <c r="N87" s="14"/>
      <c r="O87" s="18"/>
      <c r="P87" s="19"/>
      <c r="Q87" s="18">
        <v>13600</v>
      </c>
      <c r="R87" s="18">
        <f t="shared" si="172"/>
        <v>8027.5</v>
      </c>
      <c r="S87" s="30">
        <f t="shared" si="173"/>
        <v>-4550</v>
      </c>
      <c r="T87" s="31" t="e">
        <f t="shared" si="174"/>
        <v>#DIV/0!</v>
      </c>
      <c r="U87" s="18">
        <f t="shared" si="175"/>
        <v>650</v>
      </c>
      <c r="V87" s="14"/>
      <c r="W87" s="18" t="e">
        <f t="shared" si="176"/>
        <v>#DIV/0!</v>
      </c>
      <c r="X87" s="18" t="e">
        <f t="shared" si="177"/>
        <v>#DIV/0!</v>
      </c>
      <c r="Y87" s="21" t="e">
        <f t="shared" si="178"/>
        <v>#DIV/0!</v>
      </c>
      <c r="Z87" s="32"/>
      <c r="AA87" s="37"/>
      <c r="AB87" s="37"/>
    </row>
    <row r="88" spans="1:28" s="12" customFormat="1" x14ac:dyDescent="0.25">
      <c r="A88" s="204"/>
      <c r="B88" s="24" t="s">
        <v>25</v>
      </c>
      <c r="C88" s="25" t="s">
        <v>40</v>
      </c>
      <c r="D88" s="25" t="s">
        <v>40</v>
      </c>
      <c r="E88" s="14"/>
      <c r="F88" s="26">
        <v>18500</v>
      </c>
      <c r="G88" s="40">
        <v>18500</v>
      </c>
      <c r="H88" s="27">
        <f>G88-F88</f>
        <v>0</v>
      </c>
      <c r="J88" s="36"/>
      <c r="K88" s="17">
        <v>42614</v>
      </c>
      <c r="L88" s="17">
        <v>42615</v>
      </c>
      <c r="M88" s="25" t="s">
        <v>84</v>
      </c>
      <c r="N88" s="25" t="s">
        <v>3581</v>
      </c>
      <c r="O88" s="18"/>
      <c r="P88" s="28"/>
      <c r="Q88" s="18">
        <v>20000</v>
      </c>
      <c r="R88" s="46">
        <v>9200</v>
      </c>
      <c r="S88" s="38">
        <v>19.2</v>
      </c>
      <c r="T88" s="31">
        <f>W88*F88*0.005</f>
        <v>155.25000000000003</v>
      </c>
      <c r="V88" s="18">
        <v>0.1</v>
      </c>
      <c r="W88" s="18">
        <f t="shared" ref="W88" si="179">IF(O88&gt;0,O88,((P88*2.2046*S88)+(Q88+R88)/G88)+V88)</f>
        <v>1.6783783783783786</v>
      </c>
      <c r="X88" s="18">
        <f t="shared" ref="X88" si="180">IF(O88&gt;0,O88,((P88*2.2046*S88)+(Q88+R88+T88)/G88)+V88)</f>
        <v>1.6867702702702703</v>
      </c>
      <c r="Y88" s="21">
        <f t="shared" ref="Y88" si="181">X88*F88</f>
        <v>31205.25</v>
      </c>
      <c r="Z88" s="32"/>
      <c r="AA88" s="37"/>
      <c r="AB88" s="37"/>
    </row>
    <row r="89" spans="1:28" s="12" customFormat="1" x14ac:dyDescent="0.25">
      <c r="A89" s="204"/>
      <c r="B89" s="24" t="s">
        <v>32</v>
      </c>
      <c r="C89" s="14" t="s">
        <v>33</v>
      </c>
      <c r="D89" s="25"/>
      <c r="E89" s="14">
        <v>250</v>
      </c>
      <c r="F89" s="26"/>
      <c r="G89" s="27"/>
      <c r="H89" s="27">
        <f t="shared" ref="H89:H91" si="182">G89-F89</f>
        <v>0</v>
      </c>
      <c r="J89" s="14"/>
      <c r="K89" s="17"/>
      <c r="L89" s="17">
        <v>42615</v>
      </c>
      <c r="M89" s="25" t="s">
        <v>84</v>
      </c>
      <c r="N89" s="14"/>
      <c r="O89" s="18"/>
      <c r="P89" s="19"/>
      <c r="Q89" s="18">
        <v>17300</v>
      </c>
      <c r="R89" s="18">
        <f t="shared" ref="R89:R90" si="183">61.75*E89</f>
        <v>15437.5</v>
      </c>
      <c r="S89" s="30">
        <f>-35*E89</f>
        <v>-8750</v>
      </c>
      <c r="T89" s="31" t="e">
        <f>W89*F89*0.0045</f>
        <v>#DIV/0!</v>
      </c>
      <c r="U89" s="18">
        <f>E89*5</f>
        <v>1250</v>
      </c>
      <c r="V89" s="14"/>
      <c r="W89" s="18" t="e">
        <f>((O89*F89)+Q89+R89+S89+U89)/G89</f>
        <v>#DIV/0!</v>
      </c>
      <c r="X89" s="18" t="e">
        <f>((O89*F89)+Q89+R89+S89+T89+U89)/G89</f>
        <v>#DIV/0!</v>
      </c>
      <c r="Y89" s="21" t="e">
        <f t="shared" ref="Y89:Y90" si="184">X89*G89</f>
        <v>#DIV/0!</v>
      </c>
      <c r="Z89" s="32"/>
      <c r="AA89" s="2"/>
      <c r="AB89" s="2"/>
    </row>
    <row r="90" spans="1:28" s="12" customFormat="1" x14ac:dyDescent="0.25">
      <c r="A90" s="204"/>
      <c r="B90" s="24" t="s">
        <v>32</v>
      </c>
      <c r="C90" s="14" t="s">
        <v>33</v>
      </c>
      <c r="D90" s="25"/>
      <c r="E90" s="14">
        <v>130</v>
      </c>
      <c r="F90" s="26"/>
      <c r="G90" s="27"/>
      <c r="H90" s="27">
        <f t="shared" si="182"/>
        <v>0</v>
      </c>
      <c r="I90" s="25"/>
      <c r="J90" s="14"/>
      <c r="K90" s="17"/>
      <c r="L90" s="17">
        <v>42615</v>
      </c>
      <c r="M90" s="25" t="s">
        <v>84</v>
      </c>
      <c r="N90" s="14"/>
      <c r="O90" s="18"/>
      <c r="P90" s="19"/>
      <c r="Q90" s="18">
        <v>13600</v>
      </c>
      <c r="R90" s="18">
        <f t="shared" si="183"/>
        <v>8027.5</v>
      </c>
      <c r="S90" s="30">
        <f>-35*E90</f>
        <v>-4550</v>
      </c>
      <c r="T90" s="31" t="e">
        <f>W90*F90*0.0045</f>
        <v>#DIV/0!</v>
      </c>
      <c r="U90" s="18">
        <f>E90*5</f>
        <v>650</v>
      </c>
      <c r="V90" s="14"/>
      <c r="W90" s="18" t="e">
        <f>((O90*F90)+Q90+R90+S90+U90)/G90</f>
        <v>#DIV/0!</v>
      </c>
      <c r="X90" s="18" t="e">
        <f>((O90*F90)+Q90+R90+S90+T90+U90)/G90</f>
        <v>#DIV/0!</v>
      </c>
      <c r="Y90" s="21" t="e">
        <f t="shared" si="184"/>
        <v>#DIV/0!</v>
      </c>
      <c r="Z90" s="32"/>
      <c r="AA90" s="2"/>
      <c r="AB90" s="2"/>
    </row>
    <row r="91" spans="1:28" s="12" customFormat="1" x14ac:dyDescent="0.25">
      <c r="A91" s="204"/>
      <c r="B91" s="24" t="s">
        <v>25</v>
      </c>
      <c r="C91" s="25" t="s">
        <v>26</v>
      </c>
      <c r="D91" s="25" t="s">
        <v>26</v>
      </c>
      <c r="E91" s="14"/>
      <c r="F91" s="26">
        <v>18500</v>
      </c>
      <c r="G91" s="40">
        <v>18500</v>
      </c>
      <c r="H91" s="27">
        <f t="shared" si="182"/>
        <v>0</v>
      </c>
      <c r="J91" s="36"/>
      <c r="K91" s="17">
        <v>42615</v>
      </c>
      <c r="L91" s="17">
        <v>42616</v>
      </c>
      <c r="M91" s="25" t="s">
        <v>30</v>
      </c>
      <c r="N91" s="25" t="s">
        <v>3582</v>
      </c>
      <c r="O91" s="18"/>
      <c r="P91" s="28"/>
      <c r="Q91" s="18">
        <v>20000</v>
      </c>
      <c r="R91" s="46">
        <v>9200</v>
      </c>
      <c r="S91" s="38">
        <v>19.2</v>
      </c>
      <c r="T91" s="31">
        <f t="shared" ref="T91" si="185">W91*F91*0.005</f>
        <v>155.25000000000003</v>
      </c>
      <c r="V91" s="18">
        <v>0.1</v>
      </c>
      <c r="W91" s="18">
        <f>IF(O91&gt;0,O91,((P91*2.2046*S91)+(Q91+R91)/G91)+V91)</f>
        <v>1.6783783783783786</v>
      </c>
      <c r="X91" s="18">
        <f>IF(O91&gt;0,O91,((P91*2.2046*S91)+(Q91+R91+T91)/G91)+V91)</f>
        <v>1.6867702702702703</v>
      </c>
      <c r="Y91" s="21">
        <f t="shared" ref="Y91" si="186">X91*F91</f>
        <v>31205.25</v>
      </c>
      <c r="Z91" s="32"/>
      <c r="AA91" s="2"/>
      <c r="AB91" s="2"/>
    </row>
    <row r="92" spans="1:28" s="12" customFormat="1" x14ac:dyDescent="0.25">
      <c r="A92" s="204"/>
      <c r="B92" s="24" t="s">
        <v>25</v>
      </c>
      <c r="C92" s="25" t="s">
        <v>40</v>
      </c>
      <c r="D92" s="25" t="s">
        <v>40</v>
      </c>
      <c r="E92" s="14"/>
      <c r="F92" s="26">
        <v>18500</v>
      </c>
      <c r="G92" s="40">
        <v>18500</v>
      </c>
      <c r="H92" s="27">
        <f>G92-F92</f>
        <v>0</v>
      </c>
      <c r="J92" s="36"/>
      <c r="K92" s="17">
        <v>42615</v>
      </c>
      <c r="L92" s="17">
        <v>42616</v>
      </c>
      <c r="M92" s="25" t="s">
        <v>30</v>
      </c>
      <c r="N92" s="25" t="s">
        <v>3583</v>
      </c>
      <c r="O92" s="18"/>
      <c r="P92" s="28"/>
      <c r="Q92" s="18">
        <v>20000</v>
      </c>
      <c r="R92" s="46">
        <v>9200</v>
      </c>
      <c r="S92" s="38">
        <v>19.2</v>
      </c>
      <c r="T92" s="31">
        <f>W92*F92*0.005</f>
        <v>155.25000000000003</v>
      </c>
      <c r="V92" s="18">
        <v>0.1</v>
      </c>
      <c r="W92" s="18">
        <f>IF(O92&gt;0,O92,((P92*2.2046*S92)+(Q92+R92)/G92)+V92)</f>
        <v>1.6783783783783786</v>
      </c>
      <c r="X92" s="18">
        <f>IF(O92&gt;0,O92,((P92*2.2046*S92)+(Q92+R92+T92)/G92)+V92)</f>
        <v>1.6867702702702703</v>
      </c>
      <c r="Y92" s="21">
        <f>X92*F92</f>
        <v>31205.25</v>
      </c>
      <c r="Z92" s="32"/>
      <c r="AA92" s="37"/>
      <c r="AB92" s="37"/>
    </row>
    <row r="93" spans="1:28" s="12" customFormat="1" x14ac:dyDescent="0.25">
      <c r="A93" s="204"/>
      <c r="B93" s="24" t="s">
        <v>25</v>
      </c>
      <c r="C93" s="25" t="s">
        <v>72</v>
      </c>
      <c r="D93" s="25" t="s">
        <v>72</v>
      </c>
      <c r="E93" s="14"/>
      <c r="F93" s="26">
        <v>19000</v>
      </c>
      <c r="G93" s="40">
        <v>19000</v>
      </c>
      <c r="H93" s="27">
        <f t="shared" ref="H93" si="187">G93-F93</f>
        <v>0</v>
      </c>
      <c r="J93" s="36"/>
      <c r="K93" s="17">
        <v>42615</v>
      </c>
      <c r="L93" s="17">
        <v>42616</v>
      </c>
      <c r="M93" s="25" t="s">
        <v>30</v>
      </c>
      <c r="N93" s="25" t="s">
        <v>3584</v>
      </c>
      <c r="O93" s="18"/>
      <c r="P93" s="28"/>
      <c r="Q93" s="18">
        <v>20000</v>
      </c>
      <c r="R93" s="46">
        <v>9200</v>
      </c>
      <c r="S93" s="38">
        <v>19.2</v>
      </c>
      <c r="T93" s="31">
        <f t="shared" ref="T93" si="188">W93*F93*0.005</f>
        <v>155.5</v>
      </c>
      <c r="V93" s="18">
        <v>0.1</v>
      </c>
      <c r="W93" s="18">
        <f>IF(O93&gt;0,O93,((P93*2.2046*S93)+(Q93+R93)/G93)+V93)</f>
        <v>1.6368421052631579</v>
      </c>
      <c r="X93" s="18">
        <f>IF(O93&gt;0,O93,((P93*2.2046*S93)+(Q93+R93+T93)/G93)+V93)</f>
        <v>1.6450263157894738</v>
      </c>
      <c r="Y93" s="21">
        <f t="shared" ref="Y93" si="189">X93*F93</f>
        <v>31255.500000000004</v>
      </c>
      <c r="Z93" s="32"/>
      <c r="AA93" s="2"/>
      <c r="AB93" s="2"/>
    </row>
    <row r="94" spans="1:28" s="12" customFormat="1" ht="15.75" thickBot="1" x14ac:dyDescent="0.3">
      <c r="A94" s="204"/>
      <c r="B94" s="41"/>
      <c r="C94" s="4"/>
      <c r="D94" s="4"/>
      <c r="E94" s="4"/>
      <c r="F94" s="42"/>
      <c r="G94" s="42"/>
      <c r="H94" s="42"/>
      <c r="I94" s="6"/>
      <c r="J94" s="4"/>
      <c r="K94" s="7"/>
      <c r="L94" s="7"/>
      <c r="M94" s="4"/>
      <c r="N94" s="4"/>
      <c r="O94" s="8"/>
      <c r="P94" s="9"/>
      <c r="Q94" s="8"/>
      <c r="R94" s="8"/>
      <c r="S94" s="8"/>
      <c r="T94" s="8"/>
      <c r="U94" s="8"/>
      <c r="V94" s="8"/>
      <c r="W94" s="8"/>
      <c r="X94" s="8"/>
      <c r="Y94" s="11"/>
      <c r="Z94" s="43"/>
      <c r="AA94" s="2"/>
      <c r="AB94" s="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833"/>
  <sheetViews>
    <sheetView topLeftCell="A732" zoomScaleNormal="100" workbookViewId="0">
      <selection activeCell="G734" sqref="G734"/>
    </sheetView>
  </sheetViews>
  <sheetFormatPr baseColWidth="10" defaultRowHeight="15" x14ac:dyDescent="0.25"/>
  <cols>
    <col min="1" max="1" width="3.140625" customWidth="1"/>
    <col min="2" max="2" width="5.42578125" customWidth="1"/>
    <col min="3" max="3" width="15.42578125" style="2" customWidth="1"/>
    <col min="4" max="4" width="31.7109375" customWidth="1"/>
    <col min="5" max="5" width="14.5703125" bestFit="1" customWidth="1"/>
    <col min="6" max="6" width="21.7109375" bestFit="1" customWidth="1"/>
    <col min="7" max="7" width="13.28515625" bestFit="1" customWidth="1"/>
    <col min="8" max="8" width="14.7109375" customWidth="1"/>
    <col min="9" max="9" width="14.42578125" customWidth="1"/>
    <col min="10" max="10" width="17.7109375" customWidth="1"/>
    <col min="11" max="11" width="16.85546875" customWidth="1"/>
  </cols>
  <sheetData>
    <row r="3" spans="1:12" x14ac:dyDescent="0.25">
      <c r="A3" s="47" t="s">
        <v>116</v>
      </c>
    </row>
    <row r="4" spans="1:12" x14ac:dyDescent="0.25">
      <c r="A4" t="s">
        <v>117</v>
      </c>
      <c r="B4" s="48">
        <v>1</v>
      </c>
    </row>
    <row r="5" spans="1:12" x14ac:dyDescent="0.25">
      <c r="A5" s="49" t="s">
        <v>118</v>
      </c>
      <c r="B5" s="48">
        <v>2</v>
      </c>
    </row>
    <row r="6" spans="1:12" x14ac:dyDescent="0.25">
      <c r="A6" s="49" t="s">
        <v>119</v>
      </c>
      <c r="B6" s="48">
        <v>3</v>
      </c>
    </row>
    <row r="7" spans="1:12" x14ac:dyDescent="0.25">
      <c r="A7" s="50" t="s">
        <v>120</v>
      </c>
      <c r="B7" s="48">
        <v>9</v>
      </c>
      <c r="C7" s="51">
        <v>529230.18000000005</v>
      </c>
      <c r="D7" s="52" t="s">
        <v>121</v>
      </c>
      <c r="E7" s="52" t="s">
        <v>122</v>
      </c>
      <c r="F7" s="52" t="s">
        <v>123</v>
      </c>
      <c r="G7" s="52">
        <v>28.5</v>
      </c>
      <c r="H7" s="53">
        <v>42009</v>
      </c>
      <c r="I7" s="54" t="s">
        <v>124</v>
      </c>
      <c r="J7" s="52"/>
    </row>
    <row r="8" spans="1:12" x14ac:dyDescent="0.25">
      <c r="A8" t="s">
        <v>125</v>
      </c>
      <c r="B8" s="56">
        <v>4</v>
      </c>
      <c r="C8" s="51">
        <v>624730.62</v>
      </c>
      <c r="D8" s="52" t="s">
        <v>126</v>
      </c>
      <c r="E8" s="52" t="s">
        <v>1242</v>
      </c>
      <c r="F8" s="52" t="s">
        <v>127</v>
      </c>
      <c r="G8" s="52">
        <v>34</v>
      </c>
      <c r="H8" s="53">
        <v>42415</v>
      </c>
      <c r="I8" s="54" t="s">
        <v>124</v>
      </c>
    </row>
    <row r="9" spans="1:12" x14ac:dyDescent="0.25">
      <c r="A9" t="s">
        <v>128</v>
      </c>
      <c r="B9" s="48">
        <v>22</v>
      </c>
      <c r="C9" s="51">
        <v>1431786.17</v>
      </c>
      <c r="D9" s="52" t="s">
        <v>129</v>
      </c>
      <c r="E9" s="52" t="s">
        <v>130</v>
      </c>
      <c r="F9" s="52" t="s">
        <v>131</v>
      </c>
      <c r="G9" s="51">
        <v>78</v>
      </c>
      <c r="H9" s="53">
        <v>42376</v>
      </c>
      <c r="I9" s="54" t="s">
        <v>124</v>
      </c>
      <c r="J9" s="52"/>
      <c r="K9" s="50"/>
      <c r="L9" s="50"/>
    </row>
    <row r="10" spans="1:12" x14ac:dyDescent="0.25">
      <c r="A10" t="s">
        <v>125</v>
      </c>
      <c r="B10" s="48">
        <v>4</v>
      </c>
      <c r="C10" s="51">
        <f>30241.36*G10</f>
        <v>521965.87360000005</v>
      </c>
      <c r="D10" s="52" t="s">
        <v>132</v>
      </c>
      <c r="E10" s="52" t="s">
        <v>133</v>
      </c>
      <c r="F10" s="52" t="s">
        <v>134</v>
      </c>
      <c r="G10" s="51">
        <v>17.260000000000002</v>
      </c>
      <c r="H10" s="52">
        <v>29.83</v>
      </c>
      <c r="I10" s="53">
        <v>42367</v>
      </c>
      <c r="J10" s="54" t="s">
        <v>124</v>
      </c>
    </row>
    <row r="11" spans="1:12" x14ac:dyDescent="0.25">
      <c r="A11" t="s">
        <v>125</v>
      </c>
      <c r="B11" s="48">
        <v>4</v>
      </c>
      <c r="C11" s="51">
        <f>31001.05*G11</f>
        <v>535078.12300000002</v>
      </c>
      <c r="D11" s="52" t="s">
        <v>135</v>
      </c>
      <c r="E11" s="52" t="s">
        <v>136</v>
      </c>
      <c r="F11" s="52" t="s">
        <v>137</v>
      </c>
      <c r="G11" s="51">
        <v>17.260000000000002</v>
      </c>
      <c r="H11" s="52">
        <v>29.8</v>
      </c>
      <c r="I11" s="53">
        <v>42367</v>
      </c>
      <c r="J11" s="54" t="s">
        <v>124</v>
      </c>
    </row>
    <row r="12" spans="1:12" x14ac:dyDescent="0.25">
      <c r="A12" t="s">
        <v>125</v>
      </c>
      <c r="B12" s="48">
        <v>4</v>
      </c>
      <c r="C12" s="51">
        <f>30376.6*G12</f>
        <v>524300.11600000004</v>
      </c>
      <c r="D12" s="52" t="s">
        <v>138</v>
      </c>
      <c r="E12" s="52" t="s">
        <v>139</v>
      </c>
      <c r="F12" s="52" t="s">
        <v>140</v>
      </c>
      <c r="G12" s="51">
        <v>17.260000000000002</v>
      </c>
      <c r="H12" s="52">
        <v>29.98</v>
      </c>
      <c r="I12" s="53">
        <v>42367</v>
      </c>
      <c r="J12" s="54" t="s">
        <v>124</v>
      </c>
    </row>
    <row r="13" spans="1:12" x14ac:dyDescent="0.25">
      <c r="A13" t="s">
        <v>125</v>
      </c>
      <c r="B13" s="48">
        <v>4</v>
      </c>
      <c r="C13" s="51">
        <f>29193.27*G13</f>
        <v>503875.84020000004</v>
      </c>
      <c r="D13" s="52" t="s">
        <v>141</v>
      </c>
      <c r="E13" s="52" t="s">
        <v>142</v>
      </c>
      <c r="F13" s="52" t="s">
        <v>143</v>
      </c>
      <c r="G13" s="51">
        <v>17.260000000000002</v>
      </c>
      <c r="H13" s="52">
        <v>29.82</v>
      </c>
      <c r="I13" s="53">
        <v>42367</v>
      </c>
      <c r="J13" s="54" t="s">
        <v>124</v>
      </c>
    </row>
    <row r="14" spans="1:12" s="50" customFormat="1" x14ac:dyDescent="0.25">
      <c r="A14" s="50" t="s">
        <v>125</v>
      </c>
      <c r="B14" s="56">
        <v>4</v>
      </c>
      <c r="C14" s="51">
        <f>30213.28*G14</f>
        <v>528732.4</v>
      </c>
      <c r="D14" s="52" t="s">
        <v>144</v>
      </c>
      <c r="E14" s="52" t="s">
        <v>145</v>
      </c>
      <c r="F14" s="52" t="s">
        <v>146</v>
      </c>
      <c r="G14" s="51">
        <v>17.5</v>
      </c>
      <c r="H14" s="52">
        <v>30.06</v>
      </c>
      <c r="I14" s="53">
        <v>42368</v>
      </c>
      <c r="J14" s="54" t="s">
        <v>124</v>
      </c>
    </row>
    <row r="15" spans="1:12" s="50" customFormat="1" x14ac:dyDescent="0.25">
      <c r="A15" s="50" t="s">
        <v>125</v>
      </c>
      <c r="B15" s="56">
        <v>4</v>
      </c>
      <c r="C15" s="51">
        <f>31295.09*G15</f>
        <v>541092.10609999998</v>
      </c>
      <c r="D15" s="52" t="s">
        <v>147</v>
      </c>
      <c r="E15" s="52" t="s">
        <v>148</v>
      </c>
      <c r="F15" s="52" t="s">
        <v>149</v>
      </c>
      <c r="G15" s="51">
        <v>17.29</v>
      </c>
      <c r="H15" s="52">
        <v>28.53</v>
      </c>
      <c r="I15" s="53">
        <v>42369</v>
      </c>
      <c r="J15" s="54" t="s">
        <v>124</v>
      </c>
    </row>
    <row r="16" spans="1:12" s="50" customFormat="1" x14ac:dyDescent="0.25">
      <c r="A16" s="50" t="s">
        <v>125</v>
      </c>
      <c r="B16" s="56">
        <v>4</v>
      </c>
      <c r="C16" s="51">
        <v>372762.34</v>
      </c>
      <c r="D16" s="52" t="s">
        <v>150</v>
      </c>
      <c r="E16" s="52" t="s">
        <v>151</v>
      </c>
      <c r="F16" s="52" t="s">
        <v>152</v>
      </c>
      <c r="G16" s="57">
        <v>42373</v>
      </c>
      <c r="H16" s="53" t="s">
        <v>153</v>
      </c>
      <c r="I16" s="58"/>
      <c r="J16" s="59"/>
    </row>
    <row r="17" spans="1:10" s="50" customFormat="1" x14ac:dyDescent="0.25">
      <c r="A17" s="50" t="s">
        <v>125</v>
      </c>
      <c r="B17" s="56">
        <v>4</v>
      </c>
      <c r="C17" s="51">
        <v>694452.5</v>
      </c>
      <c r="D17" s="52" t="s">
        <v>154</v>
      </c>
      <c r="E17" s="52" t="s">
        <v>155</v>
      </c>
      <c r="F17" s="52" t="s">
        <v>156</v>
      </c>
      <c r="G17" s="53">
        <v>42009</v>
      </c>
      <c r="H17" s="53" t="s">
        <v>153</v>
      </c>
      <c r="I17" s="58"/>
      <c r="J17" s="59"/>
    </row>
    <row r="18" spans="1:10" s="50" customFormat="1" x14ac:dyDescent="0.25">
      <c r="A18" s="50" t="s">
        <v>125</v>
      </c>
      <c r="B18" s="56">
        <v>4</v>
      </c>
      <c r="C18" s="51">
        <v>545247.5</v>
      </c>
      <c r="D18" s="52" t="s">
        <v>154</v>
      </c>
      <c r="E18" s="52" t="s">
        <v>157</v>
      </c>
      <c r="F18" s="52" t="s">
        <v>156</v>
      </c>
      <c r="G18" s="53">
        <v>42376</v>
      </c>
      <c r="H18" s="53" t="s">
        <v>153</v>
      </c>
      <c r="I18" s="58"/>
      <c r="J18" s="59"/>
    </row>
    <row r="19" spans="1:10" s="50" customFormat="1" x14ac:dyDescent="0.25">
      <c r="A19" s="50" t="s">
        <v>125</v>
      </c>
      <c r="B19" s="56">
        <v>4</v>
      </c>
      <c r="C19" s="51">
        <v>372277.5</v>
      </c>
      <c r="D19" s="52" t="s">
        <v>158</v>
      </c>
      <c r="E19" s="52" t="s">
        <v>159</v>
      </c>
      <c r="F19" s="52" t="s">
        <v>156</v>
      </c>
      <c r="G19" s="57">
        <v>42380</v>
      </c>
      <c r="H19" s="53" t="s">
        <v>153</v>
      </c>
      <c r="I19" s="58"/>
      <c r="J19" s="59"/>
    </row>
    <row r="20" spans="1:10" s="50" customFormat="1" x14ac:dyDescent="0.25">
      <c r="A20" s="50" t="s">
        <v>125</v>
      </c>
      <c r="B20" s="56">
        <v>4</v>
      </c>
      <c r="C20" s="51">
        <v>604660</v>
      </c>
      <c r="D20" s="52" t="s">
        <v>160</v>
      </c>
      <c r="E20" s="52" t="s">
        <v>161</v>
      </c>
      <c r="F20" s="52" t="s">
        <v>156</v>
      </c>
      <c r="G20" s="57">
        <v>42377</v>
      </c>
      <c r="H20" s="53" t="s">
        <v>153</v>
      </c>
      <c r="I20" s="58"/>
      <c r="J20" s="59"/>
    </row>
    <row r="21" spans="1:10" s="50" customFormat="1" x14ac:dyDescent="0.25">
      <c r="A21" s="50" t="s">
        <v>125</v>
      </c>
      <c r="B21" s="56">
        <v>4</v>
      </c>
      <c r="C21" s="51">
        <v>576117.5</v>
      </c>
      <c r="D21" s="52" t="s">
        <v>162</v>
      </c>
      <c r="E21" s="52" t="s">
        <v>163</v>
      </c>
      <c r="F21" s="52" t="s">
        <v>156</v>
      </c>
      <c r="G21" s="57">
        <v>42380</v>
      </c>
      <c r="H21" s="53" t="s">
        <v>153</v>
      </c>
      <c r="I21" s="58"/>
      <c r="J21" s="59"/>
    </row>
    <row r="22" spans="1:10" s="50" customFormat="1" x14ac:dyDescent="0.25">
      <c r="A22" s="50" t="s">
        <v>125</v>
      </c>
      <c r="B22" s="56">
        <v>4</v>
      </c>
      <c r="C22" s="51">
        <v>596207.5</v>
      </c>
      <c r="D22" s="52" t="s">
        <v>164</v>
      </c>
      <c r="E22" s="52" t="s">
        <v>165</v>
      </c>
      <c r="F22" s="52" t="s">
        <v>156</v>
      </c>
      <c r="G22" s="57">
        <v>42380</v>
      </c>
      <c r="H22" s="53" t="s">
        <v>153</v>
      </c>
      <c r="I22" s="58"/>
      <c r="J22" s="59"/>
    </row>
    <row r="23" spans="1:10" s="50" customFormat="1" x14ac:dyDescent="0.25">
      <c r="A23" s="50" t="s">
        <v>125</v>
      </c>
      <c r="B23" s="56">
        <v>4</v>
      </c>
      <c r="C23" s="51">
        <f>330382.5+50895.78</f>
        <v>381278.28</v>
      </c>
      <c r="D23" s="52" t="s">
        <v>166</v>
      </c>
      <c r="E23" s="52" t="s">
        <v>167</v>
      </c>
      <c r="F23" s="52" t="s">
        <v>156</v>
      </c>
      <c r="G23" s="57">
        <v>42380</v>
      </c>
      <c r="H23" s="53" t="s">
        <v>153</v>
      </c>
      <c r="I23" s="58"/>
      <c r="J23" s="59"/>
    </row>
    <row r="24" spans="1:10" s="50" customFormat="1" x14ac:dyDescent="0.25">
      <c r="A24" s="50" t="s">
        <v>125</v>
      </c>
      <c r="B24" s="56">
        <v>4</v>
      </c>
      <c r="C24" s="51">
        <f>269377.5</f>
        <v>269377.5</v>
      </c>
      <c r="D24" s="52" t="s">
        <v>168</v>
      </c>
      <c r="E24" s="52" t="s">
        <v>169</v>
      </c>
      <c r="F24" s="52" t="s">
        <v>156</v>
      </c>
      <c r="G24" s="57">
        <v>42380</v>
      </c>
      <c r="H24" s="53" t="s">
        <v>153</v>
      </c>
      <c r="I24" s="58"/>
      <c r="J24" s="59"/>
    </row>
    <row r="25" spans="1:10" s="50" customFormat="1" x14ac:dyDescent="0.25">
      <c r="A25" s="50" t="s">
        <v>125</v>
      </c>
      <c r="B25" s="56">
        <v>4</v>
      </c>
      <c r="C25" s="51">
        <v>87571.55</v>
      </c>
      <c r="D25" s="52" t="s">
        <v>168</v>
      </c>
      <c r="E25" s="52" t="s">
        <v>1084</v>
      </c>
      <c r="F25" s="52" t="s">
        <v>1085</v>
      </c>
      <c r="G25" s="57">
        <v>42396</v>
      </c>
      <c r="H25" s="53" t="s">
        <v>153</v>
      </c>
      <c r="I25" s="58"/>
      <c r="J25" s="59"/>
    </row>
    <row r="26" spans="1:10" x14ac:dyDescent="0.25">
      <c r="A26" t="s">
        <v>128</v>
      </c>
      <c r="B26" s="48">
        <v>5</v>
      </c>
      <c r="C26" s="51">
        <v>591430</v>
      </c>
      <c r="D26" s="53" t="s">
        <v>170</v>
      </c>
      <c r="E26" s="53" t="s">
        <v>171</v>
      </c>
      <c r="F26" s="53" t="s">
        <v>156</v>
      </c>
      <c r="G26" s="53">
        <v>42381</v>
      </c>
      <c r="H26" s="53" t="s">
        <v>153</v>
      </c>
    </row>
    <row r="27" spans="1:10" x14ac:dyDescent="0.25">
      <c r="A27" t="s">
        <v>128</v>
      </c>
      <c r="B27" s="48">
        <v>5</v>
      </c>
      <c r="C27" s="51">
        <v>612132.5</v>
      </c>
      <c r="D27" s="52" t="s">
        <v>172</v>
      </c>
      <c r="E27" s="52" t="s">
        <v>173</v>
      </c>
      <c r="F27" s="52" t="s">
        <v>156</v>
      </c>
      <c r="G27" s="53">
        <v>42381</v>
      </c>
      <c r="H27" s="53" t="s">
        <v>153</v>
      </c>
    </row>
    <row r="28" spans="1:10" x14ac:dyDescent="0.25">
      <c r="A28" t="s">
        <v>120</v>
      </c>
      <c r="B28" s="48">
        <v>6</v>
      </c>
      <c r="C28" s="51">
        <v>597922.5</v>
      </c>
      <c r="D28" s="52" t="s">
        <v>174</v>
      </c>
      <c r="E28" s="52" t="s">
        <v>175</v>
      </c>
      <c r="F28" s="52" t="s">
        <v>156</v>
      </c>
      <c r="G28" s="53">
        <v>42382</v>
      </c>
      <c r="H28" s="53" t="s">
        <v>153</v>
      </c>
    </row>
    <row r="29" spans="1:10" x14ac:dyDescent="0.25">
      <c r="A29" t="s">
        <v>120</v>
      </c>
      <c r="B29" s="48">
        <v>6</v>
      </c>
      <c r="C29" s="51">
        <v>550760</v>
      </c>
      <c r="D29" s="52" t="s">
        <v>174</v>
      </c>
      <c r="E29" s="52" t="s">
        <v>176</v>
      </c>
      <c r="F29" s="52" t="s">
        <v>156</v>
      </c>
      <c r="G29" s="53">
        <v>42383</v>
      </c>
      <c r="H29" s="53" t="s">
        <v>153</v>
      </c>
    </row>
    <row r="30" spans="1:10" x14ac:dyDescent="0.25">
      <c r="A30" t="s">
        <v>120</v>
      </c>
      <c r="B30" s="48">
        <v>6</v>
      </c>
      <c r="C30" s="51">
        <f>93467.5+10072.44</f>
        <v>103539.94</v>
      </c>
      <c r="D30" s="52" t="s">
        <v>177</v>
      </c>
      <c r="E30" s="52" t="s">
        <v>178</v>
      </c>
      <c r="F30" s="52" t="s">
        <v>156</v>
      </c>
      <c r="G30" s="53">
        <v>42383</v>
      </c>
      <c r="H30" s="53" t="s">
        <v>153</v>
      </c>
    </row>
    <row r="31" spans="1:10" x14ac:dyDescent="0.25">
      <c r="A31" t="s">
        <v>120</v>
      </c>
      <c r="B31" s="48">
        <v>6</v>
      </c>
      <c r="C31" s="51">
        <f>317760.02+320159.82</f>
        <v>637919.84000000008</v>
      </c>
      <c r="D31" s="52" t="s">
        <v>179</v>
      </c>
      <c r="E31" s="52" t="s">
        <v>180</v>
      </c>
      <c r="F31" s="52" t="s">
        <v>152</v>
      </c>
      <c r="G31" s="53">
        <v>42376</v>
      </c>
      <c r="H31" s="53" t="s">
        <v>153</v>
      </c>
    </row>
    <row r="32" spans="1:10" x14ac:dyDescent="0.25">
      <c r="A32" t="s">
        <v>120</v>
      </c>
      <c r="B32" s="48">
        <v>6</v>
      </c>
      <c r="C32" s="60">
        <f>21000*G32</f>
        <v>367395</v>
      </c>
      <c r="D32" s="61" t="s">
        <v>181</v>
      </c>
      <c r="E32" s="61" t="s">
        <v>826</v>
      </c>
      <c r="F32" s="61" t="s">
        <v>182</v>
      </c>
      <c r="G32" s="62">
        <v>17.495000000000001</v>
      </c>
      <c r="H32" s="61">
        <v>25.77</v>
      </c>
      <c r="I32" s="63">
        <v>42375</v>
      </c>
      <c r="J32" s="64" t="s">
        <v>124</v>
      </c>
    </row>
    <row r="33" spans="1:17" x14ac:dyDescent="0.25">
      <c r="A33" t="s">
        <v>120</v>
      </c>
      <c r="B33" s="48">
        <v>6</v>
      </c>
      <c r="C33" s="51">
        <f>25976.31*G33</f>
        <v>449130.39990000002</v>
      </c>
      <c r="D33" s="52" t="s">
        <v>183</v>
      </c>
      <c r="E33" s="52" t="s">
        <v>184</v>
      </c>
      <c r="F33" s="52" t="s">
        <v>185</v>
      </c>
      <c r="G33" s="51">
        <v>17.29</v>
      </c>
      <c r="H33" s="52">
        <v>27</v>
      </c>
      <c r="I33" s="53">
        <v>42369</v>
      </c>
      <c r="J33" s="54" t="s">
        <v>124</v>
      </c>
    </row>
    <row r="34" spans="1:17" x14ac:dyDescent="0.25">
      <c r="A34" t="s">
        <v>186</v>
      </c>
      <c r="B34" s="48">
        <v>7</v>
      </c>
      <c r="C34" s="51">
        <f>26486.18*G34</f>
        <v>457946.05219999998</v>
      </c>
      <c r="D34" s="52" t="s">
        <v>187</v>
      </c>
      <c r="E34" s="52" t="s">
        <v>188</v>
      </c>
      <c r="F34" s="52" t="s">
        <v>189</v>
      </c>
      <c r="G34" s="51">
        <v>17.29</v>
      </c>
      <c r="H34" s="52">
        <v>26.66</v>
      </c>
      <c r="I34" s="53">
        <v>42369</v>
      </c>
      <c r="J34" s="54" t="s">
        <v>124</v>
      </c>
    </row>
    <row r="35" spans="1:17" x14ac:dyDescent="0.25">
      <c r="A35" t="s">
        <v>186</v>
      </c>
      <c r="B35" s="48">
        <v>7</v>
      </c>
      <c r="C35" s="51">
        <f>26354*G35</f>
        <v>455660.66</v>
      </c>
      <c r="D35" s="52" t="s">
        <v>190</v>
      </c>
      <c r="E35" s="52" t="s">
        <v>191</v>
      </c>
      <c r="F35" s="52" t="s">
        <v>192</v>
      </c>
      <c r="G35" s="51">
        <v>17.29</v>
      </c>
      <c r="H35" s="52">
        <v>26.67</v>
      </c>
      <c r="I35" s="53">
        <v>42369</v>
      </c>
      <c r="J35" s="54" t="s">
        <v>124</v>
      </c>
    </row>
    <row r="36" spans="1:17" x14ac:dyDescent="0.25">
      <c r="A36" t="s">
        <v>186</v>
      </c>
      <c r="B36" s="48">
        <v>7</v>
      </c>
      <c r="C36" s="51">
        <f>26050.51*G36</f>
        <v>455883.92499999999</v>
      </c>
      <c r="D36" s="52" t="s">
        <v>193</v>
      </c>
      <c r="E36" s="52" t="s">
        <v>194</v>
      </c>
      <c r="F36" s="52" t="s">
        <v>195</v>
      </c>
      <c r="G36" s="51">
        <v>17.5</v>
      </c>
      <c r="H36" s="52">
        <v>26.79</v>
      </c>
      <c r="I36" s="53">
        <v>42368</v>
      </c>
      <c r="J36" s="54" t="s">
        <v>124</v>
      </c>
    </row>
    <row r="37" spans="1:17" s="50" customFormat="1" x14ac:dyDescent="0.25">
      <c r="A37" t="s">
        <v>186</v>
      </c>
      <c r="B37" s="48">
        <v>7</v>
      </c>
      <c r="C37" s="60">
        <f>10000*G37</f>
        <v>174950</v>
      </c>
      <c r="D37" s="61" t="s">
        <v>196</v>
      </c>
      <c r="E37" s="61" t="s">
        <v>197</v>
      </c>
      <c r="F37" s="61" t="s">
        <v>198</v>
      </c>
      <c r="G37" s="62">
        <v>17.495000000000001</v>
      </c>
      <c r="H37" s="61">
        <v>25.81</v>
      </c>
      <c r="I37" s="63">
        <v>42375</v>
      </c>
      <c r="J37" s="64" t="s">
        <v>124</v>
      </c>
    </row>
    <row r="38" spans="1:17" s="50" customFormat="1" x14ac:dyDescent="0.25">
      <c r="A38" t="s">
        <v>186</v>
      </c>
      <c r="B38" s="48">
        <v>7</v>
      </c>
      <c r="C38" s="60">
        <f t="shared" ref="C38:C39" si="0">10000*G38</f>
        <v>174950</v>
      </c>
      <c r="D38" s="61" t="s">
        <v>199</v>
      </c>
      <c r="E38" s="61" t="s">
        <v>839</v>
      </c>
      <c r="F38" s="61" t="s">
        <v>198</v>
      </c>
      <c r="G38" s="62">
        <v>17.495000000000001</v>
      </c>
      <c r="H38" s="61">
        <v>25.73</v>
      </c>
      <c r="I38" s="63">
        <v>42375</v>
      </c>
      <c r="J38" s="64" t="s">
        <v>124</v>
      </c>
    </row>
    <row r="39" spans="1:17" s="50" customFormat="1" x14ac:dyDescent="0.25">
      <c r="A39" t="s">
        <v>186</v>
      </c>
      <c r="B39" s="48">
        <v>7</v>
      </c>
      <c r="C39" s="60">
        <f t="shared" si="0"/>
        <v>174950</v>
      </c>
      <c r="D39" s="61" t="s">
        <v>200</v>
      </c>
      <c r="E39" s="61" t="s">
        <v>840</v>
      </c>
      <c r="F39" s="61" t="s">
        <v>198</v>
      </c>
      <c r="G39" s="62">
        <v>17.495000000000001</v>
      </c>
      <c r="H39" s="61">
        <v>25.73</v>
      </c>
      <c r="I39" s="63">
        <v>42375</v>
      </c>
      <c r="J39" s="64" t="s">
        <v>124</v>
      </c>
    </row>
    <row r="40" spans="1:17" s="50" customFormat="1" x14ac:dyDescent="0.25">
      <c r="A40" t="s">
        <v>117</v>
      </c>
      <c r="B40" s="48">
        <v>8</v>
      </c>
      <c r="C40" s="60">
        <f>25000*G40</f>
        <v>437375</v>
      </c>
      <c r="D40" s="61" t="s">
        <v>841</v>
      </c>
      <c r="E40" s="61" t="s">
        <v>845</v>
      </c>
      <c r="F40" s="61" t="s">
        <v>201</v>
      </c>
      <c r="G40" s="62">
        <v>17.495000000000001</v>
      </c>
      <c r="H40" s="61">
        <v>25.89</v>
      </c>
      <c r="I40" s="63">
        <v>42375</v>
      </c>
      <c r="J40" s="64" t="s">
        <v>124</v>
      </c>
    </row>
    <row r="41" spans="1:17" s="50" customFormat="1" x14ac:dyDescent="0.25">
      <c r="A41" t="s">
        <v>117</v>
      </c>
      <c r="B41" s="48">
        <v>8</v>
      </c>
      <c r="C41" s="60">
        <f>22000*G41</f>
        <v>384890</v>
      </c>
      <c r="D41" s="61" t="s">
        <v>202</v>
      </c>
      <c r="E41" s="61" t="s">
        <v>838</v>
      </c>
      <c r="F41" s="61" t="s">
        <v>203</v>
      </c>
      <c r="G41" s="62">
        <v>17.495000000000001</v>
      </c>
      <c r="H41" s="61">
        <v>26.58</v>
      </c>
      <c r="I41" s="63">
        <v>42375</v>
      </c>
      <c r="J41" s="64" t="s">
        <v>124</v>
      </c>
    </row>
    <row r="42" spans="1:17" s="50" customFormat="1" x14ac:dyDescent="0.25">
      <c r="A42" t="s">
        <v>117</v>
      </c>
      <c r="B42" s="48">
        <v>8</v>
      </c>
      <c r="C42" s="60">
        <f>22000*G42</f>
        <v>384890</v>
      </c>
      <c r="D42" s="61" t="s">
        <v>204</v>
      </c>
      <c r="E42" s="61" t="s">
        <v>899</v>
      </c>
      <c r="F42" s="61" t="s">
        <v>203</v>
      </c>
      <c r="G42" s="62">
        <v>17.495000000000001</v>
      </c>
      <c r="H42" s="61">
        <v>26.58</v>
      </c>
      <c r="I42" s="63">
        <v>42375</v>
      </c>
      <c r="J42" s="64" t="s">
        <v>124</v>
      </c>
    </row>
    <row r="43" spans="1:17" x14ac:dyDescent="0.25">
      <c r="A43" t="s">
        <v>117</v>
      </c>
      <c r="B43" s="48">
        <v>8</v>
      </c>
      <c r="C43" s="65">
        <f>27762.27*G43</f>
        <v>482508.25260000001</v>
      </c>
      <c r="D43" s="66" t="s">
        <v>205</v>
      </c>
      <c r="E43" s="66" t="s">
        <v>206</v>
      </c>
      <c r="F43" s="66" t="s">
        <v>207</v>
      </c>
      <c r="G43" s="66">
        <v>17.38</v>
      </c>
      <c r="H43" s="66">
        <v>27.06</v>
      </c>
      <c r="I43" s="67">
        <v>42368</v>
      </c>
      <c r="J43" s="68" t="s">
        <v>124</v>
      </c>
      <c r="K43" s="69" t="s">
        <v>208</v>
      </c>
      <c r="L43" s="69"/>
      <c r="M43" s="69"/>
      <c r="N43" s="69"/>
      <c r="O43" s="69"/>
      <c r="P43" s="69"/>
      <c r="Q43" s="69"/>
    </row>
    <row r="44" spans="1:17" x14ac:dyDescent="0.25">
      <c r="A44" t="s">
        <v>117</v>
      </c>
      <c r="B44" s="48">
        <v>8</v>
      </c>
      <c r="C44" s="51">
        <f>26081.11*G44</f>
        <v>450942.39189999999</v>
      </c>
      <c r="D44" s="52" t="s">
        <v>209</v>
      </c>
      <c r="E44" s="52" t="s">
        <v>210</v>
      </c>
      <c r="F44" s="52" t="s">
        <v>211</v>
      </c>
      <c r="G44" s="51">
        <v>17.29</v>
      </c>
      <c r="H44" s="52">
        <v>27.05</v>
      </c>
      <c r="I44" s="53">
        <v>42369</v>
      </c>
      <c r="J44" s="54" t="s">
        <v>124</v>
      </c>
    </row>
    <row r="45" spans="1:17" x14ac:dyDescent="0.25">
      <c r="A45" s="49" t="s">
        <v>118</v>
      </c>
      <c r="B45" s="48">
        <v>9</v>
      </c>
    </row>
    <row r="46" spans="1:17" x14ac:dyDescent="0.25">
      <c r="A46" s="49" t="s">
        <v>119</v>
      </c>
      <c r="B46" s="48">
        <v>10</v>
      </c>
    </row>
    <row r="47" spans="1:17" x14ac:dyDescent="0.25">
      <c r="A47" t="s">
        <v>125</v>
      </c>
      <c r="B47" s="48">
        <v>11</v>
      </c>
      <c r="C47" s="51">
        <f>24677.12*G47</f>
        <v>426667.40479999996</v>
      </c>
      <c r="D47" s="52" t="s">
        <v>212</v>
      </c>
      <c r="E47" s="52" t="s">
        <v>213</v>
      </c>
      <c r="F47" s="52" t="s">
        <v>214</v>
      </c>
      <c r="G47" s="51">
        <v>17.29</v>
      </c>
      <c r="H47" s="52">
        <v>24.67</v>
      </c>
      <c r="I47" s="53">
        <v>42369</v>
      </c>
      <c r="J47" s="54" t="s">
        <v>124</v>
      </c>
    </row>
    <row r="48" spans="1:17" x14ac:dyDescent="0.25">
      <c r="A48" t="s">
        <v>125</v>
      </c>
      <c r="B48" s="48">
        <v>11</v>
      </c>
      <c r="C48" s="51">
        <f>25231.6*G48</f>
        <v>436254.36399999994</v>
      </c>
      <c r="D48" s="52" t="s">
        <v>215</v>
      </c>
      <c r="E48" s="52" t="s">
        <v>216</v>
      </c>
      <c r="F48" s="52" t="s">
        <v>217</v>
      </c>
      <c r="G48" s="51">
        <v>17.29</v>
      </c>
      <c r="H48" s="52">
        <v>24.63</v>
      </c>
      <c r="I48" s="53">
        <v>42369</v>
      </c>
      <c r="J48" s="54" t="s">
        <v>124</v>
      </c>
    </row>
    <row r="49" spans="1:10" x14ac:dyDescent="0.25">
      <c r="A49" t="s">
        <v>125</v>
      </c>
      <c r="B49" s="48">
        <v>11</v>
      </c>
      <c r="C49" s="51">
        <f>24800.73*G49</f>
        <v>428804.62169999996</v>
      </c>
      <c r="D49" s="52" t="s">
        <v>218</v>
      </c>
      <c r="E49" s="52" t="s">
        <v>219</v>
      </c>
      <c r="F49" s="52" t="s">
        <v>220</v>
      </c>
      <c r="G49" s="51">
        <v>17.29</v>
      </c>
      <c r="H49" s="52">
        <v>24.66</v>
      </c>
      <c r="I49" s="53">
        <v>42369</v>
      </c>
      <c r="J49" s="54" t="s">
        <v>124</v>
      </c>
    </row>
    <row r="50" spans="1:10" x14ac:dyDescent="0.25">
      <c r="A50" t="s">
        <v>125</v>
      </c>
      <c r="B50" s="48">
        <v>11</v>
      </c>
      <c r="C50" s="60">
        <f>27000*G50</f>
        <v>483246</v>
      </c>
      <c r="D50" s="61" t="s">
        <v>221</v>
      </c>
      <c r="E50" s="61" t="s">
        <v>949</v>
      </c>
      <c r="F50" s="61" t="s">
        <v>222</v>
      </c>
      <c r="G50" s="62">
        <v>17.898</v>
      </c>
      <c r="H50" s="61">
        <v>26.93</v>
      </c>
      <c r="I50" s="63">
        <v>42380</v>
      </c>
      <c r="J50" s="64" t="s">
        <v>124</v>
      </c>
    </row>
    <row r="51" spans="1:10" x14ac:dyDescent="0.25">
      <c r="A51" t="s">
        <v>125</v>
      </c>
      <c r="B51" s="48">
        <v>11</v>
      </c>
      <c r="C51" s="51">
        <v>586897.5</v>
      </c>
      <c r="D51" s="52" t="s">
        <v>223</v>
      </c>
      <c r="E51" s="52" t="s">
        <v>224</v>
      </c>
      <c r="F51" s="52" t="s">
        <v>156</v>
      </c>
      <c r="G51" s="53">
        <v>42383</v>
      </c>
      <c r="H51" s="53" t="s">
        <v>153</v>
      </c>
      <c r="I51" s="58"/>
      <c r="J51" s="59"/>
    </row>
    <row r="52" spans="1:10" x14ac:dyDescent="0.25">
      <c r="A52" t="s">
        <v>125</v>
      </c>
      <c r="B52" s="48">
        <v>11</v>
      </c>
      <c r="C52" s="51">
        <v>361865</v>
      </c>
      <c r="D52" s="52" t="s">
        <v>223</v>
      </c>
      <c r="E52" s="52" t="s">
        <v>225</v>
      </c>
      <c r="F52" s="52" t="s">
        <v>156</v>
      </c>
      <c r="G52" s="57">
        <v>42387</v>
      </c>
      <c r="H52" s="53" t="s">
        <v>153</v>
      </c>
      <c r="I52" s="58"/>
      <c r="J52" s="59"/>
    </row>
    <row r="53" spans="1:10" x14ac:dyDescent="0.25">
      <c r="A53" t="s">
        <v>125</v>
      </c>
      <c r="B53" s="48">
        <v>11</v>
      </c>
      <c r="C53" s="51">
        <v>554435</v>
      </c>
      <c r="D53" s="52" t="s">
        <v>226</v>
      </c>
      <c r="E53" s="52" t="s">
        <v>227</v>
      </c>
      <c r="F53" s="52" t="s">
        <v>156</v>
      </c>
      <c r="G53" s="53">
        <v>42383</v>
      </c>
      <c r="H53" s="53" t="s">
        <v>153</v>
      </c>
      <c r="I53" s="58"/>
      <c r="J53" s="59"/>
    </row>
    <row r="54" spans="1:10" x14ac:dyDescent="0.25">
      <c r="A54" t="s">
        <v>125</v>
      </c>
      <c r="B54" s="48">
        <v>11</v>
      </c>
      <c r="C54" s="51">
        <f>308455+29032.57</f>
        <v>337487.57</v>
      </c>
      <c r="D54" s="52" t="s">
        <v>228</v>
      </c>
      <c r="E54" s="52" t="s">
        <v>229</v>
      </c>
      <c r="F54" s="52" t="s">
        <v>156</v>
      </c>
      <c r="G54" s="57">
        <v>42387</v>
      </c>
      <c r="H54" s="53" t="s">
        <v>153</v>
      </c>
      <c r="I54" s="58"/>
      <c r="J54" s="59"/>
    </row>
    <row r="55" spans="1:10" x14ac:dyDescent="0.25">
      <c r="A55" t="s">
        <v>125</v>
      </c>
      <c r="B55" s="48">
        <v>11</v>
      </c>
      <c r="C55" s="51">
        <v>572810</v>
      </c>
      <c r="D55" s="52" t="s">
        <v>230</v>
      </c>
      <c r="E55" s="52" t="s">
        <v>231</v>
      </c>
      <c r="F55" s="52" t="s">
        <v>156</v>
      </c>
      <c r="G55" s="57">
        <v>42387</v>
      </c>
      <c r="H55" s="53" t="s">
        <v>153</v>
      </c>
      <c r="I55" s="58"/>
      <c r="J55" s="59"/>
    </row>
    <row r="56" spans="1:10" x14ac:dyDescent="0.25">
      <c r="A56" t="s">
        <v>125</v>
      </c>
      <c r="B56" s="48">
        <v>11</v>
      </c>
      <c r="C56" s="51">
        <f>335160+48585</f>
        <v>383745</v>
      </c>
      <c r="D56" s="52" t="s">
        <v>230</v>
      </c>
      <c r="E56" s="52" t="s">
        <v>232</v>
      </c>
      <c r="F56" s="52" t="s">
        <v>156</v>
      </c>
      <c r="G56" s="53">
        <v>42388</v>
      </c>
      <c r="H56" s="53" t="s">
        <v>153</v>
      </c>
      <c r="I56" s="50"/>
      <c r="J56" s="50"/>
    </row>
    <row r="57" spans="1:10" x14ac:dyDescent="0.25">
      <c r="A57" t="s">
        <v>128</v>
      </c>
      <c r="B57" s="48">
        <v>12</v>
      </c>
      <c r="C57" s="51">
        <f>631120+14871.78</f>
        <v>645991.78</v>
      </c>
      <c r="D57" s="52" t="s">
        <v>233</v>
      </c>
      <c r="E57" s="52" t="s">
        <v>234</v>
      </c>
      <c r="F57" s="52" t="s">
        <v>156</v>
      </c>
      <c r="G57" s="53">
        <v>42388</v>
      </c>
      <c r="H57" s="53" t="s">
        <v>153</v>
      </c>
      <c r="I57" s="50"/>
      <c r="J57" s="50"/>
    </row>
    <row r="58" spans="1:10" x14ac:dyDescent="0.25">
      <c r="A58" t="s">
        <v>128</v>
      </c>
      <c r="B58" s="48">
        <v>12</v>
      </c>
      <c r="C58" s="51">
        <v>574525</v>
      </c>
      <c r="D58" s="52" t="s">
        <v>235</v>
      </c>
      <c r="E58" s="52" t="s">
        <v>236</v>
      </c>
      <c r="F58" s="52" t="s">
        <v>156</v>
      </c>
      <c r="G58" s="53">
        <v>42389</v>
      </c>
      <c r="H58" s="53" t="s">
        <v>153</v>
      </c>
      <c r="I58" s="50"/>
      <c r="J58" s="50"/>
    </row>
    <row r="59" spans="1:10" x14ac:dyDescent="0.25">
      <c r="A59" t="s">
        <v>128</v>
      </c>
      <c r="B59" s="48">
        <v>12</v>
      </c>
      <c r="C59" s="51">
        <v>136462.29999999999</v>
      </c>
      <c r="D59" s="52" t="s">
        <v>237</v>
      </c>
      <c r="E59" s="52" t="s">
        <v>59</v>
      </c>
      <c r="F59" s="52" t="s">
        <v>238</v>
      </c>
      <c r="G59" s="53">
        <v>42387</v>
      </c>
      <c r="H59" s="52" t="s">
        <v>952</v>
      </c>
      <c r="I59" s="50"/>
      <c r="J59" s="50"/>
    </row>
    <row r="60" spans="1:10" x14ac:dyDescent="0.25">
      <c r="A60" t="s">
        <v>120</v>
      </c>
      <c r="B60" s="48">
        <v>13</v>
      </c>
      <c r="C60" s="51">
        <f>300207.8+297424.1</f>
        <v>597631.89999999991</v>
      </c>
      <c r="D60" s="52" t="s">
        <v>844</v>
      </c>
      <c r="E60" s="52" t="s">
        <v>897</v>
      </c>
      <c r="F60" s="52" t="s">
        <v>152</v>
      </c>
      <c r="G60" s="53">
        <v>42383</v>
      </c>
      <c r="H60" s="53" t="s">
        <v>153</v>
      </c>
      <c r="I60" s="50"/>
      <c r="J60" s="50"/>
    </row>
    <row r="61" spans="1:10" x14ac:dyDescent="0.25">
      <c r="A61" t="s">
        <v>120</v>
      </c>
      <c r="B61" s="48">
        <v>13</v>
      </c>
      <c r="C61" s="60">
        <f>28000*G61</f>
        <v>498960</v>
      </c>
      <c r="D61" s="61" t="s">
        <v>817</v>
      </c>
      <c r="E61" s="61" t="s">
        <v>951</v>
      </c>
      <c r="F61" s="61" t="s">
        <v>818</v>
      </c>
      <c r="G61" s="60">
        <v>17.82</v>
      </c>
      <c r="H61" s="61">
        <v>27.35</v>
      </c>
      <c r="I61" s="63">
        <v>42382</v>
      </c>
      <c r="J61" s="64" t="s">
        <v>124</v>
      </c>
    </row>
    <row r="62" spans="1:10" x14ac:dyDescent="0.25">
      <c r="A62" t="s">
        <v>186</v>
      </c>
      <c r="B62" s="48">
        <v>14</v>
      </c>
      <c r="C62" s="60">
        <f t="shared" ref="C62:C66" si="1">28000*G62</f>
        <v>503608</v>
      </c>
      <c r="D62" s="61" t="s">
        <v>819</v>
      </c>
      <c r="E62" s="61" t="s">
        <v>973</v>
      </c>
      <c r="F62" s="61" t="s">
        <v>818</v>
      </c>
      <c r="G62" s="62">
        <v>17.986000000000001</v>
      </c>
      <c r="H62" s="61">
        <v>28.16</v>
      </c>
      <c r="I62" s="63">
        <v>42383</v>
      </c>
      <c r="J62" s="64" t="s">
        <v>124</v>
      </c>
    </row>
    <row r="63" spans="1:10" x14ac:dyDescent="0.25">
      <c r="A63" t="s">
        <v>186</v>
      </c>
      <c r="B63" s="48">
        <v>14</v>
      </c>
      <c r="C63" s="60">
        <f t="shared" si="1"/>
        <v>503608</v>
      </c>
      <c r="D63" s="61" t="s">
        <v>820</v>
      </c>
      <c r="E63" s="61" t="s">
        <v>974</v>
      </c>
      <c r="F63" s="61" t="s">
        <v>818</v>
      </c>
      <c r="G63" s="62">
        <v>17.986000000000001</v>
      </c>
      <c r="H63" s="61">
        <v>28.16</v>
      </c>
      <c r="I63" s="63">
        <v>42383</v>
      </c>
      <c r="J63" s="64" t="s">
        <v>124</v>
      </c>
    </row>
    <row r="64" spans="1:10" x14ac:dyDescent="0.25">
      <c r="A64" t="s">
        <v>117</v>
      </c>
      <c r="B64" s="48">
        <v>15</v>
      </c>
      <c r="C64" s="60">
        <f t="shared" si="1"/>
        <v>511783.99999999994</v>
      </c>
      <c r="D64" s="61" t="s">
        <v>824</v>
      </c>
      <c r="E64" s="61" t="s">
        <v>1009</v>
      </c>
      <c r="F64" s="61" t="s">
        <v>901</v>
      </c>
      <c r="G64" s="62">
        <v>18.277999999999999</v>
      </c>
      <c r="H64" s="61">
        <v>29.47</v>
      </c>
      <c r="I64" s="63">
        <v>42384</v>
      </c>
      <c r="J64" s="64" t="s">
        <v>124</v>
      </c>
    </row>
    <row r="65" spans="1:11" x14ac:dyDescent="0.25">
      <c r="A65" t="s">
        <v>117</v>
      </c>
      <c r="B65" s="48">
        <v>15</v>
      </c>
      <c r="C65" s="60">
        <f t="shared" si="1"/>
        <v>511783.99999999994</v>
      </c>
      <c r="D65" s="61" t="s">
        <v>821</v>
      </c>
      <c r="E65" s="61" t="s">
        <v>1013</v>
      </c>
      <c r="F65" s="61" t="s">
        <v>902</v>
      </c>
      <c r="G65" s="62">
        <v>18.277999999999999</v>
      </c>
      <c r="H65" s="61">
        <v>29.33</v>
      </c>
      <c r="I65" s="63">
        <v>42384</v>
      </c>
      <c r="J65" s="64" t="s">
        <v>124</v>
      </c>
    </row>
    <row r="66" spans="1:11" x14ac:dyDescent="0.25">
      <c r="A66" t="s">
        <v>117</v>
      </c>
      <c r="B66" s="48">
        <v>15</v>
      </c>
      <c r="C66" s="60">
        <f t="shared" si="1"/>
        <v>511783.99999999994</v>
      </c>
      <c r="D66" s="61" t="s">
        <v>822</v>
      </c>
      <c r="E66" s="61" t="s">
        <v>1014</v>
      </c>
      <c r="F66" s="61" t="s">
        <v>902</v>
      </c>
      <c r="G66" s="62">
        <v>18.277999999999999</v>
      </c>
      <c r="H66" s="61">
        <v>29.33</v>
      </c>
      <c r="I66" s="63">
        <v>42384</v>
      </c>
      <c r="J66" s="64" t="s">
        <v>124</v>
      </c>
    </row>
    <row r="67" spans="1:11" x14ac:dyDescent="0.25">
      <c r="A67" t="s">
        <v>117</v>
      </c>
      <c r="B67" s="48">
        <v>15</v>
      </c>
      <c r="C67" s="51">
        <f>31973.77*G67</f>
        <v>570092.31909999996</v>
      </c>
      <c r="D67" s="52" t="s">
        <v>239</v>
      </c>
      <c r="E67" s="52" t="s">
        <v>240</v>
      </c>
      <c r="F67" s="52" t="s">
        <v>241</v>
      </c>
      <c r="G67" s="70">
        <v>17.829999999999998</v>
      </c>
      <c r="H67" s="52">
        <v>29.36</v>
      </c>
      <c r="I67" s="53">
        <v>42381</v>
      </c>
      <c r="J67" s="54" t="s">
        <v>124</v>
      </c>
    </row>
    <row r="68" spans="1:11" x14ac:dyDescent="0.25">
      <c r="A68" t="s">
        <v>117</v>
      </c>
      <c r="B68" s="48">
        <v>15</v>
      </c>
      <c r="C68" s="51">
        <f>31653.88*G68</f>
        <v>564388.68039999995</v>
      </c>
      <c r="D68" s="52" t="s">
        <v>242</v>
      </c>
      <c r="E68" s="52" t="s">
        <v>243</v>
      </c>
      <c r="F68" s="52" t="s">
        <v>244</v>
      </c>
      <c r="G68" s="70">
        <v>17.829999999999998</v>
      </c>
      <c r="H68" s="52">
        <v>29.36</v>
      </c>
      <c r="I68" s="53">
        <v>42381</v>
      </c>
      <c r="J68" s="54" t="s">
        <v>124</v>
      </c>
    </row>
    <row r="69" spans="1:11" x14ac:dyDescent="0.25">
      <c r="A69" t="s">
        <v>117</v>
      </c>
      <c r="B69" s="48">
        <v>15</v>
      </c>
      <c r="C69" s="51">
        <f>24528.2*G69</f>
        <v>439005.72360000003</v>
      </c>
      <c r="D69" s="52" t="s">
        <v>245</v>
      </c>
      <c r="E69" s="52" t="s">
        <v>246</v>
      </c>
      <c r="F69" s="52" t="s">
        <v>247</v>
      </c>
      <c r="G69" s="70">
        <v>17.898</v>
      </c>
      <c r="H69" s="52">
        <v>25.6</v>
      </c>
      <c r="I69" s="53">
        <v>42380</v>
      </c>
      <c r="J69" s="54" t="s">
        <v>124</v>
      </c>
      <c r="K69" s="59"/>
    </row>
    <row r="70" spans="1:11" x14ac:dyDescent="0.25">
      <c r="A70" t="s">
        <v>117</v>
      </c>
      <c r="B70" s="48">
        <v>15</v>
      </c>
      <c r="C70" s="51">
        <f>25729.51*G70</f>
        <v>460506.76997999998</v>
      </c>
      <c r="D70" s="52" t="s">
        <v>248</v>
      </c>
      <c r="E70" s="52" t="s">
        <v>249</v>
      </c>
      <c r="F70" s="52" t="s">
        <v>250</v>
      </c>
      <c r="G70" s="70">
        <v>17.898</v>
      </c>
      <c r="H70" s="52">
        <v>25.53</v>
      </c>
      <c r="I70" s="53">
        <v>42380</v>
      </c>
      <c r="J70" s="54" t="s">
        <v>124</v>
      </c>
    </row>
    <row r="71" spans="1:11" x14ac:dyDescent="0.25">
      <c r="A71" t="s">
        <v>117</v>
      </c>
      <c r="B71" s="48">
        <v>15</v>
      </c>
      <c r="C71" s="51">
        <f>23252.68*G71</f>
        <v>414595.28439999995</v>
      </c>
      <c r="D71" s="52" t="s">
        <v>251</v>
      </c>
      <c r="E71" s="52" t="s">
        <v>252</v>
      </c>
      <c r="F71" s="52" t="s">
        <v>253</v>
      </c>
      <c r="G71" s="70">
        <v>17.829999999999998</v>
      </c>
      <c r="H71" s="52">
        <v>25.49</v>
      </c>
      <c r="I71" s="53">
        <v>42381</v>
      </c>
      <c r="J71" s="54" t="s">
        <v>124</v>
      </c>
    </row>
    <row r="72" spans="1:11" x14ac:dyDescent="0.25">
      <c r="A72" s="49" t="s">
        <v>118</v>
      </c>
      <c r="B72" s="48">
        <v>16</v>
      </c>
    </row>
    <row r="73" spans="1:11" x14ac:dyDescent="0.25">
      <c r="A73" s="49" t="s">
        <v>119</v>
      </c>
      <c r="B73" s="48">
        <v>17</v>
      </c>
    </row>
    <row r="74" spans="1:11" x14ac:dyDescent="0.25">
      <c r="A74" s="50" t="s">
        <v>125</v>
      </c>
      <c r="B74" s="48">
        <v>18</v>
      </c>
      <c r="C74" s="60">
        <f>30000*G74</f>
        <v>548910</v>
      </c>
      <c r="D74" s="61" t="s">
        <v>823</v>
      </c>
      <c r="E74" s="61" t="s">
        <v>1015</v>
      </c>
      <c r="F74" s="61" t="s">
        <v>901</v>
      </c>
      <c r="G74" s="62">
        <v>18.297000000000001</v>
      </c>
      <c r="H74" s="61">
        <v>29.26</v>
      </c>
      <c r="I74" s="63">
        <v>42387</v>
      </c>
      <c r="J74" s="64" t="s">
        <v>124</v>
      </c>
    </row>
    <row r="75" spans="1:11" s="50" customFormat="1" x14ac:dyDescent="0.25">
      <c r="A75" s="50" t="s">
        <v>125</v>
      </c>
      <c r="B75" s="56">
        <v>18</v>
      </c>
      <c r="C75" s="51">
        <v>66738</v>
      </c>
      <c r="D75" s="52" t="s">
        <v>890</v>
      </c>
      <c r="E75" s="52" t="s">
        <v>941</v>
      </c>
      <c r="F75" s="52" t="s">
        <v>891</v>
      </c>
      <c r="G75" s="53">
        <v>42394</v>
      </c>
      <c r="H75" s="52" t="s">
        <v>952</v>
      </c>
    </row>
    <row r="76" spans="1:11" x14ac:dyDescent="0.25">
      <c r="A76" t="s">
        <v>125</v>
      </c>
      <c r="B76" s="48">
        <v>18</v>
      </c>
      <c r="C76" s="51">
        <v>495390</v>
      </c>
      <c r="D76" s="52" t="s">
        <v>254</v>
      </c>
      <c r="E76" s="52" t="s">
        <v>255</v>
      </c>
      <c r="F76" s="52" t="s">
        <v>156</v>
      </c>
      <c r="G76" s="53">
        <v>42389</v>
      </c>
      <c r="H76" s="53" t="s">
        <v>153</v>
      </c>
    </row>
    <row r="77" spans="1:11" x14ac:dyDescent="0.25">
      <c r="A77" t="s">
        <v>125</v>
      </c>
      <c r="B77" s="48">
        <v>18</v>
      </c>
      <c r="C77" s="51">
        <v>322665</v>
      </c>
      <c r="D77" s="52" t="s">
        <v>254</v>
      </c>
      <c r="E77" s="52" t="s">
        <v>256</v>
      </c>
      <c r="F77" s="52" t="s">
        <v>156</v>
      </c>
      <c r="G77" s="53">
        <v>42390</v>
      </c>
      <c r="H77" s="53" t="s">
        <v>153</v>
      </c>
    </row>
    <row r="78" spans="1:11" x14ac:dyDescent="0.25">
      <c r="A78" t="s">
        <v>125</v>
      </c>
      <c r="B78" s="48">
        <v>18</v>
      </c>
      <c r="C78" s="51">
        <f>409640+19493.25-33440</f>
        <v>395693.25</v>
      </c>
      <c r="D78" s="52" t="s">
        <v>257</v>
      </c>
      <c r="E78" s="52" t="s">
        <v>883</v>
      </c>
      <c r="F78" s="52" t="s">
        <v>156</v>
      </c>
      <c r="G78" s="96" t="s">
        <v>1008</v>
      </c>
      <c r="H78" s="53">
        <v>42391</v>
      </c>
      <c r="I78" s="53" t="s">
        <v>153</v>
      </c>
    </row>
    <row r="79" spans="1:11" x14ac:dyDescent="0.25">
      <c r="A79" t="s">
        <v>125</v>
      </c>
      <c r="B79" s="48">
        <v>18</v>
      </c>
      <c r="C79" s="51">
        <f>328300-26800</f>
        <v>301500</v>
      </c>
      <c r="D79" s="52" t="s">
        <v>257</v>
      </c>
      <c r="E79" s="52" t="s">
        <v>258</v>
      </c>
      <c r="F79" s="52" t="s">
        <v>156</v>
      </c>
      <c r="G79" s="96" t="s">
        <v>1008</v>
      </c>
      <c r="H79" s="53">
        <v>42391</v>
      </c>
      <c r="I79" s="53" t="s">
        <v>153</v>
      </c>
    </row>
    <row r="80" spans="1:11" x14ac:dyDescent="0.25">
      <c r="A80" t="s">
        <v>128</v>
      </c>
      <c r="B80" s="48">
        <v>19</v>
      </c>
      <c r="C80" s="51">
        <f>502495-2512.48</f>
        <v>499982.52</v>
      </c>
      <c r="D80" s="52" t="s">
        <v>259</v>
      </c>
      <c r="E80" s="52" t="s">
        <v>260</v>
      </c>
      <c r="F80" s="52" t="s">
        <v>156</v>
      </c>
      <c r="G80" s="52" t="s">
        <v>261</v>
      </c>
      <c r="H80" s="53">
        <v>42394</v>
      </c>
      <c r="I80" s="53" t="s">
        <v>153</v>
      </c>
    </row>
    <row r="81" spans="1:10" x14ac:dyDescent="0.25">
      <c r="A81" t="s">
        <v>128</v>
      </c>
      <c r="B81" s="48">
        <v>19</v>
      </c>
      <c r="C81" s="51">
        <f>328667.5+68493</f>
        <v>397160.5</v>
      </c>
      <c r="D81" s="52" t="s">
        <v>259</v>
      </c>
      <c r="E81" s="52" t="s">
        <v>884</v>
      </c>
      <c r="F81" s="52" t="s">
        <v>156</v>
      </c>
      <c r="G81" s="53">
        <v>42394</v>
      </c>
      <c r="H81" s="53" t="s">
        <v>153</v>
      </c>
    </row>
    <row r="82" spans="1:10" x14ac:dyDescent="0.25">
      <c r="A82" t="s">
        <v>128</v>
      </c>
      <c r="B82" s="48">
        <v>19</v>
      </c>
      <c r="C82" s="51">
        <f>321440-2695</f>
        <v>318745</v>
      </c>
      <c r="D82" s="52" t="s">
        <v>262</v>
      </c>
      <c r="E82" s="52" t="s">
        <v>71</v>
      </c>
      <c r="F82" s="52" t="s">
        <v>156</v>
      </c>
      <c r="G82" s="52" t="s">
        <v>261</v>
      </c>
      <c r="H82" s="53">
        <v>42408</v>
      </c>
      <c r="I82" s="53" t="s">
        <v>153</v>
      </c>
    </row>
    <row r="83" spans="1:10" x14ac:dyDescent="0.25">
      <c r="A83" t="s">
        <v>120</v>
      </c>
      <c r="B83" s="48">
        <v>20</v>
      </c>
      <c r="C83" s="51">
        <f>25280.84*G83</f>
        <v>450757.37719999999</v>
      </c>
      <c r="D83" s="52" t="s">
        <v>263</v>
      </c>
      <c r="E83" s="52" t="s">
        <v>264</v>
      </c>
      <c r="F83" s="52" t="s">
        <v>265</v>
      </c>
      <c r="G83" s="70">
        <v>17.829999999999998</v>
      </c>
      <c r="H83" s="52">
        <v>25.84</v>
      </c>
      <c r="I83" s="53">
        <v>42381</v>
      </c>
      <c r="J83" s="54" t="s">
        <v>124</v>
      </c>
    </row>
    <row r="84" spans="1:10" x14ac:dyDescent="0.25">
      <c r="A84" t="s">
        <v>120</v>
      </c>
      <c r="B84" s="48">
        <v>20</v>
      </c>
      <c r="C84" s="51">
        <f>590082.5-12042.5</f>
        <v>578040</v>
      </c>
      <c r="D84" s="52" t="s">
        <v>266</v>
      </c>
      <c r="E84" s="52" t="s">
        <v>78</v>
      </c>
      <c r="F84" s="52" t="s">
        <v>156</v>
      </c>
      <c r="G84" s="53">
        <v>42394</v>
      </c>
      <c r="H84" s="53" t="s">
        <v>153</v>
      </c>
    </row>
    <row r="85" spans="1:10" x14ac:dyDescent="0.25">
      <c r="A85" t="s">
        <v>120</v>
      </c>
      <c r="B85" s="48">
        <v>20</v>
      </c>
      <c r="C85" s="51">
        <f>348267.5-7107.5-5248.8+7702.5</f>
        <v>343613.7</v>
      </c>
      <c r="D85" s="52" t="s">
        <v>267</v>
      </c>
      <c r="E85" s="52" t="s">
        <v>882</v>
      </c>
      <c r="F85" s="52" t="s">
        <v>156</v>
      </c>
      <c r="G85" s="52" t="s">
        <v>268</v>
      </c>
      <c r="H85" s="53">
        <v>42397</v>
      </c>
      <c r="I85" s="53" t="s">
        <v>153</v>
      </c>
    </row>
    <row r="86" spans="1:10" x14ac:dyDescent="0.25">
      <c r="A86" t="s">
        <v>120</v>
      </c>
      <c r="B86" s="48">
        <v>20</v>
      </c>
      <c r="C86" s="60">
        <f>30000*G86</f>
        <v>546930</v>
      </c>
      <c r="D86" s="61" t="s">
        <v>950</v>
      </c>
      <c r="E86" s="61" t="s">
        <v>1080</v>
      </c>
      <c r="F86" s="61" t="s">
        <v>901</v>
      </c>
      <c r="G86" s="62">
        <v>18.231000000000002</v>
      </c>
      <c r="H86" s="61">
        <v>29.53</v>
      </c>
      <c r="I86" s="63">
        <v>42389</v>
      </c>
      <c r="J86" s="64" t="s">
        <v>124</v>
      </c>
    </row>
    <row r="87" spans="1:10" s="50" customFormat="1" x14ac:dyDescent="0.25">
      <c r="A87" s="50" t="s">
        <v>120</v>
      </c>
      <c r="B87" s="56">
        <v>20</v>
      </c>
      <c r="C87" s="51">
        <f>283050.46+272250.55</f>
        <v>555301.01</v>
      </c>
      <c r="D87" s="52" t="s">
        <v>993</v>
      </c>
      <c r="E87" s="52" t="s">
        <v>992</v>
      </c>
      <c r="F87" s="52" t="s">
        <v>152</v>
      </c>
      <c r="G87" s="53">
        <v>42389</v>
      </c>
      <c r="H87" s="53" t="s">
        <v>153</v>
      </c>
      <c r="I87" s="58"/>
      <c r="J87" s="59"/>
    </row>
    <row r="88" spans="1:10" x14ac:dyDescent="0.25">
      <c r="A88" t="s">
        <v>186</v>
      </c>
      <c r="B88" s="48">
        <v>21</v>
      </c>
      <c r="C88" s="51">
        <f>650352.5-13272.5+14812.44</f>
        <v>651892.43999999994</v>
      </c>
      <c r="D88" s="52" t="s">
        <v>269</v>
      </c>
      <c r="E88" s="52" t="s">
        <v>885</v>
      </c>
      <c r="F88" s="52" t="s">
        <v>156</v>
      </c>
      <c r="G88" s="53">
        <v>42396</v>
      </c>
      <c r="H88" s="53" t="s">
        <v>153</v>
      </c>
    </row>
    <row r="89" spans="1:10" x14ac:dyDescent="0.25">
      <c r="A89" t="s">
        <v>186</v>
      </c>
      <c r="B89" s="48">
        <v>21</v>
      </c>
      <c r="C89" s="51">
        <f>323155-6595</f>
        <v>316560</v>
      </c>
      <c r="D89" s="52" t="s">
        <v>1007</v>
      </c>
      <c r="E89" s="52" t="s">
        <v>89</v>
      </c>
      <c r="F89" s="52" t="s">
        <v>156</v>
      </c>
      <c r="G89" s="53">
        <v>42397</v>
      </c>
      <c r="H89" s="53" t="s">
        <v>153</v>
      </c>
    </row>
    <row r="90" spans="1:10" x14ac:dyDescent="0.25">
      <c r="A90" t="s">
        <v>186</v>
      </c>
      <c r="B90" s="48">
        <v>21</v>
      </c>
      <c r="C90" s="51">
        <v>271479.59999999998</v>
      </c>
      <c r="D90" s="52" t="s">
        <v>1005</v>
      </c>
      <c r="E90" s="52" t="s">
        <v>1004</v>
      </c>
      <c r="F90" s="52" t="s">
        <v>1006</v>
      </c>
      <c r="G90" s="53">
        <v>42390</v>
      </c>
      <c r="H90" s="54" t="s">
        <v>124</v>
      </c>
    </row>
    <row r="91" spans="1:10" ht="15.75" customHeight="1" x14ac:dyDescent="0.25">
      <c r="A91" t="s">
        <v>186</v>
      </c>
      <c r="B91" s="48">
        <v>21</v>
      </c>
      <c r="C91" s="60">
        <f>29000*G91</f>
        <v>534963</v>
      </c>
      <c r="D91" s="61" t="s">
        <v>1055</v>
      </c>
      <c r="E91" s="61" t="s">
        <v>1081</v>
      </c>
      <c r="F91" s="61" t="s">
        <v>902</v>
      </c>
      <c r="G91" s="61">
        <v>18.446999999999999</v>
      </c>
      <c r="H91" s="61">
        <v>29.74</v>
      </c>
      <c r="I91" s="63">
        <v>42390</v>
      </c>
      <c r="J91" s="64" t="s">
        <v>124</v>
      </c>
    </row>
    <row r="92" spans="1:10" ht="15.75" customHeight="1" x14ac:dyDescent="0.25">
      <c r="A92" t="s">
        <v>186</v>
      </c>
      <c r="B92" s="48">
        <v>21</v>
      </c>
      <c r="C92" s="60">
        <f>29000*G92</f>
        <v>534963</v>
      </c>
      <c r="D92" s="61" t="s">
        <v>1056</v>
      </c>
      <c r="E92" s="61" t="s">
        <v>1082</v>
      </c>
      <c r="F92" s="61" t="s">
        <v>902</v>
      </c>
      <c r="G92" s="61">
        <v>18.446999999999999</v>
      </c>
      <c r="H92" s="61">
        <v>29.76</v>
      </c>
      <c r="I92" s="63">
        <v>42390</v>
      </c>
      <c r="J92" s="64" t="s">
        <v>124</v>
      </c>
    </row>
    <row r="93" spans="1:10" ht="15.75" customHeight="1" x14ac:dyDescent="0.25">
      <c r="A93" t="s">
        <v>117</v>
      </c>
      <c r="B93" s="48">
        <v>22</v>
      </c>
      <c r="C93" s="60">
        <f>30000*G93</f>
        <v>556110</v>
      </c>
      <c r="D93" s="61" t="s">
        <v>1057</v>
      </c>
      <c r="E93" s="61" t="s">
        <v>1110</v>
      </c>
      <c r="F93" s="61" t="s">
        <v>901</v>
      </c>
      <c r="G93" s="61">
        <v>18.536999999999999</v>
      </c>
      <c r="H93" s="61">
        <v>30.8</v>
      </c>
      <c r="I93" s="63">
        <v>42391</v>
      </c>
      <c r="J93" s="64" t="s">
        <v>124</v>
      </c>
    </row>
    <row r="94" spans="1:10" ht="15.75" customHeight="1" x14ac:dyDescent="0.25">
      <c r="A94" t="s">
        <v>117</v>
      </c>
      <c r="B94" s="48">
        <v>22</v>
      </c>
      <c r="C94" s="60">
        <f>30000*G94</f>
        <v>556110</v>
      </c>
      <c r="D94" s="61" t="s">
        <v>1058</v>
      </c>
      <c r="E94" s="61" t="s">
        <v>1111</v>
      </c>
      <c r="F94" s="61" t="s">
        <v>901</v>
      </c>
      <c r="G94" s="61">
        <v>18.536999999999999</v>
      </c>
      <c r="H94" s="61">
        <v>30.09</v>
      </c>
      <c r="I94" s="63">
        <v>42391</v>
      </c>
      <c r="J94" s="64" t="s">
        <v>124</v>
      </c>
    </row>
    <row r="95" spans="1:10" ht="15.75" customHeight="1" x14ac:dyDescent="0.25">
      <c r="A95" t="s">
        <v>117</v>
      </c>
      <c r="B95" s="48">
        <v>22</v>
      </c>
      <c r="C95" s="60">
        <f>30000*G95</f>
        <v>556110</v>
      </c>
      <c r="D95" s="61" t="s">
        <v>975</v>
      </c>
      <c r="E95" s="61" t="s">
        <v>1108</v>
      </c>
      <c r="F95" s="61" t="s">
        <v>901</v>
      </c>
      <c r="G95" s="61">
        <v>18.536999999999999</v>
      </c>
      <c r="H95" s="61">
        <v>30.24</v>
      </c>
      <c r="I95" s="63">
        <v>42391</v>
      </c>
      <c r="J95" s="64" t="s">
        <v>124</v>
      </c>
    </row>
    <row r="96" spans="1:10" ht="15.75" customHeight="1" x14ac:dyDescent="0.25">
      <c r="A96" t="s">
        <v>117</v>
      </c>
      <c r="B96" s="48">
        <v>22</v>
      </c>
      <c r="C96" s="51">
        <v>479900.58</v>
      </c>
      <c r="D96" s="52" t="s">
        <v>966</v>
      </c>
      <c r="E96" s="52" t="s">
        <v>1477</v>
      </c>
      <c r="F96" s="52" t="s">
        <v>888</v>
      </c>
      <c r="G96" s="52">
        <v>25.9</v>
      </c>
      <c r="H96" s="53">
        <v>42398</v>
      </c>
      <c r="I96" s="54" t="s">
        <v>124</v>
      </c>
    </row>
    <row r="97" spans="1:11" s="50" customFormat="1" x14ac:dyDescent="0.25">
      <c r="A97" t="s">
        <v>117</v>
      </c>
      <c r="B97" s="48">
        <v>22</v>
      </c>
      <c r="C97" s="51">
        <f>19150.95*G97</f>
        <v>350404.93215000001</v>
      </c>
      <c r="D97" s="52" t="s">
        <v>922</v>
      </c>
      <c r="E97" s="52" t="s">
        <v>923</v>
      </c>
      <c r="F97" s="52" t="s">
        <v>924</v>
      </c>
      <c r="G97" s="52">
        <v>18.297000000000001</v>
      </c>
      <c r="H97" s="52">
        <v>20.7</v>
      </c>
      <c r="I97" s="53">
        <v>42387</v>
      </c>
      <c r="J97" s="54" t="s">
        <v>124</v>
      </c>
      <c r="K97" s="69" t="s">
        <v>925</v>
      </c>
    </row>
    <row r="98" spans="1:11" s="50" customFormat="1" x14ac:dyDescent="0.25">
      <c r="A98" t="s">
        <v>117</v>
      </c>
      <c r="B98" s="48">
        <v>22</v>
      </c>
      <c r="C98" s="51">
        <f>47328*G98</f>
        <v>865960.41600000008</v>
      </c>
      <c r="D98" s="52" t="s">
        <v>926</v>
      </c>
      <c r="E98" s="52" t="s">
        <v>927</v>
      </c>
      <c r="F98" s="52" t="s">
        <v>928</v>
      </c>
      <c r="G98" s="52">
        <v>18.297000000000001</v>
      </c>
      <c r="H98" s="52">
        <v>48.62</v>
      </c>
      <c r="I98" s="53">
        <v>42387</v>
      </c>
      <c r="J98" s="54" t="s">
        <v>124</v>
      </c>
    </row>
    <row r="99" spans="1:11" ht="15.75" customHeight="1" x14ac:dyDescent="0.25">
      <c r="A99" t="s">
        <v>117</v>
      </c>
      <c r="B99" s="48">
        <v>22</v>
      </c>
      <c r="C99" s="51">
        <v>26267.5</v>
      </c>
      <c r="D99" s="52" t="s">
        <v>946</v>
      </c>
      <c r="E99" s="52" t="s">
        <v>945</v>
      </c>
      <c r="F99" s="52" t="s">
        <v>947</v>
      </c>
      <c r="G99" s="53">
        <v>42394</v>
      </c>
      <c r="H99" s="52" t="s">
        <v>952</v>
      </c>
    </row>
    <row r="100" spans="1:11" x14ac:dyDescent="0.25">
      <c r="A100" t="s">
        <v>117</v>
      </c>
      <c r="B100" s="48">
        <v>22</v>
      </c>
    </row>
    <row r="101" spans="1:11" x14ac:dyDescent="0.25">
      <c r="A101" s="49" t="s">
        <v>118</v>
      </c>
      <c r="B101" s="48">
        <v>23</v>
      </c>
    </row>
    <row r="102" spans="1:11" x14ac:dyDescent="0.25">
      <c r="A102" s="49" t="s">
        <v>119</v>
      </c>
      <c r="B102" s="48">
        <v>24</v>
      </c>
    </row>
    <row r="103" spans="1:11" s="50" customFormat="1" x14ac:dyDescent="0.25">
      <c r="A103" s="50" t="s">
        <v>125</v>
      </c>
      <c r="B103" s="56">
        <v>25</v>
      </c>
      <c r="C103" s="60">
        <f>32000*G103</f>
        <v>593600</v>
      </c>
      <c r="D103" s="61" t="s">
        <v>1047</v>
      </c>
      <c r="E103" s="61" t="s">
        <v>1112</v>
      </c>
      <c r="F103" s="61" t="s">
        <v>1048</v>
      </c>
      <c r="G103" s="61">
        <v>18.55</v>
      </c>
      <c r="H103" s="61">
        <v>30.51</v>
      </c>
      <c r="I103" s="63">
        <v>42394</v>
      </c>
      <c r="J103" s="64" t="s">
        <v>124</v>
      </c>
    </row>
    <row r="104" spans="1:11" x14ac:dyDescent="0.25">
      <c r="A104" t="s">
        <v>125</v>
      </c>
      <c r="B104" s="48">
        <v>25</v>
      </c>
      <c r="C104" s="51">
        <v>492352.47</v>
      </c>
      <c r="D104" s="52" t="s">
        <v>887</v>
      </c>
      <c r="E104" s="52" t="s">
        <v>911</v>
      </c>
      <c r="F104" s="52" t="s">
        <v>888</v>
      </c>
      <c r="G104" s="52">
        <v>25.5</v>
      </c>
      <c r="H104" s="53">
        <v>42408</v>
      </c>
      <c r="I104" s="54" t="s">
        <v>124</v>
      </c>
    </row>
    <row r="105" spans="1:11" x14ac:dyDescent="0.25">
      <c r="A105" t="s">
        <v>125</v>
      </c>
      <c r="B105" s="48">
        <v>25</v>
      </c>
      <c r="C105" s="51">
        <v>507791.35</v>
      </c>
      <c r="D105" s="52" t="s">
        <v>968</v>
      </c>
      <c r="E105" s="52" t="s">
        <v>967</v>
      </c>
      <c r="F105" s="52" t="s">
        <v>127</v>
      </c>
      <c r="G105" s="52">
        <v>27.5</v>
      </c>
      <c r="H105" s="53">
        <v>42394</v>
      </c>
      <c r="I105" s="54" t="s">
        <v>124</v>
      </c>
    </row>
    <row r="106" spans="1:11" s="50" customFormat="1" x14ac:dyDescent="0.25">
      <c r="A106" t="s">
        <v>125</v>
      </c>
      <c r="B106" s="48">
        <v>25</v>
      </c>
      <c r="C106" s="51">
        <v>652830</v>
      </c>
      <c r="D106" s="52" t="s">
        <v>893</v>
      </c>
      <c r="E106" s="52" t="s">
        <v>99</v>
      </c>
      <c r="F106" s="52" t="s">
        <v>156</v>
      </c>
      <c r="G106" s="53">
        <v>42398</v>
      </c>
      <c r="H106" s="53" t="s">
        <v>153</v>
      </c>
    </row>
    <row r="107" spans="1:11" s="50" customFormat="1" x14ac:dyDescent="0.25">
      <c r="A107" t="s">
        <v>125</v>
      </c>
      <c r="B107" s="48">
        <v>25</v>
      </c>
      <c r="C107" s="51">
        <v>585972.5</v>
      </c>
      <c r="D107" s="52" t="s">
        <v>894</v>
      </c>
      <c r="E107" s="52" t="s">
        <v>225</v>
      </c>
      <c r="F107" s="52" t="s">
        <v>156</v>
      </c>
      <c r="G107" s="53">
        <v>42398</v>
      </c>
      <c r="H107" s="53" t="s">
        <v>153</v>
      </c>
    </row>
    <row r="108" spans="1:11" s="50" customFormat="1" x14ac:dyDescent="0.25">
      <c r="A108" t="s">
        <v>125</v>
      </c>
      <c r="B108" s="48">
        <v>25</v>
      </c>
      <c r="C108" s="51">
        <v>519115</v>
      </c>
      <c r="D108" s="52" t="s">
        <v>895</v>
      </c>
      <c r="E108" s="52" t="s">
        <v>833</v>
      </c>
      <c r="F108" s="52" t="s">
        <v>156</v>
      </c>
      <c r="G108" s="53">
        <v>42402</v>
      </c>
      <c r="H108" s="53" t="s">
        <v>153</v>
      </c>
    </row>
    <row r="109" spans="1:11" s="50" customFormat="1" x14ac:dyDescent="0.25">
      <c r="A109" t="s">
        <v>125</v>
      </c>
      <c r="B109" s="48">
        <v>25</v>
      </c>
      <c r="C109" s="51">
        <v>277770</v>
      </c>
      <c r="D109" s="52" t="s">
        <v>896</v>
      </c>
      <c r="E109" s="52" t="s">
        <v>834</v>
      </c>
      <c r="F109" s="52" t="s">
        <v>156</v>
      </c>
      <c r="G109" s="53">
        <v>42402</v>
      </c>
      <c r="H109" s="53" t="s">
        <v>153</v>
      </c>
    </row>
    <row r="110" spans="1:11" s="50" customFormat="1" x14ac:dyDescent="0.25">
      <c r="A110" t="s">
        <v>128</v>
      </c>
      <c r="B110" s="48">
        <v>26</v>
      </c>
      <c r="C110" s="60">
        <f>29000*G110</f>
        <v>538820</v>
      </c>
      <c r="D110" s="61" t="s">
        <v>1067</v>
      </c>
      <c r="E110" s="61" t="s">
        <v>1109</v>
      </c>
      <c r="F110" s="61" t="s">
        <v>902</v>
      </c>
      <c r="G110" s="98">
        <v>18.579999999999998</v>
      </c>
      <c r="H110" s="61">
        <v>30.22</v>
      </c>
      <c r="I110" s="63">
        <v>42395</v>
      </c>
      <c r="J110" s="64" t="s">
        <v>124</v>
      </c>
    </row>
    <row r="111" spans="1:11" s="50" customFormat="1" x14ac:dyDescent="0.25">
      <c r="A111" s="50" t="s">
        <v>128</v>
      </c>
      <c r="B111" s="56">
        <v>26</v>
      </c>
      <c r="C111" s="51">
        <f>24794.95*G111</f>
        <v>453673.20015000005</v>
      </c>
      <c r="D111" s="52" t="s">
        <v>917</v>
      </c>
      <c r="E111" s="52" t="s">
        <v>913</v>
      </c>
      <c r="F111" s="52" t="s">
        <v>914</v>
      </c>
      <c r="G111" s="52">
        <v>18.297000000000001</v>
      </c>
      <c r="H111" s="52">
        <v>26.53</v>
      </c>
      <c r="I111" s="53">
        <v>42387</v>
      </c>
      <c r="J111" s="54" t="s">
        <v>124</v>
      </c>
    </row>
    <row r="112" spans="1:11" s="50" customFormat="1" x14ac:dyDescent="0.25">
      <c r="A112" s="50" t="s">
        <v>128</v>
      </c>
      <c r="B112" s="56">
        <v>26</v>
      </c>
      <c r="C112" s="51">
        <f>24129*G112</f>
        <v>441488.31300000002</v>
      </c>
      <c r="D112" s="52" t="s">
        <v>918</v>
      </c>
      <c r="E112" s="52" t="s">
        <v>915</v>
      </c>
      <c r="F112" s="52" t="s">
        <v>916</v>
      </c>
      <c r="G112" s="52">
        <v>18.297000000000001</v>
      </c>
      <c r="H112" s="52">
        <v>26.57</v>
      </c>
      <c r="I112" s="53">
        <v>42387</v>
      </c>
      <c r="J112" s="54" t="s">
        <v>124</v>
      </c>
    </row>
    <row r="113" spans="1:11" x14ac:dyDescent="0.25">
      <c r="A113" s="50" t="s">
        <v>128</v>
      </c>
      <c r="B113" s="48">
        <v>26</v>
      </c>
      <c r="C113" s="51">
        <f>(29268-10.01)*G113</f>
        <v>542355.36063000001</v>
      </c>
      <c r="D113" s="52" t="s">
        <v>984</v>
      </c>
      <c r="E113" s="52" t="s">
        <v>985</v>
      </c>
      <c r="F113" s="52" t="s">
        <v>986</v>
      </c>
      <c r="G113" s="70">
        <v>18.536999999999999</v>
      </c>
      <c r="H113" s="52" t="s">
        <v>987</v>
      </c>
      <c r="I113" s="53">
        <v>42394</v>
      </c>
      <c r="J113" s="54" t="s">
        <v>124</v>
      </c>
    </row>
    <row r="114" spans="1:11" x14ac:dyDescent="0.25">
      <c r="A114" t="s">
        <v>120</v>
      </c>
      <c r="B114" s="48">
        <v>27</v>
      </c>
      <c r="C114" s="51">
        <v>864428.87</v>
      </c>
      <c r="D114" s="52" t="s">
        <v>935</v>
      </c>
      <c r="E114" s="52" t="s">
        <v>934</v>
      </c>
      <c r="F114" s="52" t="s">
        <v>936</v>
      </c>
      <c r="G114" s="52">
        <v>46.3</v>
      </c>
      <c r="H114" s="53">
        <v>42402</v>
      </c>
      <c r="I114" s="54" t="s">
        <v>124</v>
      </c>
    </row>
    <row r="115" spans="1:11" x14ac:dyDescent="0.25">
      <c r="A115" t="s">
        <v>120</v>
      </c>
      <c r="B115" s="48">
        <v>27</v>
      </c>
      <c r="C115" s="51">
        <v>508070</v>
      </c>
      <c r="D115" s="52" t="s">
        <v>956</v>
      </c>
      <c r="E115" s="52" t="s">
        <v>957</v>
      </c>
      <c r="F115" s="52" t="s">
        <v>156</v>
      </c>
      <c r="G115" s="53">
        <v>42402</v>
      </c>
      <c r="H115" s="53" t="s">
        <v>153</v>
      </c>
    </row>
    <row r="116" spans="1:11" x14ac:dyDescent="0.25">
      <c r="A116" t="s">
        <v>120</v>
      </c>
      <c r="B116" s="48">
        <v>27</v>
      </c>
      <c r="C116" s="51">
        <f>308790+19552.5</f>
        <v>328342.5</v>
      </c>
      <c r="D116" s="52" t="s">
        <v>959</v>
      </c>
      <c r="E116" s="52" t="s">
        <v>958</v>
      </c>
      <c r="F116" s="52" t="s">
        <v>156</v>
      </c>
      <c r="G116" s="53">
        <v>42403</v>
      </c>
      <c r="H116" s="53" t="s">
        <v>153</v>
      </c>
    </row>
    <row r="117" spans="1:11" x14ac:dyDescent="0.25">
      <c r="A117" t="s">
        <v>120</v>
      </c>
      <c r="B117" s="48">
        <v>27</v>
      </c>
      <c r="C117" s="51">
        <f>276540.34+292599.63</f>
        <v>569139.97</v>
      </c>
      <c r="D117" s="52" t="s">
        <v>1072</v>
      </c>
      <c r="E117" s="52" t="s">
        <v>1073</v>
      </c>
      <c r="F117" s="52" t="s">
        <v>152</v>
      </c>
      <c r="G117" s="53">
        <v>42395</v>
      </c>
      <c r="H117" s="53" t="s">
        <v>153</v>
      </c>
    </row>
    <row r="118" spans="1:11" x14ac:dyDescent="0.25">
      <c r="A118" t="s">
        <v>186</v>
      </c>
      <c r="B118" s="48">
        <v>28</v>
      </c>
      <c r="C118" s="60">
        <f>30000*G118</f>
        <v>553800</v>
      </c>
      <c r="D118" s="61" t="s">
        <v>1134</v>
      </c>
      <c r="E118" s="61" t="s">
        <v>1183</v>
      </c>
      <c r="F118" s="61" t="s">
        <v>901</v>
      </c>
      <c r="G118" s="61">
        <v>18.46</v>
      </c>
      <c r="H118" s="61">
        <v>30.3</v>
      </c>
      <c r="I118" s="63">
        <v>42397</v>
      </c>
      <c r="J118" s="64" t="s">
        <v>124</v>
      </c>
    </row>
    <row r="119" spans="1:11" x14ac:dyDescent="0.25">
      <c r="A119" t="s">
        <v>186</v>
      </c>
      <c r="B119" s="48">
        <v>28</v>
      </c>
      <c r="C119" s="60">
        <f>30000*G119</f>
        <v>553800</v>
      </c>
      <c r="D119" s="61" t="s">
        <v>1135</v>
      </c>
      <c r="E119" s="61" t="s">
        <v>1184</v>
      </c>
      <c r="F119" s="61" t="s">
        <v>901</v>
      </c>
      <c r="G119" s="61">
        <v>18.46</v>
      </c>
      <c r="H119" s="61">
        <v>30.3</v>
      </c>
      <c r="I119" s="63">
        <v>42397</v>
      </c>
      <c r="J119" s="64" t="s">
        <v>124</v>
      </c>
    </row>
    <row r="120" spans="1:11" s="50" customFormat="1" x14ac:dyDescent="0.25">
      <c r="A120" s="50" t="s">
        <v>186</v>
      </c>
      <c r="B120" s="56">
        <v>28</v>
      </c>
      <c r="C120" s="51">
        <f>27036.63*G120</f>
        <v>494689.21911000006</v>
      </c>
      <c r="D120" s="52" t="s">
        <v>919</v>
      </c>
      <c r="E120" s="52" t="s">
        <v>920</v>
      </c>
      <c r="F120" s="52" t="s">
        <v>921</v>
      </c>
      <c r="G120" s="52">
        <v>18.297000000000001</v>
      </c>
      <c r="H120" s="52">
        <v>27.52</v>
      </c>
      <c r="I120" s="53">
        <v>42387</v>
      </c>
      <c r="J120" s="54" t="s">
        <v>124</v>
      </c>
    </row>
    <row r="121" spans="1:11" s="50" customFormat="1" x14ac:dyDescent="0.25">
      <c r="A121" t="s">
        <v>186</v>
      </c>
      <c r="B121" s="56">
        <v>28</v>
      </c>
      <c r="C121" s="51">
        <f>584210+11850-2921.05</f>
        <v>593138.94999999995</v>
      </c>
      <c r="D121" s="52" t="s">
        <v>960</v>
      </c>
      <c r="E121" s="52" t="s">
        <v>961</v>
      </c>
      <c r="F121" s="52" t="s">
        <v>156</v>
      </c>
      <c r="G121" s="52" t="s">
        <v>964</v>
      </c>
      <c r="H121" s="53">
        <v>42404</v>
      </c>
      <c r="I121" s="53" t="s">
        <v>153</v>
      </c>
      <c r="J121" s="59"/>
    </row>
    <row r="122" spans="1:11" x14ac:dyDescent="0.25">
      <c r="A122" t="s">
        <v>186</v>
      </c>
      <c r="B122" s="56">
        <v>28</v>
      </c>
      <c r="C122" s="51">
        <f>318425+55102.5</f>
        <v>373527.5</v>
      </c>
      <c r="D122" s="52" t="s">
        <v>963</v>
      </c>
      <c r="E122" s="52" t="s">
        <v>962</v>
      </c>
      <c r="F122" s="52" t="s">
        <v>156</v>
      </c>
      <c r="G122" s="53">
        <v>42403</v>
      </c>
      <c r="H122" s="53" t="s">
        <v>153</v>
      </c>
    </row>
    <row r="123" spans="1:11" x14ac:dyDescent="0.25">
      <c r="A123" t="s">
        <v>117</v>
      </c>
      <c r="B123" s="56">
        <v>29</v>
      </c>
      <c r="C123" s="60">
        <f>30000*G123</f>
        <v>548940</v>
      </c>
      <c r="D123" s="61" t="s">
        <v>1132</v>
      </c>
      <c r="E123" s="61" t="s">
        <v>1181</v>
      </c>
      <c r="F123" s="61" t="s">
        <v>901</v>
      </c>
      <c r="G123" s="61">
        <v>18.297999999999998</v>
      </c>
      <c r="H123" s="61">
        <v>30.25</v>
      </c>
      <c r="I123" s="63">
        <v>42398</v>
      </c>
      <c r="J123" s="64" t="s">
        <v>124</v>
      </c>
    </row>
    <row r="124" spans="1:11" x14ac:dyDescent="0.25">
      <c r="A124" t="s">
        <v>117</v>
      </c>
      <c r="B124" s="48">
        <v>29</v>
      </c>
      <c r="C124" s="60">
        <f>30000*G124</f>
        <v>548940</v>
      </c>
      <c r="D124" s="61" t="s">
        <v>1133</v>
      </c>
      <c r="E124" s="61" t="s">
        <v>1182</v>
      </c>
      <c r="F124" s="61" t="s">
        <v>901</v>
      </c>
      <c r="G124" s="61">
        <v>18.297999999999998</v>
      </c>
      <c r="H124" s="61">
        <v>30.25</v>
      </c>
      <c r="I124" s="63">
        <v>42398</v>
      </c>
      <c r="J124" s="64" t="s">
        <v>124</v>
      </c>
    </row>
    <row r="125" spans="1:11" x14ac:dyDescent="0.25">
      <c r="A125" t="s">
        <v>117</v>
      </c>
      <c r="B125" s="56">
        <v>29</v>
      </c>
      <c r="C125" s="60">
        <f>28000*G125</f>
        <v>511980</v>
      </c>
      <c r="D125" s="61" t="s">
        <v>1107</v>
      </c>
      <c r="E125" s="61" t="s">
        <v>1194</v>
      </c>
      <c r="F125" s="61" t="s">
        <v>818</v>
      </c>
      <c r="G125" s="61">
        <v>18.285</v>
      </c>
      <c r="H125" s="61">
        <v>30.35</v>
      </c>
      <c r="I125" s="63">
        <v>42398</v>
      </c>
      <c r="J125" s="64" t="s">
        <v>124</v>
      </c>
    </row>
    <row r="126" spans="1:11" s="50" customFormat="1" x14ac:dyDescent="0.25">
      <c r="A126" s="50" t="s">
        <v>117</v>
      </c>
      <c r="B126" s="56">
        <v>29</v>
      </c>
      <c r="C126" s="51">
        <v>330000.44</v>
      </c>
      <c r="D126" s="52" t="s">
        <v>1114</v>
      </c>
      <c r="E126" s="52" t="s">
        <v>1101</v>
      </c>
      <c r="F126" s="52" t="s">
        <v>152</v>
      </c>
      <c r="G126" s="53">
        <v>42398</v>
      </c>
      <c r="H126" s="53" t="s">
        <v>153</v>
      </c>
      <c r="I126" s="58"/>
      <c r="J126" s="59"/>
    </row>
    <row r="127" spans="1:11" x14ac:dyDescent="0.25">
      <c r="A127" t="s">
        <v>117</v>
      </c>
      <c r="B127" s="56">
        <v>29</v>
      </c>
      <c r="C127" s="51">
        <f>(25354.53-500)*G127</f>
        <v>460728.42260999995</v>
      </c>
      <c r="D127" s="52" t="s">
        <v>981</v>
      </c>
      <c r="E127" s="52" t="s">
        <v>978</v>
      </c>
      <c r="F127" s="52" t="s">
        <v>979</v>
      </c>
      <c r="G127" s="70">
        <v>18.536999999999999</v>
      </c>
      <c r="H127" s="52">
        <v>28.23</v>
      </c>
      <c r="I127" s="53">
        <v>42390</v>
      </c>
      <c r="J127" s="54" t="s">
        <v>124</v>
      </c>
      <c r="K127" s="69" t="s">
        <v>999</v>
      </c>
    </row>
    <row r="128" spans="1:11" x14ac:dyDescent="0.25">
      <c r="A128" t="s">
        <v>117</v>
      </c>
      <c r="B128" s="48">
        <v>29</v>
      </c>
      <c r="C128" s="51">
        <f>25754.75*G128</f>
        <v>477415.80074999999</v>
      </c>
      <c r="D128" s="52" t="s">
        <v>980</v>
      </c>
      <c r="E128" s="52" t="s">
        <v>982</v>
      </c>
      <c r="F128" s="52" t="s">
        <v>983</v>
      </c>
      <c r="G128" s="70">
        <v>18.536999999999999</v>
      </c>
      <c r="H128" s="52">
        <v>28.06</v>
      </c>
      <c r="I128" s="53">
        <v>42390</v>
      </c>
      <c r="J128" s="54" t="s">
        <v>124</v>
      </c>
    </row>
    <row r="129" spans="1:10" x14ac:dyDescent="0.25">
      <c r="A129" s="49" t="s">
        <v>118</v>
      </c>
      <c r="B129" s="48">
        <v>30</v>
      </c>
    </row>
    <row r="130" spans="1:10" x14ac:dyDescent="0.25">
      <c r="A130" s="49" t="s">
        <v>119</v>
      </c>
      <c r="B130" s="48">
        <v>31</v>
      </c>
    </row>
    <row r="131" spans="1:10" x14ac:dyDescent="0.25">
      <c r="A131" s="47" t="s">
        <v>892</v>
      </c>
    </row>
    <row r="132" spans="1:10" x14ac:dyDescent="0.25">
      <c r="A132" t="s">
        <v>125</v>
      </c>
      <c r="B132" s="48">
        <v>1</v>
      </c>
      <c r="C132" s="51">
        <f>551195+52910.25</f>
        <v>604105.25</v>
      </c>
      <c r="D132" s="52" t="s">
        <v>969</v>
      </c>
      <c r="E132" s="52" t="s">
        <v>1118</v>
      </c>
      <c r="F132" s="52" t="s">
        <v>156</v>
      </c>
      <c r="G132" s="53">
        <v>42405</v>
      </c>
      <c r="H132" s="53" t="s">
        <v>153</v>
      </c>
    </row>
    <row r="133" spans="1:10" x14ac:dyDescent="0.25">
      <c r="A133" t="s">
        <v>125</v>
      </c>
      <c r="B133" s="48">
        <v>1</v>
      </c>
      <c r="C133" s="51">
        <f>689655-8242.74</f>
        <v>681412.26</v>
      </c>
      <c r="D133" s="52" t="s">
        <v>1017</v>
      </c>
      <c r="E133" s="52" t="s">
        <v>955</v>
      </c>
      <c r="F133" s="52" t="s">
        <v>156</v>
      </c>
      <c r="G133" s="53">
        <v>42408</v>
      </c>
      <c r="H133" s="53" t="s">
        <v>153</v>
      </c>
    </row>
    <row r="134" spans="1:10" x14ac:dyDescent="0.25">
      <c r="A134" t="s">
        <v>125</v>
      </c>
      <c r="B134" s="48">
        <v>1</v>
      </c>
      <c r="C134" s="51">
        <f>664470-5358.54</f>
        <v>659111.46</v>
      </c>
      <c r="D134" s="52" t="s">
        <v>1021</v>
      </c>
      <c r="E134" s="52" t="s">
        <v>954</v>
      </c>
      <c r="F134" s="52" t="s">
        <v>156</v>
      </c>
      <c r="G134" s="53">
        <v>42408</v>
      </c>
      <c r="H134" s="53" t="s">
        <v>153</v>
      </c>
    </row>
    <row r="135" spans="1:10" x14ac:dyDescent="0.25">
      <c r="A135" t="s">
        <v>125</v>
      </c>
      <c r="B135" s="48">
        <v>1</v>
      </c>
      <c r="C135" s="60">
        <f>30000*G135</f>
        <v>556500</v>
      </c>
      <c r="D135" s="61" t="s">
        <v>1136</v>
      </c>
      <c r="E135" s="61" t="s">
        <v>1190</v>
      </c>
      <c r="F135" s="61" t="s">
        <v>901</v>
      </c>
      <c r="G135" s="61">
        <v>18.55</v>
      </c>
      <c r="H135" s="61">
        <v>31.36</v>
      </c>
      <c r="I135" s="63">
        <v>42402</v>
      </c>
      <c r="J135" s="64" t="s">
        <v>124</v>
      </c>
    </row>
    <row r="136" spans="1:10" x14ac:dyDescent="0.25">
      <c r="A136" t="s">
        <v>128</v>
      </c>
      <c r="B136" s="48">
        <v>2</v>
      </c>
      <c r="C136" s="51">
        <v>39513.25</v>
      </c>
      <c r="D136" s="52" t="s">
        <v>1122</v>
      </c>
      <c r="E136" s="52" t="s">
        <v>1164</v>
      </c>
      <c r="F136" s="52" t="s">
        <v>947</v>
      </c>
      <c r="G136" s="53">
        <v>42408</v>
      </c>
      <c r="H136" s="53" t="s">
        <v>153</v>
      </c>
    </row>
    <row r="137" spans="1:10" x14ac:dyDescent="0.25">
      <c r="A137" t="s">
        <v>120</v>
      </c>
      <c r="B137" s="48">
        <v>3</v>
      </c>
      <c r="C137" s="51">
        <v>555910</v>
      </c>
      <c r="D137" s="52" t="s">
        <v>1018</v>
      </c>
      <c r="E137" s="52" t="s">
        <v>995</v>
      </c>
      <c r="F137" s="52" t="s">
        <v>156</v>
      </c>
      <c r="G137" s="53">
        <v>42417</v>
      </c>
      <c r="H137" s="53" t="s">
        <v>153</v>
      </c>
    </row>
    <row r="138" spans="1:10" x14ac:dyDescent="0.25">
      <c r="A138" t="s">
        <v>120</v>
      </c>
      <c r="B138" s="48">
        <v>3</v>
      </c>
      <c r="C138" s="51">
        <f>323380+27136.56</f>
        <v>350516.56</v>
      </c>
      <c r="D138" s="52" t="s">
        <v>1019</v>
      </c>
      <c r="E138" s="52" t="s">
        <v>1119</v>
      </c>
      <c r="F138" s="52" t="s">
        <v>156</v>
      </c>
      <c r="G138" s="53">
        <v>42408</v>
      </c>
      <c r="H138" s="53" t="s">
        <v>153</v>
      </c>
    </row>
    <row r="139" spans="1:10" x14ac:dyDescent="0.25">
      <c r="A139" t="s">
        <v>120</v>
      </c>
      <c r="B139" s="48">
        <v>3</v>
      </c>
      <c r="C139" s="60">
        <f>29000</f>
        <v>29000</v>
      </c>
      <c r="D139" s="61" t="s">
        <v>1218</v>
      </c>
      <c r="E139" s="61" t="s">
        <v>1239</v>
      </c>
      <c r="F139" s="61" t="s">
        <v>902</v>
      </c>
      <c r="G139" s="61">
        <v>18.420000000000002</v>
      </c>
      <c r="H139" s="61">
        <v>31.01</v>
      </c>
      <c r="I139" s="63">
        <v>42403</v>
      </c>
      <c r="J139" s="64" t="s">
        <v>124</v>
      </c>
    </row>
    <row r="140" spans="1:10" s="50" customFormat="1" x14ac:dyDescent="0.25">
      <c r="A140" s="50" t="s">
        <v>120</v>
      </c>
      <c r="B140" s="56">
        <v>3</v>
      </c>
      <c r="C140" s="51">
        <f>294335.64+277779.81</f>
        <v>572115.44999999995</v>
      </c>
      <c r="D140" s="52" t="s">
        <v>1173</v>
      </c>
      <c r="E140" s="52" t="s">
        <v>1175</v>
      </c>
      <c r="F140" s="52" t="s">
        <v>152</v>
      </c>
      <c r="G140" s="53">
        <v>42404</v>
      </c>
      <c r="H140" s="53" t="s">
        <v>153</v>
      </c>
      <c r="I140" s="58"/>
      <c r="J140" s="59"/>
    </row>
    <row r="141" spans="1:10" x14ac:dyDescent="0.25">
      <c r="A141" s="50" t="s">
        <v>186</v>
      </c>
      <c r="B141" s="48">
        <v>4</v>
      </c>
      <c r="C141" s="51">
        <f>28942.85*G141</f>
        <v>534574.43949999998</v>
      </c>
      <c r="D141" s="52" t="s">
        <v>1049</v>
      </c>
      <c r="E141" s="52" t="s">
        <v>1050</v>
      </c>
      <c r="F141" s="52" t="s">
        <v>1051</v>
      </c>
      <c r="G141" s="52">
        <v>18.47</v>
      </c>
      <c r="H141" s="52" t="s">
        <v>1052</v>
      </c>
      <c r="I141" s="53">
        <v>42395</v>
      </c>
      <c r="J141" s="54" t="s">
        <v>124</v>
      </c>
    </row>
    <row r="142" spans="1:10" x14ac:dyDescent="0.25">
      <c r="A142" t="s">
        <v>186</v>
      </c>
      <c r="B142" s="48">
        <v>4</v>
      </c>
      <c r="C142" s="51">
        <f>489555-2447.89</f>
        <v>487107.11</v>
      </c>
      <c r="D142" s="52" t="s">
        <v>1020</v>
      </c>
      <c r="E142" s="52" t="s">
        <v>1010</v>
      </c>
      <c r="F142" s="52" t="s">
        <v>156</v>
      </c>
      <c r="G142" s="53">
        <v>42415</v>
      </c>
      <c r="H142" s="53" t="s">
        <v>153</v>
      </c>
    </row>
    <row r="143" spans="1:10" x14ac:dyDescent="0.25">
      <c r="A143" t="s">
        <v>186</v>
      </c>
      <c r="B143" s="48">
        <v>4</v>
      </c>
      <c r="C143" s="51">
        <f>315905-2429.95</f>
        <v>313475.05</v>
      </c>
      <c r="D143" s="52" t="s">
        <v>1020</v>
      </c>
      <c r="E143" s="52" t="s">
        <v>1011</v>
      </c>
      <c r="F143" s="52" t="s">
        <v>156</v>
      </c>
      <c r="G143" s="53">
        <v>42409</v>
      </c>
      <c r="H143" s="53" t="s">
        <v>153</v>
      </c>
    </row>
    <row r="144" spans="1:10" x14ac:dyDescent="0.25">
      <c r="A144" t="s">
        <v>186</v>
      </c>
      <c r="B144" s="48">
        <v>4</v>
      </c>
      <c r="C144" s="60">
        <f>31000*G144</f>
        <v>571020</v>
      </c>
      <c r="D144" s="61" t="s">
        <v>1166</v>
      </c>
      <c r="E144" s="61" t="s">
        <v>1326</v>
      </c>
      <c r="F144" s="61" t="s">
        <v>1170</v>
      </c>
      <c r="G144" s="61">
        <v>18.420000000000002</v>
      </c>
      <c r="H144" s="61">
        <v>29.78</v>
      </c>
      <c r="I144" s="63">
        <v>42404</v>
      </c>
      <c r="J144" s="64" t="s">
        <v>124</v>
      </c>
    </row>
    <row r="145" spans="1:11" x14ac:dyDescent="0.25">
      <c r="A145" t="s">
        <v>186</v>
      </c>
      <c r="B145" s="48">
        <v>4</v>
      </c>
      <c r="C145" s="60">
        <f t="shared" ref="C145:C147" si="2">31000*G145</f>
        <v>571020</v>
      </c>
      <c r="D145" s="61" t="s">
        <v>1167</v>
      </c>
      <c r="E145" s="61" t="s">
        <v>1327</v>
      </c>
      <c r="F145" s="61" t="s">
        <v>1170</v>
      </c>
      <c r="G145" s="61">
        <v>18.420000000000002</v>
      </c>
      <c r="H145" s="61">
        <v>29.78</v>
      </c>
      <c r="I145" s="63">
        <v>42403</v>
      </c>
      <c r="J145" s="64" t="s">
        <v>124</v>
      </c>
    </row>
    <row r="146" spans="1:11" x14ac:dyDescent="0.25">
      <c r="A146" t="s">
        <v>117</v>
      </c>
      <c r="B146" s="48">
        <v>5</v>
      </c>
      <c r="C146" s="60">
        <f t="shared" si="2"/>
        <v>563270</v>
      </c>
      <c r="D146" s="61" t="s">
        <v>1168</v>
      </c>
      <c r="E146" s="61" t="s">
        <v>1328</v>
      </c>
      <c r="F146" s="61" t="s">
        <v>1170</v>
      </c>
      <c r="G146" s="61">
        <v>18.170000000000002</v>
      </c>
      <c r="H146" s="61">
        <v>30.08</v>
      </c>
      <c r="I146" s="63">
        <v>42405</v>
      </c>
      <c r="J146" s="64" t="s">
        <v>124</v>
      </c>
    </row>
    <row r="147" spans="1:11" x14ac:dyDescent="0.25">
      <c r="A147" t="s">
        <v>117</v>
      </c>
      <c r="B147" s="48">
        <v>5</v>
      </c>
      <c r="C147" s="60">
        <f t="shared" si="2"/>
        <v>563270</v>
      </c>
      <c r="D147" s="61" t="s">
        <v>1169</v>
      </c>
      <c r="E147" s="61" t="s">
        <v>1329</v>
      </c>
      <c r="F147" s="61" t="s">
        <v>1170</v>
      </c>
      <c r="G147" s="61">
        <v>18.170000000000002</v>
      </c>
      <c r="H147" s="61">
        <v>30.08</v>
      </c>
      <c r="I147" s="63">
        <v>42405</v>
      </c>
      <c r="J147" s="64" t="s">
        <v>124</v>
      </c>
    </row>
    <row r="148" spans="1:11" x14ac:dyDescent="0.25">
      <c r="A148" t="s">
        <v>117</v>
      </c>
      <c r="B148" s="48">
        <v>5</v>
      </c>
      <c r="C148" s="60">
        <f>29000*G148</f>
        <v>526930</v>
      </c>
      <c r="D148" s="61" t="s">
        <v>1179</v>
      </c>
      <c r="E148" s="61" t="s">
        <v>1324</v>
      </c>
      <c r="F148" s="61" t="s">
        <v>902</v>
      </c>
      <c r="G148" s="61">
        <v>18.170000000000002</v>
      </c>
      <c r="H148" s="61">
        <v>30.21</v>
      </c>
      <c r="I148" s="63">
        <v>42405</v>
      </c>
      <c r="J148" s="64" t="s">
        <v>124</v>
      </c>
    </row>
    <row r="149" spans="1:11" x14ac:dyDescent="0.25">
      <c r="A149" s="50" t="s">
        <v>117</v>
      </c>
      <c r="B149" s="48">
        <v>5</v>
      </c>
      <c r="C149" s="51">
        <f>1751495.15</f>
        <v>1751495.15</v>
      </c>
      <c r="D149" s="52" t="s">
        <v>939</v>
      </c>
      <c r="E149" s="52" t="s">
        <v>938</v>
      </c>
      <c r="F149" s="52" t="s">
        <v>940</v>
      </c>
      <c r="G149" s="51">
        <v>95</v>
      </c>
      <c r="H149" s="53">
        <v>42429</v>
      </c>
      <c r="I149" s="52" t="s">
        <v>1572</v>
      </c>
      <c r="J149" s="52"/>
      <c r="K149" s="54" t="s">
        <v>124</v>
      </c>
    </row>
    <row r="150" spans="1:11" x14ac:dyDescent="0.25">
      <c r="A150" t="s">
        <v>117</v>
      </c>
      <c r="B150" s="48">
        <v>5</v>
      </c>
      <c r="C150" s="51">
        <f>26426.57*G150</f>
        <v>491005.67059999995</v>
      </c>
      <c r="D150" s="52" t="s">
        <v>1074</v>
      </c>
      <c r="E150" s="52" t="s">
        <v>1076</v>
      </c>
      <c r="F150" s="52" t="s">
        <v>1077</v>
      </c>
      <c r="G150" s="51">
        <v>18.579999999999998</v>
      </c>
      <c r="H150" s="52">
        <v>29.81</v>
      </c>
      <c r="I150" s="53">
        <v>42396</v>
      </c>
      <c r="J150" s="54" t="s">
        <v>124</v>
      </c>
    </row>
    <row r="151" spans="1:11" x14ac:dyDescent="0.25">
      <c r="A151" t="s">
        <v>117</v>
      </c>
      <c r="B151" s="48">
        <v>5</v>
      </c>
      <c r="C151" s="51">
        <f>27834.77*G151</f>
        <v>505479.42320000002</v>
      </c>
      <c r="D151" s="52" t="s">
        <v>1075</v>
      </c>
      <c r="E151" s="52" t="s">
        <v>1078</v>
      </c>
      <c r="F151" s="52" t="s">
        <v>1079</v>
      </c>
      <c r="G151" s="51">
        <v>18.16</v>
      </c>
      <c r="H151" s="52">
        <v>29.08</v>
      </c>
      <c r="I151" s="53">
        <v>42402</v>
      </c>
      <c r="J151" s="54" t="s">
        <v>124</v>
      </c>
    </row>
    <row r="152" spans="1:11" x14ac:dyDescent="0.25">
      <c r="A152" s="49" t="s">
        <v>118</v>
      </c>
      <c r="B152" s="48">
        <v>6</v>
      </c>
    </row>
    <row r="153" spans="1:11" x14ac:dyDescent="0.25">
      <c r="A153" s="49" t="s">
        <v>119</v>
      </c>
      <c r="B153" s="48">
        <v>7</v>
      </c>
    </row>
    <row r="154" spans="1:11" s="50" customFormat="1" x14ac:dyDescent="0.25">
      <c r="A154" s="50" t="s">
        <v>125</v>
      </c>
      <c r="B154" s="56">
        <v>8</v>
      </c>
      <c r="C154" s="60">
        <f t="shared" ref="C154" si="3">31000*G154</f>
        <v>563580</v>
      </c>
      <c r="D154" s="61" t="s">
        <v>1178</v>
      </c>
      <c r="E154" s="61" t="s">
        <v>1330</v>
      </c>
      <c r="F154" s="61" t="s">
        <v>1170</v>
      </c>
      <c r="G154" s="60">
        <v>18.18</v>
      </c>
      <c r="H154" s="61">
        <v>29.6</v>
      </c>
      <c r="I154" s="63">
        <v>42408</v>
      </c>
      <c r="J154" s="64" t="s">
        <v>124</v>
      </c>
    </row>
    <row r="155" spans="1:11" s="50" customFormat="1" x14ac:dyDescent="0.25">
      <c r="A155" s="50" t="s">
        <v>125</v>
      </c>
      <c r="B155" s="56">
        <v>8</v>
      </c>
      <c r="C155" s="60">
        <f>45000*G155</f>
        <v>847575</v>
      </c>
      <c r="D155" s="61" t="s">
        <v>1180</v>
      </c>
      <c r="E155" s="61" t="s">
        <v>1331</v>
      </c>
      <c r="F155" s="61" t="s">
        <v>1196</v>
      </c>
      <c r="G155" s="62">
        <v>18.835000000000001</v>
      </c>
      <c r="H155" s="112" t="s">
        <v>1325</v>
      </c>
      <c r="I155" s="63">
        <v>42409</v>
      </c>
      <c r="J155" s="64" t="s">
        <v>124</v>
      </c>
    </row>
    <row r="156" spans="1:11" x14ac:dyDescent="0.25">
      <c r="A156" t="s">
        <v>125</v>
      </c>
      <c r="B156" s="48">
        <v>8</v>
      </c>
      <c r="C156" s="51">
        <v>561744.43000000005</v>
      </c>
      <c r="D156" s="52" t="s">
        <v>1125</v>
      </c>
      <c r="E156" s="52" t="s">
        <v>1124</v>
      </c>
      <c r="F156" s="52" t="s">
        <v>1126</v>
      </c>
      <c r="G156" s="51">
        <v>30.5</v>
      </c>
      <c r="H156" s="53">
        <v>42415</v>
      </c>
      <c r="I156" s="54" t="s">
        <v>124</v>
      </c>
    </row>
    <row r="157" spans="1:11" x14ac:dyDescent="0.25">
      <c r="A157" t="s">
        <v>125</v>
      </c>
      <c r="B157" s="48">
        <v>8</v>
      </c>
      <c r="C157" s="51">
        <v>557928</v>
      </c>
      <c r="D157" s="52" t="s">
        <v>1200</v>
      </c>
      <c r="E157" s="52" t="s">
        <v>1199</v>
      </c>
      <c r="F157" s="52" t="s">
        <v>127</v>
      </c>
      <c r="G157" s="51">
        <v>30</v>
      </c>
      <c r="H157" s="53">
        <v>42409</v>
      </c>
      <c r="I157" s="52" t="s">
        <v>1225</v>
      </c>
    </row>
    <row r="158" spans="1:11" x14ac:dyDescent="0.25">
      <c r="A158" t="s">
        <v>125</v>
      </c>
      <c r="B158" s="48">
        <v>8</v>
      </c>
      <c r="C158" s="51">
        <v>602100</v>
      </c>
      <c r="D158" s="52" t="s">
        <v>1054</v>
      </c>
      <c r="E158" s="52" t="s">
        <v>1053</v>
      </c>
      <c r="F158" s="52" t="s">
        <v>156</v>
      </c>
      <c r="G158" s="53">
        <v>42415</v>
      </c>
      <c r="H158" s="53" t="s">
        <v>153</v>
      </c>
    </row>
    <row r="159" spans="1:11" x14ac:dyDescent="0.25">
      <c r="A159" t="s">
        <v>125</v>
      </c>
      <c r="B159" s="48">
        <v>8</v>
      </c>
      <c r="C159" s="51">
        <f>563850-6965.33+29269.45</f>
        <v>586154.12</v>
      </c>
      <c r="D159" s="52" t="s">
        <v>1154</v>
      </c>
      <c r="E159" s="52" t="s">
        <v>1155</v>
      </c>
      <c r="F159" s="52" t="s">
        <v>156</v>
      </c>
      <c r="G159" s="53">
        <v>42416</v>
      </c>
      <c r="H159" s="53" t="s">
        <v>153</v>
      </c>
    </row>
    <row r="160" spans="1:11" x14ac:dyDescent="0.25">
      <c r="A160" t="s">
        <v>128</v>
      </c>
      <c r="B160" s="48">
        <v>9</v>
      </c>
      <c r="C160" s="51">
        <f>656212.5-2635.43+14694</f>
        <v>668271.06999999995</v>
      </c>
      <c r="D160" s="52" t="s">
        <v>1156</v>
      </c>
      <c r="E160" s="52" t="s">
        <v>1157</v>
      </c>
      <c r="F160" s="52" t="s">
        <v>156</v>
      </c>
      <c r="G160" s="53">
        <v>42416</v>
      </c>
      <c r="H160" s="53" t="s">
        <v>153</v>
      </c>
    </row>
    <row r="161" spans="1:10" x14ac:dyDescent="0.25">
      <c r="A161" t="s">
        <v>120</v>
      </c>
      <c r="B161" s="48">
        <v>10</v>
      </c>
      <c r="C161" s="60">
        <f>30000*G161</f>
        <v>565800</v>
      </c>
      <c r="D161" s="61" t="s">
        <v>1271</v>
      </c>
      <c r="E161" s="61" t="s">
        <v>1323</v>
      </c>
      <c r="F161" s="61" t="s">
        <v>901</v>
      </c>
      <c r="G161" s="61">
        <v>18.86</v>
      </c>
      <c r="H161" s="61">
        <v>30.59</v>
      </c>
      <c r="I161" s="63">
        <v>42410</v>
      </c>
      <c r="J161" s="64" t="s">
        <v>124</v>
      </c>
    </row>
    <row r="162" spans="1:10" s="50" customFormat="1" x14ac:dyDescent="0.25">
      <c r="A162" s="50" t="s">
        <v>120</v>
      </c>
      <c r="B162" s="56">
        <v>10</v>
      </c>
      <c r="C162" s="51">
        <f>263970.45+263550.27</f>
        <v>527520.72</v>
      </c>
      <c r="D162" s="52" t="s">
        <v>1280</v>
      </c>
      <c r="E162" s="52" t="s">
        <v>1284</v>
      </c>
      <c r="F162" s="52" t="s">
        <v>152</v>
      </c>
      <c r="G162" s="53">
        <v>42411</v>
      </c>
      <c r="H162" s="53" t="s">
        <v>153</v>
      </c>
      <c r="I162" s="58"/>
      <c r="J162" s="59"/>
    </row>
    <row r="163" spans="1:10" x14ac:dyDescent="0.25">
      <c r="A163" t="s">
        <v>120</v>
      </c>
      <c r="B163" s="48">
        <v>10</v>
      </c>
      <c r="C163" s="51">
        <v>463387.5</v>
      </c>
      <c r="D163" s="52" t="s">
        <v>1158</v>
      </c>
      <c r="E163" s="52" t="s">
        <v>1159</v>
      </c>
      <c r="F163" s="52" t="s">
        <v>156</v>
      </c>
      <c r="G163" s="53">
        <v>42417</v>
      </c>
      <c r="H163" s="53" t="s">
        <v>153</v>
      </c>
    </row>
    <row r="164" spans="1:10" x14ac:dyDescent="0.25">
      <c r="A164" t="s">
        <v>120</v>
      </c>
      <c r="B164" s="48">
        <v>10</v>
      </c>
      <c r="C164" s="51">
        <f>411862.5-2511.45+38986.5</f>
        <v>448337.55</v>
      </c>
      <c r="D164" s="52" t="s">
        <v>1158</v>
      </c>
      <c r="E164" s="52" t="s">
        <v>1160</v>
      </c>
      <c r="F164" s="52" t="s">
        <v>156</v>
      </c>
      <c r="G164" s="53">
        <v>42417</v>
      </c>
      <c r="H164" s="53" t="s">
        <v>153</v>
      </c>
    </row>
    <row r="165" spans="1:10" x14ac:dyDescent="0.25">
      <c r="A165" t="s">
        <v>186</v>
      </c>
      <c r="B165" s="48">
        <v>11</v>
      </c>
      <c r="C165" s="51">
        <f>28152.69*G165</f>
        <v>511252.8504</v>
      </c>
      <c r="D165" s="52" t="s">
        <v>1138</v>
      </c>
      <c r="E165" s="52" t="s">
        <v>1139</v>
      </c>
      <c r="F165" s="52" t="s">
        <v>1140</v>
      </c>
      <c r="G165" s="52">
        <v>18.16</v>
      </c>
      <c r="H165" s="52">
        <v>29.36</v>
      </c>
      <c r="I165" s="53">
        <v>42402</v>
      </c>
      <c r="J165" s="54" t="s">
        <v>124</v>
      </c>
    </row>
    <row r="166" spans="1:10" s="50" customFormat="1" x14ac:dyDescent="0.25">
      <c r="A166" s="50" t="s">
        <v>186</v>
      </c>
      <c r="B166" s="56">
        <v>11</v>
      </c>
      <c r="C166" s="51">
        <f>416587.5</f>
        <v>416587.5</v>
      </c>
      <c r="D166" s="52" t="s">
        <v>1161</v>
      </c>
      <c r="E166" s="52" t="s">
        <v>1162</v>
      </c>
      <c r="F166" s="52" t="s">
        <v>156</v>
      </c>
      <c r="G166" s="53">
        <v>42419</v>
      </c>
      <c r="H166" s="53" t="s">
        <v>153</v>
      </c>
      <c r="I166" s="58"/>
      <c r="J166" s="59"/>
    </row>
    <row r="167" spans="1:10" s="50" customFormat="1" x14ac:dyDescent="0.25">
      <c r="A167" s="50" t="s">
        <v>186</v>
      </c>
      <c r="B167" s="56">
        <v>11</v>
      </c>
      <c r="C167" s="51">
        <v>400050</v>
      </c>
      <c r="D167" s="52" t="s">
        <v>1161</v>
      </c>
      <c r="E167" s="52" t="s">
        <v>1163</v>
      </c>
      <c r="F167" s="52" t="s">
        <v>156</v>
      </c>
      <c r="G167" s="53">
        <v>42418</v>
      </c>
      <c r="H167" s="53" t="s">
        <v>153</v>
      </c>
      <c r="I167" s="58"/>
      <c r="J167" s="59"/>
    </row>
    <row r="168" spans="1:10" s="50" customFormat="1" x14ac:dyDescent="0.25">
      <c r="A168" s="50" t="s">
        <v>186</v>
      </c>
      <c r="B168" s="56">
        <v>11</v>
      </c>
      <c r="C168" s="60">
        <f>35000*G168</f>
        <v>669900</v>
      </c>
      <c r="D168" s="61" t="s">
        <v>1316</v>
      </c>
      <c r="E168" s="61" t="s">
        <v>1391</v>
      </c>
      <c r="F168" s="61" t="s">
        <v>1320</v>
      </c>
      <c r="G168" s="61">
        <v>19.14</v>
      </c>
      <c r="H168" s="61">
        <v>30.77</v>
      </c>
      <c r="I168" s="63">
        <v>42412</v>
      </c>
      <c r="J168" s="64" t="s">
        <v>124</v>
      </c>
    </row>
    <row r="169" spans="1:10" s="50" customFormat="1" x14ac:dyDescent="0.25">
      <c r="A169" s="50" t="s">
        <v>186</v>
      </c>
      <c r="B169" s="56">
        <v>11</v>
      </c>
      <c r="C169" s="60">
        <f t="shared" ref="C169:C171" si="4">35000*G169</f>
        <v>669900</v>
      </c>
      <c r="D169" s="61" t="s">
        <v>1317</v>
      </c>
      <c r="E169" s="61" t="s">
        <v>1392</v>
      </c>
      <c r="F169" s="61" t="s">
        <v>1320</v>
      </c>
      <c r="G169" s="61">
        <v>19.14</v>
      </c>
      <c r="H169" s="61">
        <v>30.91</v>
      </c>
      <c r="I169" s="63">
        <v>42412</v>
      </c>
      <c r="J169" s="64" t="s">
        <v>124</v>
      </c>
    </row>
    <row r="170" spans="1:10" s="50" customFormat="1" x14ac:dyDescent="0.25">
      <c r="A170" t="s">
        <v>117</v>
      </c>
      <c r="B170" s="48">
        <v>12</v>
      </c>
      <c r="C170" s="60">
        <f t="shared" si="4"/>
        <v>669900</v>
      </c>
      <c r="D170" s="61" t="s">
        <v>1318</v>
      </c>
      <c r="E170" s="61" t="s">
        <v>1393</v>
      </c>
      <c r="F170" s="61" t="s">
        <v>1320</v>
      </c>
      <c r="G170" s="61">
        <v>19.14</v>
      </c>
      <c r="H170" s="61">
        <v>30.75</v>
      </c>
      <c r="I170" s="63">
        <v>42412</v>
      </c>
      <c r="J170" s="64" t="s">
        <v>124</v>
      </c>
    </row>
    <row r="171" spans="1:10" s="50" customFormat="1" x14ac:dyDescent="0.25">
      <c r="A171" t="s">
        <v>117</v>
      </c>
      <c r="B171" s="48">
        <v>12</v>
      </c>
      <c r="C171" s="60">
        <f t="shared" si="4"/>
        <v>669900</v>
      </c>
      <c r="D171" s="61" t="s">
        <v>1319</v>
      </c>
      <c r="E171" s="61" t="s">
        <v>1394</v>
      </c>
      <c r="F171" s="61" t="s">
        <v>1320</v>
      </c>
      <c r="G171" s="61">
        <v>19.14</v>
      </c>
      <c r="H171" s="61">
        <v>30.75</v>
      </c>
      <c r="I171" s="63">
        <v>42412</v>
      </c>
      <c r="J171" s="64" t="s">
        <v>124</v>
      </c>
    </row>
    <row r="172" spans="1:10" s="50" customFormat="1" x14ac:dyDescent="0.25">
      <c r="A172" t="s">
        <v>117</v>
      </c>
      <c r="B172" s="48">
        <v>12</v>
      </c>
      <c r="C172" s="60">
        <f>30000*G172</f>
        <v>574200</v>
      </c>
      <c r="D172" s="61" t="s">
        <v>1321</v>
      </c>
      <c r="E172" s="61" t="s">
        <v>1395</v>
      </c>
      <c r="F172" s="61" t="s">
        <v>901</v>
      </c>
      <c r="G172" s="61">
        <v>19.14</v>
      </c>
      <c r="H172" s="61">
        <v>30.71</v>
      </c>
      <c r="I172" s="63">
        <v>42412</v>
      </c>
      <c r="J172" s="64" t="s">
        <v>124</v>
      </c>
    </row>
    <row r="173" spans="1:10" x14ac:dyDescent="0.25">
      <c r="A173" t="s">
        <v>117</v>
      </c>
      <c r="B173" s="48">
        <v>12</v>
      </c>
      <c r="C173" s="51">
        <f>28096.72*G173</f>
        <v>510517.40240000008</v>
      </c>
      <c r="D173" s="52" t="s">
        <v>1219</v>
      </c>
      <c r="E173" s="52" t="s">
        <v>1221</v>
      </c>
      <c r="F173" s="52" t="s">
        <v>1222</v>
      </c>
      <c r="G173" s="52">
        <v>18.170000000000002</v>
      </c>
      <c r="H173" s="52">
        <v>29.44</v>
      </c>
      <c r="I173" s="53">
        <v>42408</v>
      </c>
      <c r="J173" s="54" t="s">
        <v>124</v>
      </c>
    </row>
    <row r="174" spans="1:10" x14ac:dyDescent="0.25">
      <c r="A174" t="s">
        <v>117</v>
      </c>
      <c r="B174" s="48">
        <v>12</v>
      </c>
      <c r="C174" s="51">
        <f>27722.89*G174</f>
        <v>503724.91130000004</v>
      </c>
      <c r="D174" s="52" t="s">
        <v>1220</v>
      </c>
      <c r="E174" s="52" t="s">
        <v>1223</v>
      </c>
      <c r="F174" s="52" t="s">
        <v>1224</v>
      </c>
      <c r="G174" s="52">
        <v>18.170000000000002</v>
      </c>
      <c r="H174" s="52">
        <v>29.46</v>
      </c>
      <c r="I174" s="53">
        <v>42408</v>
      </c>
      <c r="J174" s="54" t="s">
        <v>124</v>
      </c>
    </row>
    <row r="175" spans="1:10" x14ac:dyDescent="0.25">
      <c r="A175" s="49" t="s">
        <v>118</v>
      </c>
      <c r="B175" s="48">
        <v>13</v>
      </c>
    </row>
    <row r="176" spans="1:10" x14ac:dyDescent="0.25">
      <c r="A176" s="49" t="s">
        <v>119</v>
      </c>
      <c r="B176" s="48">
        <v>14</v>
      </c>
    </row>
    <row r="177" spans="1:10" x14ac:dyDescent="0.25">
      <c r="A177" t="s">
        <v>125</v>
      </c>
      <c r="B177" s="48">
        <v>15</v>
      </c>
      <c r="C177" s="51">
        <v>615120</v>
      </c>
      <c r="D177" s="52" t="s">
        <v>1244</v>
      </c>
      <c r="E177" s="52" t="s">
        <v>1137</v>
      </c>
      <c r="F177" s="52" t="s">
        <v>156</v>
      </c>
      <c r="G177" s="53">
        <v>42422</v>
      </c>
      <c r="H177" s="53" t="s">
        <v>153</v>
      </c>
    </row>
    <row r="178" spans="1:10" x14ac:dyDescent="0.25">
      <c r="A178" t="s">
        <v>125</v>
      </c>
      <c r="B178" s="48">
        <v>15</v>
      </c>
      <c r="C178" s="51">
        <f>527010+53680.5</f>
        <v>580690.5</v>
      </c>
      <c r="D178" s="52" t="s">
        <v>1269</v>
      </c>
      <c r="E178" s="52" t="s">
        <v>1279</v>
      </c>
      <c r="F178" s="52" t="s">
        <v>156</v>
      </c>
      <c r="G178" s="53">
        <v>42422</v>
      </c>
      <c r="H178" s="53" t="s">
        <v>153</v>
      </c>
    </row>
    <row r="179" spans="1:10" x14ac:dyDescent="0.25">
      <c r="A179" t="s">
        <v>125</v>
      </c>
      <c r="B179" s="48">
        <v>15</v>
      </c>
      <c r="C179" s="51">
        <f>556270+29625</f>
        <v>585895</v>
      </c>
      <c r="D179" s="52" t="s">
        <v>1270</v>
      </c>
      <c r="E179" s="52" t="s">
        <v>1278</v>
      </c>
      <c r="F179" s="52" t="s">
        <v>156</v>
      </c>
      <c r="G179" s="53">
        <v>42423</v>
      </c>
      <c r="H179" s="53" t="s">
        <v>153</v>
      </c>
    </row>
    <row r="180" spans="1:10" x14ac:dyDescent="0.25">
      <c r="A180" t="s">
        <v>125</v>
      </c>
      <c r="B180" s="48">
        <v>15</v>
      </c>
      <c r="C180" s="60">
        <f>25000*G180</f>
        <v>472750</v>
      </c>
      <c r="D180" s="61" t="s">
        <v>1322</v>
      </c>
      <c r="E180" s="61" t="s">
        <v>1390</v>
      </c>
      <c r="F180" s="61" t="s">
        <v>201</v>
      </c>
      <c r="G180" s="61">
        <v>18.91</v>
      </c>
      <c r="H180" s="61">
        <v>30.29</v>
      </c>
      <c r="I180" s="63">
        <v>42415</v>
      </c>
      <c r="J180" s="111" t="s">
        <v>952</v>
      </c>
    </row>
    <row r="181" spans="1:10" x14ac:dyDescent="0.25">
      <c r="A181" t="s">
        <v>128</v>
      </c>
      <c r="B181" s="48">
        <v>16</v>
      </c>
    </row>
    <row r="182" spans="1:10" x14ac:dyDescent="0.25">
      <c r="A182" t="s">
        <v>120</v>
      </c>
      <c r="B182" s="48">
        <v>17</v>
      </c>
      <c r="C182" s="51">
        <v>1737635.12</v>
      </c>
      <c r="D182" s="52" t="s">
        <v>1131</v>
      </c>
      <c r="E182" s="52" t="s">
        <v>1130</v>
      </c>
      <c r="F182" s="52" t="s">
        <v>940</v>
      </c>
      <c r="G182" s="53">
        <v>42424</v>
      </c>
      <c r="H182" s="54" t="s">
        <v>124</v>
      </c>
    </row>
    <row r="183" spans="1:10" x14ac:dyDescent="0.25">
      <c r="A183" t="s">
        <v>120</v>
      </c>
      <c r="B183" s="48">
        <v>17</v>
      </c>
      <c r="C183" s="51">
        <f>28413.09*G183</f>
        <v>538655.36021999991</v>
      </c>
      <c r="D183" s="52" t="s">
        <v>1230</v>
      </c>
      <c r="E183" s="52" t="s">
        <v>1231</v>
      </c>
      <c r="F183" s="52" t="s">
        <v>1232</v>
      </c>
      <c r="G183" s="70">
        <v>18.957999999999998</v>
      </c>
      <c r="H183" s="52">
        <v>30.82</v>
      </c>
      <c r="I183" s="53">
        <v>42416</v>
      </c>
      <c r="J183" s="54" t="s">
        <v>124</v>
      </c>
    </row>
    <row r="184" spans="1:10" x14ac:dyDescent="0.25">
      <c r="A184" t="s">
        <v>120</v>
      </c>
      <c r="B184" s="48">
        <v>17</v>
      </c>
      <c r="C184" s="51">
        <v>434060</v>
      </c>
      <c r="D184" s="52" t="s">
        <v>1272</v>
      </c>
      <c r="E184" s="52" t="s">
        <v>1273</v>
      </c>
      <c r="F184" s="52" t="s">
        <v>156</v>
      </c>
      <c r="G184" s="57">
        <v>42426</v>
      </c>
      <c r="H184" s="53" t="s">
        <v>153</v>
      </c>
    </row>
    <row r="185" spans="1:10" x14ac:dyDescent="0.25">
      <c r="A185" t="s">
        <v>120</v>
      </c>
      <c r="B185" s="48">
        <v>17</v>
      </c>
      <c r="C185" s="51">
        <v>434170</v>
      </c>
      <c r="D185" s="52" t="s">
        <v>1272</v>
      </c>
      <c r="E185" s="52" t="s">
        <v>1274</v>
      </c>
      <c r="F185" s="52" t="s">
        <v>156</v>
      </c>
      <c r="G185" s="57">
        <v>42425</v>
      </c>
      <c r="H185" s="53" t="s">
        <v>153</v>
      </c>
    </row>
    <row r="186" spans="1:10" x14ac:dyDescent="0.25">
      <c r="A186" t="s">
        <v>120</v>
      </c>
      <c r="B186" s="48">
        <v>17</v>
      </c>
      <c r="C186" s="51">
        <f>248010+271530.23</f>
        <v>519540.23</v>
      </c>
      <c r="D186" s="52" t="s">
        <v>1355</v>
      </c>
      <c r="E186" s="52" t="s">
        <v>1357</v>
      </c>
      <c r="F186" s="52" t="s">
        <v>152</v>
      </c>
      <c r="G186" s="57">
        <v>42417</v>
      </c>
      <c r="H186" s="53" t="s">
        <v>153</v>
      </c>
    </row>
    <row r="187" spans="1:10" x14ac:dyDescent="0.25">
      <c r="A187" t="s">
        <v>120</v>
      </c>
      <c r="B187" s="48">
        <v>17</v>
      </c>
      <c r="C187" s="60">
        <f>29000*G187</f>
        <v>545635</v>
      </c>
      <c r="D187" s="61" t="s">
        <v>1337</v>
      </c>
      <c r="E187" s="61" t="s">
        <v>1509</v>
      </c>
      <c r="F187" s="61" t="s">
        <v>902</v>
      </c>
      <c r="G187" s="62">
        <v>18.815000000000001</v>
      </c>
      <c r="H187" s="61">
        <v>29.19</v>
      </c>
      <c r="I187" s="63">
        <v>42417</v>
      </c>
      <c r="J187" s="64" t="s">
        <v>124</v>
      </c>
    </row>
    <row r="188" spans="1:10" x14ac:dyDescent="0.25">
      <c r="A188" t="s">
        <v>186</v>
      </c>
      <c r="B188" s="48">
        <v>18</v>
      </c>
      <c r="C188" s="51">
        <v>404140</v>
      </c>
      <c r="D188" s="52" t="s">
        <v>1275</v>
      </c>
      <c r="E188" s="52" t="s">
        <v>1276</v>
      </c>
      <c r="F188" s="52" t="s">
        <v>156</v>
      </c>
      <c r="G188" s="57">
        <v>42426</v>
      </c>
      <c r="H188" s="53" t="s">
        <v>153</v>
      </c>
    </row>
    <row r="189" spans="1:10" x14ac:dyDescent="0.25">
      <c r="A189" t="s">
        <v>186</v>
      </c>
      <c r="B189" s="48">
        <v>18</v>
      </c>
      <c r="C189" s="51">
        <f>393580-4829</f>
        <v>388751</v>
      </c>
      <c r="D189" s="52" t="s">
        <v>1275</v>
      </c>
      <c r="E189" s="52" t="s">
        <v>1277</v>
      </c>
      <c r="F189" s="52" t="s">
        <v>156</v>
      </c>
      <c r="G189" s="53">
        <v>42429</v>
      </c>
      <c r="H189" s="53" t="s">
        <v>153</v>
      </c>
    </row>
    <row r="190" spans="1:10" x14ac:dyDescent="0.25">
      <c r="A190" t="s">
        <v>186</v>
      </c>
      <c r="B190" s="48">
        <v>18</v>
      </c>
      <c r="C190" s="60">
        <f t="shared" ref="C190:C193" si="5">29000*G190</f>
        <v>545635</v>
      </c>
      <c r="D190" s="61" t="s">
        <v>1359</v>
      </c>
      <c r="E190" s="61" t="s">
        <v>1502</v>
      </c>
      <c r="F190" s="61" t="s">
        <v>902</v>
      </c>
      <c r="G190" s="62">
        <v>18.815000000000001</v>
      </c>
      <c r="H190" s="61">
        <v>38.950000000000003</v>
      </c>
      <c r="I190" s="63">
        <v>42418</v>
      </c>
      <c r="J190" s="64" t="s">
        <v>124</v>
      </c>
    </row>
    <row r="191" spans="1:10" x14ac:dyDescent="0.25">
      <c r="A191" t="s">
        <v>186</v>
      </c>
      <c r="B191" s="48">
        <v>18</v>
      </c>
      <c r="C191" s="60">
        <f t="shared" si="5"/>
        <v>545635</v>
      </c>
      <c r="D191" s="61" t="s">
        <v>1360</v>
      </c>
      <c r="E191" s="61" t="s">
        <v>1503</v>
      </c>
      <c r="F191" s="61" t="s">
        <v>902</v>
      </c>
      <c r="G191" s="62">
        <v>18.815000000000001</v>
      </c>
      <c r="H191" s="61">
        <v>29.11</v>
      </c>
      <c r="I191" s="63">
        <v>42418</v>
      </c>
      <c r="J191" s="64" t="s">
        <v>124</v>
      </c>
    </row>
    <row r="192" spans="1:10" x14ac:dyDescent="0.25">
      <c r="A192" t="s">
        <v>117</v>
      </c>
      <c r="B192" s="48">
        <v>19</v>
      </c>
      <c r="C192" s="60">
        <f t="shared" si="5"/>
        <v>531570</v>
      </c>
      <c r="D192" s="61" t="s">
        <v>1361</v>
      </c>
      <c r="E192" s="61" t="s">
        <v>1518</v>
      </c>
      <c r="F192" s="61" t="s">
        <v>902</v>
      </c>
      <c r="G192" s="60">
        <v>18.329999999999998</v>
      </c>
      <c r="H192" s="61">
        <v>28.79</v>
      </c>
      <c r="I192" s="63">
        <v>42419</v>
      </c>
      <c r="J192" s="64" t="s">
        <v>124</v>
      </c>
    </row>
    <row r="193" spans="1:10" x14ac:dyDescent="0.25">
      <c r="A193" t="s">
        <v>117</v>
      </c>
      <c r="B193" s="48">
        <v>19</v>
      </c>
      <c r="C193" s="60">
        <f t="shared" si="5"/>
        <v>531570</v>
      </c>
      <c r="D193" s="61" t="s">
        <v>1362</v>
      </c>
      <c r="E193" s="61" t="s">
        <v>1519</v>
      </c>
      <c r="F193" s="61" t="s">
        <v>902</v>
      </c>
      <c r="G193" s="60">
        <v>18.329999999999998</v>
      </c>
      <c r="H193" s="61">
        <v>28.79</v>
      </c>
      <c r="I193" s="63">
        <v>42419</v>
      </c>
      <c r="J193" s="64" t="s">
        <v>124</v>
      </c>
    </row>
    <row r="194" spans="1:10" x14ac:dyDescent="0.25">
      <c r="A194" t="s">
        <v>117</v>
      </c>
      <c r="B194" s="48">
        <v>19</v>
      </c>
      <c r="C194" s="60">
        <f>29000*G194</f>
        <v>526930</v>
      </c>
      <c r="D194" s="61" t="s">
        <v>1338</v>
      </c>
      <c r="E194" s="61" t="s">
        <v>1480</v>
      </c>
      <c r="F194" s="61" t="s">
        <v>902</v>
      </c>
      <c r="G194" s="60">
        <v>18.170000000000002</v>
      </c>
      <c r="H194" s="61">
        <v>28.15</v>
      </c>
      <c r="I194" s="63">
        <v>42419</v>
      </c>
      <c r="J194" s="64" t="s">
        <v>124</v>
      </c>
    </row>
    <row r="195" spans="1:10" x14ac:dyDescent="0.25">
      <c r="A195" t="s">
        <v>117</v>
      </c>
      <c r="B195" s="48">
        <v>19</v>
      </c>
      <c r="C195" s="51">
        <f>28657.82*G195</f>
        <v>539196.88329999999</v>
      </c>
      <c r="D195" s="52" t="s">
        <v>1233</v>
      </c>
      <c r="E195" s="52" t="s">
        <v>1234</v>
      </c>
      <c r="F195" s="52" t="s">
        <v>1235</v>
      </c>
      <c r="G195" s="70">
        <v>18.815000000000001</v>
      </c>
      <c r="H195" s="52">
        <v>31.3</v>
      </c>
      <c r="I195" s="53">
        <v>42417</v>
      </c>
      <c r="J195" s="54" t="s">
        <v>124</v>
      </c>
    </row>
    <row r="196" spans="1:10" x14ac:dyDescent="0.25">
      <c r="A196" t="s">
        <v>117</v>
      </c>
      <c r="B196" s="48">
        <v>19</v>
      </c>
      <c r="C196" s="51">
        <f>28040.37*G196</f>
        <v>518943.12759000005</v>
      </c>
      <c r="D196" s="52" t="s">
        <v>1237</v>
      </c>
      <c r="E196" s="52" t="s">
        <v>1236</v>
      </c>
      <c r="F196" s="52" t="s">
        <v>1238</v>
      </c>
      <c r="G196" s="70">
        <v>18.507000000000001</v>
      </c>
      <c r="H196" s="52">
        <v>30.59</v>
      </c>
      <c r="I196" s="53">
        <v>42419</v>
      </c>
      <c r="J196" s="54" t="s">
        <v>124</v>
      </c>
    </row>
    <row r="197" spans="1:10" x14ac:dyDescent="0.25">
      <c r="A197" s="49" t="s">
        <v>118</v>
      </c>
      <c r="B197" s="48">
        <v>20</v>
      </c>
    </row>
    <row r="198" spans="1:10" x14ac:dyDescent="0.25">
      <c r="A198" s="49" t="s">
        <v>119</v>
      </c>
      <c r="B198" s="48">
        <v>21</v>
      </c>
    </row>
    <row r="199" spans="1:10" s="50" customFormat="1" x14ac:dyDescent="0.25">
      <c r="A199" s="50" t="s">
        <v>125</v>
      </c>
      <c r="B199" s="56">
        <v>22</v>
      </c>
      <c r="C199" s="60">
        <f>25000*G199</f>
        <v>453950.00000000006</v>
      </c>
      <c r="D199" s="61" t="s">
        <v>1427</v>
      </c>
      <c r="E199" s="61" t="s">
        <v>1520</v>
      </c>
      <c r="F199" s="61" t="s">
        <v>201</v>
      </c>
      <c r="G199" s="61">
        <v>18.158000000000001</v>
      </c>
      <c r="H199" s="61">
        <v>28.63</v>
      </c>
      <c r="I199" s="63">
        <v>42422</v>
      </c>
      <c r="J199" s="64" t="s">
        <v>124</v>
      </c>
    </row>
    <row r="200" spans="1:10" x14ac:dyDescent="0.25">
      <c r="A200" t="s">
        <v>125</v>
      </c>
      <c r="B200" s="48">
        <v>22</v>
      </c>
      <c r="C200" s="51">
        <f>577500+14812.53</f>
        <v>592312.53</v>
      </c>
      <c r="D200" s="52" t="s">
        <v>1379</v>
      </c>
      <c r="E200" s="52" t="s">
        <v>1380</v>
      </c>
      <c r="F200" s="52" t="s">
        <v>156</v>
      </c>
      <c r="G200" s="53">
        <v>42429</v>
      </c>
      <c r="H200" s="53" t="s">
        <v>153</v>
      </c>
    </row>
    <row r="201" spans="1:10" x14ac:dyDescent="0.25">
      <c r="A201" t="s">
        <v>125</v>
      </c>
      <c r="B201" s="48">
        <v>22</v>
      </c>
      <c r="C201" s="51">
        <f>603790+14812.53</f>
        <v>618602.53</v>
      </c>
      <c r="D201" s="52" t="s">
        <v>1381</v>
      </c>
      <c r="E201" s="52" t="s">
        <v>1382</v>
      </c>
      <c r="F201" s="52" t="s">
        <v>156</v>
      </c>
      <c r="G201" s="53">
        <v>42430</v>
      </c>
      <c r="H201" s="53" t="s">
        <v>153</v>
      </c>
    </row>
    <row r="202" spans="1:10" x14ac:dyDescent="0.25">
      <c r="A202" t="s">
        <v>125</v>
      </c>
      <c r="B202" s="48">
        <v>22</v>
      </c>
      <c r="C202" s="51">
        <f>612260+14812.53</f>
        <v>627072.53</v>
      </c>
      <c r="D202" s="52" t="s">
        <v>1383</v>
      </c>
      <c r="E202" s="52" t="s">
        <v>1384</v>
      </c>
      <c r="F202" s="52" t="s">
        <v>156</v>
      </c>
      <c r="G202" s="53">
        <v>42433</v>
      </c>
      <c r="H202" s="53" t="s">
        <v>153</v>
      </c>
    </row>
    <row r="203" spans="1:10" x14ac:dyDescent="0.25">
      <c r="A203" t="s">
        <v>128</v>
      </c>
      <c r="B203" s="48">
        <v>23</v>
      </c>
    </row>
    <row r="204" spans="1:10" x14ac:dyDescent="0.25">
      <c r="A204" t="s">
        <v>120</v>
      </c>
      <c r="B204" s="48">
        <v>24</v>
      </c>
      <c r="C204" s="51">
        <f>261240.07+262999.77-499.77</f>
        <v>523740.07</v>
      </c>
      <c r="D204" s="52" t="s">
        <v>1491</v>
      </c>
      <c r="E204" s="52" t="s">
        <v>1492</v>
      </c>
      <c r="F204" s="52" t="s">
        <v>152</v>
      </c>
      <c r="G204" s="53">
        <v>42424</v>
      </c>
      <c r="H204" s="53" t="s">
        <v>153</v>
      </c>
    </row>
    <row r="205" spans="1:10" x14ac:dyDescent="0.25">
      <c r="A205" t="s">
        <v>120</v>
      </c>
      <c r="B205" s="48">
        <v>24</v>
      </c>
      <c r="C205" s="60">
        <f>22000*G205</f>
        <v>403480</v>
      </c>
      <c r="D205" s="61" t="s">
        <v>1428</v>
      </c>
      <c r="E205" s="61" t="s">
        <v>1521</v>
      </c>
      <c r="F205" s="61" t="s">
        <v>203</v>
      </c>
      <c r="G205" s="60">
        <v>18.34</v>
      </c>
      <c r="H205" s="61">
        <v>28.68</v>
      </c>
      <c r="I205" s="63">
        <v>42424</v>
      </c>
      <c r="J205" s="64" t="s">
        <v>124</v>
      </c>
    </row>
    <row r="206" spans="1:10" x14ac:dyDescent="0.25">
      <c r="A206" s="50" t="s">
        <v>120</v>
      </c>
      <c r="B206" s="48">
        <v>24</v>
      </c>
      <c r="C206" s="51">
        <v>632610</v>
      </c>
      <c r="D206" s="52" t="s">
        <v>1385</v>
      </c>
      <c r="E206" s="52" t="s">
        <v>1309</v>
      </c>
      <c r="F206" s="52" t="s">
        <v>156</v>
      </c>
      <c r="G206" s="53">
        <v>42436</v>
      </c>
      <c r="H206" s="53" t="s">
        <v>153</v>
      </c>
    </row>
    <row r="207" spans="1:10" x14ac:dyDescent="0.25">
      <c r="A207" t="s">
        <v>120</v>
      </c>
      <c r="B207" s="48">
        <v>24</v>
      </c>
      <c r="C207" s="51">
        <f>318670+22515.08</f>
        <v>341185.08</v>
      </c>
      <c r="D207" s="52" t="s">
        <v>1385</v>
      </c>
      <c r="E207" s="52" t="s">
        <v>1386</v>
      </c>
      <c r="F207" s="52" t="s">
        <v>156</v>
      </c>
      <c r="G207" s="53" t="s">
        <v>1573</v>
      </c>
      <c r="H207" s="52"/>
      <c r="I207" s="52"/>
      <c r="J207" s="53" t="s">
        <v>153</v>
      </c>
    </row>
    <row r="208" spans="1:10" x14ac:dyDescent="0.25">
      <c r="A208" t="s">
        <v>120</v>
      </c>
      <c r="B208" s="48">
        <v>24</v>
      </c>
      <c r="C208" s="51">
        <f>27774.33*G208</f>
        <v>514019.52531000006</v>
      </c>
      <c r="D208" s="52" t="s">
        <v>1332</v>
      </c>
      <c r="E208" s="52" t="s">
        <v>1333</v>
      </c>
      <c r="F208" s="52" t="s">
        <v>1334</v>
      </c>
      <c r="G208" s="70">
        <v>18.507000000000001</v>
      </c>
      <c r="H208" s="52">
        <v>30.51</v>
      </c>
      <c r="I208" s="53">
        <v>42419</v>
      </c>
      <c r="J208" s="54" t="s">
        <v>124</v>
      </c>
    </row>
    <row r="209" spans="1:10" x14ac:dyDescent="0.25">
      <c r="A209" t="s">
        <v>186</v>
      </c>
      <c r="B209" s="48">
        <v>25</v>
      </c>
      <c r="C209" s="51">
        <v>521620</v>
      </c>
      <c r="D209" s="52" t="s">
        <v>1387</v>
      </c>
      <c r="E209" s="52" t="s">
        <v>1388</v>
      </c>
      <c r="F209" s="52" t="s">
        <v>156</v>
      </c>
      <c r="G209" s="53">
        <v>42436</v>
      </c>
      <c r="H209" s="53" t="s">
        <v>153</v>
      </c>
    </row>
    <row r="210" spans="1:10" x14ac:dyDescent="0.25">
      <c r="A210" t="s">
        <v>186</v>
      </c>
      <c r="B210" s="48">
        <v>25</v>
      </c>
      <c r="C210" s="51">
        <f>495770+22396.5</f>
        <v>518166.5</v>
      </c>
      <c r="D210" s="52" t="s">
        <v>1387</v>
      </c>
      <c r="E210" s="52" t="s">
        <v>1389</v>
      </c>
      <c r="F210" s="52" t="s">
        <v>156</v>
      </c>
      <c r="G210" s="53">
        <v>42436</v>
      </c>
      <c r="H210" s="53" t="s">
        <v>153</v>
      </c>
    </row>
    <row r="211" spans="1:10" x14ac:dyDescent="0.25">
      <c r="A211" t="s">
        <v>186</v>
      </c>
      <c r="B211" s="48">
        <v>25</v>
      </c>
      <c r="C211" s="60">
        <f>27000*G211</f>
        <v>491939.99999999994</v>
      </c>
      <c r="D211" s="61" t="s">
        <v>1429</v>
      </c>
      <c r="E211" s="61" t="s">
        <v>1578</v>
      </c>
      <c r="F211" s="61" t="s">
        <v>222</v>
      </c>
      <c r="G211" s="60">
        <v>18.22</v>
      </c>
      <c r="H211" s="61">
        <v>27.92</v>
      </c>
      <c r="I211" s="63">
        <v>42425</v>
      </c>
      <c r="J211" s="64" t="s">
        <v>124</v>
      </c>
    </row>
    <row r="212" spans="1:10" x14ac:dyDescent="0.25">
      <c r="A212" t="s">
        <v>186</v>
      </c>
      <c r="B212" s="48">
        <v>25</v>
      </c>
      <c r="C212" s="60">
        <f>27000*G212</f>
        <v>491939.99999999994</v>
      </c>
      <c r="D212" s="61" t="s">
        <v>1430</v>
      </c>
      <c r="E212" s="61" t="s">
        <v>1579</v>
      </c>
      <c r="F212" s="61" t="s">
        <v>222</v>
      </c>
      <c r="G212" s="60">
        <v>18.22</v>
      </c>
      <c r="H212" s="61">
        <v>27.92</v>
      </c>
      <c r="I212" s="63">
        <v>42425</v>
      </c>
      <c r="J212" s="64" t="s">
        <v>124</v>
      </c>
    </row>
    <row r="213" spans="1:10" x14ac:dyDescent="0.25">
      <c r="A213" t="s">
        <v>117</v>
      </c>
      <c r="B213" s="48">
        <v>26</v>
      </c>
      <c r="C213" s="60">
        <f>28000*G213</f>
        <v>508760.00000000006</v>
      </c>
      <c r="D213" s="61" t="s">
        <v>1431</v>
      </c>
      <c r="E213" s="61" t="s">
        <v>1580</v>
      </c>
      <c r="F213" s="61" t="s">
        <v>818</v>
      </c>
      <c r="G213" s="60">
        <v>18.170000000000002</v>
      </c>
      <c r="H213" s="61">
        <v>28.01</v>
      </c>
      <c r="I213" s="63">
        <v>42426</v>
      </c>
      <c r="J213" s="64" t="s">
        <v>124</v>
      </c>
    </row>
    <row r="214" spans="1:10" x14ac:dyDescent="0.25">
      <c r="A214" t="s">
        <v>117</v>
      </c>
      <c r="B214" s="48">
        <v>26</v>
      </c>
      <c r="C214" s="60">
        <f>28000*G214</f>
        <v>508760.00000000006</v>
      </c>
      <c r="D214" s="61" t="s">
        <v>1432</v>
      </c>
      <c r="E214" s="61" t="s">
        <v>1581</v>
      </c>
      <c r="F214" s="61" t="s">
        <v>818</v>
      </c>
      <c r="G214" s="60">
        <v>18.170000000000002</v>
      </c>
      <c r="H214" s="61">
        <v>27.98</v>
      </c>
      <c r="I214" s="63">
        <v>42426</v>
      </c>
      <c r="J214" s="64" t="s">
        <v>124</v>
      </c>
    </row>
    <row r="215" spans="1:10" x14ac:dyDescent="0.25">
      <c r="A215" t="s">
        <v>117</v>
      </c>
      <c r="B215" s="48">
        <v>26</v>
      </c>
      <c r="C215" s="60">
        <f>27000*G215</f>
        <v>490590.00000000006</v>
      </c>
      <c r="D215" s="61" t="s">
        <v>1433</v>
      </c>
      <c r="E215" s="61" t="s">
        <v>1575</v>
      </c>
      <c r="F215" s="61" t="s">
        <v>222</v>
      </c>
      <c r="G215" s="60">
        <v>18.170000000000002</v>
      </c>
      <c r="H215" s="61">
        <v>28</v>
      </c>
      <c r="I215" s="63">
        <v>42426</v>
      </c>
      <c r="J215" s="64" t="s">
        <v>124</v>
      </c>
    </row>
    <row r="216" spans="1:10" x14ac:dyDescent="0.25">
      <c r="A216" t="s">
        <v>117</v>
      </c>
      <c r="B216" s="48">
        <v>26</v>
      </c>
      <c r="C216" s="51">
        <f>27071.04*G216</f>
        <v>491339.37599999999</v>
      </c>
      <c r="D216" s="52" t="s">
        <v>1420</v>
      </c>
      <c r="E216" s="52" t="s">
        <v>1421</v>
      </c>
      <c r="F216" s="52" t="s">
        <v>1422</v>
      </c>
      <c r="G216" s="51">
        <v>18.149999999999999</v>
      </c>
      <c r="H216" s="52">
        <v>29.09</v>
      </c>
      <c r="I216" s="53">
        <v>42422</v>
      </c>
      <c r="J216" s="54" t="s">
        <v>124</v>
      </c>
    </row>
    <row r="217" spans="1:10" x14ac:dyDescent="0.25">
      <c r="A217" s="49" t="s">
        <v>118</v>
      </c>
      <c r="B217" s="48">
        <v>27</v>
      </c>
    </row>
    <row r="218" spans="1:10" x14ac:dyDescent="0.25">
      <c r="A218" s="49" t="s">
        <v>119</v>
      </c>
      <c r="B218" s="48">
        <v>28</v>
      </c>
    </row>
    <row r="219" spans="1:10" s="50" customFormat="1" x14ac:dyDescent="0.25">
      <c r="A219" s="50" t="s">
        <v>125</v>
      </c>
      <c r="B219" s="56">
        <v>29</v>
      </c>
      <c r="C219" s="60">
        <f>28000*G219</f>
        <v>509179.99999999994</v>
      </c>
      <c r="D219" s="61" t="s">
        <v>1513</v>
      </c>
      <c r="E219" s="61" t="s">
        <v>1577</v>
      </c>
      <c r="F219" s="61" t="s">
        <v>818</v>
      </c>
      <c r="G219" s="62">
        <v>18.184999999999999</v>
      </c>
      <c r="H219" s="61">
        <v>28.01</v>
      </c>
      <c r="I219" s="63">
        <v>42429</v>
      </c>
      <c r="J219" s="64" t="s">
        <v>124</v>
      </c>
    </row>
    <row r="220" spans="1:10" x14ac:dyDescent="0.25">
      <c r="A220" s="50" t="s">
        <v>125</v>
      </c>
      <c r="B220" s="48">
        <v>29</v>
      </c>
      <c r="C220" s="51">
        <f>22897.5+15227.24</f>
        <v>38124.74</v>
      </c>
      <c r="D220" s="52" t="s">
        <v>1411</v>
      </c>
      <c r="E220" s="52" t="s">
        <v>1409</v>
      </c>
      <c r="F220" s="52" t="s">
        <v>156</v>
      </c>
      <c r="G220" s="53">
        <v>42437</v>
      </c>
      <c r="H220" s="53" t="s">
        <v>153</v>
      </c>
    </row>
    <row r="221" spans="1:10" x14ac:dyDescent="0.25">
      <c r="A221" t="s">
        <v>125</v>
      </c>
      <c r="B221" s="48">
        <v>29</v>
      </c>
      <c r="C221" s="51">
        <f>623500+14812.53</f>
        <v>638312.53</v>
      </c>
      <c r="D221" s="52" t="s">
        <v>1410</v>
      </c>
      <c r="E221" s="52" t="s">
        <v>1412</v>
      </c>
      <c r="F221" s="52" t="s">
        <v>156</v>
      </c>
      <c r="G221" s="53">
        <v>42437</v>
      </c>
      <c r="H221" s="53" t="s">
        <v>153</v>
      </c>
    </row>
    <row r="222" spans="1:10" x14ac:dyDescent="0.25">
      <c r="A222" s="50" t="s">
        <v>125</v>
      </c>
      <c r="B222" s="48">
        <v>29</v>
      </c>
      <c r="C222" s="51">
        <v>613180</v>
      </c>
      <c r="D222" s="52" t="s">
        <v>1413</v>
      </c>
      <c r="E222" s="52" t="s">
        <v>1365</v>
      </c>
      <c r="F222" s="52" t="s">
        <v>156</v>
      </c>
      <c r="G222" s="53">
        <v>42440</v>
      </c>
      <c r="H222" s="53" t="s">
        <v>153</v>
      </c>
    </row>
    <row r="223" spans="1:10" x14ac:dyDescent="0.25">
      <c r="A223" t="s">
        <v>125</v>
      </c>
      <c r="B223" s="48">
        <v>29</v>
      </c>
      <c r="C223" s="51">
        <f>570932.5-4585.09</f>
        <v>566347.41</v>
      </c>
      <c r="D223" s="52" t="s">
        <v>1414</v>
      </c>
      <c r="E223" s="52" t="s">
        <v>1366</v>
      </c>
      <c r="F223" s="52" t="s">
        <v>156</v>
      </c>
      <c r="G223" s="53">
        <v>42429</v>
      </c>
      <c r="H223" s="53" t="s">
        <v>153</v>
      </c>
    </row>
    <row r="224" spans="1:10" x14ac:dyDescent="0.25">
      <c r="A224" s="47" t="s">
        <v>1408</v>
      </c>
    </row>
    <row r="225" spans="1:10" x14ac:dyDescent="0.25">
      <c r="A225" t="s">
        <v>128</v>
      </c>
      <c r="B225" s="48">
        <v>1</v>
      </c>
    </row>
    <row r="226" spans="1:10" x14ac:dyDescent="0.25">
      <c r="A226" t="s">
        <v>120</v>
      </c>
      <c r="B226" s="48">
        <v>1</v>
      </c>
      <c r="C226" s="60">
        <f>27000*G226</f>
        <v>488159.99999999994</v>
      </c>
      <c r="D226" s="61" t="s">
        <v>1570</v>
      </c>
      <c r="E226" s="61" t="s">
        <v>1608</v>
      </c>
      <c r="F226" s="61" t="s">
        <v>222</v>
      </c>
      <c r="G226" s="60">
        <v>18.079999999999998</v>
      </c>
      <c r="H226" s="61">
        <v>28.79</v>
      </c>
      <c r="I226" s="63">
        <v>42431</v>
      </c>
      <c r="J226" s="64" t="s">
        <v>124</v>
      </c>
    </row>
    <row r="227" spans="1:10" x14ac:dyDescent="0.25">
      <c r="A227" t="s">
        <v>120</v>
      </c>
      <c r="B227" s="48">
        <v>2</v>
      </c>
      <c r="C227" s="51">
        <f>26753.96*G227</f>
        <v>485584.37399999995</v>
      </c>
      <c r="D227" s="52" t="s">
        <v>1423</v>
      </c>
      <c r="E227" s="52" t="s">
        <v>1424</v>
      </c>
      <c r="F227" s="52" t="s">
        <v>1425</v>
      </c>
      <c r="G227" s="51">
        <v>18.149999999999999</v>
      </c>
      <c r="H227" s="52" t="s">
        <v>1435</v>
      </c>
      <c r="I227" s="53">
        <v>42424</v>
      </c>
      <c r="J227" s="118" t="s">
        <v>952</v>
      </c>
    </row>
    <row r="228" spans="1:10" x14ac:dyDescent="0.25">
      <c r="A228" t="s">
        <v>120</v>
      </c>
      <c r="B228" s="48">
        <v>2</v>
      </c>
      <c r="C228" s="51">
        <v>611997.5</v>
      </c>
      <c r="D228" s="52" t="s">
        <v>1415</v>
      </c>
      <c r="E228" s="52" t="s">
        <v>1373</v>
      </c>
      <c r="F228" s="52" t="s">
        <v>156</v>
      </c>
      <c r="G228" s="53">
        <v>42439</v>
      </c>
      <c r="H228" s="53" t="s">
        <v>153</v>
      </c>
    </row>
    <row r="229" spans="1:10" x14ac:dyDescent="0.25">
      <c r="A229" t="s">
        <v>120</v>
      </c>
      <c r="B229" s="48">
        <v>2</v>
      </c>
      <c r="C229" s="51">
        <f>295732.5-4549.83+22337.28</f>
        <v>313519.94999999995</v>
      </c>
      <c r="D229" s="52" t="s">
        <v>1416</v>
      </c>
      <c r="E229" s="52" t="s">
        <v>1417</v>
      </c>
      <c r="F229" s="52" t="s">
        <v>156</v>
      </c>
      <c r="G229" s="53">
        <v>42440</v>
      </c>
      <c r="H229" s="53" t="s">
        <v>153</v>
      </c>
    </row>
    <row r="230" spans="1:10" x14ac:dyDescent="0.25">
      <c r="A230" t="s">
        <v>120</v>
      </c>
      <c r="B230" s="48">
        <v>2</v>
      </c>
      <c r="C230" s="51">
        <f>252629.46+263550.23</f>
        <v>516179.68999999994</v>
      </c>
      <c r="D230" s="52" t="s">
        <v>1568</v>
      </c>
      <c r="E230" s="52" t="s">
        <v>1534</v>
      </c>
      <c r="F230" s="52" t="s">
        <v>152</v>
      </c>
      <c r="G230" s="53">
        <v>42432</v>
      </c>
      <c r="H230" s="53" t="s">
        <v>153</v>
      </c>
    </row>
    <row r="231" spans="1:10" x14ac:dyDescent="0.25">
      <c r="A231" t="s">
        <v>186</v>
      </c>
      <c r="B231" s="48">
        <v>3</v>
      </c>
      <c r="C231" s="51">
        <v>623285</v>
      </c>
      <c r="D231" s="52" t="s">
        <v>1418</v>
      </c>
      <c r="E231" s="52" t="s">
        <v>1374</v>
      </c>
      <c r="F231" s="52" t="s">
        <v>156</v>
      </c>
      <c r="G231" s="53">
        <v>42439</v>
      </c>
      <c r="H231" s="53" t="s">
        <v>153</v>
      </c>
    </row>
    <row r="232" spans="1:10" x14ac:dyDescent="0.25">
      <c r="A232" t="s">
        <v>186</v>
      </c>
      <c r="B232" s="48">
        <v>3</v>
      </c>
      <c r="C232" s="51">
        <f>323790+37327.5</f>
        <v>361117.5</v>
      </c>
      <c r="D232" s="52" t="s">
        <v>1418</v>
      </c>
      <c r="E232" s="52" t="s">
        <v>1419</v>
      </c>
      <c r="F232" s="52" t="s">
        <v>156</v>
      </c>
      <c r="G232" s="53">
        <v>42439</v>
      </c>
      <c r="H232" s="53" t="s">
        <v>153</v>
      </c>
    </row>
    <row r="233" spans="1:10" x14ac:dyDescent="0.25">
      <c r="A233" t="s">
        <v>186</v>
      </c>
      <c r="B233" s="48">
        <v>3</v>
      </c>
      <c r="C233" s="60">
        <f>28500*G233</f>
        <v>511290.00000000006</v>
      </c>
      <c r="D233" s="61" t="s">
        <v>1592</v>
      </c>
      <c r="E233" s="61" t="s">
        <v>1644</v>
      </c>
      <c r="F233" s="61" t="s">
        <v>1571</v>
      </c>
      <c r="G233" s="60">
        <v>17.940000000000001</v>
      </c>
      <c r="H233" s="61">
        <v>28.33</v>
      </c>
      <c r="I233" s="63">
        <v>42432</v>
      </c>
      <c r="J233" s="64" t="s">
        <v>124</v>
      </c>
    </row>
    <row r="234" spans="1:10" x14ac:dyDescent="0.25">
      <c r="A234" t="s">
        <v>186</v>
      </c>
      <c r="B234" s="48">
        <v>3</v>
      </c>
      <c r="C234" s="60">
        <f t="shared" ref="C234:C236" si="6">28500*G234</f>
        <v>511290.00000000006</v>
      </c>
      <c r="D234" s="61" t="s">
        <v>1593</v>
      </c>
      <c r="E234" s="61" t="s">
        <v>1645</v>
      </c>
      <c r="F234" s="61" t="s">
        <v>1571</v>
      </c>
      <c r="G234" s="60">
        <v>17.940000000000001</v>
      </c>
      <c r="H234" s="61">
        <v>28.33</v>
      </c>
      <c r="I234" s="63">
        <v>42432</v>
      </c>
      <c r="J234" s="64" t="s">
        <v>124</v>
      </c>
    </row>
    <row r="235" spans="1:10" x14ac:dyDescent="0.25">
      <c r="A235" t="s">
        <v>117</v>
      </c>
      <c r="B235" s="48">
        <v>4</v>
      </c>
      <c r="C235" s="60">
        <f t="shared" si="6"/>
        <v>509580</v>
      </c>
      <c r="D235" s="61" t="s">
        <v>1594</v>
      </c>
      <c r="E235" s="61" t="s">
        <v>1646</v>
      </c>
      <c r="F235" s="61" t="s">
        <v>1571</v>
      </c>
      <c r="G235" s="60">
        <v>17.88</v>
      </c>
      <c r="H235" s="61">
        <v>28.13</v>
      </c>
      <c r="I235" s="63">
        <v>42433</v>
      </c>
      <c r="J235" s="64" t="s">
        <v>124</v>
      </c>
    </row>
    <row r="236" spans="1:10" x14ac:dyDescent="0.25">
      <c r="A236" t="s">
        <v>117</v>
      </c>
      <c r="B236" s="48">
        <v>4</v>
      </c>
      <c r="C236" s="60">
        <f t="shared" si="6"/>
        <v>509580</v>
      </c>
      <c r="D236" s="61" t="s">
        <v>1569</v>
      </c>
      <c r="E236" s="61" t="s">
        <v>1647</v>
      </c>
      <c r="F236" s="61" t="s">
        <v>1571</v>
      </c>
      <c r="G236" s="60">
        <v>17.88</v>
      </c>
      <c r="H236" s="61">
        <v>28.05</v>
      </c>
      <c r="I236" s="63">
        <v>42433</v>
      </c>
      <c r="J236" s="64" t="s">
        <v>124</v>
      </c>
    </row>
    <row r="237" spans="1:10" x14ac:dyDescent="0.25">
      <c r="A237" t="s">
        <v>117</v>
      </c>
      <c r="B237" s="48">
        <v>4</v>
      </c>
      <c r="C237" s="51">
        <f>26507.1*G237</f>
        <v>480706.2585</v>
      </c>
      <c r="D237" s="52" t="s">
        <v>1482</v>
      </c>
      <c r="E237" s="52" t="s">
        <v>1483</v>
      </c>
      <c r="F237" s="52" t="s">
        <v>1484</v>
      </c>
      <c r="G237" s="70">
        <v>18.135000000000002</v>
      </c>
      <c r="H237" s="52">
        <v>27.85</v>
      </c>
      <c r="I237" s="53">
        <v>42429</v>
      </c>
      <c r="J237" s="54" t="s">
        <v>124</v>
      </c>
    </row>
    <row r="238" spans="1:10" x14ac:dyDescent="0.25">
      <c r="A238" t="s">
        <v>117</v>
      </c>
      <c r="B238" s="48">
        <v>4</v>
      </c>
      <c r="C238" s="51">
        <f>25393.92*G238</f>
        <v>460518.73920000001</v>
      </c>
      <c r="D238" s="52" t="s">
        <v>1485</v>
      </c>
      <c r="E238" s="52" t="s">
        <v>1486</v>
      </c>
      <c r="F238" s="52" t="s">
        <v>1487</v>
      </c>
      <c r="G238" s="70">
        <v>18.135000000000002</v>
      </c>
      <c r="H238" s="52">
        <v>27.83</v>
      </c>
      <c r="I238" s="53">
        <v>42429</v>
      </c>
      <c r="J238" s="54" t="s">
        <v>124</v>
      </c>
    </row>
    <row r="239" spans="1:10" x14ac:dyDescent="0.25">
      <c r="A239" s="49" t="s">
        <v>118</v>
      </c>
      <c r="B239" s="48">
        <v>5</v>
      </c>
    </row>
    <row r="240" spans="1:10" x14ac:dyDescent="0.25">
      <c r="A240" s="49" t="s">
        <v>119</v>
      </c>
      <c r="B240" s="48">
        <v>6</v>
      </c>
    </row>
    <row r="241" spans="1:10" s="50" customFormat="1" x14ac:dyDescent="0.25">
      <c r="A241" s="50" t="s">
        <v>125</v>
      </c>
      <c r="B241" s="56">
        <v>7</v>
      </c>
      <c r="C241" s="60">
        <f>27500*G241</f>
        <v>490324.99999999994</v>
      </c>
      <c r="D241" s="61" t="s">
        <v>1574</v>
      </c>
      <c r="E241" s="61" t="s">
        <v>1648</v>
      </c>
      <c r="F241" s="61" t="s">
        <v>1596</v>
      </c>
      <c r="G241" s="60">
        <v>17.829999999999998</v>
      </c>
      <c r="H241" s="61">
        <v>28.16</v>
      </c>
      <c r="I241" s="63">
        <v>42436</v>
      </c>
      <c r="J241" s="64" t="s">
        <v>124</v>
      </c>
    </row>
    <row r="242" spans="1:10" s="50" customFormat="1" x14ac:dyDescent="0.25">
      <c r="A242" s="50" t="s">
        <v>125</v>
      </c>
      <c r="B242" s="56">
        <v>7</v>
      </c>
      <c r="C242" s="60">
        <f>28500*G242</f>
        <v>509580</v>
      </c>
      <c r="D242" s="61" t="s">
        <v>1595</v>
      </c>
      <c r="E242" s="61" t="s">
        <v>1686</v>
      </c>
      <c r="F242" s="61" t="s">
        <v>818</v>
      </c>
      <c r="G242" s="60">
        <v>17.88</v>
      </c>
      <c r="H242" s="61">
        <v>28.49</v>
      </c>
      <c r="I242" s="63">
        <v>42436</v>
      </c>
      <c r="J242" s="64" t="s">
        <v>124</v>
      </c>
    </row>
    <row r="243" spans="1:10" x14ac:dyDescent="0.25">
      <c r="A243" s="50" t="s">
        <v>125</v>
      </c>
      <c r="B243" s="48">
        <v>7</v>
      </c>
      <c r="C243" s="51">
        <v>602107.5</v>
      </c>
      <c r="D243" s="52" t="s">
        <v>1550</v>
      </c>
      <c r="E243" s="52" t="s">
        <v>1551</v>
      </c>
      <c r="F243" s="52" t="s">
        <v>156</v>
      </c>
      <c r="G243" s="53">
        <v>42444</v>
      </c>
      <c r="H243" s="53" t="s">
        <v>153</v>
      </c>
    </row>
    <row r="244" spans="1:10" x14ac:dyDescent="0.25">
      <c r="A244" t="s">
        <v>125</v>
      </c>
      <c r="B244" s="48">
        <v>7</v>
      </c>
      <c r="C244" s="51">
        <f>26982.5+37683</f>
        <v>64665.5</v>
      </c>
      <c r="D244" s="52" t="s">
        <v>1552</v>
      </c>
      <c r="E244" s="52" t="s">
        <v>1553</v>
      </c>
      <c r="F244" s="52" t="s">
        <v>156</v>
      </c>
      <c r="G244" s="53">
        <v>42443</v>
      </c>
      <c r="H244" s="53" t="s">
        <v>153</v>
      </c>
    </row>
    <row r="245" spans="1:10" x14ac:dyDescent="0.25">
      <c r="A245" t="s">
        <v>125</v>
      </c>
      <c r="B245" s="48">
        <v>7</v>
      </c>
      <c r="C245" s="51">
        <f>298527.5+290465</f>
        <v>588992.5</v>
      </c>
      <c r="D245" s="52" t="s">
        <v>1555</v>
      </c>
      <c r="E245" s="52" t="s">
        <v>1471</v>
      </c>
      <c r="F245" s="52" t="s">
        <v>156</v>
      </c>
      <c r="G245" s="53">
        <v>42443</v>
      </c>
      <c r="H245" s="53" t="s">
        <v>153</v>
      </c>
    </row>
    <row r="246" spans="1:10" x14ac:dyDescent="0.25">
      <c r="A246" s="50" t="s">
        <v>128</v>
      </c>
      <c r="B246" s="48">
        <v>8</v>
      </c>
      <c r="C246" s="51">
        <f>572007.5+14753.28</f>
        <v>586760.78</v>
      </c>
      <c r="D246" s="52" t="s">
        <v>1554</v>
      </c>
      <c r="E246" s="52" t="s">
        <v>1556</v>
      </c>
      <c r="F246" s="52" t="s">
        <v>156</v>
      </c>
      <c r="G246" s="53">
        <v>42451</v>
      </c>
      <c r="H246" s="53" t="s">
        <v>153</v>
      </c>
    </row>
    <row r="247" spans="1:10" x14ac:dyDescent="0.25">
      <c r="A247" t="s">
        <v>128</v>
      </c>
      <c r="B247" s="48">
        <v>8</v>
      </c>
      <c r="C247" s="51">
        <f>26686.62*G247</f>
        <v>484682.39243999997</v>
      </c>
      <c r="D247" s="52" t="s">
        <v>1488</v>
      </c>
      <c r="E247" s="52" t="s">
        <v>1489</v>
      </c>
      <c r="F247" s="52" t="s">
        <v>1490</v>
      </c>
      <c r="G247" s="70">
        <v>18.161999999999999</v>
      </c>
      <c r="H247" s="52" t="s">
        <v>1523</v>
      </c>
      <c r="I247" s="53">
        <v>42431</v>
      </c>
      <c r="J247" s="54" t="s">
        <v>124</v>
      </c>
    </row>
    <row r="248" spans="1:10" s="50" customFormat="1" x14ac:dyDescent="0.25">
      <c r="A248" s="50" t="s">
        <v>120</v>
      </c>
      <c r="B248" s="56">
        <v>9</v>
      </c>
      <c r="C248" s="60">
        <f>28000*G248</f>
        <v>500640</v>
      </c>
      <c r="D248" s="61" t="s">
        <v>1624</v>
      </c>
      <c r="E248" s="61" t="s">
        <v>1683</v>
      </c>
      <c r="F248" s="61" t="s">
        <v>818</v>
      </c>
      <c r="G248" s="62">
        <v>17.88</v>
      </c>
      <c r="H248" s="61">
        <v>28.69</v>
      </c>
      <c r="I248" s="63">
        <v>42438</v>
      </c>
      <c r="J248" s="64" t="s">
        <v>124</v>
      </c>
    </row>
    <row r="249" spans="1:10" s="50" customFormat="1" x14ac:dyDescent="0.25">
      <c r="A249" s="50" t="s">
        <v>120</v>
      </c>
      <c r="B249" s="56">
        <v>9</v>
      </c>
      <c r="C249" s="51">
        <f>268590.49+268170.59</f>
        <v>536761.08000000007</v>
      </c>
      <c r="D249" s="52" t="s">
        <v>1616</v>
      </c>
      <c r="E249" s="52" t="s">
        <v>1627</v>
      </c>
      <c r="F249" s="52" t="s">
        <v>152</v>
      </c>
      <c r="G249" s="53">
        <v>42439</v>
      </c>
      <c r="H249" s="53" t="s">
        <v>153</v>
      </c>
      <c r="I249" s="58"/>
      <c r="J249" s="59"/>
    </row>
    <row r="250" spans="1:10" x14ac:dyDescent="0.25">
      <c r="A250" t="s">
        <v>120</v>
      </c>
      <c r="B250" s="48">
        <v>9</v>
      </c>
      <c r="C250" s="51">
        <v>585122.5</v>
      </c>
      <c r="D250" s="52" t="s">
        <v>1619</v>
      </c>
      <c r="E250" s="52" t="s">
        <v>1506</v>
      </c>
      <c r="F250" s="52" t="s">
        <v>156</v>
      </c>
      <c r="G250" s="53">
        <v>42447</v>
      </c>
      <c r="H250" s="53" t="s">
        <v>153</v>
      </c>
    </row>
    <row r="251" spans="1:10" x14ac:dyDescent="0.25">
      <c r="A251" t="s">
        <v>120</v>
      </c>
      <c r="B251" s="48">
        <v>9</v>
      </c>
      <c r="C251" s="51">
        <f>326155-5056.8</f>
        <v>321098.2</v>
      </c>
      <c r="D251" s="52" t="s">
        <v>1561</v>
      </c>
      <c r="E251" s="52" t="s">
        <v>1505</v>
      </c>
      <c r="F251" s="52" t="s">
        <v>156</v>
      </c>
      <c r="G251" s="53">
        <v>42443</v>
      </c>
      <c r="H251" s="53" t="s">
        <v>153</v>
      </c>
    </row>
    <row r="252" spans="1:10" x14ac:dyDescent="0.25">
      <c r="A252" t="s">
        <v>186</v>
      </c>
      <c r="B252" s="48">
        <v>10</v>
      </c>
      <c r="C252" s="51">
        <f>459885+151037.5</f>
        <v>610922.5</v>
      </c>
      <c r="D252" s="52" t="s">
        <v>1562</v>
      </c>
      <c r="E252" s="52" t="s">
        <v>1512</v>
      </c>
      <c r="F252" s="52" t="s">
        <v>156</v>
      </c>
      <c r="G252" s="53">
        <v>42443</v>
      </c>
      <c r="H252" s="53" t="s">
        <v>153</v>
      </c>
    </row>
    <row r="253" spans="1:10" x14ac:dyDescent="0.25">
      <c r="A253" t="s">
        <v>186</v>
      </c>
      <c r="B253" s="48">
        <v>10</v>
      </c>
      <c r="C253" s="51">
        <f>336367.5+37327.5</f>
        <v>373695</v>
      </c>
      <c r="D253" s="52" t="s">
        <v>1563</v>
      </c>
      <c r="E253" s="52" t="s">
        <v>1564</v>
      </c>
      <c r="F253" s="52" t="s">
        <v>156</v>
      </c>
      <c r="G253" s="53">
        <v>42447</v>
      </c>
      <c r="H253" s="53" t="s">
        <v>153</v>
      </c>
    </row>
    <row r="254" spans="1:10" x14ac:dyDescent="0.25">
      <c r="A254" t="s">
        <v>186</v>
      </c>
      <c r="B254" s="48">
        <v>10</v>
      </c>
      <c r="C254" s="60">
        <f>29000*G254</f>
        <v>518520</v>
      </c>
      <c r="D254" s="61" t="s">
        <v>1620</v>
      </c>
      <c r="E254" s="61" t="s">
        <v>1687</v>
      </c>
      <c r="F254" s="61" t="s">
        <v>902</v>
      </c>
      <c r="G254" s="60">
        <v>17.88</v>
      </c>
      <c r="H254" s="61">
        <v>28.49</v>
      </c>
      <c r="I254" s="63">
        <v>42438</v>
      </c>
      <c r="J254" s="64" t="s">
        <v>124</v>
      </c>
    </row>
    <row r="255" spans="1:10" x14ac:dyDescent="0.25">
      <c r="A255" t="s">
        <v>186</v>
      </c>
      <c r="B255" s="48">
        <v>10</v>
      </c>
      <c r="C255" s="60">
        <f>29000*G255</f>
        <v>518520</v>
      </c>
      <c r="D255" s="61" t="s">
        <v>1621</v>
      </c>
      <c r="E255" s="61" t="s">
        <v>1710</v>
      </c>
      <c r="F255" s="61" t="s">
        <v>902</v>
      </c>
      <c r="G255" s="60">
        <v>17.88</v>
      </c>
      <c r="H255" s="61">
        <v>28.51</v>
      </c>
      <c r="I255" s="63">
        <v>42438</v>
      </c>
      <c r="J255" s="64" t="s">
        <v>124</v>
      </c>
    </row>
    <row r="256" spans="1:10" x14ac:dyDescent="0.25">
      <c r="A256" t="s">
        <v>186</v>
      </c>
      <c r="B256" s="48">
        <v>10</v>
      </c>
      <c r="C256" s="60">
        <f t="shared" ref="C256:C259" si="7">29000*G256</f>
        <v>515040.00000000006</v>
      </c>
      <c r="D256" s="61" t="s">
        <v>1622</v>
      </c>
      <c r="E256" s="61" t="s">
        <v>1711</v>
      </c>
      <c r="F256" s="61" t="s">
        <v>902</v>
      </c>
      <c r="G256" s="60">
        <v>17.760000000000002</v>
      </c>
      <c r="H256" s="61">
        <v>28.21</v>
      </c>
      <c r="I256" s="63">
        <v>42440</v>
      </c>
      <c r="J256" s="61" t="s">
        <v>952</v>
      </c>
    </row>
    <row r="257" spans="1:10" x14ac:dyDescent="0.25">
      <c r="A257" t="s">
        <v>117</v>
      </c>
      <c r="B257" s="48">
        <v>11</v>
      </c>
      <c r="C257" s="60">
        <f t="shared" si="7"/>
        <v>515040.00000000006</v>
      </c>
      <c r="D257" s="61" t="s">
        <v>1623</v>
      </c>
      <c r="E257" s="61" t="s">
        <v>1712</v>
      </c>
      <c r="F257" s="61" t="s">
        <v>902</v>
      </c>
      <c r="G257" s="60">
        <v>17.760000000000002</v>
      </c>
      <c r="H257" s="61">
        <v>28.22</v>
      </c>
      <c r="I257" s="63">
        <v>42440</v>
      </c>
      <c r="J257" s="61" t="s">
        <v>952</v>
      </c>
    </row>
    <row r="258" spans="1:10" x14ac:dyDescent="0.25">
      <c r="A258" t="s">
        <v>117</v>
      </c>
      <c r="B258" s="56">
        <v>11</v>
      </c>
      <c r="C258" s="60">
        <f t="shared" si="7"/>
        <v>515040.00000000006</v>
      </c>
      <c r="D258" s="61" t="s">
        <v>1625</v>
      </c>
      <c r="E258" s="61" t="s">
        <v>1708</v>
      </c>
      <c r="F258" s="61" t="s">
        <v>902</v>
      </c>
      <c r="G258" s="60">
        <v>17.760000000000002</v>
      </c>
      <c r="H258" s="61">
        <v>28.36</v>
      </c>
      <c r="I258" s="63">
        <v>42440</v>
      </c>
      <c r="J258" s="64" t="s">
        <v>124</v>
      </c>
    </row>
    <row r="259" spans="1:10" x14ac:dyDescent="0.25">
      <c r="A259" t="s">
        <v>117</v>
      </c>
      <c r="B259" s="56">
        <v>11</v>
      </c>
      <c r="C259" s="60">
        <f t="shared" si="7"/>
        <v>515910</v>
      </c>
      <c r="D259" s="61" t="s">
        <v>1626</v>
      </c>
      <c r="E259" s="61" t="s">
        <v>1709</v>
      </c>
      <c r="F259" s="61" t="s">
        <v>902</v>
      </c>
      <c r="G259" s="60">
        <v>17.79</v>
      </c>
      <c r="H259" s="61">
        <v>28.39</v>
      </c>
      <c r="I259" s="63">
        <v>42440</v>
      </c>
      <c r="J259" s="64" t="s">
        <v>124</v>
      </c>
    </row>
    <row r="260" spans="1:10" x14ac:dyDescent="0.25">
      <c r="A260" t="s">
        <v>117</v>
      </c>
      <c r="B260" s="48">
        <v>11</v>
      </c>
      <c r="C260" s="51">
        <f>25276.86*G260</f>
        <v>450307.26090000005</v>
      </c>
      <c r="D260" s="52" t="s">
        <v>1557</v>
      </c>
      <c r="E260" s="52" t="s">
        <v>1558</v>
      </c>
      <c r="F260" s="52" t="s">
        <v>1559</v>
      </c>
      <c r="G260" s="70">
        <v>17.815000000000001</v>
      </c>
      <c r="H260" s="52">
        <v>27.66</v>
      </c>
      <c r="I260" s="53">
        <v>42433</v>
      </c>
      <c r="J260" s="54" t="s">
        <v>124</v>
      </c>
    </row>
    <row r="261" spans="1:10" s="50" customFormat="1" x14ac:dyDescent="0.25">
      <c r="A261" s="50" t="s">
        <v>117</v>
      </c>
      <c r="B261" s="56">
        <v>11</v>
      </c>
      <c r="C261" s="51">
        <f>25532.79*G261</f>
        <v>453717.67830000003</v>
      </c>
      <c r="D261" s="52" t="s">
        <v>1582</v>
      </c>
      <c r="E261" s="52" t="s">
        <v>1583</v>
      </c>
      <c r="F261" s="52" t="s">
        <v>1584</v>
      </c>
      <c r="G261" s="70">
        <v>17.77</v>
      </c>
      <c r="H261" s="52">
        <v>27.58</v>
      </c>
      <c r="I261" s="53">
        <v>42436</v>
      </c>
      <c r="J261" s="54" t="s">
        <v>124</v>
      </c>
    </row>
    <row r="262" spans="1:10" x14ac:dyDescent="0.25">
      <c r="A262" s="49" t="s">
        <v>118</v>
      </c>
      <c r="B262" s="48">
        <v>12</v>
      </c>
    </row>
    <row r="263" spans="1:10" x14ac:dyDescent="0.25">
      <c r="A263" s="49" t="s">
        <v>119</v>
      </c>
      <c r="B263" s="48">
        <v>13</v>
      </c>
    </row>
    <row r="264" spans="1:10" s="50" customFormat="1" x14ac:dyDescent="0.25">
      <c r="A264" s="50" t="s">
        <v>125</v>
      </c>
      <c r="B264" s="56">
        <v>14</v>
      </c>
      <c r="C264" s="60">
        <f t="shared" ref="C264" si="8">29000*G264</f>
        <v>518230</v>
      </c>
      <c r="D264" s="61" t="s">
        <v>1643</v>
      </c>
      <c r="E264" s="61" t="s">
        <v>1713</v>
      </c>
      <c r="F264" s="61" t="s">
        <v>902</v>
      </c>
      <c r="G264" s="60">
        <v>17.87</v>
      </c>
      <c r="H264" s="61">
        <v>27.64</v>
      </c>
      <c r="I264" s="63">
        <v>42443</v>
      </c>
      <c r="J264" s="64" t="s">
        <v>124</v>
      </c>
    </row>
    <row r="265" spans="1:10" x14ac:dyDescent="0.25">
      <c r="A265" t="s">
        <v>125</v>
      </c>
      <c r="B265" s="48">
        <v>14</v>
      </c>
      <c r="C265" s="51">
        <v>623607.5</v>
      </c>
      <c r="D265" s="52" t="s">
        <v>1565</v>
      </c>
      <c r="E265" s="52" t="s">
        <v>1514</v>
      </c>
      <c r="F265" s="52" t="s">
        <v>156</v>
      </c>
      <c r="G265" s="53">
        <v>42451</v>
      </c>
      <c r="H265" s="53" t="s">
        <v>153</v>
      </c>
    </row>
    <row r="266" spans="1:10" x14ac:dyDescent="0.25">
      <c r="A266" s="50" t="s">
        <v>125</v>
      </c>
      <c r="B266" s="48">
        <v>14</v>
      </c>
      <c r="C266" s="51">
        <v>603397.5</v>
      </c>
      <c r="D266" s="52" t="s">
        <v>1566</v>
      </c>
      <c r="E266" s="52" t="s">
        <v>1526</v>
      </c>
      <c r="F266" s="52" t="s">
        <v>156</v>
      </c>
      <c r="G266" s="53">
        <v>42457</v>
      </c>
      <c r="H266" s="53" t="s">
        <v>153</v>
      </c>
    </row>
    <row r="267" spans="1:10" x14ac:dyDescent="0.25">
      <c r="A267" t="s">
        <v>128</v>
      </c>
      <c r="B267" s="48">
        <v>15</v>
      </c>
      <c r="C267" s="51">
        <f>592970-4743.76</f>
        <v>588226.24</v>
      </c>
      <c r="D267" s="52" t="s">
        <v>1737</v>
      </c>
      <c r="E267" s="52" t="s">
        <v>1532</v>
      </c>
      <c r="F267" s="52" t="s">
        <v>156</v>
      </c>
      <c r="G267" s="53">
        <v>42457</v>
      </c>
      <c r="H267" s="53" t="s">
        <v>153</v>
      </c>
    </row>
    <row r="268" spans="1:10" ht="16.5" customHeight="1" x14ac:dyDescent="0.25">
      <c r="A268" t="s">
        <v>120</v>
      </c>
      <c r="B268" s="48">
        <v>16</v>
      </c>
      <c r="C268" s="51">
        <f>628445+59842.5</f>
        <v>688287.5</v>
      </c>
      <c r="D268" s="52" t="s">
        <v>1638</v>
      </c>
      <c r="E268" s="52" t="s">
        <v>1639</v>
      </c>
      <c r="F268" s="52" t="s">
        <v>156</v>
      </c>
      <c r="G268" s="53">
        <v>42457</v>
      </c>
      <c r="H268" s="53" t="s">
        <v>153</v>
      </c>
    </row>
    <row r="269" spans="1:10" ht="16.5" customHeight="1" x14ac:dyDescent="0.25">
      <c r="A269" s="50" t="s">
        <v>120</v>
      </c>
      <c r="B269" s="48">
        <v>16</v>
      </c>
      <c r="C269" s="51">
        <f>293905+30158.25</f>
        <v>324063.25</v>
      </c>
      <c r="D269" s="52" t="s">
        <v>1641</v>
      </c>
      <c r="E269" s="52" t="s">
        <v>1640</v>
      </c>
      <c r="F269" s="52" t="s">
        <v>156</v>
      </c>
      <c r="G269" s="53">
        <v>42458</v>
      </c>
      <c r="H269" s="53" t="s">
        <v>153</v>
      </c>
    </row>
    <row r="270" spans="1:10" ht="16.5" customHeight="1" x14ac:dyDescent="0.25">
      <c r="A270" t="s">
        <v>120</v>
      </c>
      <c r="B270" s="48">
        <v>16</v>
      </c>
      <c r="C270" s="51">
        <f>258929.92+242550.26</f>
        <v>501480.18000000005</v>
      </c>
      <c r="D270" s="52" t="s">
        <v>1756</v>
      </c>
      <c r="E270" s="52" t="s">
        <v>1757</v>
      </c>
      <c r="F270" s="52" t="s">
        <v>152</v>
      </c>
      <c r="G270" s="53">
        <v>42446</v>
      </c>
      <c r="H270" s="53" t="s">
        <v>153</v>
      </c>
    </row>
    <row r="271" spans="1:10" ht="16.5" customHeight="1" x14ac:dyDescent="0.25">
      <c r="A271" t="s">
        <v>120</v>
      </c>
      <c r="B271" s="48">
        <v>16</v>
      </c>
      <c r="C271" s="60">
        <f>29000*G271</f>
        <v>516780</v>
      </c>
      <c r="D271" s="61" t="s">
        <v>1676</v>
      </c>
      <c r="E271" s="61" t="s">
        <v>1828</v>
      </c>
      <c r="F271" s="61" t="s">
        <v>902</v>
      </c>
      <c r="G271" s="60">
        <v>17.82</v>
      </c>
      <c r="H271" s="61">
        <v>27.17</v>
      </c>
      <c r="I271" s="63">
        <v>42445</v>
      </c>
      <c r="J271" s="64" t="s">
        <v>124</v>
      </c>
    </row>
    <row r="272" spans="1:10" ht="16.5" customHeight="1" x14ac:dyDescent="0.25">
      <c r="A272" t="s">
        <v>120</v>
      </c>
      <c r="B272" s="48">
        <v>16</v>
      </c>
      <c r="C272" s="60">
        <f>29000*G272</f>
        <v>516780</v>
      </c>
      <c r="D272" s="61" t="s">
        <v>1677</v>
      </c>
      <c r="E272" s="61" t="s">
        <v>1829</v>
      </c>
      <c r="F272" s="61" t="s">
        <v>902</v>
      </c>
      <c r="G272" s="60">
        <v>17.82</v>
      </c>
      <c r="H272" s="61">
        <v>27.17</v>
      </c>
      <c r="I272" s="63">
        <v>42445</v>
      </c>
      <c r="J272" s="64" t="s">
        <v>124</v>
      </c>
    </row>
    <row r="273" spans="1:10" ht="16.5" customHeight="1" x14ac:dyDescent="0.25">
      <c r="A273" t="s">
        <v>186</v>
      </c>
      <c r="B273" s="48">
        <v>17</v>
      </c>
      <c r="C273" s="60">
        <f t="shared" ref="C273:C274" si="9">29500*G273</f>
        <v>523329.99999999994</v>
      </c>
      <c r="D273" s="61" t="s">
        <v>1679</v>
      </c>
      <c r="E273" s="61" t="s">
        <v>1831</v>
      </c>
      <c r="F273" s="61" t="s">
        <v>1675</v>
      </c>
      <c r="G273" s="60">
        <v>17.739999999999998</v>
      </c>
      <c r="H273" s="61">
        <v>26.33</v>
      </c>
      <c r="I273" s="63">
        <v>42446</v>
      </c>
      <c r="J273" s="64" t="s">
        <v>124</v>
      </c>
    </row>
    <row r="274" spans="1:10" ht="16.5" customHeight="1" x14ac:dyDescent="0.25">
      <c r="A274" t="s">
        <v>186</v>
      </c>
      <c r="B274" s="48">
        <v>17</v>
      </c>
      <c r="C274" s="60">
        <f t="shared" si="9"/>
        <v>523329.99999999994</v>
      </c>
      <c r="D274" s="61" t="s">
        <v>1678</v>
      </c>
      <c r="E274" s="61" t="s">
        <v>1830</v>
      </c>
      <c r="F274" s="61" t="s">
        <v>1675</v>
      </c>
      <c r="G274" s="60">
        <v>17.739999999999998</v>
      </c>
      <c r="H274" s="61">
        <v>26.25</v>
      </c>
      <c r="I274" s="63">
        <v>42446</v>
      </c>
      <c r="J274" s="64" t="s">
        <v>124</v>
      </c>
    </row>
    <row r="275" spans="1:10" x14ac:dyDescent="0.25">
      <c r="A275" t="s">
        <v>186</v>
      </c>
      <c r="B275" s="48">
        <v>17</v>
      </c>
      <c r="C275" s="51">
        <v>600602.5</v>
      </c>
      <c r="D275" s="52" t="s">
        <v>1642</v>
      </c>
      <c r="E275" s="52" t="s">
        <v>1587</v>
      </c>
      <c r="F275" s="52" t="s">
        <v>156</v>
      </c>
      <c r="G275" s="53">
        <v>42458</v>
      </c>
      <c r="H275" s="53" t="s">
        <v>153</v>
      </c>
    </row>
    <row r="276" spans="1:10" x14ac:dyDescent="0.25">
      <c r="A276" s="50" t="s">
        <v>186</v>
      </c>
      <c r="B276" s="48">
        <v>17</v>
      </c>
      <c r="C276" s="51">
        <f>297990-2342.19</f>
        <v>295647.81</v>
      </c>
      <c r="D276" s="52" t="s">
        <v>1642</v>
      </c>
      <c r="E276" s="52" t="s">
        <v>1588</v>
      </c>
      <c r="F276" s="52" t="s">
        <v>156</v>
      </c>
      <c r="G276" s="53">
        <v>42459</v>
      </c>
      <c r="H276" s="53" t="s">
        <v>153</v>
      </c>
    </row>
    <row r="277" spans="1:10" x14ac:dyDescent="0.25">
      <c r="A277" t="s">
        <v>117</v>
      </c>
      <c r="B277" s="48">
        <v>18</v>
      </c>
      <c r="C277" s="51">
        <f>26469.51*G277</f>
        <v>470892.58289999992</v>
      </c>
      <c r="D277" s="52" t="s">
        <v>1649</v>
      </c>
      <c r="E277" s="52" t="s">
        <v>1650</v>
      </c>
      <c r="F277" s="52" t="s">
        <v>1651</v>
      </c>
      <c r="G277" s="51">
        <v>17.79</v>
      </c>
      <c r="H277" s="52">
        <v>28.05</v>
      </c>
      <c r="I277" s="53">
        <v>42443</v>
      </c>
      <c r="J277" s="54" t="s">
        <v>124</v>
      </c>
    </row>
    <row r="278" spans="1:10" x14ac:dyDescent="0.25">
      <c r="A278" t="s">
        <v>117</v>
      </c>
      <c r="B278" s="48">
        <v>18</v>
      </c>
      <c r="C278" s="51">
        <f>26780.29*G278</f>
        <v>476421.3591</v>
      </c>
      <c r="D278" s="52" t="s">
        <v>1652</v>
      </c>
      <c r="E278" s="52" t="s">
        <v>1653</v>
      </c>
      <c r="F278" s="52" t="s">
        <v>1654</v>
      </c>
      <c r="G278" s="51">
        <v>17.79</v>
      </c>
      <c r="H278" s="52">
        <v>28.03</v>
      </c>
      <c r="I278" s="53">
        <v>42443</v>
      </c>
      <c r="J278" s="54" t="s">
        <v>124</v>
      </c>
    </row>
    <row r="279" spans="1:10" x14ac:dyDescent="0.25">
      <c r="A279" s="49" t="s">
        <v>118</v>
      </c>
      <c r="B279" s="48">
        <v>19</v>
      </c>
    </row>
    <row r="280" spans="1:10" x14ac:dyDescent="0.25">
      <c r="A280" s="49" t="s">
        <v>119</v>
      </c>
      <c r="B280" s="48">
        <v>20</v>
      </c>
    </row>
    <row r="281" spans="1:10" x14ac:dyDescent="0.25">
      <c r="A281" s="50" t="s">
        <v>125</v>
      </c>
      <c r="B281" s="48">
        <v>21</v>
      </c>
      <c r="C281" s="51">
        <f>650185+29506.56</f>
        <v>679691.56</v>
      </c>
      <c r="D281" s="52" t="s">
        <v>1738</v>
      </c>
      <c r="E281" s="52" t="s">
        <v>1739</v>
      </c>
      <c r="F281" s="52" t="s">
        <v>156</v>
      </c>
      <c r="G281" s="53">
        <v>42460</v>
      </c>
      <c r="H281" s="53" t="s">
        <v>153</v>
      </c>
    </row>
    <row r="282" spans="1:10" x14ac:dyDescent="0.25">
      <c r="A282" s="50" t="s">
        <v>125</v>
      </c>
      <c r="B282" s="48">
        <v>21</v>
      </c>
      <c r="C282" s="51">
        <f>34662+15227.19</f>
        <v>49889.19</v>
      </c>
      <c r="D282" s="52" t="s">
        <v>1740</v>
      </c>
      <c r="E282" s="52" t="s">
        <v>1741</v>
      </c>
      <c r="F282" s="52" t="s">
        <v>156</v>
      </c>
      <c r="G282" s="53">
        <v>42464</v>
      </c>
      <c r="H282" s="53" t="s">
        <v>153</v>
      </c>
    </row>
    <row r="283" spans="1:10" x14ac:dyDescent="0.25">
      <c r="A283" t="s">
        <v>125</v>
      </c>
      <c r="B283" s="48">
        <v>21</v>
      </c>
      <c r="C283" s="51">
        <v>625442</v>
      </c>
      <c r="D283" s="52" t="s">
        <v>1742</v>
      </c>
      <c r="E283" s="52" t="s">
        <v>1613</v>
      </c>
      <c r="F283" s="52" t="s">
        <v>156</v>
      </c>
      <c r="G283" s="53">
        <v>42464</v>
      </c>
      <c r="H283" s="53" t="s">
        <v>153</v>
      </c>
    </row>
    <row r="284" spans="1:10" x14ac:dyDescent="0.25">
      <c r="A284" t="s">
        <v>125</v>
      </c>
      <c r="B284" s="48">
        <v>21</v>
      </c>
      <c r="C284" s="51">
        <v>630565</v>
      </c>
      <c r="D284" s="52" t="s">
        <v>1743</v>
      </c>
      <c r="E284" s="52" t="s">
        <v>1629</v>
      </c>
      <c r="F284" s="52" t="s">
        <v>156</v>
      </c>
      <c r="G284" s="53">
        <v>42461</v>
      </c>
      <c r="H284" s="53" t="s">
        <v>153</v>
      </c>
    </row>
    <row r="285" spans="1:10" x14ac:dyDescent="0.25">
      <c r="A285" t="s">
        <v>128</v>
      </c>
      <c r="B285" s="48">
        <v>22</v>
      </c>
      <c r="C285" s="51">
        <f>16298.68*G285</f>
        <v>285389.88680000004</v>
      </c>
      <c r="D285" s="52" t="s">
        <v>1753</v>
      </c>
      <c r="E285" s="52" t="s">
        <v>1754</v>
      </c>
      <c r="F285" s="52" t="s">
        <v>1755</v>
      </c>
      <c r="G285" s="70">
        <v>17.510000000000002</v>
      </c>
      <c r="H285" s="52">
        <v>17.16</v>
      </c>
      <c r="I285" s="53">
        <v>42457</v>
      </c>
      <c r="J285" s="54" t="s">
        <v>124</v>
      </c>
    </row>
    <row r="286" spans="1:10" x14ac:dyDescent="0.25">
      <c r="A286" t="s">
        <v>120</v>
      </c>
      <c r="B286" s="48">
        <v>23</v>
      </c>
      <c r="C286" s="60">
        <f>24000*G286</f>
        <v>416856</v>
      </c>
      <c r="D286" s="61" t="s">
        <v>1796</v>
      </c>
      <c r="E286" s="61" t="s">
        <v>1874</v>
      </c>
      <c r="F286" s="61" t="s">
        <v>1797</v>
      </c>
      <c r="G286" s="62">
        <v>17.369</v>
      </c>
      <c r="H286" s="61">
        <v>25.07</v>
      </c>
      <c r="I286" s="63">
        <v>42452</v>
      </c>
      <c r="J286" s="64" t="s">
        <v>124</v>
      </c>
    </row>
    <row r="287" spans="1:10" x14ac:dyDescent="0.25">
      <c r="A287" t="s">
        <v>120</v>
      </c>
      <c r="B287" s="48">
        <v>23</v>
      </c>
      <c r="C287" s="51">
        <v>471316</v>
      </c>
      <c r="D287" s="52" t="s">
        <v>1744</v>
      </c>
      <c r="E287" s="52" t="s">
        <v>1630</v>
      </c>
      <c r="F287" s="52" t="s">
        <v>156</v>
      </c>
      <c r="G287" s="53">
        <v>42464</v>
      </c>
      <c r="H287" s="53" t="s">
        <v>153</v>
      </c>
    </row>
    <row r="288" spans="1:10" x14ac:dyDescent="0.25">
      <c r="A288" t="s">
        <v>120</v>
      </c>
      <c r="B288" s="48">
        <v>23</v>
      </c>
      <c r="C288" s="51">
        <f>320787+19433.96</f>
        <v>340220.96</v>
      </c>
      <c r="D288" s="52" t="s">
        <v>1744</v>
      </c>
      <c r="E288" s="52" t="s">
        <v>1745</v>
      </c>
      <c r="F288" s="52" t="s">
        <v>156</v>
      </c>
      <c r="G288" s="53">
        <v>42464</v>
      </c>
      <c r="H288" s="53" t="s">
        <v>153</v>
      </c>
    </row>
    <row r="289" spans="1:10" x14ac:dyDescent="0.25">
      <c r="A289" t="s">
        <v>120</v>
      </c>
      <c r="B289" s="48">
        <v>23</v>
      </c>
      <c r="C289" s="51">
        <f>26773.84*G289</f>
        <v>476306.61359999998</v>
      </c>
      <c r="D289" s="52" t="s">
        <v>1655</v>
      </c>
      <c r="E289" s="52" t="s">
        <v>1656</v>
      </c>
      <c r="F289" s="52" t="s">
        <v>1657</v>
      </c>
      <c r="G289" s="51">
        <v>17.79</v>
      </c>
      <c r="H289" s="52">
        <v>27.87</v>
      </c>
      <c r="I289" s="53">
        <v>42445</v>
      </c>
      <c r="J289" s="54" t="s">
        <v>124</v>
      </c>
    </row>
    <row r="290" spans="1:10" x14ac:dyDescent="0.25">
      <c r="A290" t="s">
        <v>120</v>
      </c>
      <c r="B290" s="48">
        <v>23</v>
      </c>
      <c r="C290" s="60">
        <f>26000*G290</f>
        <v>452140</v>
      </c>
      <c r="D290" s="61" t="s">
        <v>1800</v>
      </c>
      <c r="E290" s="61" t="s">
        <v>1872</v>
      </c>
      <c r="F290" s="61" t="s">
        <v>1798</v>
      </c>
      <c r="G290" s="60">
        <v>17.39</v>
      </c>
      <c r="H290" s="61">
        <v>25.77</v>
      </c>
      <c r="I290" s="63">
        <v>42452</v>
      </c>
      <c r="J290" s="64" t="s">
        <v>124</v>
      </c>
    </row>
    <row r="291" spans="1:10" x14ac:dyDescent="0.25">
      <c r="A291" t="s">
        <v>120</v>
      </c>
      <c r="B291" s="48">
        <v>23</v>
      </c>
      <c r="C291" s="60">
        <f t="shared" ref="C291:C293" si="10">26000*G291</f>
        <v>452140</v>
      </c>
      <c r="D291" s="61" t="s">
        <v>1801</v>
      </c>
      <c r="E291" s="61" t="s">
        <v>1873</v>
      </c>
      <c r="F291" s="61" t="s">
        <v>1798</v>
      </c>
      <c r="G291" s="60">
        <v>17.39</v>
      </c>
      <c r="H291" s="61">
        <v>25.77</v>
      </c>
      <c r="I291" s="63">
        <v>42452</v>
      </c>
      <c r="J291" s="64" t="s">
        <v>124</v>
      </c>
    </row>
    <row r="292" spans="1:10" x14ac:dyDescent="0.25">
      <c r="A292" t="s">
        <v>120</v>
      </c>
      <c r="B292" s="48">
        <v>23</v>
      </c>
      <c r="C292" s="60">
        <f t="shared" si="10"/>
        <v>452140</v>
      </c>
      <c r="D292" s="61" t="s">
        <v>1802</v>
      </c>
      <c r="E292" s="61" t="s">
        <v>1910</v>
      </c>
      <c r="F292" s="61" t="s">
        <v>1798</v>
      </c>
      <c r="G292" s="60">
        <v>17.39</v>
      </c>
      <c r="H292" s="61">
        <v>26.83</v>
      </c>
      <c r="I292" s="63">
        <v>42452</v>
      </c>
      <c r="J292" s="64" t="s">
        <v>124</v>
      </c>
    </row>
    <row r="293" spans="1:10" x14ac:dyDescent="0.25">
      <c r="A293" t="s">
        <v>120</v>
      </c>
      <c r="B293" s="48">
        <v>23</v>
      </c>
      <c r="C293" s="60">
        <f t="shared" si="10"/>
        <v>452140</v>
      </c>
      <c r="D293" s="61" t="s">
        <v>1803</v>
      </c>
      <c r="E293" s="61" t="s">
        <v>1909</v>
      </c>
      <c r="F293" s="61" t="s">
        <v>1798</v>
      </c>
      <c r="G293" s="60">
        <v>17.39</v>
      </c>
      <c r="H293" s="61">
        <v>25.86</v>
      </c>
      <c r="I293" s="63">
        <v>42452</v>
      </c>
      <c r="J293" s="64" t="s">
        <v>124</v>
      </c>
    </row>
    <row r="294" spans="1:10" x14ac:dyDescent="0.25">
      <c r="A294" t="s">
        <v>120</v>
      </c>
      <c r="B294" s="48">
        <v>23</v>
      </c>
      <c r="C294" s="60">
        <f>25000*G294</f>
        <v>434750</v>
      </c>
      <c r="D294" s="61" t="s">
        <v>1799</v>
      </c>
      <c r="E294" s="61" t="s">
        <v>1908</v>
      </c>
      <c r="F294" s="61" t="s">
        <v>201</v>
      </c>
      <c r="G294" s="60">
        <v>17.39</v>
      </c>
      <c r="H294" s="61">
        <v>25.95</v>
      </c>
      <c r="I294" s="63">
        <v>42452</v>
      </c>
      <c r="J294" s="111" t="s">
        <v>952</v>
      </c>
    </row>
    <row r="295" spans="1:10" s="50" customFormat="1" x14ac:dyDescent="0.25">
      <c r="A295" s="50" t="s">
        <v>120</v>
      </c>
      <c r="B295" s="56">
        <v>23</v>
      </c>
      <c r="C295" s="51">
        <f>221600.54+221599.52+263339.42</f>
        <v>706539.48</v>
      </c>
      <c r="D295" s="52" t="s">
        <v>1805</v>
      </c>
      <c r="E295" s="96" t="s">
        <v>1842</v>
      </c>
      <c r="F295" s="52" t="s">
        <v>152</v>
      </c>
      <c r="G295" s="57">
        <v>42452</v>
      </c>
      <c r="H295" s="53" t="s">
        <v>153</v>
      </c>
      <c r="I295" s="58"/>
      <c r="J295" s="94"/>
    </row>
    <row r="296" spans="1:10" x14ac:dyDescent="0.25">
      <c r="A296" t="s">
        <v>186</v>
      </c>
      <c r="B296" s="48">
        <v>24</v>
      </c>
      <c r="C296" s="51">
        <f>441668-6078</f>
        <v>435590</v>
      </c>
      <c r="D296" s="52" t="s">
        <v>1746</v>
      </c>
      <c r="E296" s="52" t="s">
        <v>1636</v>
      </c>
      <c r="F296" s="52" t="s">
        <v>156</v>
      </c>
      <c r="G296" s="53">
        <v>42464</v>
      </c>
      <c r="H296" s="53" t="s">
        <v>153</v>
      </c>
      <c r="J296" s="129"/>
    </row>
    <row r="297" spans="1:10" x14ac:dyDescent="0.25">
      <c r="A297" t="s">
        <v>186</v>
      </c>
      <c r="B297" s="48">
        <v>24</v>
      </c>
      <c r="C297" s="51">
        <f>281329-4395.75-3811.5+19256.25</f>
        <v>292378</v>
      </c>
      <c r="D297" s="52" t="s">
        <v>1746</v>
      </c>
      <c r="E297" s="52" t="s">
        <v>1747</v>
      </c>
      <c r="F297" s="52" t="s">
        <v>156</v>
      </c>
      <c r="G297" s="53">
        <v>42464</v>
      </c>
      <c r="H297" s="53" t="s">
        <v>153</v>
      </c>
    </row>
    <row r="298" spans="1:10" x14ac:dyDescent="0.25">
      <c r="A298" t="s">
        <v>117</v>
      </c>
      <c r="B298" s="48">
        <v>25</v>
      </c>
      <c r="C298" s="51">
        <f>27471.84*G298</f>
        <v>479246.2488</v>
      </c>
      <c r="D298" s="52" t="s">
        <v>1695</v>
      </c>
      <c r="E298" s="52" t="s">
        <v>1696</v>
      </c>
      <c r="F298" s="52" t="s">
        <v>1697</v>
      </c>
      <c r="G298" s="70">
        <v>17.445</v>
      </c>
      <c r="H298" s="52">
        <v>27.68</v>
      </c>
      <c r="I298" s="53">
        <v>42447</v>
      </c>
      <c r="J298" s="54" t="s">
        <v>124</v>
      </c>
    </row>
    <row r="299" spans="1:10" x14ac:dyDescent="0.25">
      <c r="A299" t="s">
        <v>117</v>
      </c>
      <c r="B299" s="48">
        <v>25</v>
      </c>
      <c r="C299" s="51">
        <f>26074.35*G299</f>
        <v>454867.03574999998</v>
      </c>
      <c r="D299" s="52" t="s">
        <v>1700</v>
      </c>
      <c r="E299" s="52" t="s">
        <v>1698</v>
      </c>
      <c r="F299" s="52" t="s">
        <v>1699</v>
      </c>
      <c r="G299" s="70">
        <v>17.445</v>
      </c>
      <c r="H299" s="52">
        <v>27.76</v>
      </c>
      <c r="I299" s="53">
        <v>38794</v>
      </c>
      <c r="J299" s="54" t="s">
        <v>124</v>
      </c>
    </row>
    <row r="300" spans="1:10" x14ac:dyDescent="0.25">
      <c r="A300" s="49" t="s">
        <v>118</v>
      </c>
      <c r="B300" s="48">
        <v>26</v>
      </c>
    </row>
    <row r="301" spans="1:10" x14ac:dyDescent="0.25">
      <c r="A301" s="49" t="s">
        <v>119</v>
      </c>
      <c r="B301" s="48">
        <v>27</v>
      </c>
    </row>
    <row r="302" spans="1:10" x14ac:dyDescent="0.25">
      <c r="A302" s="50" t="s">
        <v>125</v>
      </c>
      <c r="B302" s="48">
        <v>28</v>
      </c>
      <c r="C302" s="60">
        <f>27000*G302</f>
        <v>472229.99999999994</v>
      </c>
      <c r="D302" s="61" t="s">
        <v>1844</v>
      </c>
      <c r="E302" s="61" t="s">
        <v>1907</v>
      </c>
      <c r="F302" s="61" t="s">
        <v>222</v>
      </c>
      <c r="G302" s="60">
        <v>17.489999999999998</v>
      </c>
      <c r="H302" s="61">
        <v>26.45</v>
      </c>
      <c r="I302" s="63">
        <v>42457</v>
      </c>
      <c r="J302" s="64" t="s">
        <v>124</v>
      </c>
    </row>
    <row r="303" spans="1:10" x14ac:dyDescent="0.25">
      <c r="A303" s="50" t="s">
        <v>125</v>
      </c>
      <c r="B303" s="48">
        <v>28</v>
      </c>
      <c r="C303" s="51">
        <f>256410+255990+242130+247590</f>
        <v>1002120</v>
      </c>
      <c r="D303" s="52" t="s">
        <v>1843</v>
      </c>
      <c r="E303" s="52" t="s">
        <v>1848</v>
      </c>
      <c r="F303" s="52" t="s">
        <v>152</v>
      </c>
      <c r="G303" s="53">
        <v>42457</v>
      </c>
      <c r="H303" s="53" t="s">
        <v>153</v>
      </c>
    </row>
    <row r="304" spans="1:10" x14ac:dyDescent="0.25">
      <c r="A304" s="50" t="s">
        <v>125</v>
      </c>
      <c r="B304" s="48">
        <v>28</v>
      </c>
      <c r="C304" s="51">
        <v>582169</v>
      </c>
      <c r="D304" s="52" t="s">
        <v>1759</v>
      </c>
      <c r="E304" s="52" t="s">
        <v>1669</v>
      </c>
      <c r="F304" s="52" t="s">
        <v>156</v>
      </c>
      <c r="G304" s="53">
        <v>42465</v>
      </c>
      <c r="H304" s="53" t="s">
        <v>153</v>
      </c>
    </row>
    <row r="305" spans="1:10" x14ac:dyDescent="0.25">
      <c r="A305" s="50" t="s">
        <v>125</v>
      </c>
      <c r="B305" s="48">
        <v>28</v>
      </c>
      <c r="C305" s="51">
        <f>545981+80115</f>
        <v>626096</v>
      </c>
      <c r="D305" s="52" t="s">
        <v>1760</v>
      </c>
      <c r="E305" s="52" t="s">
        <v>1761</v>
      </c>
      <c r="F305" s="52" t="s">
        <v>156</v>
      </c>
      <c r="G305" s="53">
        <v>42467</v>
      </c>
      <c r="H305" s="53" t="s">
        <v>153</v>
      </c>
    </row>
    <row r="306" spans="1:10" x14ac:dyDescent="0.25">
      <c r="A306" t="s">
        <v>125</v>
      </c>
      <c r="B306" s="48">
        <v>28</v>
      </c>
      <c r="C306" s="51">
        <f>526797+12798</f>
        <v>539595</v>
      </c>
      <c r="D306" s="52" t="s">
        <v>1764</v>
      </c>
      <c r="E306" s="52" t="s">
        <v>1763</v>
      </c>
      <c r="F306" s="52" t="s">
        <v>156</v>
      </c>
      <c r="G306" s="53">
        <v>42467</v>
      </c>
      <c r="H306" s="53" t="s">
        <v>153</v>
      </c>
    </row>
    <row r="307" spans="1:10" x14ac:dyDescent="0.25">
      <c r="A307" s="50" t="s">
        <v>125</v>
      </c>
      <c r="B307" s="48">
        <v>28</v>
      </c>
      <c r="C307" s="51">
        <f>81750+71277.8</f>
        <v>153027.79999999999</v>
      </c>
      <c r="D307" s="52" t="s">
        <v>1762</v>
      </c>
      <c r="E307" s="52" t="s">
        <v>1765</v>
      </c>
      <c r="F307" s="52" t="s">
        <v>156</v>
      </c>
      <c r="G307" s="53">
        <v>42468</v>
      </c>
      <c r="H307" s="53" t="s">
        <v>153</v>
      </c>
    </row>
    <row r="308" spans="1:10" x14ac:dyDescent="0.25">
      <c r="A308" t="s">
        <v>125</v>
      </c>
      <c r="B308" s="48">
        <v>28</v>
      </c>
      <c r="C308" s="51">
        <v>623702.55000000005</v>
      </c>
      <c r="D308" s="52" t="s">
        <v>1838</v>
      </c>
      <c r="E308" s="52" t="s">
        <v>1758</v>
      </c>
      <c r="F308" s="52" t="s">
        <v>1839</v>
      </c>
      <c r="G308" s="53">
        <v>42459</v>
      </c>
      <c r="H308" s="53" t="s">
        <v>153</v>
      </c>
    </row>
    <row r="309" spans="1:10" x14ac:dyDescent="0.25">
      <c r="A309" t="s">
        <v>125</v>
      </c>
      <c r="B309" s="48">
        <v>28</v>
      </c>
      <c r="C309" s="51">
        <f>646508.25</f>
        <v>646508.25</v>
      </c>
      <c r="D309" s="52" t="s">
        <v>1840</v>
      </c>
      <c r="E309" s="52" t="s">
        <v>1795</v>
      </c>
      <c r="F309" s="52" t="s">
        <v>1839</v>
      </c>
      <c r="G309" s="53">
        <v>42460</v>
      </c>
      <c r="H309" s="52" t="s">
        <v>1886</v>
      </c>
      <c r="I309" s="52"/>
      <c r="J309" s="53" t="s">
        <v>153</v>
      </c>
    </row>
    <row r="310" spans="1:10" x14ac:dyDescent="0.25">
      <c r="A310" t="s">
        <v>128</v>
      </c>
      <c r="B310" s="48">
        <v>29</v>
      </c>
      <c r="C310" s="51">
        <v>620228.4</v>
      </c>
      <c r="D310" s="52" t="s">
        <v>1841</v>
      </c>
      <c r="E310" s="52" t="s">
        <v>1806</v>
      </c>
      <c r="F310" s="52" t="s">
        <v>1839</v>
      </c>
      <c r="G310" s="53">
        <v>42464</v>
      </c>
      <c r="H310" s="53" t="s">
        <v>153</v>
      </c>
    </row>
    <row r="311" spans="1:10" x14ac:dyDescent="0.25">
      <c r="A311" t="s">
        <v>120</v>
      </c>
      <c r="B311" s="48">
        <v>30</v>
      </c>
      <c r="C311" s="60">
        <f>26000*G311</f>
        <v>452399.99999999994</v>
      </c>
      <c r="D311" s="61" t="s">
        <v>1856</v>
      </c>
      <c r="E311" s="61" t="s">
        <v>1970</v>
      </c>
      <c r="F311" s="61" t="s">
        <v>1798</v>
      </c>
      <c r="G311" s="60">
        <v>17.399999999999999</v>
      </c>
      <c r="H311" s="61">
        <v>27.19</v>
      </c>
      <c r="I311" s="63">
        <v>42459</v>
      </c>
      <c r="J311" s="64" t="s">
        <v>124</v>
      </c>
    </row>
    <row r="312" spans="1:10" x14ac:dyDescent="0.25">
      <c r="A312" t="s">
        <v>120</v>
      </c>
      <c r="B312" s="48">
        <v>30</v>
      </c>
      <c r="C312" s="60">
        <f>27000*G312</f>
        <v>469799.99999999994</v>
      </c>
      <c r="D312" s="61" t="s">
        <v>1857</v>
      </c>
      <c r="E312" s="61" t="s">
        <v>1974</v>
      </c>
      <c r="F312" s="61" t="s">
        <v>222</v>
      </c>
      <c r="G312" s="60">
        <v>17.399999999999999</v>
      </c>
      <c r="H312" s="61">
        <v>26.68</v>
      </c>
      <c r="I312" s="63">
        <v>42459</v>
      </c>
      <c r="J312" s="61" t="s">
        <v>1225</v>
      </c>
    </row>
    <row r="313" spans="1:10" x14ac:dyDescent="0.25">
      <c r="A313" t="s">
        <v>120</v>
      </c>
      <c r="B313" s="48">
        <v>30</v>
      </c>
      <c r="C313" s="51">
        <v>546417</v>
      </c>
      <c r="D313" s="52" t="s">
        <v>1766</v>
      </c>
      <c r="E313" s="52" t="s">
        <v>1767</v>
      </c>
      <c r="F313" s="52" t="s">
        <v>156</v>
      </c>
      <c r="G313" s="53">
        <v>42468</v>
      </c>
      <c r="H313" s="53" t="s">
        <v>153</v>
      </c>
    </row>
    <row r="314" spans="1:10" x14ac:dyDescent="0.25">
      <c r="A314" s="50" t="s">
        <v>120</v>
      </c>
      <c r="B314" s="48">
        <v>30</v>
      </c>
      <c r="C314" s="51">
        <v>290267</v>
      </c>
      <c r="D314" s="52" t="s">
        <v>1766</v>
      </c>
      <c r="E314" s="52" t="s">
        <v>1768</v>
      </c>
      <c r="F314" s="52" t="s">
        <v>156</v>
      </c>
      <c r="G314" s="53">
        <v>42471</v>
      </c>
      <c r="H314" s="53" t="s">
        <v>153</v>
      </c>
    </row>
    <row r="315" spans="1:10" x14ac:dyDescent="0.25">
      <c r="A315" s="50" t="s">
        <v>120</v>
      </c>
      <c r="B315" s="48">
        <v>30</v>
      </c>
      <c r="C315" s="51">
        <v>718789.11</v>
      </c>
      <c r="D315" s="52" t="s">
        <v>1750</v>
      </c>
      <c r="E315" s="52" t="s">
        <v>1748</v>
      </c>
      <c r="F315" s="52" t="s">
        <v>936</v>
      </c>
      <c r="G315" s="51">
        <v>38.5</v>
      </c>
      <c r="H315" s="53">
        <v>42464</v>
      </c>
      <c r="I315" s="54" t="s">
        <v>124</v>
      </c>
    </row>
    <row r="316" spans="1:10" x14ac:dyDescent="0.25">
      <c r="A316" t="s">
        <v>186</v>
      </c>
      <c r="B316" s="48">
        <v>31</v>
      </c>
      <c r="C316" s="51">
        <f>261030.33+253259.72</f>
        <v>514290.05</v>
      </c>
      <c r="D316" s="52" t="s">
        <v>1868</v>
      </c>
      <c r="E316" s="52" t="s">
        <v>1870</v>
      </c>
      <c r="F316" s="52" t="s">
        <v>152</v>
      </c>
      <c r="G316" s="57">
        <v>42460</v>
      </c>
      <c r="H316" s="53" t="s">
        <v>153</v>
      </c>
    </row>
    <row r="317" spans="1:10" x14ac:dyDescent="0.25">
      <c r="A317" t="s">
        <v>186</v>
      </c>
      <c r="B317" s="48">
        <v>31</v>
      </c>
      <c r="C317" s="51">
        <f>27431.44*G317</f>
        <v>476484.1128</v>
      </c>
      <c r="D317" s="52" t="s">
        <v>1702</v>
      </c>
      <c r="E317" s="52" t="s">
        <v>1704</v>
      </c>
      <c r="F317" s="52" t="s">
        <v>1706</v>
      </c>
      <c r="G317" s="51">
        <v>17.37</v>
      </c>
      <c r="H317" s="52">
        <v>27.49</v>
      </c>
      <c r="I317" s="53">
        <v>42451</v>
      </c>
      <c r="J317" s="54" t="s">
        <v>124</v>
      </c>
    </row>
    <row r="318" spans="1:10" x14ac:dyDescent="0.25">
      <c r="A318" t="s">
        <v>186</v>
      </c>
      <c r="B318" s="48">
        <v>31</v>
      </c>
      <c r="C318" s="51">
        <f>25741.07*G318</f>
        <v>447122.38589999999</v>
      </c>
      <c r="D318" s="52" t="s">
        <v>1703</v>
      </c>
      <c r="E318" s="52" t="s">
        <v>1705</v>
      </c>
      <c r="F318" s="52" t="s">
        <v>1707</v>
      </c>
      <c r="G318" s="51">
        <v>17.37</v>
      </c>
      <c r="H318" s="52">
        <v>27.52</v>
      </c>
      <c r="I318" s="53">
        <v>42451</v>
      </c>
      <c r="J318" s="54" t="s">
        <v>124</v>
      </c>
    </row>
    <row r="319" spans="1:10" x14ac:dyDescent="0.25">
      <c r="A319" t="s">
        <v>186</v>
      </c>
      <c r="B319" s="48">
        <v>31</v>
      </c>
      <c r="C319" s="51">
        <v>532683</v>
      </c>
      <c r="D319" s="52" t="s">
        <v>1769</v>
      </c>
      <c r="E319" s="52" t="s">
        <v>1770</v>
      </c>
      <c r="F319" s="52" t="s">
        <v>156</v>
      </c>
      <c r="G319" s="53">
        <v>42471</v>
      </c>
      <c r="H319" s="53" t="s">
        <v>153</v>
      </c>
    </row>
    <row r="320" spans="1:10" x14ac:dyDescent="0.25">
      <c r="A320" t="s">
        <v>186</v>
      </c>
      <c r="B320" s="48">
        <v>31</v>
      </c>
      <c r="C320" s="51">
        <f>252989+28340</f>
        <v>281329</v>
      </c>
      <c r="D320" s="52" t="s">
        <v>1769</v>
      </c>
      <c r="E320" s="52" t="s">
        <v>1771</v>
      </c>
      <c r="F320" s="52" t="s">
        <v>156</v>
      </c>
      <c r="G320" s="53">
        <v>42471</v>
      </c>
      <c r="H320" s="53" t="s">
        <v>153</v>
      </c>
    </row>
    <row r="321" spans="1:10" x14ac:dyDescent="0.25">
      <c r="A321" t="s">
        <v>186</v>
      </c>
      <c r="B321" s="48">
        <v>31</v>
      </c>
      <c r="C321" s="60">
        <f>27500*G321</f>
        <v>475750</v>
      </c>
      <c r="D321" s="61" t="s">
        <v>1858</v>
      </c>
      <c r="E321" s="61" t="s">
        <v>1975</v>
      </c>
      <c r="F321" s="61" t="s">
        <v>1596</v>
      </c>
      <c r="G321" s="60">
        <v>17.3</v>
      </c>
      <c r="H321" s="61">
        <v>26.91</v>
      </c>
      <c r="I321" s="63">
        <v>42460</v>
      </c>
      <c r="J321" s="64" t="s">
        <v>124</v>
      </c>
    </row>
    <row r="322" spans="1:10" x14ac:dyDescent="0.25">
      <c r="A322" t="s">
        <v>186</v>
      </c>
      <c r="B322" s="48">
        <v>31</v>
      </c>
      <c r="C322" s="60">
        <f>27500*G322</f>
        <v>475750</v>
      </c>
      <c r="D322" s="61" t="s">
        <v>1859</v>
      </c>
      <c r="E322" s="61" t="s">
        <v>1976</v>
      </c>
      <c r="F322" s="61" t="s">
        <v>1596</v>
      </c>
      <c r="G322" s="60">
        <v>17.3</v>
      </c>
      <c r="H322" s="61">
        <v>26.93</v>
      </c>
      <c r="I322" s="63">
        <v>42460</v>
      </c>
      <c r="J322" s="64" t="s">
        <v>124</v>
      </c>
    </row>
    <row r="323" spans="1:10" x14ac:dyDescent="0.25">
      <c r="A323" s="1" t="s">
        <v>1832</v>
      </c>
      <c r="G323" s="2"/>
    </row>
    <row r="324" spans="1:10" x14ac:dyDescent="0.25">
      <c r="A324" t="s">
        <v>117</v>
      </c>
      <c r="B324" s="48">
        <v>1</v>
      </c>
      <c r="C324" s="60">
        <f>27500*G324</f>
        <v>473275</v>
      </c>
      <c r="D324" s="61" t="s">
        <v>1860</v>
      </c>
      <c r="E324" s="61" t="s">
        <v>1977</v>
      </c>
      <c r="F324" s="61" t="s">
        <v>1596</v>
      </c>
      <c r="G324" s="60">
        <v>17.21</v>
      </c>
      <c r="H324" s="61">
        <v>26.99</v>
      </c>
      <c r="I324" s="63">
        <v>42461</v>
      </c>
      <c r="J324" s="61" t="s">
        <v>1225</v>
      </c>
    </row>
    <row r="325" spans="1:10" x14ac:dyDescent="0.25">
      <c r="A325" t="s">
        <v>117</v>
      </c>
      <c r="B325" s="48">
        <v>1</v>
      </c>
      <c r="C325" s="60">
        <f>27000*G325</f>
        <v>464670</v>
      </c>
      <c r="D325" s="61" t="s">
        <v>1861</v>
      </c>
      <c r="E325" s="61" t="s">
        <v>1971</v>
      </c>
      <c r="F325" s="61" t="s">
        <v>222</v>
      </c>
      <c r="G325" s="60">
        <v>17.21</v>
      </c>
      <c r="H325" s="61">
        <v>26.74</v>
      </c>
      <c r="I325" s="63">
        <v>42461</v>
      </c>
      <c r="J325" s="61" t="s">
        <v>1225</v>
      </c>
    </row>
    <row r="326" spans="1:10" x14ac:dyDescent="0.25">
      <c r="A326" t="s">
        <v>117</v>
      </c>
      <c r="B326" s="48">
        <v>1</v>
      </c>
      <c r="G326" s="2"/>
    </row>
    <row r="327" spans="1:10" x14ac:dyDescent="0.25">
      <c r="A327" t="s">
        <v>117</v>
      </c>
      <c r="B327" s="48">
        <v>1</v>
      </c>
      <c r="C327" s="51">
        <f>25987.15*G327</f>
        <v>454515.25349999999</v>
      </c>
      <c r="D327" s="52" t="s">
        <v>1835</v>
      </c>
      <c r="E327" s="52">
        <v>95281322</v>
      </c>
      <c r="F327" s="52" t="s">
        <v>1836</v>
      </c>
      <c r="G327" s="51">
        <v>17.489999999999998</v>
      </c>
      <c r="H327" s="52">
        <v>26.52</v>
      </c>
      <c r="I327" s="53">
        <v>42457</v>
      </c>
      <c r="J327" s="52" t="s">
        <v>1846</v>
      </c>
    </row>
    <row r="328" spans="1:10" x14ac:dyDescent="0.25">
      <c r="A328" t="s">
        <v>117</v>
      </c>
      <c r="B328" s="48">
        <v>1</v>
      </c>
      <c r="C328" s="51">
        <f>25688.36*G328</f>
        <v>449289.41639999999</v>
      </c>
      <c r="D328" s="52" t="s">
        <v>1834</v>
      </c>
      <c r="E328" s="52">
        <v>95281323</v>
      </c>
      <c r="F328" s="52" t="s">
        <v>1837</v>
      </c>
      <c r="G328" s="51">
        <v>17.489999999999998</v>
      </c>
      <c r="H328" s="52">
        <v>26.59</v>
      </c>
      <c r="I328" s="53">
        <v>42457</v>
      </c>
      <c r="J328" s="52" t="s">
        <v>1846</v>
      </c>
    </row>
    <row r="329" spans="1:10" x14ac:dyDescent="0.25">
      <c r="A329" s="49" t="s">
        <v>118</v>
      </c>
      <c r="B329" s="48">
        <v>2</v>
      </c>
      <c r="G329" s="2"/>
    </row>
    <row r="330" spans="1:10" x14ac:dyDescent="0.25">
      <c r="A330" s="49" t="s">
        <v>119</v>
      </c>
      <c r="B330" s="48">
        <v>3</v>
      </c>
      <c r="G330" s="2"/>
    </row>
    <row r="331" spans="1:10" x14ac:dyDescent="0.25">
      <c r="A331" t="s">
        <v>125</v>
      </c>
      <c r="B331" s="48">
        <v>4</v>
      </c>
      <c r="C331" s="60">
        <f>27500*G331</f>
        <v>479737.5</v>
      </c>
      <c r="D331" s="61" t="s">
        <v>1978</v>
      </c>
      <c r="E331" s="61" t="s">
        <v>1979</v>
      </c>
      <c r="F331" s="61" t="s">
        <v>1933</v>
      </c>
      <c r="G331" s="62">
        <v>17.445</v>
      </c>
      <c r="H331" s="61">
        <v>27.93</v>
      </c>
      <c r="I331" s="63">
        <v>42464</v>
      </c>
      <c r="J331" s="64" t="s">
        <v>124</v>
      </c>
    </row>
    <row r="332" spans="1:10" x14ac:dyDescent="0.25">
      <c r="A332" t="s">
        <v>128</v>
      </c>
      <c r="B332" s="48">
        <v>5</v>
      </c>
      <c r="G332" s="2"/>
    </row>
    <row r="333" spans="1:10" x14ac:dyDescent="0.25">
      <c r="A333" t="s">
        <v>120</v>
      </c>
      <c r="B333" s="48">
        <v>6</v>
      </c>
      <c r="C333" s="51">
        <f>277780.03+270684.47</f>
        <v>548464.5</v>
      </c>
      <c r="D333" s="52" t="s">
        <v>1939</v>
      </c>
      <c r="E333" s="52" t="s">
        <v>1953</v>
      </c>
      <c r="F333" s="52" t="s">
        <v>152</v>
      </c>
      <c r="G333" s="57">
        <v>42467</v>
      </c>
      <c r="H333" s="53">
        <v>42467</v>
      </c>
      <c r="I333" s="53" t="s">
        <v>153</v>
      </c>
    </row>
    <row r="334" spans="1:10" x14ac:dyDescent="0.25">
      <c r="A334" t="s">
        <v>120</v>
      </c>
      <c r="B334" s="48">
        <v>6</v>
      </c>
      <c r="C334" s="60">
        <f>30000*G334</f>
        <v>535500</v>
      </c>
      <c r="D334" s="66" t="s">
        <v>2045</v>
      </c>
      <c r="E334" s="61" t="s">
        <v>2122</v>
      </c>
      <c r="F334" s="61" t="s">
        <v>901</v>
      </c>
      <c r="G334" s="135">
        <v>17.850000000000001</v>
      </c>
      <c r="H334" s="61">
        <v>28.39</v>
      </c>
      <c r="I334" s="63">
        <v>42466</v>
      </c>
      <c r="J334" s="64" t="s">
        <v>124</v>
      </c>
    </row>
    <row r="335" spans="1:10" x14ac:dyDescent="0.25">
      <c r="A335" t="s">
        <v>120</v>
      </c>
      <c r="B335" s="48">
        <v>6</v>
      </c>
      <c r="C335" s="60">
        <f>28500*G335</f>
        <v>508725.00000000006</v>
      </c>
      <c r="D335" s="61" t="s">
        <v>1944</v>
      </c>
      <c r="E335" s="61" t="s">
        <v>2040</v>
      </c>
      <c r="F335" s="61" t="s">
        <v>1571</v>
      </c>
      <c r="G335" s="60">
        <v>17.850000000000001</v>
      </c>
      <c r="H335" s="61">
        <v>27.87</v>
      </c>
      <c r="I335" s="63">
        <v>42466</v>
      </c>
      <c r="J335" s="64" t="s">
        <v>124</v>
      </c>
    </row>
    <row r="336" spans="1:10" x14ac:dyDescent="0.25">
      <c r="A336" t="s">
        <v>1833</v>
      </c>
      <c r="B336" s="48">
        <v>7</v>
      </c>
      <c r="C336" s="60">
        <f t="shared" ref="C336:C339" si="11">30000*G336</f>
        <v>538050</v>
      </c>
      <c r="D336" s="61" t="s">
        <v>1948</v>
      </c>
      <c r="E336" s="61" t="s">
        <v>2044</v>
      </c>
      <c r="F336" s="61" t="s">
        <v>901</v>
      </c>
      <c r="G336" s="62">
        <v>17.934999999999999</v>
      </c>
      <c r="H336" s="61">
        <v>28.09</v>
      </c>
      <c r="I336" s="63">
        <v>42467</v>
      </c>
      <c r="J336" s="64" t="s">
        <v>124</v>
      </c>
    </row>
    <row r="337" spans="1:10" x14ac:dyDescent="0.25">
      <c r="A337" t="s">
        <v>186</v>
      </c>
      <c r="B337" s="48">
        <v>7</v>
      </c>
      <c r="C337" s="60">
        <f t="shared" si="11"/>
        <v>538050</v>
      </c>
      <c r="D337" s="61" t="s">
        <v>1949</v>
      </c>
      <c r="E337" s="61" t="s">
        <v>2043</v>
      </c>
      <c r="F337" s="61" t="s">
        <v>901</v>
      </c>
      <c r="G337" s="62">
        <v>17.934999999999999</v>
      </c>
      <c r="H337" s="61">
        <v>28.11</v>
      </c>
      <c r="I337" s="63">
        <v>42467</v>
      </c>
      <c r="J337" s="64" t="s">
        <v>124</v>
      </c>
    </row>
    <row r="338" spans="1:10" s="50" customFormat="1" x14ac:dyDescent="0.25">
      <c r="A338" s="50" t="s">
        <v>186</v>
      </c>
      <c r="B338" s="56">
        <v>7</v>
      </c>
      <c r="C338" s="51">
        <v>327607.5</v>
      </c>
      <c r="D338" s="52" t="s">
        <v>1954</v>
      </c>
      <c r="E338" s="52" t="s">
        <v>2075</v>
      </c>
      <c r="F338" s="52" t="s">
        <v>1955</v>
      </c>
      <c r="G338" s="70" t="s">
        <v>1956</v>
      </c>
      <c r="H338" s="52"/>
      <c r="I338" s="53">
        <v>42466</v>
      </c>
      <c r="J338" s="59"/>
    </row>
    <row r="339" spans="1:10" x14ac:dyDescent="0.25">
      <c r="A339" t="s">
        <v>117</v>
      </c>
      <c r="B339" s="48">
        <v>8</v>
      </c>
      <c r="C339" s="60">
        <f t="shared" si="11"/>
        <v>533850</v>
      </c>
      <c r="D339" s="61" t="s">
        <v>1950</v>
      </c>
      <c r="E339" s="61" t="s">
        <v>2042</v>
      </c>
      <c r="F339" s="61" t="s">
        <v>901</v>
      </c>
      <c r="G339" s="62">
        <v>17.795000000000002</v>
      </c>
      <c r="H339" s="61">
        <v>24.94</v>
      </c>
      <c r="I339" s="63">
        <v>42468</v>
      </c>
      <c r="J339" s="61" t="s">
        <v>1225</v>
      </c>
    </row>
    <row r="340" spans="1:10" x14ac:dyDescent="0.25">
      <c r="A340" t="s">
        <v>117</v>
      </c>
      <c r="B340" s="48">
        <v>8</v>
      </c>
      <c r="C340" s="60">
        <f>29000*G340</f>
        <v>516055.00000000006</v>
      </c>
      <c r="D340" s="61" t="s">
        <v>1951</v>
      </c>
      <c r="E340" s="61" t="s">
        <v>2041</v>
      </c>
      <c r="F340" s="61" t="s">
        <v>902</v>
      </c>
      <c r="G340" s="62">
        <v>17.795000000000002</v>
      </c>
      <c r="H340" s="61">
        <v>28.22</v>
      </c>
      <c r="I340" s="63">
        <v>42468</v>
      </c>
      <c r="J340" s="61" t="s">
        <v>1225</v>
      </c>
    </row>
    <row r="341" spans="1:10" x14ac:dyDescent="0.25">
      <c r="A341" t="s">
        <v>117</v>
      </c>
      <c r="B341" s="48">
        <v>8</v>
      </c>
      <c r="C341" s="51">
        <v>379082.28</v>
      </c>
      <c r="D341" s="52" t="s">
        <v>1883</v>
      </c>
      <c r="E341" s="52" t="s">
        <v>1882</v>
      </c>
      <c r="F341" s="52" t="s">
        <v>1884</v>
      </c>
      <c r="G341" s="57">
        <v>42472</v>
      </c>
      <c r="H341" s="54" t="s">
        <v>124</v>
      </c>
    </row>
    <row r="342" spans="1:10" x14ac:dyDescent="0.25">
      <c r="A342" t="s">
        <v>117</v>
      </c>
      <c r="B342" s="48">
        <v>8</v>
      </c>
      <c r="C342" s="51">
        <f>24759.07*G342</f>
        <v>431921.97615</v>
      </c>
      <c r="D342" s="52" t="s">
        <v>1911</v>
      </c>
      <c r="E342" s="52" t="s">
        <v>1914</v>
      </c>
      <c r="F342" s="52" t="s">
        <v>1915</v>
      </c>
      <c r="G342" s="70">
        <v>17.445</v>
      </c>
      <c r="H342" s="52">
        <v>27.17</v>
      </c>
      <c r="I342" s="53">
        <v>42464</v>
      </c>
      <c r="J342" s="52" t="s">
        <v>1846</v>
      </c>
    </row>
    <row r="343" spans="1:10" x14ac:dyDescent="0.25">
      <c r="A343" t="s">
        <v>117</v>
      </c>
      <c r="B343" s="48">
        <v>8</v>
      </c>
      <c r="C343" s="51">
        <f>26079.12*G343</f>
        <v>454950.24839999998</v>
      </c>
      <c r="D343" s="52" t="s">
        <v>1912</v>
      </c>
      <c r="E343" s="52" t="s">
        <v>1913</v>
      </c>
      <c r="F343" s="52" t="s">
        <v>1916</v>
      </c>
      <c r="G343" s="70">
        <v>17.445</v>
      </c>
      <c r="H343" s="52">
        <v>26.1</v>
      </c>
      <c r="I343" s="53">
        <v>42464</v>
      </c>
      <c r="J343" s="54" t="s">
        <v>124</v>
      </c>
    </row>
    <row r="344" spans="1:10" x14ac:dyDescent="0.25">
      <c r="A344" s="49" t="s">
        <v>118</v>
      </c>
      <c r="B344" s="48">
        <v>9</v>
      </c>
    </row>
    <row r="345" spans="1:10" x14ac:dyDescent="0.25">
      <c r="A345" s="49" t="s">
        <v>119</v>
      </c>
      <c r="B345" s="48">
        <v>10</v>
      </c>
    </row>
    <row r="346" spans="1:10" x14ac:dyDescent="0.25">
      <c r="A346" t="s">
        <v>125</v>
      </c>
      <c r="B346" s="48">
        <v>11</v>
      </c>
    </row>
    <row r="347" spans="1:10" x14ac:dyDescent="0.25">
      <c r="A347" t="s">
        <v>125</v>
      </c>
      <c r="B347" s="48">
        <v>11</v>
      </c>
      <c r="C347" s="51">
        <f>525707+40764</f>
        <v>566471</v>
      </c>
      <c r="D347" s="52" t="s">
        <v>1922</v>
      </c>
      <c r="E347" s="52" t="s">
        <v>1934</v>
      </c>
      <c r="F347" s="52" t="s">
        <v>156</v>
      </c>
      <c r="G347" s="53">
        <v>42472</v>
      </c>
      <c r="H347" s="53" t="s">
        <v>153</v>
      </c>
    </row>
    <row r="348" spans="1:10" x14ac:dyDescent="0.25">
      <c r="A348" t="s">
        <v>125</v>
      </c>
      <c r="B348" s="56">
        <v>11</v>
      </c>
      <c r="C348" s="51">
        <v>134070</v>
      </c>
      <c r="D348" s="52" t="s">
        <v>1923</v>
      </c>
      <c r="E348" s="52" t="s">
        <v>1924</v>
      </c>
      <c r="F348" s="52" t="s">
        <v>156</v>
      </c>
      <c r="G348" s="53">
        <v>42473</v>
      </c>
      <c r="H348" s="53" t="s">
        <v>153</v>
      </c>
    </row>
    <row r="349" spans="1:10" x14ac:dyDescent="0.25">
      <c r="A349" t="s">
        <v>125</v>
      </c>
      <c r="B349" s="48">
        <v>11</v>
      </c>
      <c r="C349" s="51">
        <f>578245+99517</f>
        <v>677762</v>
      </c>
      <c r="D349" s="52" t="s">
        <v>1925</v>
      </c>
      <c r="E349" s="52" t="s">
        <v>1926</v>
      </c>
      <c r="F349" s="52" t="s">
        <v>156</v>
      </c>
      <c r="G349" s="53">
        <v>42473</v>
      </c>
      <c r="H349" s="53" t="s">
        <v>153</v>
      </c>
    </row>
    <row r="350" spans="1:10" x14ac:dyDescent="0.25">
      <c r="A350" t="s">
        <v>128</v>
      </c>
      <c r="B350" s="48">
        <v>12</v>
      </c>
      <c r="C350" s="51">
        <f>26904.75*G350</f>
        <v>475003.36125000002</v>
      </c>
      <c r="D350" s="52" t="s">
        <v>1980</v>
      </c>
      <c r="E350" s="52" t="s">
        <v>1981</v>
      </c>
      <c r="F350" s="52" t="s">
        <v>1982</v>
      </c>
      <c r="G350" s="70">
        <v>17.655000000000001</v>
      </c>
      <c r="H350" s="52">
        <v>26.71</v>
      </c>
      <c r="I350" s="53">
        <v>42471</v>
      </c>
      <c r="J350" s="54" t="s">
        <v>124</v>
      </c>
    </row>
    <row r="351" spans="1:10" x14ac:dyDescent="0.25">
      <c r="A351" t="s">
        <v>128</v>
      </c>
      <c r="B351" s="48">
        <v>12</v>
      </c>
      <c r="C351" s="51">
        <f>64746+4799.2</f>
        <v>69545.2</v>
      </c>
      <c r="D351" s="52" t="s">
        <v>1927</v>
      </c>
      <c r="E351" s="52" t="s">
        <v>1935</v>
      </c>
      <c r="F351" s="52" t="s">
        <v>156</v>
      </c>
      <c r="G351" s="53">
        <v>42473</v>
      </c>
      <c r="H351" s="53" t="s">
        <v>153</v>
      </c>
    </row>
    <row r="352" spans="1:10" x14ac:dyDescent="0.25">
      <c r="A352" t="s">
        <v>128</v>
      </c>
      <c r="B352" s="48">
        <v>12</v>
      </c>
      <c r="C352" s="51">
        <v>562658</v>
      </c>
      <c r="D352" s="52" t="s">
        <v>1929</v>
      </c>
      <c r="E352" s="52" t="s">
        <v>1928</v>
      </c>
      <c r="F352" s="52" t="s">
        <v>156</v>
      </c>
      <c r="G352" s="53">
        <v>42473</v>
      </c>
      <c r="H352" s="53" t="s">
        <v>153</v>
      </c>
    </row>
    <row r="353" spans="1:10" x14ac:dyDescent="0.25">
      <c r="A353" t="s">
        <v>120</v>
      </c>
      <c r="B353" s="48">
        <v>13</v>
      </c>
      <c r="C353" s="60">
        <f>29000*G353</f>
        <v>508370.00000000006</v>
      </c>
      <c r="D353" s="61" t="s">
        <v>2015</v>
      </c>
      <c r="E353" s="61" t="s">
        <v>2124</v>
      </c>
      <c r="F353" s="61" t="s">
        <v>902</v>
      </c>
      <c r="G353" s="60">
        <v>17.53</v>
      </c>
      <c r="H353" s="61">
        <v>29.97</v>
      </c>
      <c r="I353" s="63">
        <v>42473</v>
      </c>
      <c r="J353" s="61" t="s">
        <v>952</v>
      </c>
    </row>
    <row r="354" spans="1:10" x14ac:dyDescent="0.25">
      <c r="A354" t="s">
        <v>120</v>
      </c>
      <c r="B354" s="56">
        <v>13</v>
      </c>
      <c r="C354" s="60">
        <f>30000*G354</f>
        <v>525900</v>
      </c>
      <c r="D354" s="61" t="s">
        <v>2016</v>
      </c>
      <c r="E354" s="61" t="s">
        <v>2121</v>
      </c>
      <c r="F354" s="61" t="s">
        <v>901</v>
      </c>
      <c r="G354" s="60">
        <v>17.53</v>
      </c>
      <c r="H354" s="61">
        <v>29.31</v>
      </c>
      <c r="I354" s="63">
        <v>42473</v>
      </c>
      <c r="J354" s="61" t="s">
        <v>952</v>
      </c>
    </row>
    <row r="355" spans="1:10" x14ac:dyDescent="0.25">
      <c r="A355" t="s">
        <v>120</v>
      </c>
      <c r="B355" s="48">
        <v>13</v>
      </c>
      <c r="C355" s="51">
        <f>25468.14*G355</f>
        <v>444291.7023</v>
      </c>
      <c r="D355" s="52" t="s">
        <v>1917</v>
      </c>
      <c r="E355" s="52" t="s">
        <v>1918</v>
      </c>
      <c r="F355" s="52" t="s">
        <v>1919</v>
      </c>
      <c r="G355" s="70">
        <v>17.445</v>
      </c>
      <c r="H355" s="52">
        <v>26.13</v>
      </c>
      <c r="I355" s="53">
        <v>42464</v>
      </c>
      <c r="J355" s="52" t="s">
        <v>1846</v>
      </c>
    </row>
    <row r="356" spans="1:10" s="50" customFormat="1" x14ac:dyDescent="0.25">
      <c r="A356" s="50" t="s">
        <v>120</v>
      </c>
      <c r="B356" s="56">
        <v>13</v>
      </c>
      <c r="C356" s="51">
        <f>646043+29388</f>
        <v>675431</v>
      </c>
      <c r="D356" s="52" t="s">
        <v>1930</v>
      </c>
      <c r="E356" s="52" t="s">
        <v>1936</v>
      </c>
      <c r="F356" s="52" t="s">
        <v>156</v>
      </c>
      <c r="G356" s="57">
        <v>42475</v>
      </c>
      <c r="H356" s="53" t="s">
        <v>153</v>
      </c>
    </row>
    <row r="357" spans="1:10" s="50" customFormat="1" x14ac:dyDescent="0.25">
      <c r="A357" t="s">
        <v>120</v>
      </c>
      <c r="B357" s="56">
        <v>13</v>
      </c>
      <c r="C357" s="51">
        <f>660431+14753.2</f>
        <v>675184.2</v>
      </c>
      <c r="D357" s="52" t="s">
        <v>1931</v>
      </c>
      <c r="E357" s="52" t="s">
        <v>1937</v>
      </c>
      <c r="F357" s="52" t="s">
        <v>156</v>
      </c>
      <c r="G357" s="57">
        <v>42475</v>
      </c>
      <c r="H357" s="53" t="s">
        <v>153</v>
      </c>
    </row>
    <row r="358" spans="1:10" s="50" customFormat="1" x14ac:dyDescent="0.25">
      <c r="A358" t="s">
        <v>120</v>
      </c>
      <c r="B358" s="56">
        <v>13</v>
      </c>
      <c r="C358" s="51">
        <f>269720.51+271479.9</f>
        <v>541200.41</v>
      </c>
      <c r="D358" s="52" t="s">
        <v>2003</v>
      </c>
      <c r="E358" s="52" t="s">
        <v>2019</v>
      </c>
      <c r="F358" s="52" t="s">
        <v>152</v>
      </c>
      <c r="G358" s="53">
        <v>42473</v>
      </c>
      <c r="H358" s="53" t="s">
        <v>153</v>
      </c>
    </row>
    <row r="359" spans="1:10" x14ac:dyDescent="0.25">
      <c r="A359" s="50" t="s">
        <v>1833</v>
      </c>
      <c r="B359" s="48">
        <v>14</v>
      </c>
      <c r="C359" s="51">
        <v>647896</v>
      </c>
      <c r="D359" s="52" t="s">
        <v>1932</v>
      </c>
      <c r="E359" s="52" t="s">
        <v>1888</v>
      </c>
      <c r="F359" s="52" t="s">
        <v>156</v>
      </c>
      <c r="G359" s="53">
        <v>42478</v>
      </c>
      <c r="H359" s="53" t="s">
        <v>153</v>
      </c>
    </row>
    <row r="360" spans="1:10" x14ac:dyDescent="0.25">
      <c r="A360" t="s">
        <v>1833</v>
      </c>
      <c r="B360" s="48">
        <v>14</v>
      </c>
      <c r="C360" s="60">
        <f t="shared" ref="C360:C362" si="12">30000*G360</f>
        <v>527250</v>
      </c>
      <c r="D360" s="61" t="s">
        <v>2013</v>
      </c>
      <c r="E360" s="61" t="s">
        <v>2141</v>
      </c>
      <c r="F360" s="61" t="s">
        <v>901</v>
      </c>
      <c r="G360" s="62">
        <v>17.574999999999999</v>
      </c>
      <c r="H360" s="61">
        <v>31.02</v>
      </c>
      <c r="I360" s="63">
        <v>42474</v>
      </c>
      <c r="J360" s="64" t="s">
        <v>124</v>
      </c>
    </row>
    <row r="361" spans="1:10" x14ac:dyDescent="0.25">
      <c r="A361" t="s">
        <v>1833</v>
      </c>
      <c r="B361" s="48">
        <v>14</v>
      </c>
      <c r="C361" s="60">
        <f t="shared" si="12"/>
        <v>527250</v>
      </c>
      <c r="D361" s="61" t="s">
        <v>2014</v>
      </c>
      <c r="E361" s="61" t="s">
        <v>2142</v>
      </c>
      <c r="F361" s="61" t="s">
        <v>901</v>
      </c>
      <c r="G361" s="62">
        <v>17.574999999999999</v>
      </c>
      <c r="H361" s="61">
        <v>31.02</v>
      </c>
      <c r="I361" s="63">
        <v>42474</v>
      </c>
      <c r="J361" s="64" t="s">
        <v>124</v>
      </c>
    </row>
    <row r="362" spans="1:10" x14ac:dyDescent="0.25">
      <c r="A362" t="s">
        <v>117</v>
      </c>
      <c r="B362" s="48">
        <v>15</v>
      </c>
      <c r="C362" s="60">
        <f t="shared" si="12"/>
        <v>522900</v>
      </c>
      <c r="D362" s="61" t="s">
        <v>2017</v>
      </c>
      <c r="E362" s="61" t="s">
        <v>2140</v>
      </c>
      <c r="F362" s="61" t="s">
        <v>901</v>
      </c>
      <c r="G362" s="62">
        <v>17.43</v>
      </c>
      <c r="H362" s="61">
        <v>31.06</v>
      </c>
      <c r="I362" s="63">
        <v>42475</v>
      </c>
      <c r="J362" s="64" t="s">
        <v>124</v>
      </c>
    </row>
    <row r="363" spans="1:10" x14ac:dyDescent="0.25">
      <c r="A363" t="s">
        <v>117</v>
      </c>
      <c r="B363" s="48">
        <v>15</v>
      </c>
      <c r="C363" s="60">
        <f>29000*G363</f>
        <v>505470</v>
      </c>
      <c r="D363" s="61" t="s">
        <v>2018</v>
      </c>
      <c r="E363" s="61" t="s">
        <v>2152</v>
      </c>
      <c r="F363" s="61" t="s">
        <v>902</v>
      </c>
      <c r="G363" s="62">
        <v>17.43</v>
      </c>
      <c r="H363" s="61">
        <v>31.31</v>
      </c>
      <c r="I363" s="63">
        <v>42475</v>
      </c>
      <c r="J363" s="111" t="s">
        <v>124</v>
      </c>
    </row>
    <row r="364" spans="1:10" x14ac:dyDescent="0.25">
      <c r="A364" t="s">
        <v>117</v>
      </c>
      <c r="B364" s="48">
        <v>15</v>
      </c>
      <c r="C364" s="51">
        <f>27313.76*G364</f>
        <v>482224.43280000001</v>
      </c>
      <c r="D364" s="52" t="s">
        <v>1984</v>
      </c>
      <c r="E364" s="52" t="s">
        <v>1985</v>
      </c>
      <c r="F364" s="52" t="s">
        <v>1983</v>
      </c>
      <c r="G364" s="70">
        <v>17.655000000000001</v>
      </c>
      <c r="H364" s="52">
        <v>27.1</v>
      </c>
      <c r="I364" s="53">
        <v>42471</v>
      </c>
      <c r="J364" s="54" t="s">
        <v>124</v>
      </c>
    </row>
    <row r="365" spans="1:10" x14ac:dyDescent="0.25">
      <c r="A365" s="49" t="s">
        <v>118</v>
      </c>
      <c r="B365" s="48">
        <v>16</v>
      </c>
    </row>
    <row r="366" spans="1:10" x14ac:dyDescent="0.25">
      <c r="A366" s="49" t="s">
        <v>119</v>
      </c>
      <c r="B366" s="48">
        <v>17</v>
      </c>
      <c r="G366" s="138"/>
    </row>
    <row r="367" spans="1:10" s="50" customFormat="1" x14ac:dyDescent="0.25">
      <c r="A367" s="50" t="s">
        <v>125</v>
      </c>
      <c r="B367" s="56">
        <v>18</v>
      </c>
      <c r="C367" s="60">
        <f>33000*G367</f>
        <v>581955</v>
      </c>
      <c r="D367" s="61" t="s">
        <v>2052</v>
      </c>
      <c r="E367" s="61" t="s">
        <v>2153</v>
      </c>
      <c r="F367" s="61" t="s">
        <v>2053</v>
      </c>
      <c r="G367" s="62">
        <v>17.635000000000002</v>
      </c>
      <c r="H367" s="61">
        <v>32.130000000000003</v>
      </c>
      <c r="I367" s="63">
        <v>42478</v>
      </c>
      <c r="J367" s="111" t="s">
        <v>952</v>
      </c>
    </row>
    <row r="368" spans="1:10" x14ac:dyDescent="0.25">
      <c r="A368" t="s">
        <v>125</v>
      </c>
      <c r="B368" s="48">
        <v>18</v>
      </c>
      <c r="C368" s="51">
        <v>669914</v>
      </c>
      <c r="D368" s="52" t="s">
        <v>2029</v>
      </c>
      <c r="E368" s="52" t="s">
        <v>1941</v>
      </c>
      <c r="F368" s="52" t="s">
        <v>156</v>
      </c>
      <c r="G368" s="53">
        <v>42478</v>
      </c>
      <c r="H368" s="53" t="s">
        <v>153</v>
      </c>
    </row>
    <row r="369" spans="1:11" x14ac:dyDescent="0.25">
      <c r="A369" s="50" t="s">
        <v>125</v>
      </c>
      <c r="B369" s="48">
        <v>18</v>
      </c>
      <c r="C369" s="51">
        <f>620864+29506.43</f>
        <v>650370.43000000005</v>
      </c>
      <c r="D369" s="52" t="s">
        <v>2030</v>
      </c>
      <c r="E369" s="52" t="s">
        <v>2031</v>
      </c>
      <c r="F369" s="52" t="s">
        <v>156</v>
      </c>
      <c r="G369" s="53">
        <v>42479</v>
      </c>
      <c r="H369" s="53" t="s">
        <v>153</v>
      </c>
    </row>
    <row r="370" spans="1:11" x14ac:dyDescent="0.25">
      <c r="A370" t="s">
        <v>125</v>
      </c>
      <c r="B370" s="48">
        <v>18</v>
      </c>
      <c r="C370" s="51">
        <f>583150+14694</f>
        <v>597844</v>
      </c>
      <c r="D370" s="52" t="s">
        <v>2032</v>
      </c>
      <c r="E370" s="52" t="s">
        <v>2033</v>
      </c>
      <c r="F370" s="52" t="s">
        <v>156</v>
      </c>
      <c r="G370" s="53">
        <v>42480</v>
      </c>
      <c r="H370" s="53" t="s">
        <v>153</v>
      </c>
    </row>
    <row r="371" spans="1:11" x14ac:dyDescent="0.25">
      <c r="A371" s="50" t="s">
        <v>125</v>
      </c>
      <c r="B371" s="48">
        <v>18</v>
      </c>
      <c r="C371" s="51">
        <v>502839.43</v>
      </c>
      <c r="D371" s="52" t="s">
        <v>2071</v>
      </c>
      <c r="E371" s="52" t="s">
        <v>2134</v>
      </c>
      <c r="F371" s="52" t="s">
        <v>123</v>
      </c>
      <c r="G371" s="51">
        <v>27.5</v>
      </c>
      <c r="H371" s="53">
        <v>42482</v>
      </c>
      <c r="I371" s="118" t="s">
        <v>124</v>
      </c>
    </row>
    <row r="372" spans="1:11" x14ac:dyDescent="0.25">
      <c r="A372" t="s">
        <v>128</v>
      </c>
      <c r="B372" s="48">
        <v>19</v>
      </c>
      <c r="C372" s="51">
        <f>27535.59*G372</f>
        <v>481735.14705000003</v>
      </c>
      <c r="D372" s="52" t="s">
        <v>2051</v>
      </c>
      <c r="E372" s="52" t="s">
        <v>2048</v>
      </c>
      <c r="F372" s="52" t="s">
        <v>2046</v>
      </c>
      <c r="G372" s="70">
        <v>17.495000000000001</v>
      </c>
      <c r="H372" s="52">
        <v>27.31</v>
      </c>
      <c r="I372" s="53">
        <v>42478</v>
      </c>
      <c r="J372" s="52" t="s">
        <v>952</v>
      </c>
    </row>
    <row r="373" spans="1:11" s="50" customFormat="1" x14ac:dyDescent="0.25">
      <c r="A373" s="50" t="s">
        <v>120</v>
      </c>
      <c r="B373" s="56">
        <v>20</v>
      </c>
      <c r="C373" s="51">
        <f>279884.69+275175.38</f>
        <v>555060.07000000007</v>
      </c>
      <c r="D373" s="52" t="s">
        <v>2125</v>
      </c>
      <c r="E373" s="52" t="s">
        <v>2138</v>
      </c>
      <c r="F373" s="52" t="s">
        <v>152</v>
      </c>
      <c r="G373" s="53">
        <v>42480</v>
      </c>
      <c r="H373" s="53" t="s">
        <v>153</v>
      </c>
      <c r="I373" s="58"/>
    </row>
    <row r="374" spans="1:11" x14ac:dyDescent="0.25">
      <c r="A374" t="s">
        <v>120</v>
      </c>
      <c r="B374" s="48">
        <v>20</v>
      </c>
      <c r="C374" s="60">
        <f>32000*G374</f>
        <v>555040</v>
      </c>
      <c r="D374" s="61" t="s">
        <v>2054</v>
      </c>
      <c r="E374" s="61" t="s">
        <v>2174</v>
      </c>
      <c r="F374" s="61" t="s">
        <v>1048</v>
      </c>
      <c r="G374" s="62">
        <v>17.344999999999999</v>
      </c>
      <c r="H374" s="61">
        <v>32.33</v>
      </c>
      <c r="I374" s="63">
        <v>42480</v>
      </c>
      <c r="J374" s="111" t="s">
        <v>124</v>
      </c>
    </row>
    <row r="375" spans="1:11" x14ac:dyDescent="0.25">
      <c r="A375" t="s">
        <v>120</v>
      </c>
      <c r="B375" s="48">
        <v>20</v>
      </c>
      <c r="C375" s="60">
        <f t="shared" ref="C375:C376" si="13">33000*G375</f>
        <v>572385</v>
      </c>
      <c r="D375" s="61" t="s">
        <v>2119</v>
      </c>
      <c r="E375" s="61" t="s">
        <v>2175</v>
      </c>
      <c r="F375" s="61" t="s">
        <v>2053</v>
      </c>
      <c r="G375" s="62">
        <v>17.344999999999999</v>
      </c>
      <c r="H375" s="61">
        <v>32.11</v>
      </c>
      <c r="I375" s="63">
        <v>42480</v>
      </c>
      <c r="J375" s="111" t="s">
        <v>952</v>
      </c>
    </row>
    <row r="376" spans="1:11" x14ac:dyDescent="0.25">
      <c r="A376" t="s">
        <v>120</v>
      </c>
      <c r="B376" s="48">
        <v>20</v>
      </c>
      <c r="C376" s="60">
        <f t="shared" si="13"/>
        <v>572385</v>
      </c>
      <c r="D376" s="61" t="s">
        <v>2120</v>
      </c>
      <c r="E376" s="61" t="s">
        <v>2176</v>
      </c>
      <c r="F376" s="61" t="s">
        <v>2053</v>
      </c>
      <c r="G376" s="62">
        <v>17.344999999999999</v>
      </c>
      <c r="H376" s="61">
        <v>32.11</v>
      </c>
      <c r="I376" s="63">
        <v>42480</v>
      </c>
      <c r="J376" s="111" t="s">
        <v>124</v>
      </c>
    </row>
    <row r="377" spans="1:11" x14ac:dyDescent="0.25">
      <c r="A377" t="s">
        <v>120</v>
      </c>
      <c r="B377" s="48">
        <v>20</v>
      </c>
      <c r="C377" s="51">
        <v>718789.11</v>
      </c>
      <c r="D377" s="52" t="s">
        <v>1905</v>
      </c>
      <c r="E377" s="52" t="s">
        <v>1904</v>
      </c>
      <c r="F377" s="52" t="s">
        <v>936</v>
      </c>
      <c r="G377" s="53">
        <v>42478</v>
      </c>
      <c r="H377" s="54" t="s">
        <v>124</v>
      </c>
    </row>
    <row r="378" spans="1:11" x14ac:dyDescent="0.25">
      <c r="A378" s="50" t="s">
        <v>120</v>
      </c>
      <c r="B378" s="56">
        <v>20</v>
      </c>
      <c r="C378" s="51">
        <f>546832.65</f>
        <v>546832.65</v>
      </c>
      <c r="D378" s="52" t="s">
        <v>2022</v>
      </c>
      <c r="E378" s="52" t="s">
        <v>2023</v>
      </c>
      <c r="F378" s="52" t="s">
        <v>1884</v>
      </c>
      <c r="G378" s="52">
        <v>29.5</v>
      </c>
      <c r="H378" s="52" t="s">
        <v>2308</v>
      </c>
      <c r="I378" s="52"/>
      <c r="J378" s="52"/>
      <c r="K378" s="118" t="s">
        <v>124</v>
      </c>
    </row>
    <row r="379" spans="1:11" x14ac:dyDescent="0.25">
      <c r="A379" t="s">
        <v>120</v>
      </c>
      <c r="B379" s="48">
        <v>20</v>
      </c>
      <c r="C379" s="51">
        <v>644600</v>
      </c>
      <c r="D379" s="52" t="s">
        <v>2034</v>
      </c>
      <c r="E379" s="52" t="s">
        <v>1960</v>
      </c>
      <c r="F379" s="52" t="s">
        <v>156</v>
      </c>
      <c r="G379" s="53">
        <v>42481</v>
      </c>
      <c r="H379" s="53" t="s">
        <v>153</v>
      </c>
    </row>
    <row r="380" spans="1:11" x14ac:dyDescent="0.25">
      <c r="A380" t="s">
        <v>120</v>
      </c>
      <c r="B380" s="48">
        <v>20</v>
      </c>
      <c r="C380" s="51">
        <v>681340</v>
      </c>
      <c r="D380" s="52" t="s">
        <v>2035</v>
      </c>
      <c r="E380" s="52" t="s">
        <v>1961</v>
      </c>
      <c r="F380" s="52" t="s">
        <v>156</v>
      </c>
      <c r="G380" s="53">
        <v>42481</v>
      </c>
      <c r="H380" s="53" t="s">
        <v>153</v>
      </c>
    </row>
    <row r="381" spans="1:11" x14ac:dyDescent="0.25">
      <c r="A381" s="50" t="s">
        <v>120</v>
      </c>
      <c r="B381" s="48">
        <v>20</v>
      </c>
      <c r="C381" s="51">
        <v>1452131.45</v>
      </c>
      <c r="D381" s="52" t="s">
        <v>2076</v>
      </c>
      <c r="E381" s="52" t="s">
        <v>2072</v>
      </c>
      <c r="F381" s="52" t="s">
        <v>940</v>
      </c>
      <c r="G381" s="53">
        <v>42493</v>
      </c>
      <c r="H381" s="52" t="s">
        <v>124</v>
      </c>
    </row>
    <row r="382" spans="1:11" x14ac:dyDescent="0.25">
      <c r="A382" t="s">
        <v>120</v>
      </c>
      <c r="B382" s="48">
        <v>20</v>
      </c>
      <c r="C382" s="51">
        <v>344592.75</v>
      </c>
      <c r="D382" s="52" t="s">
        <v>2156</v>
      </c>
      <c r="E382" s="52" t="s">
        <v>2155</v>
      </c>
      <c r="F382" s="52" t="s">
        <v>940</v>
      </c>
      <c r="G382" s="53">
        <v>42485</v>
      </c>
      <c r="H382" s="52" t="s">
        <v>952</v>
      </c>
    </row>
    <row r="383" spans="1:11" x14ac:dyDescent="0.25">
      <c r="A383" t="s">
        <v>186</v>
      </c>
      <c r="B383" s="48">
        <v>21</v>
      </c>
      <c r="C383" s="51">
        <f>646470+29625</f>
        <v>676095</v>
      </c>
      <c r="D383" s="52" t="s">
        <v>2039</v>
      </c>
      <c r="E383" s="52" t="s">
        <v>2036</v>
      </c>
      <c r="F383" s="52" t="s">
        <v>156</v>
      </c>
      <c r="G383" s="53">
        <v>42482</v>
      </c>
      <c r="H383" s="53" t="s">
        <v>153</v>
      </c>
    </row>
    <row r="384" spans="1:11" x14ac:dyDescent="0.25">
      <c r="A384" t="s">
        <v>1833</v>
      </c>
      <c r="B384" s="48">
        <v>21</v>
      </c>
      <c r="C384" s="51">
        <f>375210+23107.5</f>
        <v>398317.5</v>
      </c>
      <c r="D384" s="52" t="s">
        <v>2037</v>
      </c>
      <c r="E384" s="52" t="s">
        <v>2038</v>
      </c>
      <c r="F384" s="52" t="s">
        <v>156</v>
      </c>
      <c r="G384" s="53">
        <v>42482</v>
      </c>
      <c r="H384" s="53" t="s">
        <v>153</v>
      </c>
    </row>
    <row r="385" spans="1:10" x14ac:dyDescent="0.25">
      <c r="A385" t="s">
        <v>186</v>
      </c>
      <c r="B385" s="48">
        <v>21</v>
      </c>
      <c r="C385" s="60">
        <f t="shared" ref="C385:C387" si="14">33000*G385</f>
        <v>570570</v>
      </c>
      <c r="D385" s="61" t="s">
        <v>2127</v>
      </c>
      <c r="E385" s="61" t="s">
        <v>2253</v>
      </c>
      <c r="F385" s="61" t="s">
        <v>2053</v>
      </c>
      <c r="G385" s="60">
        <v>17.29</v>
      </c>
      <c r="H385" s="61">
        <v>32.299999999999997</v>
      </c>
      <c r="I385" s="63">
        <v>42481</v>
      </c>
      <c r="J385" s="111" t="s">
        <v>124</v>
      </c>
    </row>
    <row r="386" spans="1:10" x14ac:dyDescent="0.25">
      <c r="A386" t="s">
        <v>186</v>
      </c>
      <c r="B386" s="48">
        <v>21</v>
      </c>
      <c r="C386" s="60">
        <f t="shared" si="14"/>
        <v>570570</v>
      </c>
      <c r="D386" s="61" t="s">
        <v>2128</v>
      </c>
      <c r="E386" s="61" t="s">
        <v>2254</v>
      </c>
      <c r="F386" s="61" t="s">
        <v>2053</v>
      </c>
      <c r="G386" s="60">
        <v>17.29</v>
      </c>
      <c r="H386" s="61">
        <v>32.299999999999997</v>
      </c>
      <c r="I386" s="63">
        <v>42481</v>
      </c>
      <c r="J386" s="111" t="s">
        <v>124</v>
      </c>
    </row>
    <row r="387" spans="1:10" x14ac:dyDescent="0.25">
      <c r="A387" t="s">
        <v>117</v>
      </c>
      <c r="B387" s="48">
        <v>22</v>
      </c>
      <c r="C387" s="60">
        <f t="shared" si="14"/>
        <v>577005</v>
      </c>
      <c r="D387" s="61" t="s">
        <v>2129</v>
      </c>
      <c r="E387" s="61" t="s">
        <v>2255</v>
      </c>
      <c r="F387" s="61" t="s">
        <v>2053</v>
      </c>
      <c r="G387" s="62">
        <v>17.484999999999999</v>
      </c>
      <c r="H387" s="61">
        <v>33.19</v>
      </c>
      <c r="I387" s="63">
        <v>42482</v>
      </c>
      <c r="J387" s="111" t="s">
        <v>124</v>
      </c>
    </row>
    <row r="388" spans="1:10" x14ac:dyDescent="0.25">
      <c r="A388" t="s">
        <v>117</v>
      </c>
      <c r="B388" s="48">
        <v>22</v>
      </c>
      <c r="C388" s="60">
        <f>32000*G388</f>
        <v>559520</v>
      </c>
      <c r="D388" s="61" t="s">
        <v>2133</v>
      </c>
      <c r="E388" s="61" t="s">
        <v>2256</v>
      </c>
      <c r="F388" s="61" t="s">
        <v>1048</v>
      </c>
      <c r="G388" s="62">
        <v>17.484999999999999</v>
      </c>
      <c r="H388" s="61">
        <v>33.35</v>
      </c>
      <c r="I388" s="63">
        <v>42482</v>
      </c>
      <c r="J388" s="111" t="s">
        <v>124</v>
      </c>
    </row>
    <row r="389" spans="1:10" x14ac:dyDescent="0.25">
      <c r="A389" t="s">
        <v>117</v>
      </c>
      <c r="B389" s="48">
        <v>22</v>
      </c>
      <c r="C389" s="51">
        <v>14497.15</v>
      </c>
      <c r="D389" s="52" t="s">
        <v>2088</v>
      </c>
      <c r="E389" s="52" t="s">
        <v>2126</v>
      </c>
      <c r="F389" s="52" t="s">
        <v>2089</v>
      </c>
      <c r="G389" s="53">
        <v>42482</v>
      </c>
      <c r="H389" s="52" t="s">
        <v>952</v>
      </c>
    </row>
    <row r="390" spans="1:10" x14ac:dyDescent="0.25">
      <c r="A390" t="s">
        <v>117</v>
      </c>
      <c r="B390" s="48">
        <v>22</v>
      </c>
      <c r="C390" s="51">
        <v>122487.78</v>
      </c>
      <c r="D390" s="52" t="s">
        <v>2086</v>
      </c>
      <c r="E390" s="52" t="s">
        <v>2085</v>
      </c>
      <c r="F390" s="52" t="s">
        <v>2087</v>
      </c>
      <c r="G390" s="53">
        <v>42482</v>
      </c>
      <c r="H390" s="52" t="s">
        <v>952</v>
      </c>
    </row>
    <row r="391" spans="1:10" x14ac:dyDescent="0.25">
      <c r="A391" t="s">
        <v>117</v>
      </c>
      <c r="B391" s="48">
        <v>22</v>
      </c>
      <c r="C391" s="51">
        <f>27604.1*G391</f>
        <v>482657.68849999993</v>
      </c>
      <c r="D391" s="52" t="s">
        <v>2050</v>
      </c>
      <c r="E391" s="52" t="s">
        <v>2049</v>
      </c>
      <c r="F391" s="52" t="s">
        <v>2047</v>
      </c>
      <c r="G391" s="70">
        <v>17.484999999999999</v>
      </c>
      <c r="H391" s="52">
        <v>27.13</v>
      </c>
      <c r="I391" s="53">
        <v>42485</v>
      </c>
      <c r="J391" s="118" t="s">
        <v>124</v>
      </c>
    </row>
    <row r="392" spans="1:10" x14ac:dyDescent="0.25">
      <c r="A392" t="s">
        <v>117</v>
      </c>
      <c r="B392" s="48">
        <v>22</v>
      </c>
      <c r="C392" s="51">
        <f>29137.91*G392</f>
        <v>509476.35634999996</v>
      </c>
      <c r="D392" s="52" t="s">
        <v>2090</v>
      </c>
      <c r="E392" s="52" t="s">
        <v>2143</v>
      </c>
      <c r="F392" s="52" t="s">
        <v>2144</v>
      </c>
      <c r="G392" s="70">
        <v>17.484999999999999</v>
      </c>
      <c r="H392" s="52">
        <v>27.5</v>
      </c>
      <c r="I392" s="53">
        <v>42485</v>
      </c>
      <c r="J392" s="52" t="s">
        <v>952</v>
      </c>
    </row>
    <row r="393" spans="1:10" x14ac:dyDescent="0.25">
      <c r="A393" s="49" t="s">
        <v>118</v>
      </c>
      <c r="B393" s="48">
        <v>23</v>
      </c>
    </row>
    <row r="394" spans="1:10" x14ac:dyDescent="0.25">
      <c r="A394" s="49" t="s">
        <v>119</v>
      </c>
      <c r="B394" s="48">
        <v>24</v>
      </c>
    </row>
    <row r="395" spans="1:10" s="50" customFormat="1" x14ac:dyDescent="0.25">
      <c r="A395" s="50" t="s">
        <v>125</v>
      </c>
      <c r="B395" s="56">
        <v>25</v>
      </c>
      <c r="C395" s="60">
        <f>35000*G395</f>
        <v>616000</v>
      </c>
      <c r="D395" s="61" t="s">
        <v>2157</v>
      </c>
      <c r="E395" s="61" t="s">
        <v>2257</v>
      </c>
      <c r="F395" s="61" t="s">
        <v>1320</v>
      </c>
      <c r="G395" s="60">
        <v>17.600000000000001</v>
      </c>
      <c r="H395" s="61">
        <v>33.81</v>
      </c>
      <c r="I395" s="63">
        <v>42485</v>
      </c>
      <c r="J395" s="111" t="s">
        <v>124</v>
      </c>
    </row>
    <row r="396" spans="1:10" x14ac:dyDescent="0.25">
      <c r="A396" t="s">
        <v>125</v>
      </c>
      <c r="B396" s="48">
        <v>25</v>
      </c>
      <c r="C396" s="51">
        <f>641025+29506.56</f>
        <v>670531.56000000006</v>
      </c>
      <c r="D396" s="52" t="s">
        <v>2091</v>
      </c>
      <c r="E396" s="52" t="s">
        <v>2092</v>
      </c>
      <c r="F396" s="52" t="s">
        <v>156</v>
      </c>
      <c r="G396" s="53">
        <v>42485</v>
      </c>
      <c r="H396" s="53" t="s">
        <v>153</v>
      </c>
    </row>
    <row r="397" spans="1:10" x14ac:dyDescent="0.25">
      <c r="A397" t="s">
        <v>125</v>
      </c>
      <c r="B397" s="48">
        <v>25</v>
      </c>
      <c r="C397" s="51">
        <f>345600+66774.75</f>
        <v>412374.75</v>
      </c>
      <c r="D397" s="52" t="s">
        <v>2093</v>
      </c>
      <c r="E397" s="52" t="s">
        <v>2094</v>
      </c>
      <c r="F397" s="52" t="s">
        <v>156</v>
      </c>
      <c r="G397" s="53">
        <v>42485</v>
      </c>
      <c r="H397" s="53" t="s">
        <v>153</v>
      </c>
    </row>
    <row r="398" spans="1:10" x14ac:dyDescent="0.25">
      <c r="A398" t="s">
        <v>125</v>
      </c>
      <c r="B398" s="48">
        <v>25</v>
      </c>
      <c r="C398" s="51">
        <v>609187.5</v>
      </c>
      <c r="D398" s="52" t="s">
        <v>2095</v>
      </c>
      <c r="E398" s="52" t="s">
        <v>2006</v>
      </c>
      <c r="F398" s="52" t="s">
        <v>156</v>
      </c>
      <c r="G398" s="53">
        <v>42486</v>
      </c>
      <c r="H398" s="53" t="s">
        <v>153</v>
      </c>
    </row>
    <row r="399" spans="1:10" x14ac:dyDescent="0.25">
      <c r="A399" t="s">
        <v>125</v>
      </c>
      <c r="B399" s="48">
        <v>25</v>
      </c>
      <c r="C399" s="51">
        <v>625950</v>
      </c>
      <c r="D399" s="52" t="s">
        <v>2096</v>
      </c>
      <c r="E399" s="52" t="s">
        <v>2021</v>
      </c>
      <c r="F399" s="52" t="s">
        <v>156</v>
      </c>
      <c r="G399" s="53">
        <v>42487</v>
      </c>
      <c r="H399" s="53" t="s">
        <v>153</v>
      </c>
    </row>
    <row r="400" spans="1:10" x14ac:dyDescent="0.25">
      <c r="A400" t="s">
        <v>128</v>
      </c>
      <c r="B400" s="48">
        <v>26</v>
      </c>
    </row>
    <row r="401" spans="1:10" x14ac:dyDescent="0.25">
      <c r="A401" t="s">
        <v>120</v>
      </c>
      <c r="B401" s="48">
        <v>27</v>
      </c>
      <c r="C401" s="60">
        <f>38000*G401</f>
        <v>664164.00000000012</v>
      </c>
      <c r="D401" s="61" t="s">
        <v>2173</v>
      </c>
      <c r="E401" s="61" t="s">
        <v>2258</v>
      </c>
      <c r="F401" s="61" t="s">
        <v>2162</v>
      </c>
      <c r="G401" s="62">
        <v>17.478000000000002</v>
      </c>
      <c r="H401" s="61">
        <v>33.630000000000003</v>
      </c>
      <c r="I401" s="63">
        <v>42487</v>
      </c>
      <c r="J401" s="111" t="s">
        <v>124</v>
      </c>
    </row>
    <row r="402" spans="1:10" x14ac:dyDescent="0.25">
      <c r="A402" t="s">
        <v>120</v>
      </c>
      <c r="B402" s="48">
        <v>27</v>
      </c>
      <c r="C402" s="60">
        <f>38000*G402</f>
        <v>664164.00000000012</v>
      </c>
      <c r="D402" s="61" t="s">
        <v>2172</v>
      </c>
      <c r="E402" s="61"/>
      <c r="F402" s="61" t="s">
        <v>2162</v>
      </c>
      <c r="G402" s="62">
        <v>17.478000000000002</v>
      </c>
      <c r="H402" s="61"/>
      <c r="I402" s="63">
        <v>42487</v>
      </c>
      <c r="J402" s="111" t="s">
        <v>124</v>
      </c>
    </row>
    <row r="403" spans="1:10" x14ac:dyDescent="0.25">
      <c r="A403" t="s">
        <v>120</v>
      </c>
      <c r="B403" s="48">
        <v>27</v>
      </c>
      <c r="C403" s="51">
        <v>681412.5</v>
      </c>
      <c r="D403" s="52" t="s">
        <v>2097</v>
      </c>
      <c r="E403" s="52" t="s">
        <v>2024</v>
      </c>
      <c r="F403" s="52" t="s">
        <v>156</v>
      </c>
      <c r="G403" s="53">
        <v>42488</v>
      </c>
      <c r="H403" s="53" t="s">
        <v>153</v>
      </c>
    </row>
    <row r="404" spans="1:10" x14ac:dyDescent="0.25">
      <c r="A404" t="s">
        <v>120</v>
      </c>
      <c r="B404" s="48">
        <v>27</v>
      </c>
      <c r="C404" s="51">
        <v>731925</v>
      </c>
      <c r="D404" s="52" t="s">
        <v>2026</v>
      </c>
      <c r="E404" s="52" t="s">
        <v>2025</v>
      </c>
      <c r="F404" s="52" t="s">
        <v>156</v>
      </c>
      <c r="G404" s="53">
        <v>42489</v>
      </c>
      <c r="H404" s="53" t="s">
        <v>153</v>
      </c>
    </row>
    <row r="405" spans="1:10" x14ac:dyDescent="0.25">
      <c r="A405" s="50" t="s">
        <v>120</v>
      </c>
      <c r="B405" s="48">
        <v>27</v>
      </c>
      <c r="C405" s="51">
        <f>30033.54*G405</f>
        <v>543547.00691999996</v>
      </c>
      <c r="D405" s="52" t="s">
        <v>2191</v>
      </c>
      <c r="E405" s="52" t="s">
        <v>2192</v>
      </c>
      <c r="F405" s="52" t="s">
        <v>2193</v>
      </c>
      <c r="G405" s="70">
        <v>18.097999999999999</v>
      </c>
      <c r="H405" s="52">
        <v>30.39</v>
      </c>
      <c r="I405" s="53">
        <v>42500</v>
      </c>
      <c r="J405" s="118" t="s">
        <v>124</v>
      </c>
    </row>
    <row r="406" spans="1:10" x14ac:dyDescent="0.25">
      <c r="A406" t="s">
        <v>1833</v>
      </c>
      <c r="B406" s="48">
        <v>28</v>
      </c>
      <c r="C406" s="51">
        <f>288900+393412.5</f>
        <v>682312.5</v>
      </c>
      <c r="D406" s="52" t="s">
        <v>2098</v>
      </c>
      <c r="E406" s="52" t="s">
        <v>2099</v>
      </c>
      <c r="F406" s="52" t="s">
        <v>156</v>
      </c>
      <c r="G406" s="144" t="s">
        <v>2310</v>
      </c>
      <c r="H406" s="52"/>
      <c r="I406" s="52"/>
      <c r="J406" s="53" t="s">
        <v>153</v>
      </c>
    </row>
    <row r="407" spans="1:10" x14ac:dyDescent="0.25">
      <c r="A407" t="s">
        <v>186</v>
      </c>
      <c r="B407" s="48">
        <v>28</v>
      </c>
      <c r="C407" s="60">
        <f t="shared" ref="C407:C411" si="15">38000*G407</f>
        <v>661200</v>
      </c>
      <c r="D407" s="61" t="s">
        <v>2203</v>
      </c>
      <c r="E407" s="61" t="s">
        <v>2342</v>
      </c>
      <c r="F407" s="61" t="s">
        <v>2162</v>
      </c>
      <c r="G407" s="60">
        <v>17.399999999999999</v>
      </c>
      <c r="H407" s="61">
        <v>33.15</v>
      </c>
      <c r="I407" s="63">
        <v>42488</v>
      </c>
      <c r="J407" s="111" t="s">
        <v>124</v>
      </c>
    </row>
    <row r="408" spans="1:10" x14ac:dyDescent="0.25">
      <c r="A408" t="s">
        <v>186</v>
      </c>
      <c r="B408" s="48">
        <v>28</v>
      </c>
      <c r="C408" s="60">
        <f t="shared" si="15"/>
        <v>661200</v>
      </c>
      <c r="D408" s="61" t="s">
        <v>2204</v>
      </c>
      <c r="E408" s="61" t="s">
        <v>2341</v>
      </c>
      <c r="F408" s="61" t="s">
        <v>2162</v>
      </c>
      <c r="G408" s="60">
        <v>17.399999999999999</v>
      </c>
      <c r="H408" s="61">
        <v>33.159999999999997</v>
      </c>
      <c r="I408" s="63">
        <v>42488</v>
      </c>
      <c r="J408" s="111" t="s">
        <v>124</v>
      </c>
    </row>
    <row r="409" spans="1:10" x14ac:dyDescent="0.25">
      <c r="A409" t="s">
        <v>117</v>
      </c>
      <c r="B409" s="48">
        <v>29</v>
      </c>
      <c r="C409" s="60">
        <f t="shared" si="15"/>
        <v>655880.00000000012</v>
      </c>
      <c r="D409" s="61" t="s">
        <v>2202</v>
      </c>
      <c r="E409" s="61" t="s">
        <v>2344</v>
      </c>
      <c r="F409" s="61" t="s">
        <v>2162</v>
      </c>
      <c r="G409" s="60">
        <v>17.260000000000002</v>
      </c>
      <c r="H409" s="61">
        <v>32.369999999999997</v>
      </c>
      <c r="I409" s="63">
        <v>42489</v>
      </c>
      <c r="J409" s="61" t="s">
        <v>952</v>
      </c>
    </row>
    <row r="410" spans="1:10" x14ac:dyDescent="0.25">
      <c r="A410" t="s">
        <v>117</v>
      </c>
      <c r="B410" s="48">
        <v>29</v>
      </c>
      <c r="C410" s="60">
        <f t="shared" ref="C410" si="16">38000*G410</f>
        <v>651320</v>
      </c>
      <c r="D410" s="61" t="s">
        <v>2229</v>
      </c>
      <c r="E410" s="61" t="s">
        <v>2345</v>
      </c>
      <c r="F410" s="61" t="s">
        <v>2162</v>
      </c>
      <c r="G410" s="60">
        <v>17.14</v>
      </c>
      <c r="H410" s="61">
        <v>32.299999999999997</v>
      </c>
      <c r="I410" s="63">
        <v>42489</v>
      </c>
      <c r="J410" s="61" t="s">
        <v>952</v>
      </c>
    </row>
    <row r="411" spans="1:10" x14ac:dyDescent="0.25">
      <c r="A411" t="s">
        <v>117</v>
      </c>
      <c r="B411" s="48">
        <v>29</v>
      </c>
      <c r="C411" s="60">
        <f t="shared" si="15"/>
        <v>655880.00000000012</v>
      </c>
      <c r="D411" s="61" t="s">
        <v>2205</v>
      </c>
      <c r="E411" s="61" t="s">
        <v>2343</v>
      </c>
      <c r="F411" s="61" t="s">
        <v>2162</v>
      </c>
      <c r="G411" s="60">
        <v>17.260000000000002</v>
      </c>
      <c r="H411" s="61">
        <v>32.49</v>
      </c>
      <c r="I411" s="63">
        <v>42489</v>
      </c>
      <c r="J411" s="111" t="s">
        <v>124</v>
      </c>
    </row>
    <row r="412" spans="1:10" x14ac:dyDescent="0.25">
      <c r="A412" s="50" t="s">
        <v>117</v>
      </c>
      <c r="B412" s="48">
        <v>29</v>
      </c>
      <c r="C412" s="51">
        <v>593605.54</v>
      </c>
      <c r="D412" s="52" t="s">
        <v>2182</v>
      </c>
      <c r="E412" s="52" t="s">
        <v>2180</v>
      </c>
      <c r="F412" s="52" t="s">
        <v>2183</v>
      </c>
      <c r="G412" s="53">
        <v>42510</v>
      </c>
      <c r="H412" s="118" t="s">
        <v>124</v>
      </c>
    </row>
    <row r="413" spans="1:10" x14ac:dyDescent="0.25">
      <c r="A413" t="s">
        <v>117</v>
      </c>
      <c r="B413" s="48">
        <v>29</v>
      </c>
      <c r="C413" s="51">
        <f>31165.9*G413</f>
        <v>564040.45819999999</v>
      </c>
      <c r="D413" s="52" t="s">
        <v>2194</v>
      </c>
      <c r="E413" s="52" t="s">
        <v>2196</v>
      </c>
      <c r="F413" s="52" t="s">
        <v>2195</v>
      </c>
      <c r="G413" s="70">
        <v>18.097999999999999</v>
      </c>
      <c r="H413" s="118" t="s">
        <v>124</v>
      </c>
      <c r="I413" s="53">
        <v>42500</v>
      </c>
      <c r="J413" s="52" t="s">
        <v>952</v>
      </c>
    </row>
    <row r="414" spans="1:10" x14ac:dyDescent="0.25">
      <c r="A414" t="s">
        <v>117</v>
      </c>
      <c r="B414" s="48">
        <v>29</v>
      </c>
      <c r="C414" s="51">
        <f>34514.27*G414</f>
        <v>624639.25845999992</v>
      </c>
      <c r="D414" s="52" t="s">
        <v>2184</v>
      </c>
      <c r="E414" s="52" t="s">
        <v>2185</v>
      </c>
      <c r="F414" s="52" t="s">
        <v>2186</v>
      </c>
      <c r="G414" s="70">
        <v>18.097999999999999</v>
      </c>
      <c r="H414" s="118" t="s">
        <v>124</v>
      </c>
      <c r="I414" s="53">
        <v>42500</v>
      </c>
      <c r="J414" s="52" t="s">
        <v>952</v>
      </c>
    </row>
    <row r="415" spans="1:10" s="50" customFormat="1" x14ac:dyDescent="0.25">
      <c r="A415" s="50" t="s">
        <v>117</v>
      </c>
      <c r="B415" s="56">
        <v>29</v>
      </c>
      <c r="C415" s="51">
        <v>28608.35</v>
      </c>
      <c r="D415" s="52" t="s">
        <v>2189</v>
      </c>
      <c r="E415" s="52" t="s">
        <v>2188</v>
      </c>
      <c r="F415" s="52" t="s">
        <v>2190</v>
      </c>
      <c r="G415" s="57">
        <v>42489</v>
      </c>
      <c r="H415" s="118" t="s">
        <v>124</v>
      </c>
    </row>
    <row r="416" spans="1:10" x14ac:dyDescent="0.25">
      <c r="A416" s="49" t="s">
        <v>118</v>
      </c>
      <c r="B416" s="48">
        <v>30</v>
      </c>
      <c r="C416" s="37"/>
      <c r="D416" s="50"/>
      <c r="E416" s="50"/>
      <c r="F416" s="50"/>
      <c r="H416" s="94"/>
    </row>
    <row r="417" spans="1:10" x14ac:dyDescent="0.25">
      <c r="A417" s="47" t="s">
        <v>2100</v>
      </c>
      <c r="H417" s="94"/>
    </row>
    <row r="418" spans="1:10" x14ac:dyDescent="0.25">
      <c r="A418" s="49" t="s">
        <v>119</v>
      </c>
      <c r="B418" s="48">
        <v>1</v>
      </c>
      <c r="H418" s="94"/>
    </row>
    <row r="419" spans="1:10" s="50" customFormat="1" x14ac:dyDescent="0.25">
      <c r="A419" s="50" t="s">
        <v>125</v>
      </c>
      <c r="B419" s="56">
        <v>2</v>
      </c>
      <c r="C419" s="60">
        <f>37000*G419</f>
        <v>638065</v>
      </c>
      <c r="D419" s="61" t="s">
        <v>2274</v>
      </c>
      <c r="E419" s="61" t="s">
        <v>2396</v>
      </c>
      <c r="F419" s="61" t="s">
        <v>2275</v>
      </c>
      <c r="G419" s="62">
        <v>17.245000000000001</v>
      </c>
      <c r="H419" s="111">
        <v>30.55</v>
      </c>
      <c r="I419" s="63">
        <v>42492</v>
      </c>
      <c r="J419" s="111" t="s">
        <v>124</v>
      </c>
    </row>
    <row r="420" spans="1:10" x14ac:dyDescent="0.25">
      <c r="A420" t="s">
        <v>125</v>
      </c>
      <c r="B420" s="48">
        <v>2</v>
      </c>
      <c r="C420" s="51">
        <f>650210+30336-2520.11</f>
        <v>678025.89</v>
      </c>
      <c r="D420" s="52" t="s">
        <v>2213</v>
      </c>
      <c r="E420" s="52" t="s">
        <v>2214</v>
      </c>
      <c r="F420" s="52" t="s">
        <v>156</v>
      </c>
      <c r="G420" s="53">
        <v>42493</v>
      </c>
      <c r="H420" s="118" t="s">
        <v>124</v>
      </c>
    </row>
    <row r="421" spans="1:10" x14ac:dyDescent="0.25">
      <c r="A421" t="s">
        <v>125</v>
      </c>
      <c r="B421" s="48">
        <v>2</v>
      </c>
      <c r="C421" s="51">
        <f>687355-2706.18</f>
        <v>684648.82</v>
      </c>
      <c r="D421" s="52" t="s">
        <v>2215</v>
      </c>
      <c r="E421" s="52" t="s">
        <v>2130</v>
      </c>
      <c r="F421" s="52" t="s">
        <v>156</v>
      </c>
      <c r="G421" s="53">
        <v>42493</v>
      </c>
      <c r="H421" s="118" t="s">
        <v>124</v>
      </c>
    </row>
    <row r="422" spans="1:10" x14ac:dyDescent="0.25">
      <c r="A422" t="s">
        <v>125</v>
      </c>
      <c r="B422" s="48">
        <v>2</v>
      </c>
      <c r="C422" s="51">
        <f>655155+14812.53</f>
        <v>669967.53</v>
      </c>
      <c r="D422" s="52" t="s">
        <v>2217</v>
      </c>
      <c r="E422" s="52" t="s">
        <v>2218</v>
      </c>
      <c r="F422" s="52" t="s">
        <v>156</v>
      </c>
      <c r="G422" s="53">
        <v>42494</v>
      </c>
      <c r="H422" s="118" t="s">
        <v>124</v>
      </c>
    </row>
    <row r="423" spans="1:10" x14ac:dyDescent="0.25">
      <c r="A423" t="s">
        <v>128</v>
      </c>
      <c r="B423" s="48">
        <v>3</v>
      </c>
      <c r="H423" s="94"/>
    </row>
    <row r="424" spans="1:10" x14ac:dyDescent="0.25">
      <c r="A424" t="s">
        <v>120</v>
      </c>
      <c r="B424" s="48">
        <v>4</v>
      </c>
      <c r="C424" s="60">
        <f>30000*G424</f>
        <v>533250</v>
      </c>
      <c r="D424" s="61" t="s">
        <v>2314</v>
      </c>
      <c r="E424" s="61" t="s">
        <v>2394</v>
      </c>
      <c r="F424" s="61" t="s">
        <v>901</v>
      </c>
      <c r="G424" s="61">
        <v>17.774999999999999</v>
      </c>
      <c r="H424" s="111">
        <v>33.549999999999997</v>
      </c>
      <c r="I424" s="63">
        <v>42494</v>
      </c>
      <c r="J424" s="111" t="s">
        <v>124</v>
      </c>
    </row>
    <row r="425" spans="1:10" x14ac:dyDescent="0.25">
      <c r="A425" t="s">
        <v>120</v>
      </c>
      <c r="B425" s="48">
        <v>4</v>
      </c>
      <c r="C425" s="60">
        <f>32000*G425</f>
        <v>568800</v>
      </c>
      <c r="D425" s="61" t="s">
        <v>2315</v>
      </c>
      <c r="E425" s="61" t="s">
        <v>2395</v>
      </c>
      <c r="F425" s="61" t="s">
        <v>1048</v>
      </c>
      <c r="G425" s="61">
        <v>17.774999999999999</v>
      </c>
      <c r="H425" s="111">
        <v>32.549999999999997</v>
      </c>
      <c r="I425" s="63">
        <v>42494</v>
      </c>
      <c r="J425" s="111" t="s">
        <v>124</v>
      </c>
    </row>
    <row r="426" spans="1:10" s="50" customFormat="1" x14ac:dyDescent="0.25">
      <c r="A426" t="s">
        <v>120</v>
      </c>
      <c r="B426" s="48">
        <v>4</v>
      </c>
      <c r="C426" s="51">
        <f>631925+14812.53</f>
        <v>646737.53</v>
      </c>
      <c r="D426" s="52" t="s">
        <v>2237</v>
      </c>
      <c r="E426" s="52" t="s">
        <v>2238</v>
      </c>
      <c r="F426" s="52" t="s">
        <v>156</v>
      </c>
      <c r="G426" s="57">
        <v>42495</v>
      </c>
      <c r="H426" s="118" t="s">
        <v>124</v>
      </c>
    </row>
    <row r="427" spans="1:10" s="50" customFormat="1" x14ac:dyDescent="0.25">
      <c r="A427" t="s">
        <v>120</v>
      </c>
      <c r="B427" s="48">
        <v>4</v>
      </c>
      <c r="C427" s="51">
        <f>216775+4740</f>
        <v>221515</v>
      </c>
      <c r="D427" s="52" t="s">
        <v>2240</v>
      </c>
      <c r="E427" s="52" t="s">
        <v>2239</v>
      </c>
      <c r="F427" s="52" t="s">
        <v>156</v>
      </c>
      <c r="G427" s="57">
        <v>42495</v>
      </c>
      <c r="H427" s="118" t="s">
        <v>124</v>
      </c>
    </row>
    <row r="428" spans="1:10" s="50" customFormat="1" x14ac:dyDescent="0.25">
      <c r="A428" t="s">
        <v>1833</v>
      </c>
      <c r="B428" s="48">
        <v>5</v>
      </c>
      <c r="C428" s="51">
        <v>657225</v>
      </c>
      <c r="D428" s="52" t="s">
        <v>2241</v>
      </c>
      <c r="E428" s="52" t="s">
        <v>78</v>
      </c>
      <c r="F428" s="52" t="s">
        <v>156</v>
      </c>
      <c r="G428" s="57">
        <v>42499</v>
      </c>
      <c r="H428" s="118" t="s">
        <v>124</v>
      </c>
    </row>
    <row r="429" spans="1:10" s="50" customFormat="1" x14ac:dyDescent="0.25">
      <c r="A429" t="s">
        <v>1833</v>
      </c>
      <c r="B429" s="48">
        <v>5</v>
      </c>
      <c r="C429" s="51">
        <f>338675+22515.08</f>
        <v>361190.08</v>
      </c>
      <c r="D429" s="52" t="s">
        <v>2241</v>
      </c>
      <c r="E429" s="52" t="s">
        <v>2242</v>
      </c>
      <c r="F429" s="52" t="s">
        <v>156</v>
      </c>
      <c r="G429" s="57">
        <v>42499</v>
      </c>
      <c r="H429" s="118" t="s">
        <v>124</v>
      </c>
    </row>
    <row r="430" spans="1:10" x14ac:dyDescent="0.25">
      <c r="A430" t="s">
        <v>1833</v>
      </c>
      <c r="B430" s="48">
        <v>5</v>
      </c>
      <c r="C430" s="60">
        <f>32000*G430</f>
        <v>576000</v>
      </c>
      <c r="D430" s="61" t="s">
        <v>2316</v>
      </c>
      <c r="E430" s="61" t="s">
        <v>2392</v>
      </c>
      <c r="F430" s="61" t="s">
        <v>1048</v>
      </c>
      <c r="G430" s="60">
        <v>18</v>
      </c>
      <c r="H430" s="111">
        <v>32.76</v>
      </c>
      <c r="I430" s="63">
        <v>42495</v>
      </c>
      <c r="J430" s="111" t="s">
        <v>124</v>
      </c>
    </row>
    <row r="431" spans="1:10" x14ac:dyDescent="0.25">
      <c r="A431" t="s">
        <v>1833</v>
      </c>
      <c r="B431" s="48">
        <v>5</v>
      </c>
      <c r="C431" s="60">
        <f>32000*G431</f>
        <v>576000</v>
      </c>
      <c r="D431" s="61" t="s">
        <v>2317</v>
      </c>
      <c r="E431" s="61" t="s">
        <v>2393</v>
      </c>
      <c r="F431" s="61" t="s">
        <v>2346</v>
      </c>
      <c r="G431" s="60">
        <v>18</v>
      </c>
      <c r="H431" s="111">
        <v>32.770000000000003</v>
      </c>
      <c r="I431" s="63">
        <v>42495</v>
      </c>
      <c r="J431" s="111" t="s">
        <v>124</v>
      </c>
    </row>
    <row r="432" spans="1:10" x14ac:dyDescent="0.25">
      <c r="A432" t="s">
        <v>117</v>
      </c>
      <c r="B432" s="48">
        <v>6</v>
      </c>
      <c r="C432" s="60">
        <f>33000*G432</f>
        <v>590337</v>
      </c>
      <c r="D432" s="61" t="s">
        <v>2318</v>
      </c>
      <c r="E432" s="61" t="s">
        <v>2397</v>
      </c>
      <c r="F432" s="61" t="s">
        <v>2053</v>
      </c>
      <c r="G432" s="62">
        <v>17.888999999999999</v>
      </c>
      <c r="H432" s="111">
        <v>32.590000000000003</v>
      </c>
      <c r="I432" s="63">
        <v>42496</v>
      </c>
      <c r="J432" s="61" t="s">
        <v>952</v>
      </c>
    </row>
    <row r="433" spans="1:12" x14ac:dyDescent="0.25">
      <c r="A433" t="s">
        <v>117</v>
      </c>
      <c r="B433" s="48">
        <v>6</v>
      </c>
      <c r="C433" s="60">
        <f>33000*G433</f>
        <v>590337</v>
      </c>
      <c r="D433" s="61" t="s">
        <v>2319</v>
      </c>
      <c r="E433" s="61" t="s">
        <v>2398</v>
      </c>
      <c r="F433" s="61" t="s">
        <v>2053</v>
      </c>
      <c r="G433" s="62">
        <v>17.888999999999999</v>
      </c>
      <c r="H433" s="111">
        <v>32.61</v>
      </c>
      <c r="I433" s="63">
        <v>42496</v>
      </c>
      <c r="J433" s="111" t="s">
        <v>124</v>
      </c>
    </row>
    <row r="434" spans="1:12" x14ac:dyDescent="0.25">
      <c r="A434" t="s">
        <v>117</v>
      </c>
      <c r="B434" s="48">
        <v>6</v>
      </c>
      <c r="C434" s="60">
        <f>34000*G434</f>
        <v>608226</v>
      </c>
      <c r="D434" s="61" t="s">
        <v>2320</v>
      </c>
      <c r="E434" s="61" t="s">
        <v>2403</v>
      </c>
      <c r="F434" s="61" t="s">
        <v>2362</v>
      </c>
      <c r="G434" s="62">
        <v>17.888999999999999</v>
      </c>
      <c r="H434" s="111">
        <v>32.700000000000003</v>
      </c>
      <c r="I434" s="63">
        <v>42496</v>
      </c>
      <c r="J434" s="61" t="s">
        <v>952</v>
      </c>
    </row>
    <row r="435" spans="1:12" x14ac:dyDescent="0.25">
      <c r="A435" t="s">
        <v>117</v>
      </c>
      <c r="B435" s="48">
        <v>6</v>
      </c>
      <c r="C435" s="51">
        <v>28958.65</v>
      </c>
      <c r="D435" s="52" t="s">
        <v>2312</v>
      </c>
      <c r="E435" s="52" t="s">
        <v>2311</v>
      </c>
      <c r="F435" s="52" t="s">
        <v>2313</v>
      </c>
      <c r="G435" s="53">
        <v>42501</v>
      </c>
      <c r="H435" s="118" t="s">
        <v>124</v>
      </c>
      <c r="I435" s="50"/>
      <c r="J435" s="50"/>
    </row>
    <row r="436" spans="1:12" x14ac:dyDescent="0.25">
      <c r="A436" t="s">
        <v>117</v>
      </c>
      <c r="B436" s="56">
        <v>6</v>
      </c>
      <c r="C436" s="51">
        <f>36958.07*G436</f>
        <v>672156.41908999998</v>
      </c>
      <c r="D436" s="52" t="s">
        <v>2244</v>
      </c>
      <c r="E436" s="52" t="s">
        <v>2243</v>
      </c>
      <c r="F436" s="52" t="s">
        <v>2245</v>
      </c>
      <c r="G436" s="70">
        <v>18.187000000000001</v>
      </c>
      <c r="H436" s="52">
        <v>34.590000000000003</v>
      </c>
      <c r="I436" s="53">
        <v>42506</v>
      </c>
      <c r="J436" s="118" t="s">
        <v>952</v>
      </c>
    </row>
    <row r="437" spans="1:12" x14ac:dyDescent="0.25">
      <c r="A437" s="49" t="s">
        <v>118</v>
      </c>
      <c r="B437" s="48">
        <v>7</v>
      </c>
    </row>
    <row r="438" spans="1:12" x14ac:dyDescent="0.25">
      <c r="A438" s="49" t="s">
        <v>119</v>
      </c>
      <c r="B438" s="48">
        <v>8</v>
      </c>
    </row>
    <row r="439" spans="1:12" s="50" customFormat="1" x14ac:dyDescent="0.25">
      <c r="A439" s="50" t="s">
        <v>125</v>
      </c>
      <c r="B439" s="56">
        <v>9</v>
      </c>
      <c r="C439" s="60">
        <f>33000*G439</f>
        <v>596310</v>
      </c>
      <c r="D439" s="61" t="s">
        <v>2321</v>
      </c>
      <c r="E439" s="61" t="s">
        <v>2441</v>
      </c>
      <c r="F439" s="61" t="s">
        <v>2053</v>
      </c>
      <c r="G439" s="60">
        <v>18.07</v>
      </c>
      <c r="H439" s="61">
        <v>32.590000000000003</v>
      </c>
      <c r="I439" s="63">
        <v>42500</v>
      </c>
      <c r="J439" s="61" t="s">
        <v>952</v>
      </c>
      <c r="K439" s="50" t="s">
        <v>2371</v>
      </c>
    </row>
    <row r="440" spans="1:12" x14ac:dyDescent="0.25">
      <c r="A440" t="s">
        <v>125</v>
      </c>
      <c r="B440" s="48">
        <v>9</v>
      </c>
      <c r="C440" s="51">
        <f>697480+14990.3</f>
        <v>712470.3</v>
      </c>
      <c r="D440" s="52" t="s">
        <v>2263</v>
      </c>
      <c r="E440" s="52" t="s">
        <v>2264</v>
      </c>
      <c r="F440" s="52" t="s">
        <v>156</v>
      </c>
      <c r="G440" s="57">
        <v>42499</v>
      </c>
      <c r="H440" s="53" t="s">
        <v>153</v>
      </c>
    </row>
    <row r="441" spans="1:12" x14ac:dyDescent="0.25">
      <c r="A441" t="s">
        <v>125</v>
      </c>
      <c r="B441" s="48">
        <v>9</v>
      </c>
      <c r="C441" s="51">
        <f>19152.5+44674.42</f>
        <v>63826.92</v>
      </c>
      <c r="D441" s="52" t="s">
        <v>2267</v>
      </c>
      <c r="E441" s="52" t="s">
        <v>2265</v>
      </c>
      <c r="F441" s="52" t="s">
        <v>156</v>
      </c>
      <c r="G441" s="53">
        <v>42496</v>
      </c>
      <c r="H441" s="53" t="s">
        <v>153</v>
      </c>
    </row>
    <row r="442" spans="1:12" x14ac:dyDescent="0.25">
      <c r="A442" t="s">
        <v>125</v>
      </c>
      <c r="B442" s="48">
        <v>9</v>
      </c>
      <c r="C442" s="51">
        <v>662465</v>
      </c>
      <c r="D442" s="52" t="s">
        <v>2268</v>
      </c>
      <c r="E442" s="52" t="s">
        <v>2199</v>
      </c>
      <c r="F442" s="52" t="s">
        <v>156</v>
      </c>
      <c r="G442" s="53">
        <v>42496</v>
      </c>
      <c r="H442" s="53" t="s">
        <v>153</v>
      </c>
    </row>
    <row r="443" spans="1:12" x14ac:dyDescent="0.25">
      <c r="A443" t="s">
        <v>125</v>
      </c>
      <c r="B443" s="48">
        <v>9</v>
      </c>
      <c r="C443" s="51">
        <v>707350</v>
      </c>
      <c r="D443" s="52" t="s">
        <v>2266</v>
      </c>
      <c r="E443" s="52" t="s">
        <v>2210</v>
      </c>
      <c r="F443" s="52" t="s">
        <v>156</v>
      </c>
      <c r="G443" s="53">
        <v>42500</v>
      </c>
      <c r="H443" s="53" t="s">
        <v>153</v>
      </c>
    </row>
    <row r="444" spans="1:12" x14ac:dyDescent="0.25">
      <c r="A444" t="s">
        <v>128</v>
      </c>
      <c r="B444" s="48">
        <v>10</v>
      </c>
      <c r="C444" s="51">
        <v>677740</v>
      </c>
      <c r="D444" s="52" t="s">
        <v>2269</v>
      </c>
      <c r="E444" s="52" t="s">
        <v>2209</v>
      </c>
      <c r="F444" s="52" t="s">
        <v>156</v>
      </c>
      <c r="G444" s="53">
        <v>42501</v>
      </c>
      <c r="H444" s="53" t="s">
        <v>153</v>
      </c>
    </row>
    <row r="445" spans="1:12" x14ac:dyDescent="0.25">
      <c r="A445" t="s">
        <v>128</v>
      </c>
      <c r="B445" s="48">
        <v>10</v>
      </c>
      <c r="C445" s="60">
        <f>18388.5*G445</f>
        <v>330220.68299999996</v>
      </c>
      <c r="D445" s="61" t="s">
        <v>2367</v>
      </c>
      <c r="E445" s="61" t="s">
        <v>2548</v>
      </c>
      <c r="F445" s="61" t="s">
        <v>2368</v>
      </c>
      <c r="G445" s="62">
        <v>17.957999999999998</v>
      </c>
      <c r="H445" s="61">
        <v>19.93</v>
      </c>
      <c r="I445" s="63">
        <v>42501</v>
      </c>
      <c r="J445" s="111" t="s">
        <v>124</v>
      </c>
    </row>
    <row r="446" spans="1:12" s="50" customFormat="1" x14ac:dyDescent="0.25">
      <c r="A446" s="50" t="s">
        <v>128</v>
      </c>
      <c r="B446" s="56">
        <v>10</v>
      </c>
      <c r="C446" s="51">
        <v>135446</v>
      </c>
      <c r="D446" s="52" t="s">
        <v>2419</v>
      </c>
      <c r="E446" s="52" t="s">
        <v>2418</v>
      </c>
      <c r="F446" s="52" t="s">
        <v>2420</v>
      </c>
      <c r="G446" s="70">
        <v>34</v>
      </c>
      <c r="H446" s="53" t="s">
        <v>2803</v>
      </c>
      <c r="I446" s="53"/>
      <c r="J446" s="118"/>
      <c r="K446" s="52"/>
      <c r="L446" s="52"/>
    </row>
    <row r="447" spans="1:12" x14ac:dyDescent="0.25">
      <c r="A447" t="s">
        <v>120</v>
      </c>
      <c r="B447" s="48">
        <v>11</v>
      </c>
      <c r="C447" s="51">
        <v>643665</v>
      </c>
      <c r="D447" s="52" t="s">
        <v>2270</v>
      </c>
      <c r="E447" s="52" t="s">
        <v>2246</v>
      </c>
      <c r="F447" s="52" t="s">
        <v>156</v>
      </c>
      <c r="G447" s="53">
        <v>42506</v>
      </c>
      <c r="H447" s="53" t="s">
        <v>153</v>
      </c>
    </row>
    <row r="448" spans="1:12" x14ac:dyDescent="0.25">
      <c r="A448" t="s">
        <v>120</v>
      </c>
      <c r="B448" s="48">
        <v>11</v>
      </c>
      <c r="C448" s="51">
        <f>355790+37149.72</f>
        <v>392939.72</v>
      </c>
      <c r="D448" s="52" t="s">
        <v>2271</v>
      </c>
      <c r="E448" s="52" t="s">
        <v>2247</v>
      </c>
      <c r="F448" s="52" t="s">
        <v>156</v>
      </c>
      <c r="G448" s="53">
        <v>42502</v>
      </c>
      <c r="H448" s="53" t="s">
        <v>153</v>
      </c>
    </row>
    <row r="449" spans="1:11" x14ac:dyDescent="0.25">
      <c r="A449" t="s">
        <v>120</v>
      </c>
      <c r="B449" s="48">
        <v>11</v>
      </c>
      <c r="C449" s="60">
        <f>33000*G449</f>
        <v>592680</v>
      </c>
      <c r="D449" s="61" t="s">
        <v>2375</v>
      </c>
      <c r="E449" s="61" t="s">
        <v>2551</v>
      </c>
      <c r="F449" s="61" t="s">
        <v>2053</v>
      </c>
      <c r="G449" s="60">
        <v>17.96</v>
      </c>
      <c r="H449" s="61">
        <v>31.32</v>
      </c>
      <c r="I449" s="63">
        <v>42501</v>
      </c>
      <c r="J449" s="61" t="s">
        <v>952</v>
      </c>
      <c r="K449" t="s">
        <v>2440</v>
      </c>
    </row>
    <row r="450" spans="1:11" x14ac:dyDescent="0.25">
      <c r="A450" t="s">
        <v>120</v>
      </c>
      <c r="B450" s="48">
        <v>11</v>
      </c>
      <c r="C450" s="60">
        <f>33000*G450</f>
        <v>592680</v>
      </c>
      <c r="D450" s="61" t="s">
        <v>2376</v>
      </c>
      <c r="E450" s="61" t="s">
        <v>2547</v>
      </c>
      <c r="F450" s="61" t="s">
        <v>2053</v>
      </c>
      <c r="G450" s="60">
        <v>17.96</v>
      </c>
      <c r="H450" s="61">
        <v>32.93</v>
      </c>
      <c r="I450" s="63">
        <v>42501</v>
      </c>
      <c r="J450" s="111" t="s">
        <v>124</v>
      </c>
    </row>
    <row r="451" spans="1:11" s="50" customFormat="1" x14ac:dyDescent="0.25">
      <c r="A451" s="50" t="s">
        <v>120</v>
      </c>
      <c r="B451" s="56">
        <v>11</v>
      </c>
      <c r="C451" s="51">
        <v>70420</v>
      </c>
      <c r="D451" s="52" t="s">
        <v>2423</v>
      </c>
      <c r="E451" s="52" t="s">
        <v>2422</v>
      </c>
      <c r="F451" s="52" t="s">
        <v>947</v>
      </c>
      <c r="G451" s="57">
        <v>42506</v>
      </c>
      <c r="H451" s="52" t="s">
        <v>952</v>
      </c>
      <c r="I451" s="58"/>
      <c r="J451" s="94"/>
    </row>
    <row r="452" spans="1:11" x14ac:dyDescent="0.25">
      <c r="A452" t="s">
        <v>186</v>
      </c>
      <c r="B452" s="48">
        <v>12</v>
      </c>
      <c r="C452" s="51">
        <f>775735+14456.97</f>
        <v>790191.97</v>
      </c>
      <c r="D452" s="52" t="s">
        <v>2272</v>
      </c>
      <c r="E452" s="52" t="s">
        <v>2259</v>
      </c>
      <c r="F452" s="52" t="s">
        <v>156</v>
      </c>
      <c r="G452" s="53">
        <v>42506</v>
      </c>
      <c r="H452" s="53" t="s">
        <v>153</v>
      </c>
    </row>
    <row r="453" spans="1:11" x14ac:dyDescent="0.25">
      <c r="A453" t="s">
        <v>1833</v>
      </c>
      <c r="B453" s="48">
        <v>12</v>
      </c>
      <c r="C453" s="51">
        <v>701122.5</v>
      </c>
      <c r="D453" s="52" t="s">
        <v>2273</v>
      </c>
      <c r="E453" s="52" t="s">
        <v>2260</v>
      </c>
      <c r="F453" s="52" t="s">
        <v>156</v>
      </c>
      <c r="G453" s="53">
        <v>42506</v>
      </c>
      <c r="H453" s="53" t="s">
        <v>153</v>
      </c>
    </row>
    <row r="454" spans="1:11" x14ac:dyDescent="0.25">
      <c r="A454" t="s">
        <v>1833</v>
      </c>
      <c r="B454" s="48">
        <v>12</v>
      </c>
      <c r="C454" s="60">
        <f>33000*G454</f>
        <v>593010</v>
      </c>
      <c r="D454" s="61" t="s">
        <v>2390</v>
      </c>
      <c r="E454" s="61" t="s">
        <v>2552</v>
      </c>
      <c r="F454" s="61" t="s">
        <v>2053</v>
      </c>
      <c r="G454" s="60">
        <v>17.97</v>
      </c>
      <c r="H454" s="61">
        <v>31.38</v>
      </c>
      <c r="I454" s="63">
        <v>42502</v>
      </c>
      <c r="J454" s="111" t="s">
        <v>124</v>
      </c>
    </row>
    <row r="455" spans="1:11" x14ac:dyDescent="0.25">
      <c r="A455" t="s">
        <v>1833</v>
      </c>
      <c r="B455" s="48">
        <v>12</v>
      </c>
      <c r="C455" s="60">
        <f>33000*G455</f>
        <v>594330</v>
      </c>
      <c r="D455" s="61" t="s">
        <v>2391</v>
      </c>
      <c r="E455" s="61" t="s">
        <v>2553</v>
      </c>
      <c r="F455" s="61" t="s">
        <v>2053</v>
      </c>
      <c r="G455" s="60">
        <v>18.010000000000002</v>
      </c>
      <c r="H455" s="61">
        <v>31.37</v>
      </c>
      <c r="I455" s="63">
        <v>42502</v>
      </c>
      <c r="J455" s="111" t="s">
        <v>124</v>
      </c>
    </row>
    <row r="456" spans="1:11" x14ac:dyDescent="0.25">
      <c r="A456" t="s">
        <v>117</v>
      </c>
      <c r="B456" s="48">
        <v>13</v>
      </c>
      <c r="C456" s="60">
        <f t="shared" ref="C456:C458" si="17">33000*G456</f>
        <v>599940</v>
      </c>
      <c r="D456" s="61" t="s">
        <v>2399</v>
      </c>
      <c r="E456" s="61" t="s">
        <v>2586</v>
      </c>
      <c r="F456" s="61" t="s">
        <v>2053</v>
      </c>
      <c r="G456" s="60">
        <v>18.18</v>
      </c>
      <c r="H456" s="61">
        <v>31.7</v>
      </c>
      <c r="I456" s="63">
        <v>42503</v>
      </c>
      <c r="J456" s="111" t="s">
        <v>124</v>
      </c>
    </row>
    <row r="457" spans="1:11" x14ac:dyDescent="0.25">
      <c r="A457" t="s">
        <v>117</v>
      </c>
      <c r="B457" s="48">
        <v>13</v>
      </c>
      <c r="C457" s="60">
        <f t="shared" si="17"/>
        <v>599940</v>
      </c>
      <c r="D457" s="61" t="s">
        <v>2400</v>
      </c>
      <c r="E457" s="61" t="s">
        <v>2587</v>
      </c>
      <c r="F457" s="61" t="s">
        <v>2053</v>
      </c>
      <c r="G457" s="60">
        <v>18.18</v>
      </c>
      <c r="H457" s="61">
        <v>31.63</v>
      </c>
      <c r="I457" s="63">
        <v>42503</v>
      </c>
      <c r="J457" s="111" t="s">
        <v>124</v>
      </c>
    </row>
    <row r="458" spans="1:11" x14ac:dyDescent="0.25">
      <c r="A458" t="s">
        <v>117</v>
      </c>
      <c r="B458" s="48">
        <v>13</v>
      </c>
      <c r="C458" s="60">
        <f t="shared" si="17"/>
        <v>599940</v>
      </c>
      <c r="D458" s="61" t="s">
        <v>2401</v>
      </c>
      <c r="E458" s="61" t="s">
        <v>2607</v>
      </c>
      <c r="F458" s="61" t="s">
        <v>2053</v>
      </c>
      <c r="G458" s="60">
        <v>18.18</v>
      </c>
      <c r="H458" s="61">
        <v>31.75</v>
      </c>
      <c r="I458" s="63">
        <v>42503</v>
      </c>
      <c r="J458" s="111" t="s">
        <v>124</v>
      </c>
    </row>
    <row r="459" spans="1:11" x14ac:dyDescent="0.25">
      <c r="A459" t="s">
        <v>117</v>
      </c>
      <c r="B459" s="48">
        <v>13</v>
      </c>
      <c r="C459" s="51">
        <v>28473.5</v>
      </c>
      <c r="D459" s="52" t="s">
        <v>2425</v>
      </c>
      <c r="E459" s="52" t="s">
        <v>2424</v>
      </c>
      <c r="F459" s="52" t="s">
        <v>2426</v>
      </c>
      <c r="G459" s="57">
        <v>42506</v>
      </c>
      <c r="H459" s="52" t="s">
        <v>952</v>
      </c>
      <c r="I459" s="50"/>
      <c r="J459" s="50"/>
    </row>
    <row r="460" spans="1:11" x14ac:dyDescent="0.25">
      <c r="A460" s="49" t="s">
        <v>118</v>
      </c>
      <c r="B460" s="48">
        <v>14</v>
      </c>
    </row>
    <row r="461" spans="1:11" x14ac:dyDescent="0.25">
      <c r="A461" s="49" t="s">
        <v>119</v>
      </c>
      <c r="B461" s="48">
        <v>15</v>
      </c>
    </row>
    <row r="462" spans="1:11" s="50" customFormat="1" x14ac:dyDescent="0.25">
      <c r="A462" s="50" t="s">
        <v>125</v>
      </c>
      <c r="B462" s="56">
        <v>16</v>
      </c>
      <c r="C462" s="60">
        <f>32000*G462</f>
        <v>582400</v>
      </c>
      <c r="D462" s="61" t="s">
        <v>2481</v>
      </c>
      <c r="E462" s="61" t="s">
        <v>2606</v>
      </c>
      <c r="F462" s="61" t="s">
        <v>1048</v>
      </c>
      <c r="G462" s="60">
        <v>18.2</v>
      </c>
      <c r="H462" s="61">
        <v>32.67</v>
      </c>
      <c r="I462" s="63">
        <v>42506</v>
      </c>
      <c r="J462" s="111" t="s">
        <v>124</v>
      </c>
    </row>
    <row r="463" spans="1:11" x14ac:dyDescent="0.25">
      <c r="A463" s="50" t="s">
        <v>125</v>
      </c>
      <c r="B463" s="48">
        <v>16</v>
      </c>
      <c r="C463" s="51">
        <v>335234.61</v>
      </c>
      <c r="D463" s="52" t="s">
        <v>2432</v>
      </c>
      <c r="E463" s="52" t="s">
        <v>2431</v>
      </c>
      <c r="F463" s="52" t="s">
        <v>2433</v>
      </c>
      <c r="G463" s="53">
        <v>42513</v>
      </c>
      <c r="H463" s="52" t="s">
        <v>952</v>
      </c>
    </row>
    <row r="464" spans="1:11" x14ac:dyDescent="0.25">
      <c r="A464" t="s">
        <v>125</v>
      </c>
      <c r="B464" s="48">
        <v>16</v>
      </c>
      <c r="C464" s="51">
        <f>32840.82*G464</f>
        <v>597275.99334000004</v>
      </c>
      <c r="D464" s="52" t="s">
        <v>2452</v>
      </c>
      <c r="E464" s="52" t="s">
        <v>2442</v>
      </c>
      <c r="F464" s="52" t="s">
        <v>2443</v>
      </c>
      <c r="G464" s="70">
        <v>18.187000000000001</v>
      </c>
      <c r="H464" s="52">
        <v>34.549999999999997</v>
      </c>
      <c r="I464" s="53">
        <v>42506</v>
      </c>
      <c r="J464" s="118" t="s">
        <v>124</v>
      </c>
    </row>
    <row r="465" spans="1:10" s="50" customFormat="1" x14ac:dyDescent="0.25">
      <c r="A465" t="s">
        <v>125</v>
      </c>
      <c r="B465" s="48">
        <v>16</v>
      </c>
      <c r="C465" s="51">
        <f>752040+15227.25-8778.96</f>
        <v>758488.29</v>
      </c>
      <c r="D465" s="52" t="s">
        <v>2491</v>
      </c>
      <c r="E465" s="52" t="s">
        <v>2492</v>
      </c>
      <c r="F465" s="52" t="s">
        <v>156</v>
      </c>
      <c r="G465" s="80" t="s">
        <v>2493</v>
      </c>
      <c r="H465" s="53">
        <v>42507</v>
      </c>
      <c r="I465" s="53" t="s">
        <v>153</v>
      </c>
    </row>
    <row r="466" spans="1:10" s="50" customFormat="1" x14ac:dyDescent="0.25">
      <c r="A466" t="s">
        <v>125</v>
      </c>
      <c r="B466" s="48">
        <v>16</v>
      </c>
      <c r="C466" s="51">
        <f>680040+14634.75-2753.28</f>
        <v>691921.47</v>
      </c>
      <c r="D466" s="52" t="s">
        <v>2494</v>
      </c>
      <c r="E466" s="52" t="s">
        <v>2495</v>
      </c>
      <c r="F466" s="52" t="s">
        <v>156</v>
      </c>
      <c r="G466" s="57">
        <v>42509</v>
      </c>
      <c r="H466" s="53" t="s">
        <v>153</v>
      </c>
    </row>
    <row r="467" spans="1:10" s="50" customFormat="1" x14ac:dyDescent="0.25">
      <c r="A467" t="s">
        <v>125</v>
      </c>
      <c r="B467" s="48">
        <v>16</v>
      </c>
      <c r="C467" s="51">
        <f>709560+14812.5</f>
        <v>724372.5</v>
      </c>
      <c r="D467" s="52" t="s">
        <v>2496</v>
      </c>
      <c r="E467" s="52" t="s">
        <v>2497</v>
      </c>
      <c r="F467" s="52" t="s">
        <v>156</v>
      </c>
      <c r="G467" s="57">
        <v>42510</v>
      </c>
      <c r="H467" s="53" t="s">
        <v>153</v>
      </c>
    </row>
    <row r="468" spans="1:10" x14ac:dyDescent="0.25">
      <c r="A468" t="s">
        <v>128</v>
      </c>
      <c r="B468" s="48">
        <v>17</v>
      </c>
      <c r="C468" s="51">
        <f>33437.11*G468</f>
        <v>614239.71070000005</v>
      </c>
      <c r="D468" s="52" t="s">
        <v>2451</v>
      </c>
      <c r="E468" s="52" t="s">
        <v>2444</v>
      </c>
      <c r="F468" s="52" t="s">
        <v>2445</v>
      </c>
      <c r="G468" s="51">
        <v>18.37</v>
      </c>
      <c r="H468" s="52">
        <v>34.619999999999997</v>
      </c>
      <c r="I468" s="53">
        <v>42507</v>
      </c>
      <c r="J468" s="118" t="s">
        <v>124</v>
      </c>
    </row>
    <row r="469" spans="1:10" s="50" customFormat="1" x14ac:dyDescent="0.25">
      <c r="A469" s="50" t="s">
        <v>128</v>
      </c>
      <c r="B469" s="56">
        <v>17</v>
      </c>
      <c r="C469" s="51">
        <f>672960-2702.64</f>
        <v>670257.36</v>
      </c>
      <c r="D469" s="52" t="s">
        <v>2498</v>
      </c>
      <c r="E469" s="52" t="s">
        <v>2349</v>
      </c>
      <c r="F469" s="52" t="s">
        <v>156</v>
      </c>
      <c r="G469" s="57">
        <v>42513</v>
      </c>
      <c r="H469" s="53" t="s">
        <v>153</v>
      </c>
    </row>
    <row r="470" spans="1:10" s="50" customFormat="1" x14ac:dyDescent="0.25">
      <c r="A470" s="50" t="s">
        <v>120</v>
      </c>
      <c r="B470" s="56">
        <v>18</v>
      </c>
      <c r="C470" s="60">
        <f>33000*G470</f>
        <v>606870</v>
      </c>
      <c r="D470" s="61" t="s">
        <v>2549</v>
      </c>
      <c r="E470" s="61" t="s">
        <v>2657</v>
      </c>
      <c r="F470" s="61" t="s">
        <v>2053</v>
      </c>
      <c r="G470" s="60">
        <v>18.39</v>
      </c>
      <c r="H470" s="61">
        <v>32.14</v>
      </c>
      <c r="I470" s="63">
        <v>42508</v>
      </c>
      <c r="J470" s="61" t="s">
        <v>952</v>
      </c>
    </row>
    <row r="471" spans="1:10" s="50" customFormat="1" x14ac:dyDescent="0.25">
      <c r="A471" s="50" t="s">
        <v>120</v>
      </c>
      <c r="B471" s="56">
        <v>18</v>
      </c>
      <c r="C471" s="60">
        <f>32000*G471</f>
        <v>588480</v>
      </c>
      <c r="D471" s="61" t="s">
        <v>2550</v>
      </c>
      <c r="E471" s="61" t="s">
        <v>2661</v>
      </c>
      <c r="F471" s="61" t="s">
        <v>1048</v>
      </c>
      <c r="G471" s="60">
        <v>18.39</v>
      </c>
      <c r="H471" s="61">
        <v>33.090000000000003</v>
      </c>
      <c r="I471" s="63">
        <v>42508</v>
      </c>
      <c r="J471" s="111" t="s">
        <v>124</v>
      </c>
    </row>
    <row r="472" spans="1:10" s="50" customFormat="1" x14ac:dyDescent="0.25">
      <c r="A472" s="50" t="s">
        <v>120</v>
      </c>
      <c r="B472" s="56">
        <v>18</v>
      </c>
      <c r="C472" s="51">
        <f>705240+29625</f>
        <v>734865</v>
      </c>
      <c r="D472" s="52" t="s">
        <v>2499</v>
      </c>
      <c r="E472" s="52" t="s">
        <v>2500</v>
      </c>
      <c r="F472" s="52" t="s">
        <v>156</v>
      </c>
      <c r="G472" s="57">
        <v>42513</v>
      </c>
      <c r="H472" s="53" t="s">
        <v>153</v>
      </c>
    </row>
    <row r="473" spans="1:10" x14ac:dyDescent="0.25">
      <c r="A473" t="s">
        <v>120</v>
      </c>
      <c r="B473" s="48">
        <v>18</v>
      </c>
      <c r="C473" s="51">
        <f>344400+22455.75</f>
        <v>366855.75</v>
      </c>
      <c r="D473" s="52" t="s">
        <v>2502</v>
      </c>
      <c r="E473" s="52" t="s">
        <v>2501</v>
      </c>
      <c r="F473" s="52" t="s">
        <v>156</v>
      </c>
      <c r="G473" s="57">
        <v>42513</v>
      </c>
      <c r="H473" s="53" t="s">
        <v>153</v>
      </c>
    </row>
    <row r="474" spans="1:10" x14ac:dyDescent="0.25">
      <c r="A474" t="s">
        <v>1833</v>
      </c>
      <c r="B474" s="48">
        <v>19</v>
      </c>
      <c r="C474" s="51">
        <v>632640</v>
      </c>
      <c r="D474" s="52" t="s">
        <v>2503</v>
      </c>
      <c r="E474" s="52" t="s">
        <v>2365</v>
      </c>
      <c r="F474" s="52" t="s">
        <v>156</v>
      </c>
      <c r="G474" s="57">
        <v>42513</v>
      </c>
      <c r="H474" s="53" t="s">
        <v>153</v>
      </c>
    </row>
    <row r="475" spans="1:10" x14ac:dyDescent="0.25">
      <c r="A475" s="50" t="s">
        <v>186</v>
      </c>
      <c r="B475" s="48">
        <v>19</v>
      </c>
      <c r="C475" s="51">
        <f>727680+14753.25-2922.48</f>
        <v>739510.77</v>
      </c>
      <c r="D475" s="52" t="s">
        <v>2504</v>
      </c>
      <c r="E475" s="52" t="s">
        <v>2505</v>
      </c>
      <c r="F475" s="52" t="s">
        <v>156</v>
      </c>
      <c r="G475" s="53">
        <v>42514</v>
      </c>
      <c r="H475" s="53" t="s">
        <v>153</v>
      </c>
    </row>
    <row r="476" spans="1:10" x14ac:dyDescent="0.25">
      <c r="A476" t="s">
        <v>186</v>
      </c>
      <c r="B476" s="48">
        <v>19</v>
      </c>
      <c r="C476" s="60">
        <f t="shared" ref="C476:C477" si="18">32000*G476</f>
        <v>593280</v>
      </c>
      <c r="D476" s="61" t="s">
        <v>2562</v>
      </c>
      <c r="E476" s="61" t="s">
        <v>2668</v>
      </c>
      <c r="F476" s="61" t="s">
        <v>1048</v>
      </c>
      <c r="G476" s="60">
        <v>18.54</v>
      </c>
      <c r="H476" s="61">
        <v>32.6</v>
      </c>
      <c r="I476" s="63">
        <v>42509</v>
      </c>
      <c r="J476" s="111" t="s">
        <v>124</v>
      </c>
    </row>
    <row r="477" spans="1:10" x14ac:dyDescent="0.25">
      <c r="A477" t="s">
        <v>186</v>
      </c>
      <c r="B477" s="48">
        <v>19</v>
      </c>
      <c r="C477" s="60">
        <f t="shared" si="18"/>
        <v>593280</v>
      </c>
      <c r="D477" s="61" t="s">
        <v>2563</v>
      </c>
      <c r="E477" s="61" t="s">
        <v>2669</v>
      </c>
      <c r="F477" s="61" t="s">
        <v>1048</v>
      </c>
      <c r="G477" s="60">
        <v>18.54</v>
      </c>
      <c r="H477" s="61">
        <v>32.6</v>
      </c>
      <c r="I477" s="63">
        <v>42509</v>
      </c>
      <c r="J477" s="111" t="s">
        <v>124</v>
      </c>
    </row>
    <row r="478" spans="1:10" x14ac:dyDescent="0.25">
      <c r="A478" t="s">
        <v>117</v>
      </c>
      <c r="B478" s="48">
        <v>20</v>
      </c>
      <c r="C478" s="60">
        <f>30000*G478</f>
        <v>552900</v>
      </c>
      <c r="D478" s="61" t="s">
        <v>2589</v>
      </c>
      <c r="E478" s="61" t="s">
        <v>2687</v>
      </c>
      <c r="F478" s="61" t="s">
        <v>901</v>
      </c>
      <c r="G478" s="60">
        <v>18.43</v>
      </c>
      <c r="H478" s="61">
        <v>32.409999999999997</v>
      </c>
      <c r="I478" s="63">
        <v>42510</v>
      </c>
      <c r="J478" s="111" t="s">
        <v>124</v>
      </c>
    </row>
    <row r="479" spans="1:10" x14ac:dyDescent="0.25">
      <c r="A479" t="s">
        <v>117</v>
      </c>
      <c r="B479" s="48">
        <v>20</v>
      </c>
      <c r="C479" s="60">
        <f>30000*G479</f>
        <v>552900</v>
      </c>
      <c r="D479" s="61" t="s">
        <v>2590</v>
      </c>
      <c r="E479" s="61" t="s">
        <v>2688</v>
      </c>
      <c r="F479" s="61" t="s">
        <v>901</v>
      </c>
      <c r="G479" s="60">
        <v>18.43</v>
      </c>
      <c r="H479" s="61">
        <v>32.53</v>
      </c>
      <c r="I479" s="63">
        <v>42510</v>
      </c>
      <c r="J479" s="111" t="s">
        <v>124</v>
      </c>
    </row>
    <row r="480" spans="1:10" x14ac:dyDescent="0.25">
      <c r="A480" t="s">
        <v>117</v>
      </c>
      <c r="B480" s="48">
        <v>20</v>
      </c>
      <c r="C480" s="60">
        <f t="shared" ref="C480" si="19">32000*G480</f>
        <v>589760</v>
      </c>
      <c r="D480" s="61" t="s">
        <v>2588</v>
      </c>
      <c r="E480" s="61" t="s">
        <v>2753</v>
      </c>
      <c r="F480" s="61" t="s">
        <v>1048</v>
      </c>
      <c r="G480" s="60">
        <v>18.43</v>
      </c>
      <c r="H480" s="61"/>
      <c r="I480" s="63">
        <v>42510</v>
      </c>
      <c r="J480" s="111" t="s">
        <v>124</v>
      </c>
    </row>
    <row r="481" spans="1:10" x14ac:dyDescent="0.25">
      <c r="A481" t="s">
        <v>117</v>
      </c>
      <c r="B481" s="48">
        <v>20</v>
      </c>
      <c r="C481" s="51">
        <v>57987.58</v>
      </c>
      <c r="D481" s="52" t="s">
        <v>2519</v>
      </c>
      <c r="E481" s="52" t="s">
        <v>2559</v>
      </c>
      <c r="F481" s="52" t="s">
        <v>2520</v>
      </c>
      <c r="G481" s="53">
        <v>42513</v>
      </c>
      <c r="H481" s="52" t="s">
        <v>952</v>
      </c>
    </row>
    <row r="482" spans="1:10" x14ac:dyDescent="0.25">
      <c r="A482" t="s">
        <v>117</v>
      </c>
      <c r="B482" s="48">
        <v>20</v>
      </c>
      <c r="C482" s="51">
        <f>32862.07*G482</f>
        <v>604727.81214000005</v>
      </c>
      <c r="D482" s="52" t="s">
        <v>2206</v>
      </c>
      <c r="E482" s="52" t="s">
        <v>2207</v>
      </c>
      <c r="F482" s="52" t="s">
        <v>2208</v>
      </c>
      <c r="G482" s="70">
        <v>18.402000000000001</v>
      </c>
      <c r="H482" s="52">
        <v>33.619999999999997</v>
      </c>
      <c r="I482" s="53">
        <v>42510</v>
      </c>
      <c r="J482" s="118" t="s">
        <v>124</v>
      </c>
    </row>
    <row r="483" spans="1:10" x14ac:dyDescent="0.25">
      <c r="A483" t="s">
        <v>117</v>
      </c>
      <c r="B483" s="48">
        <v>20</v>
      </c>
      <c r="C483" s="51">
        <f>31117.35*G483</f>
        <v>574426.28099999996</v>
      </c>
      <c r="D483" s="52" t="s">
        <v>2450</v>
      </c>
      <c r="E483" s="52" t="s">
        <v>2446</v>
      </c>
      <c r="F483" s="52" t="s">
        <v>2447</v>
      </c>
      <c r="G483" s="51">
        <v>18.46</v>
      </c>
      <c r="H483" s="52">
        <v>33.49</v>
      </c>
      <c r="I483" s="53">
        <v>42544</v>
      </c>
      <c r="J483" s="118" t="s">
        <v>124</v>
      </c>
    </row>
    <row r="484" spans="1:10" x14ac:dyDescent="0.25">
      <c r="A484" t="s">
        <v>117</v>
      </c>
      <c r="B484" s="48">
        <v>20</v>
      </c>
      <c r="C484" s="51">
        <v>613568.4</v>
      </c>
      <c r="D484" s="52" t="s">
        <v>2415</v>
      </c>
      <c r="E484" s="52" t="s">
        <v>2412</v>
      </c>
      <c r="F484" s="52" t="s">
        <v>940</v>
      </c>
      <c r="G484" s="51">
        <v>80</v>
      </c>
      <c r="H484" s="53">
        <v>42513</v>
      </c>
      <c r="I484" s="118" t="s">
        <v>124</v>
      </c>
    </row>
    <row r="485" spans="1:10" x14ac:dyDescent="0.25">
      <c r="A485" t="s">
        <v>117</v>
      </c>
      <c r="B485" s="48">
        <v>20</v>
      </c>
      <c r="C485" s="51">
        <v>272000</v>
      </c>
      <c r="D485" s="52" t="s">
        <v>2415</v>
      </c>
      <c r="E485" s="52" t="s">
        <v>2414</v>
      </c>
      <c r="F485" s="52" t="s">
        <v>2453</v>
      </c>
      <c r="G485" s="51">
        <v>34</v>
      </c>
      <c r="H485" s="53">
        <v>42513</v>
      </c>
      <c r="I485" s="118" t="s">
        <v>124</v>
      </c>
    </row>
    <row r="486" spans="1:10" x14ac:dyDescent="0.25">
      <c r="A486" s="49" t="s">
        <v>118</v>
      </c>
      <c r="B486" s="48">
        <v>21</v>
      </c>
    </row>
    <row r="487" spans="1:10" x14ac:dyDescent="0.25">
      <c r="A487" s="49" t="s">
        <v>119</v>
      </c>
      <c r="B487" s="48">
        <v>22</v>
      </c>
    </row>
    <row r="488" spans="1:10" x14ac:dyDescent="0.25">
      <c r="A488" t="s">
        <v>125</v>
      </c>
      <c r="B488" s="48">
        <v>23</v>
      </c>
      <c r="C488" s="60">
        <f>33000*G488</f>
        <v>609180</v>
      </c>
      <c r="D488" s="61" t="s">
        <v>2605</v>
      </c>
      <c r="E488" s="61" t="s">
        <v>2740</v>
      </c>
      <c r="F488" s="61" t="s">
        <v>2053</v>
      </c>
      <c r="G488" s="60">
        <v>18.46</v>
      </c>
      <c r="H488" s="61">
        <v>32.03</v>
      </c>
      <c r="I488" s="63">
        <v>42513</v>
      </c>
      <c r="J488" s="111" t="s">
        <v>124</v>
      </c>
    </row>
    <row r="489" spans="1:10" x14ac:dyDescent="0.25">
      <c r="A489" s="50" t="s">
        <v>125</v>
      </c>
      <c r="B489" s="48">
        <v>23</v>
      </c>
      <c r="C489" s="51">
        <f>631610+40527</f>
        <v>672137</v>
      </c>
      <c r="D489" s="52" t="s">
        <v>2506</v>
      </c>
      <c r="E489" s="52" t="s">
        <v>2554</v>
      </c>
      <c r="F489" s="52" t="s">
        <v>156</v>
      </c>
      <c r="G489" s="53">
        <v>42516</v>
      </c>
      <c r="H489" s="53" t="s">
        <v>153</v>
      </c>
    </row>
    <row r="490" spans="1:10" x14ac:dyDescent="0.25">
      <c r="A490" s="50" t="s">
        <v>125</v>
      </c>
      <c r="B490" s="48">
        <v>23</v>
      </c>
      <c r="C490" s="51">
        <f>367990+22337.25</f>
        <v>390327.25</v>
      </c>
      <c r="D490" s="52" t="s">
        <v>2507</v>
      </c>
      <c r="E490" s="52" t="s">
        <v>2555</v>
      </c>
      <c r="F490" s="52" t="s">
        <v>156</v>
      </c>
      <c r="G490" s="53">
        <v>42520</v>
      </c>
      <c r="H490" s="53" t="s">
        <v>153</v>
      </c>
    </row>
    <row r="491" spans="1:10" x14ac:dyDescent="0.25">
      <c r="A491" t="s">
        <v>125</v>
      </c>
      <c r="B491" s="48">
        <v>23</v>
      </c>
      <c r="C491" s="51">
        <f>710867.5+29565.76-2843.47</f>
        <v>737589.79</v>
      </c>
      <c r="D491" s="52" t="s">
        <v>2508</v>
      </c>
      <c r="E491" s="52" t="s">
        <v>2556</v>
      </c>
      <c r="F491" s="52" t="s">
        <v>156</v>
      </c>
      <c r="G491" s="53">
        <v>42517</v>
      </c>
      <c r="H491" s="53" t="s">
        <v>153</v>
      </c>
    </row>
    <row r="492" spans="1:10" s="50" customFormat="1" x14ac:dyDescent="0.25">
      <c r="A492" s="50" t="s">
        <v>125</v>
      </c>
      <c r="B492" s="56">
        <v>23</v>
      </c>
      <c r="C492" s="51">
        <v>817197.5</v>
      </c>
      <c r="D492" s="52" t="s">
        <v>2509</v>
      </c>
      <c r="E492" s="52" t="s">
        <v>2380</v>
      </c>
      <c r="F492" s="52" t="s">
        <v>156</v>
      </c>
      <c r="G492" s="53">
        <v>42520</v>
      </c>
      <c r="H492" s="53" t="s">
        <v>153</v>
      </c>
    </row>
    <row r="493" spans="1:10" x14ac:dyDescent="0.25">
      <c r="A493" t="s">
        <v>128</v>
      </c>
      <c r="B493" s="48">
        <v>24</v>
      </c>
      <c r="C493" s="51">
        <f>33176.87*G493</f>
        <v>613141.73447000014</v>
      </c>
      <c r="D493" s="52" t="s">
        <v>2250</v>
      </c>
      <c r="E493" s="52" t="s">
        <v>2251</v>
      </c>
      <c r="F493" s="52" t="s">
        <v>2252</v>
      </c>
      <c r="G493" s="70">
        <v>18.481000000000002</v>
      </c>
      <c r="H493" s="52">
        <v>34.07</v>
      </c>
      <c r="I493" s="53">
        <v>42514</v>
      </c>
      <c r="J493" s="118" t="s">
        <v>124</v>
      </c>
    </row>
    <row r="494" spans="1:10" x14ac:dyDescent="0.25">
      <c r="A494" t="s">
        <v>128</v>
      </c>
      <c r="B494" s="48">
        <v>24</v>
      </c>
      <c r="C494" s="51">
        <f>31192.96*G494</f>
        <v>576477.09376000008</v>
      </c>
      <c r="D494" s="52" t="s">
        <v>2448</v>
      </c>
      <c r="E494" s="52" t="s">
        <v>2660</v>
      </c>
      <c r="F494" s="52" t="s">
        <v>2449</v>
      </c>
      <c r="G494" s="70">
        <v>18.481000000000002</v>
      </c>
      <c r="H494" s="52">
        <v>33.89</v>
      </c>
      <c r="I494" s="53">
        <v>42514</v>
      </c>
      <c r="J494" s="118" t="s">
        <v>124</v>
      </c>
    </row>
    <row r="495" spans="1:10" x14ac:dyDescent="0.25">
      <c r="A495" t="s">
        <v>128</v>
      </c>
      <c r="B495" s="48">
        <v>24</v>
      </c>
      <c r="C495" s="51">
        <f>800170-3266.1</f>
        <v>796903.9</v>
      </c>
      <c r="D495" s="52" t="s">
        <v>2510</v>
      </c>
      <c r="E495" s="52" t="s">
        <v>2402</v>
      </c>
      <c r="F495" s="52" t="s">
        <v>156</v>
      </c>
      <c r="G495" s="57">
        <v>42520</v>
      </c>
      <c r="H495" s="53" t="s">
        <v>153</v>
      </c>
    </row>
    <row r="496" spans="1:10" x14ac:dyDescent="0.25">
      <c r="A496" t="s">
        <v>120</v>
      </c>
      <c r="B496" s="48">
        <v>25</v>
      </c>
      <c r="C496" s="60">
        <f>33000*G496</f>
        <v>607530</v>
      </c>
      <c r="D496" s="61" t="s">
        <v>2670</v>
      </c>
      <c r="E496" s="61" t="s">
        <v>2752</v>
      </c>
      <c r="F496" s="61" t="s">
        <v>2053</v>
      </c>
      <c r="G496" s="60">
        <v>18.41</v>
      </c>
      <c r="H496" s="61">
        <v>32.53</v>
      </c>
      <c r="I496" s="63">
        <v>42515</v>
      </c>
      <c r="J496" s="61" t="s">
        <v>952</v>
      </c>
    </row>
    <row r="497" spans="1:10" x14ac:dyDescent="0.25">
      <c r="A497" t="s">
        <v>120</v>
      </c>
      <c r="B497" s="48">
        <v>25</v>
      </c>
      <c r="C497" s="60">
        <f>33000*G497</f>
        <v>609180</v>
      </c>
      <c r="D497" s="61" t="s">
        <v>2671</v>
      </c>
      <c r="E497" s="61" t="s">
        <v>2747</v>
      </c>
      <c r="F497" s="61" t="s">
        <v>2053</v>
      </c>
      <c r="G497" s="60">
        <v>18.46</v>
      </c>
      <c r="H497" s="61">
        <v>32.380000000000003</v>
      </c>
      <c r="I497" s="63">
        <v>42515</v>
      </c>
      <c r="J497" s="61" t="s">
        <v>952</v>
      </c>
    </row>
    <row r="498" spans="1:10" x14ac:dyDescent="0.25">
      <c r="A498" s="50" t="s">
        <v>120</v>
      </c>
      <c r="B498" s="48">
        <v>25</v>
      </c>
      <c r="C498" s="51">
        <v>710175</v>
      </c>
      <c r="D498" s="52" t="s">
        <v>2511</v>
      </c>
      <c r="E498" s="52" t="s">
        <v>2512</v>
      </c>
      <c r="F498" s="52" t="s">
        <v>156</v>
      </c>
      <c r="G498" s="57">
        <v>42521</v>
      </c>
      <c r="H498" s="53" t="s">
        <v>153</v>
      </c>
    </row>
    <row r="499" spans="1:10" x14ac:dyDescent="0.25">
      <c r="A499" t="s">
        <v>120</v>
      </c>
      <c r="B499" s="48">
        <v>25</v>
      </c>
      <c r="C499" s="51">
        <v>420877.5</v>
      </c>
      <c r="D499" s="52" t="s">
        <v>2513</v>
      </c>
      <c r="E499" s="52" t="s">
        <v>2405</v>
      </c>
      <c r="F499" s="52" t="s">
        <v>156</v>
      </c>
      <c r="G499" s="57">
        <v>42521</v>
      </c>
      <c r="H499" s="53" t="s">
        <v>153</v>
      </c>
    </row>
    <row r="500" spans="1:10" x14ac:dyDescent="0.25">
      <c r="A500" s="50" t="s">
        <v>186</v>
      </c>
      <c r="B500" s="48">
        <v>26</v>
      </c>
      <c r="C500" s="51">
        <v>745365</v>
      </c>
      <c r="D500" s="52" t="s">
        <v>2514</v>
      </c>
      <c r="E500" s="52" t="s">
        <v>2434</v>
      </c>
      <c r="F500" s="52" t="s">
        <v>156</v>
      </c>
      <c r="G500" s="53">
        <v>42523</v>
      </c>
      <c r="H500" s="53" t="s">
        <v>153</v>
      </c>
    </row>
    <row r="501" spans="1:10" x14ac:dyDescent="0.25">
      <c r="A501" t="s">
        <v>1833</v>
      </c>
      <c r="B501" s="48">
        <v>26</v>
      </c>
      <c r="C501" s="51">
        <v>412845</v>
      </c>
      <c r="D501" s="52" t="s">
        <v>2515</v>
      </c>
      <c r="E501" s="52" t="s">
        <v>2516</v>
      </c>
      <c r="F501" s="52" t="s">
        <v>156</v>
      </c>
      <c r="G501" s="53">
        <v>42524</v>
      </c>
      <c r="H501" s="53" t="s">
        <v>153</v>
      </c>
    </row>
    <row r="502" spans="1:10" x14ac:dyDescent="0.25">
      <c r="A502" t="s">
        <v>186</v>
      </c>
      <c r="B502" s="48">
        <v>26</v>
      </c>
      <c r="C502" s="51">
        <f>372810+7110</f>
        <v>379920</v>
      </c>
      <c r="D502" s="52" t="s">
        <v>2518</v>
      </c>
      <c r="E502" s="52" t="s">
        <v>2517</v>
      </c>
      <c r="F502" s="52" t="s">
        <v>156</v>
      </c>
      <c r="G502" s="53">
        <v>42521</v>
      </c>
      <c r="H502" s="53" t="s">
        <v>153</v>
      </c>
    </row>
    <row r="503" spans="1:10" x14ac:dyDescent="0.25">
      <c r="A503" t="s">
        <v>186</v>
      </c>
      <c r="B503" s="48">
        <v>26</v>
      </c>
      <c r="C503" s="60">
        <f t="shared" ref="C503:C506" si="20">33000*G503</f>
        <v>607530</v>
      </c>
      <c r="D503" s="61" t="s">
        <v>2672</v>
      </c>
      <c r="E503" s="61" t="s">
        <v>2789</v>
      </c>
      <c r="F503" s="61" t="s">
        <v>2053</v>
      </c>
      <c r="G503" s="60">
        <v>18.41</v>
      </c>
      <c r="H503" s="61">
        <v>32.950000000000003</v>
      </c>
      <c r="I503" s="63">
        <v>42515</v>
      </c>
      <c r="J503" s="111" t="s">
        <v>124</v>
      </c>
    </row>
    <row r="504" spans="1:10" x14ac:dyDescent="0.25">
      <c r="A504" t="s">
        <v>186</v>
      </c>
      <c r="B504" s="48">
        <v>26</v>
      </c>
      <c r="C504" s="60">
        <f t="shared" si="20"/>
        <v>608850</v>
      </c>
      <c r="D504" s="61" t="s">
        <v>2673</v>
      </c>
      <c r="E504" s="61" t="s">
        <v>2790</v>
      </c>
      <c r="F504" s="61" t="s">
        <v>2053</v>
      </c>
      <c r="G504" s="60">
        <v>18.45</v>
      </c>
      <c r="H504" s="61">
        <v>32.950000000000003</v>
      </c>
      <c r="I504" s="63">
        <v>42516</v>
      </c>
      <c r="J504" s="111" t="s">
        <v>124</v>
      </c>
    </row>
    <row r="505" spans="1:10" x14ac:dyDescent="0.25">
      <c r="A505" t="s">
        <v>117</v>
      </c>
      <c r="B505" s="48">
        <v>27</v>
      </c>
      <c r="C505" s="60">
        <f t="shared" si="20"/>
        <v>610665</v>
      </c>
      <c r="D505" s="61" t="s">
        <v>2697</v>
      </c>
      <c r="E505" s="61" t="s">
        <v>2797</v>
      </c>
      <c r="F505" s="61" t="s">
        <v>2053</v>
      </c>
      <c r="G505" s="62">
        <v>18.504999999999999</v>
      </c>
      <c r="H505" s="61">
        <v>33.090000000000003</v>
      </c>
      <c r="I505" s="63">
        <v>42517</v>
      </c>
      <c r="J505" s="111" t="s">
        <v>124</v>
      </c>
    </row>
    <row r="506" spans="1:10" x14ac:dyDescent="0.25">
      <c r="A506" t="s">
        <v>117</v>
      </c>
      <c r="B506" s="48">
        <v>27</v>
      </c>
      <c r="C506" s="60">
        <f t="shared" si="20"/>
        <v>610665</v>
      </c>
      <c r="D506" s="61" t="s">
        <v>2698</v>
      </c>
      <c r="E506" s="61" t="s">
        <v>2796</v>
      </c>
      <c r="F506" s="61" t="s">
        <v>2053</v>
      </c>
      <c r="G506" s="62">
        <v>18.504999999999999</v>
      </c>
      <c r="H506" s="61">
        <v>33.21</v>
      </c>
      <c r="I506" s="63">
        <v>42517</v>
      </c>
      <c r="J506" s="111" t="s">
        <v>124</v>
      </c>
    </row>
    <row r="507" spans="1:10" x14ac:dyDescent="0.25">
      <c r="A507" t="s">
        <v>117</v>
      </c>
      <c r="B507" s="48">
        <v>27</v>
      </c>
      <c r="C507" s="60">
        <f>30000*G507</f>
        <v>555150</v>
      </c>
      <c r="D507" s="61" t="s">
        <v>2699</v>
      </c>
      <c r="E507" s="61" t="s">
        <v>2810</v>
      </c>
      <c r="F507" s="61" t="s">
        <v>901</v>
      </c>
      <c r="G507" s="62">
        <v>18.504999999999999</v>
      </c>
      <c r="H507" s="61">
        <v>33.26</v>
      </c>
      <c r="I507" s="63">
        <v>42517</v>
      </c>
      <c r="J507" s="111" t="s">
        <v>124</v>
      </c>
    </row>
    <row r="508" spans="1:10" x14ac:dyDescent="0.25">
      <c r="A508" t="s">
        <v>117</v>
      </c>
      <c r="B508" s="48">
        <v>27</v>
      </c>
      <c r="C508" s="51">
        <f>30439.62*G508</f>
        <v>563437.36620000005</v>
      </c>
      <c r="D508" s="52" t="s">
        <v>2602</v>
      </c>
      <c r="E508" s="52" t="s">
        <v>2599</v>
      </c>
      <c r="F508" s="52" t="s">
        <v>2600</v>
      </c>
      <c r="G508" s="51">
        <v>18.510000000000002</v>
      </c>
      <c r="H508" s="52">
        <v>32.07</v>
      </c>
      <c r="I508" s="53">
        <v>42520</v>
      </c>
      <c r="J508" s="118" t="s">
        <v>124</v>
      </c>
    </row>
    <row r="509" spans="1:10" s="50" customFormat="1" x14ac:dyDescent="0.25">
      <c r="A509" s="50" t="s">
        <v>117</v>
      </c>
      <c r="B509" s="56">
        <v>27</v>
      </c>
      <c r="C509" s="51">
        <v>59197.86</v>
      </c>
      <c r="D509" s="52" t="s">
        <v>2651</v>
      </c>
      <c r="E509" s="52" t="s">
        <v>2650</v>
      </c>
      <c r="F509" s="52" t="s">
        <v>2652</v>
      </c>
      <c r="G509" s="53">
        <v>42521</v>
      </c>
      <c r="H509" s="118" t="s">
        <v>952</v>
      </c>
    </row>
    <row r="510" spans="1:10" x14ac:dyDescent="0.25">
      <c r="A510" s="49" t="s">
        <v>118</v>
      </c>
      <c r="B510" s="48">
        <v>28</v>
      </c>
    </row>
    <row r="511" spans="1:10" x14ac:dyDescent="0.25">
      <c r="A511" s="49" t="s">
        <v>119</v>
      </c>
      <c r="B511" s="48">
        <v>29</v>
      </c>
    </row>
    <row r="512" spans="1:10" x14ac:dyDescent="0.25">
      <c r="A512" t="s">
        <v>125</v>
      </c>
      <c r="B512" s="48">
        <v>30</v>
      </c>
      <c r="C512" s="51">
        <f>370890+9240.27</f>
        <v>380130.27</v>
      </c>
      <c r="D512" s="52" t="s">
        <v>2702</v>
      </c>
      <c r="E512" s="52" t="s">
        <v>2703</v>
      </c>
      <c r="F512" s="52" t="s">
        <v>156</v>
      </c>
      <c r="G512" s="53">
        <v>42524</v>
      </c>
      <c r="H512" s="53" t="s">
        <v>153</v>
      </c>
    </row>
    <row r="513" spans="1:10" x14ac:dyDescent="0.25">
      <c r="A513" t="s">
        <v>125</v>
      </c>
      <c r="B513" s="48">
        <v>30</v>
      </c>
      <c r="C513" s="51">
        <v>678156.46</v>
      </c>
      <c r="D513" s="52" t="s">
        <v>2704</v>
      </c>
      <c r="E513" s="52" t="s">
        <v>2524</v>
      </c>
      <c r="F513" s="52" t="s">
        <v>156</v>
      </c>
      <c r="G513" s="53">
        <v>42524</v>
      </c>
      <c r="H513" s="53" t="s">
        <v>153</v>
      </c>
    </row>
    <row r="514" spans="1:10" x14ac:dyDescent="0.25">
      <c r="A514" s="50" t="s">
        <v>125</v>
      </c>
      <c r="B514" s="48">
        <v>30</v>
      </c>
      <c r="C514" s="51">
        <v>758550</v>
      </c>
      <c r="D514" s="52" t="s">
        <v>2705</v>
      </c>
      <c r="E514" s="52" t="s">
        <v>2557</v>
      </c>
      <c r="F514" s="52" t="s">
        <v>156</v>
      </c>
      <c r="G514" s="53">
        <v>42527</v>
      </c>
      <c r="H514" s="53" t="s">
        <v>153</v>
      </c>
    </row>
    <row r="515" spans="1:10" x14ac:dyDescent="0.25">
      <c r="A515" t="s">
        <v>125</v>
      </c>
      <c r="B515" s="48">
        <v>30</v>
      </c>
      <c r="C515" s="51">
        <f>806000+52862.94</f>
        <v>858862.94</v>
      </c>
      <c r="D515" s="52" t="s">
        <v>2708</v>
      </c>
      <c r="E515" s="52" t="s">
        <v>2709</v>
      </c>
      <c r="F515" s="52" t="s">
        <v>156</v>
      </c>
      <c r="G515" s="53">
        <v>42527</v>
      </c>
      <c r="H515" s="53" t="s">
        <v>153</v>
      </c>
    </row>
    <row r="516" spans="1:10" x14ac:dyDescent="0.25">
      <c r="A516" t="s">
        <v>128</v>
      </c>
      <c r="B516" s="48">
        <v>31</v>
      </c>
      <c r="C516" s="51">
        <v>783120</v>
      </c>
      <c r="D516" s="52" t="s">
        <v>2710</v>
      </c>
      <c r="E516" s="52" t="s">
        <v>2574</v>
      </c>
      <c r="F516" s="52" t="s">
        <v>156</v>
      </c>
      <c r="G516" s="53">
        <v>42527</v>
      </c>
      <c r="H516" s="53" t="s">
        <v>153</v>
      </c>
    </row>
    <row r="517" spans="1:10" x14ac:dyDescent="0.25">
      <c r="A517" t="s">
        <v>128</v>
      </c>
      <c r="B517" s="48">
        <v>31</v>
      </c>
      <c r="C517" s="51">
        <f>30671.46*G517</f>
        <v>567728.72460000007</v>
      </c>
      <c r="D517" s="52" t="s">
        <v>2601</v>
      </c>
      <c r="E517" s="52" t="s">
        <v>2603</v>
      </c>
      <c r="F517" s="52" t="s">
        <v>2604</v>
      </c>
      <c r="G517" s="51">
        <v>18.510000000000002</v>
      </c>
      <c r="H517" s="52">
        <v>32.1</v>
      </c>
      <c r="I517" s="53">
        <v>42520</v>
      </c>
      <c r="J517" s="52" t="s">
        <v>952</v>
      </c>
    </row>
    <row r="518" spans="1:10" x14ac:dyDescent="0.25">
      <c r="A518" t="s">
        <v>128</v>
      </c>
      <c r="B518" s="48">
        <v>31</v>
      </c>
      <c r="C518" s="51">
        <v>38528</v>
      </c>
      <c r="D518" s="52" t="s">
        <v>2760</v>
      </c>
      <c r="E518" s="52" t="s">
        <v>2759</v>
      </c>
      <c r="F518" s="52" t="s">
        <v>2761</v>
      </c>
      <c r="G518" s="51"/>
      <c r="H518" s="52">
        <v>43</v>
      </c>
      <c r="I518" s="53">
        <v>42521</v>
      </c>
      <c r="J518" s="118" t="s">
        <v>124</v>
      </c>
    </row>
    <row r="519" spans="1:10" x14ac:dyDescent="0.25">
      <c r="A519" t="s">
        <v>128</v>
      </c>
      <c r="B519" s="48">
        <v>31</v>
      </c>
      <c r="C519" s="51">
        <v>58719.12</v>
      </c>
      <c r="D519" s="52" t="s">
        <v>2767</v>
      </c>
      <c r="E519" s="52" t="s">
        <v>2764</v>
      </c>
      <c r="F519" s="52" t="s">
        <v>2768</v>
      </c>
      <c r="G519" s="51">
        <v>18.5</v>
      </c>
      <c r="H519" s="53">
        <v>42521</v>
      </c>
      <c r="I519" s="118" t="s">
        <v>1225</v>
      </c>
      <c r="J519" s="118"/>
    </row>
    <row r="520" spans="1:10" x14ac:dyDescent="0.25">
      <c r="A520" t="s">
        <v>128</v>
      </c>
      <c r="B520" s="48">
        <v>31</v>
      </c>
      <c r="C520" s="51">
        <v>204218.28</v>
      </c>
      <c r="D520" s="52" t="s">
        <v>2769</v>
      </c>
      <c r="E520" s="52" t="s">
        <v>2766</v>
      </c>
      <c r="F520" s="52" t="s">
        <v>1006</v>
      </c>
      <c r="G520" s="51">
        <v>51</v>
      </c>
      <c r="H520" s="53">
        <v>42521</v>
      </c>
      <c r="I520" s="118" t="s">
        <v>1225</v>
      </c>
      <c r="J520" s="118"/>
    </row>
    <row r="521" spans="1:10" x14ac:dyDescent="0.25">
      <c r="A521" t="s">
        <v>128</v>
      </c>
      <c r="B521" s="48">
        <v>31</v>
      </c>
      <c r="C521" s="51">
        <v>58000.22</v>
      </c>
      <c r="D521" s="52" t="s">
        <v>2771</v>
      </c>
      <c r="E521" s="52" t="s">
        <v>2770</v>
      </c>
      <c r="F521" s="52" t="s">
        <v>2768</v>
      </c>
      <c r="G521" s="51">
        <v>18.5</v>
      </c>
      <c r="H521" s="53">
        <v>42521</v>
      </c>
      <c r="I521" s="118" t="s">
        <v>124</v>
      </c>
      <c r="J521" s="118"/>
    </row>
    <row r="522" spans="1:10" x14ac:dyDescent="0.25">
      <c r="A522" s="47" t="s">
        <v>2477</v>
      </c>
      <c r="B522" s="48"/>
    </row>
    <row r="523" spans="1:10" x14ac:dyDescent="0.25">
      <c r="A523" s="47" t="s">
        <v>120</v>
      </c>
      <c r="B523" s="48">
        <v>1</v>
      </c>
      <c r="C523" s="60">
        <f>32000*G523</f>
        <v>591360</v>
      </c>
      <c r="D523" s="61" t="s">
        <v>2742</v>
      </c>
      <c r="E523" s="61" t="s">
        <v>2875</v>
      </c>
      <c r="F523" s="61" t="s">
        <v>1048</v>
      </c>
      <c r="G523" s="60">
        <v>18.48</v>
      </c>
      <c r="H523" s="61">
        <v>33.61</v>
      </c>
      <c r="I523" s="63">
        <v>42521</v>
      </c>
      <c r="J523" s="111" t="s">
        <v>124</v>
      </c>
    </row>
    <row r="524" spans="1:10" x14ac:dyDescent="0.25">
      <c r="A524" s="50" t="s">
        <v>120</v>
      </c>
      <c r="B524" s="48">
        <v>1</v>
      </c>
      <c r="C524" s="51">
        <v>746070</v>
      </c>
      <c r="D524" s="52" t="s">
        <v>2711</v>
      </c>
      <c r="E524" s="52" t="s">
        <v>2712</v>
      </c>
      <c r="F524" s="52" t="s">
        <v>156</v>
      </c>
      <c r="G524" s="53">
        <v>42528</v>
      </c>
      <c r="H524" s="53" t="s">
        <v>153</v>
      </c>
    </row>
    <row r="525" spans="1:10" x14ac:dyDescent="0.25">
      <c r="A525" s="50" t="s">
        <v>120</v>
      </c>
      <c r="B525" s="48">
        <v>1</v>
      </c>
      <c r="C525" s="51">
        <f>431600+9311.9</f>
        <v>440911.9</v>
      </c>
      <c r="D525" s="52" t="s">
        <v>2714</v>
      </c>
      <c r="E525" s="52" t="s">
        <v>2713</v>
      </c>
      <c r="F525" s="52" t="s">
        <v>156</v>
      </c>
      <c r="G525" s="53">
        <v>42529</v>
      </c>
      <c r="H525" s="53" t="s">
        <v>153</v>
      </c>
    </row>
    <row r="526" spans="1:10" x14ac:dyDescent="0.25">
      <c r="A526" t="s">
        <v>186</v>
      </c>
      <c r="B526" s="48">
        <v>2</v>
      </c>
      <c r="C526" s="51">
        <f>725010+17835.87</f>
        <v>742845.87</v>
      </c>
      <c r="D526" s="52" t="s">
        <v>2715</v>
      </c>
      <c r="E526" s="52" t="s">
        <v>2716</v>
      </c>
      <c r="F526" s="52" t="s">
        <v>156</v>
      </c>
      <c r="G526" s="53">
        <v>42529</v>
      </c>
      <c r="H526" s="53" t="s">
        <v>153</v>
      </c>
    </row>
    <row r="527" spans="1:10" x14ac:dyDescent="0.25">
      <c r="A527" s="50" t="s">
        <v>1833</v>
      </c>
      <c r="B527" s="48">
        <v>2</v>
      </c>
      <c r="C527" s="51">
        <f>380250+41545.4</f>
        <v>421795.4</v>
      </c>
      <c r="D527" s="52" t="s">
        <v>2718</v>
      </c>
      <c r="E527" s="52" t="s">
        <v>2717</v>
      </c>
      <c r="F527" s="52" t="s">
        <v>156</v>
      </c>
      <c r="G527" s="53">
        <v>42530</v>
      </c>
      <c r="H527" s="53" t="s">
        <v>153</v>
      </c>
    </row>
    <row r="528" spans="1:10" x14ac:dyDescent="0.25">
      <c r="A528" t="s">
        <v>186</v>
      </c>
      <c r="B528" s="48">
        <v>2</v>
      </c>
      <c r="C528" s="60">
        <f>31000*G528</f>
        <v>578150</v>
      </c>
      <c r="D528" s="61" t="s">
        <v>2743</v>
      </c>
      <c r="E528" s="61" t="s">
        <v>2907</v>
      </c>
      <c r="F528" s="61" t="s">
        <v>2791</v>
      </c>
      <c r="G528" s="60">
        <v>18.649999999999999</v>
      </c>
      <c r="H528" s="61">
        <v>33.89</v>
      </c>
      <c r="I528" s="63">
        <v>42523</v>
      </c>
      <c r="J528" s="111" t="s">
        <v>124</v>
      </c>
    </row>
    <row r="529" spans="1:10" x14ac:dyDescent="0.25">
      <c r="A529" t="s">
        <v>186</v>
      </c>
      <c r="B529" s="48">
        <v>2</v>
      </c>
      <c r="C529" s="60">
        <f>31000*G529</f>
        <v>578150</v>
      </c>
      <c r="D529" s="61" t="s">
        <v>2744</v>
      </c>
      <c r="E529" s="61" t="s">
        <v>2908</v>
      </c>
      <c r="F529" s="61" t="s">
        <v>2791</v>
      </c>
      <c r="G529" s="60">
        <v>18.649999999999999</v>
      </c>
      <c r="H529" s="61">
        <v>33.9</v>
      </c>
      <c r="I529" s="63">
        <v>42523</v>
      </c>
      <c r="J529" s="111" t="s">
        <v>124</v>
      </c>
    </row>
    <row r="530" spans="1:10" x14ac:dyDescent="0.25">
      <c r="A530" t="s">
        <v>117</v>
      </c>
      <c r="B530" s="48">
        <v>3</v>
      </c>
      <c r="C530" s="51">
        <v>1282807.8</v>
      </c>
      <c r="D530" s="52" t="s">
        <v>2478</v>
      </c>
      <c r="E530" s="52" t="s">
        <v>2479</v>
      </c>
      <c r="F530" s="52" t="s">
        <v>2480</v>
      </c>
      <c r="G530" s="52">
        <v>85.5</v>
      </c>
      <c r="H530" s="53">
        <v>42521</v>
      </c>
      <c r="I530" s="118" t="s">
        <v>124</v>
      </c>
      <c r="J530" s="52"/>
    </row>
    <row r="531" spans="1:10" x14ac:dyDescent="0.25">
      <c r="A531" t="s">
        <v>117</v>
      </c>
      <c r="B531" s="48">
        <v>3</v>
      </c>
      <c r="C531" s="51">
        <f>31433.6*G531</f>
        <v>580892.92799999996</v>
      </c>
      <c r="D531" s="52" t="s">
        <v>2725</v>
      </c>
      <c r="E531" s="52" t="s">
        <v>2726</v>
      </c>
      <c r="F531" s="52" t="s">
        <v>2727</v>
      </c>
      <c r="G531" s="51">
        <v>18.48</v>
      </c>
      <c r="H531" s="52">
        <v>33.1</v>
      </c>
      <c r="I531" s="53">
        <v>42521</v>
      </c>
      <c r="J531" s="118" t="s">
        <v>124</v>
      </c>
    </row>
    <row r="532" spans="1:10" x14ac:dyDescent="0.25">
      <c r="A532" s="49" t="s">
        <v>118</v>
      </c>
      <c r="B532" s="48">
        <v>4</v>
      </c>
    </row>
    <row r="533" spans="1:10" x14ac:dyDescent="0.25">
      <c r="A533" s="49" t="s">
        <v>119</v>
      </c>
      <c r="B533" s="48">
        <v>5</v>
      </c>
    </row>
    <row r="534" spans="1:10" s="50" customFormat="1" x14ac:dyDescent="0.25">
      <c r="A534" s="50" t="s">
        <v>125</v>
      </c>
      <c r="B534" s="56">
        <v>6</v>
      </c>
      <c r="C534" s="60">
        <f>33000*G534</f>
        <v>615483</v>
      </c>
      <c r="D534" s="61" t="s">
        <v>2745</v>
      </c>
      <c r="E534" s="61" t="s">
        <v>2909</v>
      </c>
      <c r="F534" s="61" t="s">
        <v>2053</v>
      </c>
      <c r="G534" s="62">
        <v>18.651</v>
      </c>
      <c r="H534" s="61">
        <v>34.159999999999997</v>
      </c>
      <c r="I534" s="63">
        <v>42527</v>
      </c>
      <c r="J534" s="111" t="s">
        <v>124</v>
      </c>
    </row>
    <row r="535" spans="1:10" x14ac:dyDescent="0.25">
      <c r="A535" t="s">
        <v>125</v>
      </c>
      <c r="B535" s="48">
        <v>6</v>
      </c>
      <c r="C535" s="51">
        <v>448411.59</v>
      </c>
      <c r="D535" s="52" t="s">
        <v>2655</v>
      </c>
      <c r="E535" s="52" t="s">
        <v>2656</v>
      </c>
      <c r="F535" s="52" t="s">
        <v>2480</v>
      </c>
      <c r="G535" s="52">
        <v>85.5</v>
      </c>
      <c r="H535" s="53">
        <v>42528</v>
      </c>
      <c r="I535" s="118" t="s">
        <v>124</v>
      </c>
    </row>
    <row r="536" spans="1:10" x14ac:dyDescent="0.25">
      <c r="A536" t="s">
        <v>125</v>
      </c>
      <c r="B536" s="56">
        <v>6</v>
      </c>
      <c r="C536" s="51">
        <f>638120+13967.85</f>
        <v>652087.85</v>
      </c>
      <c r="D536" s="52" t="s">
        <v>2721</v>
      </c>
      <c r="E536" s="52" t="s">
        <v>2659</v>
      </c>
      <c r="F536" s="52" t="s">
        <v>156</v>
      </c>
      <c r="G536" s="53">
        <v>42531</v>
      </c>
      <c r="H536" s="53" t="s">
        <v>153</v>
      </c>
    </row>
    <row r="537" spans="1:10" x14ac:dyDescent="0.25">
      <c r="A537" t="s">
        <v>125</v>
      </c>
      <c r="B537" s="48">
        <v>6</v>
      </c>
      <c r="C537" s="51">
        <f>398162.5+9311.9</f>
        <v>407474.4</v>
      </c>
      <c r="D537" s="52" t="s">
        <v>2722</v>
      </c>
      <c r="E537" s="52" t="s">
        <v>2658</v>
      </c>
      <c r="F537" s="52" t="s">
        <v>156</v>
      </c>
      <c r="G537" s="53">
        <v>42531</v>
      </c>
      <c r="H537" s="53" t="s">
        <v>153</v>
      </c>
    </row>
    <row r="538" spans="1:10" x14ac:dyDescent="0.25">
      <c r="A538" t="s">
        <v>125</v>
      </c>
      <c r="B538" s="56">
        <v>6</v>
      </c>
      <c r="C538" s="51">
        <f>762935+17907.5</f>
        <v>780842.5</v>
      </c>
      <c r="D538" s="52" t="s">
        <v>2723</v>
      </c>
      <c r="E538" s="52" t="s">
        <v>2724</v>
      </c>
      <c r="F538" s="52" t="s">
        <v>156</v>
      </c>
      <c r="G538" s="53">
        <v>42534</v>
      </c>
      <c r="H538" s="53" t="s">
        <v>153</v>
      </c>
    </row>
    <row r="539" spans="1:10" x14ac:dyDescent="0.25">
      <c r="A539" t="s">
        <v>128</v>
      </c>
      <c r="B539" s="48">
        <v>7</v>
      </c>
      <c r="C539" s="51">
        <f>797650+17835.87</f>
        <v>815485.87</v>
      </c>
      <c r="D539" s="52" t="s">
        <v>2730</v>
      </c>
      <c r="E539" s="52" t="s">
        <v>2666</v>
      </c>
      <c r="F539" s="52" t="s">
        <v>156</v>
      </c>
      <c r="G539" s="53">
        <v>42534</v>
      </c>
      <c r="H539" s="53" t="s">
        <v>153</v>
      </c>
    </row>
    <row r="540" spans="1:10" x14ac:dyDescent="0.25">
      <c r="A540" t="s">
        <v>128</v>
      </c>
      <c r="B540" s="56">
        <v>7</v>
      </c>
      <c r="C540" s="51">
        <f>631362.5+14326</f>
        <v>645688.5</v>
      </c>
      <c r="D540" s="52" t="s">
        <v>2731</v>
      </c>
      <c r="E540" s="52" t="s">
        <v>2732</v>
      </c>
      <c r="F540" s="52" t="s">
        <v>156</v>
      </c>
      <c r="G540" s="53">
        <v>42535</v>
      </c>
      <c r="H540" s="53" t="s">
        <v>153</v>
      </c>
    </row>
    <row r="541" spans="1:10" x14ac:dyDescent="0.25">
      <c r="A541" t="s">
        <v>128</v>
      </c>
      <c r="B541" s="48">
        <v>7</v>
      </c>
      <c r="C541" s="51">
        <f>31000.14*G541</f>
        <v>578183.61113999994</v>
      </c>
      <c r="D541" s="52" t="s">
        <v>2728</v>
      </c>
      <c r="E541" s="52" t="s">
        <v>2792</v>
      </c>
      <c r="F541" s="52" t="s">
        <v>2729</v>
      </c>
      <c r="G541" s="70">
        <v>18.651</v>
      </c>
      <c r="H541" s="52">
        <v>32.619999999999997</v>
      </c>
      <c r="I541" s="53">
        <v>42527</v>
      </c>
      <c r="J541" s="118" t="s">
        <v>124</v>
      </c>
    </row>
    <row r="542" spans="1:10" x14ac:dyDescent="0.25">
      <c r="A542" t="s">
        <v>120</v>
      </c>
      <c r="B542" s="48">
        <v>8</v>
      </c>
      <c r="C542" s="60">
        <f>34000*G542</f>
        <v>630360</v>
      </c>
      <c r="D542" s="61" t="s">
        <v>2811</v>
      </c>
      <c r="E542" s="61" t="s">
        <v>2999</v>
      </c>
      <c r="F542" s="61" t="s">
        <v>2362</v>
      </c>
      <c r="G542" s="60">
        <v>18.54</v>
      </c>
      <c r="H542" s="61">
        <v>34.85</v>
      </c>
      <c r="I542" s="63">
        <v>42528</v>
      </c>
      <c r="J542" s="111" t="s">
        <v>124</v>
      </c>
    </row>
    <row r="543" spans="1:10" x14ac:dyDescent="0.25">
      <c r="A543" t="s">
        <v>120</v>
      </c>
      <c r="B543" s="56">
        <v>8</v>
      </c>
      <c r="C543" s="51">
        <f>805467.5+17907.5</f>
        <v>823375</v>
      </c>
      <c r="D543" s="52" t="s">
        <v>2733</v>
      </c>
      <c r="E543" s="52" t="s">
        <v>2734</v>
      </c>
      <c r="F543" s="52" t="s">
        <v>156</v>
      </c>
      <c r="G543" s="53">
        <v>42537</v>
      </c>
      <c r="H543" s="53" t="s">
        <v>153</v>
      </c>
    </row>
    <row r="544" spans="1:10" x14ac:dyDescent="0.25">
      <c r="A544" t="s">
        <v>120</v>
      </c>
      <c r="B544" s="48">
        <v>8</v>
      </c>
      <c r="C544" s="51">
        <f>364507.5+9311.9</f>
        <v>373819.4</v>
      </c>
      <c r="D544" s="52" t="s">
        <v>2736</v>
      </c>
      <c r="E544" s="52" t="s">
        <v>2735</v>
      </c>
      <c r="F544" s="52" t="s">
        <v>156</v>
      </c>
      <c r="G544" s="53">
        <v>42535</v>
      </c>
      <c r="H544" s="53" t="s">
        <v>153</v>
      </c>
    </row>
    <row r="545" spans="1:10" x14ac:dyDescent="0.25">
      <c r="A545" t="s">
        <v>186</v>
      </c>
      <c r="B545" s="48">
        <v>9</v>
      </c>
      <c r="C545" s="60">
        <f t="shared" ref="C545:C546" si="21">34000*G545</f>
        <v>630700</v>
      </c>
      <c r="D545" s="61" t="s">
        <v>2812</v>
      </c>
      <c r="E545" s="61" t="s">
        <v>3000</v>
      </c>
      <c r="F545" s="61" t="s">
        <v>2362</v>
      </c>
      <c r="G545" s="60">
        <v>18.55</v>
      </c>
      <c r="H545" s="61">
        <v>35.229999999999997</v>
      </c>
      <c r="I545" s="63">
        <v>42530</v>
      </c>
      <c r="J545" s="111" t="s">
        <v>124</v>
      </c>
    </row>
    <row r="546" spans="1:10" x14ac:dyDescent="0.25">
      <c r="A546" t="s">
        <v>186</v>
      </c>
      <c r="B546" s="48">
        <v>9</v>
      </c>
      <c r="C546" s="60">
        <f t="shared" si="21"/>
        <v>630700</v>
      </c>
      <c r="D546" s="61" t="s">
        <v>2813</v>
      </c>
      <c r="E546" s="61" t="s">
        <v>3001</v>
      </c>
      <c r="F546" s="61" t="s">
        <v>2362</v>
      </c>
      <c r="G546" s="60">
        <v>18.55</v>
      </c>
      <c r="H546" s="61">
        <v>35.24</v>
      </c>
      <c r="I546" s="63">
        <v>42530</v>
      </c>
      <c r="J546" s="111" t="s">
        <v>124</v>
      </c>
    </row>
    <row r="547" spans="1:10" x14ac:dyDescent="0.25">
      <c r="A547" t="s">
        <v>186</v>
      </c>
      <c r="B547" s="48">
        <v>9</v>
      </c>
      <c r="C547" s="51">
        <f>746637.5+17334.46</f>
        <v>763971.96</v>
      </c>
      <c r="D547" s="52" t="s">
        <v>2737</v>
      </c>
      <c r="E547" s="52" t="s">
        <v>2738</v>
      </c>
      <c r="F547" s="52" t="s">
        <v>156</v>
      </c>
      <c r="G547" s="53">
        <v>42537</v>
      </c>
      <c r="H547" s="53" t="s">
        <v>153</v>
      </c>
    </row>
    <row r="548" spans="1:10" x14ac:dyDescent="0.25">
      <c r="A548" s="56" t="s">
        <v>1833</v>
      </c>
      <c r="B548" s="48">
        <v>9</v>
      </c>
      <c r="C548" s="51">
        <f>397367.5+9311.9</f>
        <v>406679.4</v>
      </c>
      <c r="D548" s="52" t="s">
        <v>2737</v>
      </c>
      <c r="E548" s="52" t="s">
        <v>2739</v>
      </c>
      <c r="F548" s="52" t="s">
        <v>156</v>
      </c>
      <c r="G548" s="53">
        <v>42537</v>
      </c>
      <c r="H548" s="53" t="s">
        <v>153</v>
      </c>
    </row>
    <row r="549" spans="1:10" x14ac:dyDescent="0.25">
      <c r="A549" t="s">
        <v>117</v>
      </c>
      <c r="B549" s="48">
        <v>10</v>
      </c>
      <c r="C549" s="60">
        <f>31000*G549</f>
        <v>571020</v>
      </c>
      <c r="D549" s="61" t="s">
        <v>2814</v>
      </c>
      <c r="E549" s="61" t="s">
        <v>3003</v>
      </c>
      <c r="F549" s="61" t="s">
        <v>2791</v>
      </c>
      <c r="G549" s="60">
        <v>18.420000000000002</v>
      </c>
      <c r="H549" s="61">
        <v>35.18</v>
      </c>
      <c r="I549" s="63">
        <v>42531</v>
      </c>
      <c r="J549" s="111" t="s">
        <v>124</v>
      </c>
    </row>
    <row r="550" spans="1:10" x14ac:dyDescent="0.25">
      <c r="A550" t="s">
        <v>117</v>
      </c>
      <c r="B550" s="48">
        <v>10</v>
      </c>
      <c r="C550" s="60">
        <f>31000*G550</f>
        <v>563270</v>
      </c>
      <c r="D550" s="61" t="s">
        <v>2815</v>
      </c>
      <c r="E550" s="61" t="s">
        <v>3004</v>
      </c>
      <c r="F550" s="61" t="s">
        <v>2791</v>
      </c>
      <c r="G550" s="60">
        <v>18.170000000000002</v>
      </c>
      <c r="H550" s="61">
        <v>34.880000000000003</v>
      </c>
      <c r="I550" s="63">
        <v>42531</v>
      </c>
      <c r="J550" s="111" t="s">
        <v>124</v>
      </c>
    </row>
    <row r="551" spans="1:10" x14ac:dyDescent="0.25">
      <c r="A551" t="s">
        <v>117</v>
      </c>
      <c r="B551" s="48">
        <v>10</v>
      </c>
      <c r="C551" s="51">
        <f>30360.21*G551</f>
        <v>566248.27671000001</v>
      </c>
      <c r="D551" s="52" t="s">
        <v>2784</v>
      </c>
      <c r="E551" s="52" t="s">
        <v>2785</v>
      </c>
      <c r="F551" s="52" t="s">
        <v>2786</v>
      </c>
      <c r="G551" s="70">
        <v>18.651</v>
      </c>
      <c r="H551" s="52">
        <v>32.72</v>
      </c>
      <c r="I551" s="53">
        <v>42527</v>
      </c>
      <c r="J551" s="118" t="s">
        <v>124</v>
      </c>
    </row>
    <row r="552" spans="1:10" s="50" customFormat="1" x14ac:dyDescent="0.25">
      <c r="A552" s="50" t="s">
        <v>117</v>
      </c>
      <c r="B552" s="56">
        <v>10</v>
      </c>
      <c r="C552" s="51">
        <v>59720</v>
      </c>
      <c r="D552" s="52" t="s">
        <v>2921</v>
      </c>
      <c r="E552" s="52" t="s">
        <v>2920</v>
      </c>
      <c r="F552" s="52" t="s">
        <v>2313</v>
      </c>
      <c r="G552" s="53">
        <v>42534</v>
      </c>
      <c r="H552" s="52" t="s">
        <v>952</v>
      </c>
      <c r="I552" s="58"/>
      <c r="J552" s="94"/>
    </row>
    <row r="553" spans="1:10" x14ac:dyDescent="0.25">
      <c r="A553" s="49" t="s">
        <v>118</v>
      </c>
      <c r="B553" s="48">
        <v>11</v>
      </c>
    </row>
    <row r="554" spans="1:10" x14ac:dyDescent="0.25">
      <c r="A554" s="49" t="s">
        <v>119</v>
      </c>
      <c r="B554" s="48">
        <v>12</v>
      </c>
    </row>
    <row r="555" spans="1:10" s="50" customFormat="1" x14ac:dyDescent="0.25">
      <c r="A555" s="50" t="s">
        <v>125</v>
      </c>
      <c r="B555" s="56">
        <v>13</v>
      </c>
      <c r="C555" s="60">
        <f>35000*G555</f>
        <v>657929.99999999988</v>
      </c>
      <c r="D555" s="61" t="s">
        <v>2816</v>
      </c>
      <c r="E555" s="61" t="s">
        <v>3002</v>
      </c>
      <c r="F555" s="61" t="s">
        <v>1320</v>
      </c>
      <c r="G555" s="62">
        <v>18.797999999999998</v>
      </c>
      <c r="H555" s="61">
        <v>36.6</v>
      </c>
      <c r="I555" s="63">
        <v>42534</v>
      </c>
      <c r="J555" s="111" t="s">
        <v>124</v>
      </c>
    </row>
    <row r="556" spans="1:10" s="50" customFormat="1" x14ac:dyDescent="0.25">
      <c r="A556" s="50" t="s">
        <v>125</v>
      </c>
      <c r="B556" s="56">
        <v>13</v>
      </c>
      <c r="C556" s="51">
        <v>111051.6</v>
      </c>
      <c r="D556" s="52" t="s">
        <v>2928</v>
      </c>
      <c r="E556" s="52" t="s">
        <v>2926</v>
      </c>
      <c r="F556" s="52" t="s">
        <v>2929</v>
      </c>
      <c r="G556" s="57">
        <v>42534</v>
      </c>
      <c r="H556" s="53" t="s">
        <v>153</v>
      </c>
      <c r="I556" s="58"/>
    </row>
    <row r="557" spans="1:10" x14ac:dyDescent="0.25">
      <c r="A557" t="s">
        <v>125</v>
      </c>
      <c r="B557" s="48">
        <v>13</v>
      </c>
      <c r="C557" s="51">
        <v>672126.48</v>
      </c>
      <c r="D557" s="52" t="s">
        <v>2774</v>
      </c>
      <c r="E557" s="52" t="s">
        <v>2773</v>
      </c>
      <c r="F557" s="52" t="s">
        <v>936</v>
      </c>
      <c r="G557" s="53">
        <v>42535</v>
      </c>
      <c r="H557" s="118" t="s">
        <v>124</v>
      </c>
    </row>
    <row r="558" spans="1:10" x14ac:dyDescent="0.25">
      <c r="A558" s="56" t="s">
        <v>125</v>
      </c>
      <c r="B558" s="48">
        <v>13</v>
      </c>
      <c r="C558" s="51">
        <f>802950+17907.5</f>
        <v>820857.5</v>
      </c>
      <c r="D558" s="52" t="s">
        <v>2781</v>
      </c>
      <c r="E558" s="52" t="s">
        <v>2741</v>
      </c>
      <c r="F558" s="52" t="s">
        <v>156</v>
      </c>
      <c r="G558" s="53">
        <v>42541</v>
      </c>
      <c r="H558" s="53" t="s">
        <v>153</v>
      </c>
    </row>
    <row r="559" spans="1:10" x14ac:dyDescent="0.25">
      <c r="A559" t="s">
        <v>125</v>
      </c>
      <c r="B559" s="48">
        <v>13</v>
      </c>
      <c r="C559" s="51">
        <f>598502.5+14254.37</f>
        <v>612756.87</v>
      </c>
      <c r="D559" s="52" t="s">
        <v>2782</v>
      </c>
      <c r="E559" s="52" t="s">
        <v>2748</v>
      </c>
      <c r="F559" s="52" t="s">
        <v>156</v>
      </c>
      <c r="G559" s="53">
        <v>42541</v>
      </c>
      <c r="H559" s="53" t="s">
        <v>153</v>
      </c>
    </row>
    <row r="560" spans="1:10" x14ac:dyDescent="0.25">
      <c r="A560" t="s">
        <v>125</v>
      </c>
      <c r="B560" s="48">
        <v>13</v>
      </c>
      <c r="C560" s="51">
        <f>584590+14326</f>
        <v>598916</v>
      </c>
      <c r="D560" s="52" t="s">
        <v>2783</v>
      </c>
      <c r="E560" s="52" t="s">
        <v>2757</v>
      </c>
      <c r="F560" s="52" t="s">
        <v>156</v>
      </c>
      <c r="G560" s="53">
        <v>42541</v>
      </c>
      <c r="H560" s="53" t="s">
        <v>153</v>
      </c>
    </row>
    <row r="561" spans="1:12" x14ac:dyDescent="0.25">
      <c r="A561" s="56" t="s">
        <v>128</v>
      </c>
      <c r="B561" s="48">
        <v>14</v>
      </c>
      <c r="C561" s="51">
        <f>775920+16403.27</f>
        <v>792323.27</v>
      </c>
      <c r="D561" s="52" t="s">
        <v>2820</v>
      </c>
      <c r="E561" s="52" t="s">
        <v>2787</v>
      </c>
      <c r="F561" s="52" t="s">
        <v>156</v>
      </c>
      <c r="G561" s="53">
        <v>42542</v>
      </c>
      <c r="H561" s="53" t="s">
        <v>153</v>
      </c>
    </row>
    <row r="562" spans="1:12" x14ac:dyDescent="0.25">
      <c r="A562" t="s">
        <v>128</v>
      </c>
      <c r="B562" s="48">
        <v>14</v>
      </c>
      <c r="C562" s="51">
        <f>305677.5+7163</f>
        <v>312840.5</v>
      </c>
      <c r="D562" s="52" t="s">
        <v>2821</v>
      </c>
      <c r="E562" s="52" t="s">
        <v>2788</v>
      </c>
      <c r="F562" s="52" t="s">
        <v>156</v>
      </c>
      <c r="G562" s="53">
        <v>42542</v>
      </c>
      <c r="H562" s="53" t="s">
        <v>153</v>
      </c>
    </row>
    <row r="563" spans="1:12" x14ac:dyDescent="0.25">
      <c r="A563" t="s">
        <v>120</v>
      </c>
      <c r="B563" s="48">
        <v>15</v>
      </c>
      <c r="C563" s="60">
        <f>36000*G563</f>
        <v>681156</v>
      </c>
      <c r="D563" s="61" t="s">
        <v>2938</v>
      </c>
      <c r="E563" s="61" t="s">
        <v>3031</v>
      </c>
      <c r="F563" s="61" t="s">
        <v>2964</v>
      </c>
      <c r="G563" s="62">
        <v>18.920999999999999</v>
      </c>
      <c r="H563" s="61">
        <v>36.72</v>
      </c>
      <c r="I563" s="63">
        <v>42536</v>
      </c>
      <c r="J563" s="111" t="s">
        <v>124</v>
      </c>
    </row>
    <row r="564" spans="1:12" x14ac:dyDescent="0.25">
      <c r="A564" t="s">
        <v>120</v>
      </c>
      <c r="B564" s="48">
        <v>15</v>
      </c>
      <c r="C564" s="51">
        <f>32843.87*G564</f>
        <v>609253.78850000002</v>
      </c>
      <c r="D564" s="52" t="s">
        <v>2817</v>
      </c>
      <c r="E564" s="52" t="s">
        <v>2819</v>
      </c>
      <c r="F564" s="52" t="s">
        <v>2818</v>
      </c>
      <c r="G564" s="51">
        <v>18.55</v>
      </c>
      <c r="H564" s="52">
        <v>32.950000000000003</v>
      </c>
      <c r="I564" s="53">
        <v>42529</v>
      </c>
      <c r="J564" s="118" t="s">
        <v>124</v>
      </c>
    </row>
    <row r="565" spans="1:12" x14ac:dyDescent="0.25">
      <c r="A565" s="56" t="s">
        <v>120</v>
      </c>
      <c r="B565" s="48">
        <v>15</v>
      </c>
      <c r="C565" s="51">
        <f>640372.5+14326</f>
        <v>654698.5</v>
      </c>
      <c r="D565" s="52" t="s">
        <v>2822</v>
      </c>
      <c r="E565" s="52" t="s">
        <v>2794</v>
      </c>
      <c r="F565" s="52" t="s">
        <v>156</v>
      </c>
      <c r="G565" s="57">
        <v>42544</v>
      </c>
      <c r="H565" s="53" t="s">
        <v>153</v>
      </c>
    </row>
    <row r="566" spans="1:12" x14ac:dyDescent="0.25">
      <c r="A566" t="s">
        <v>120</v>
      </c>
      <c r="B566" s="48">
        <v>15</v>
      </c>
      <c r="C566" s="51">
        <f>412870+9311.9</f>
        <v>422181.9</v>
      </c>
      <c r="D566" s="52" t="s">
        <v>2823</v>
      </c>
      <c r="E566" s="52" t="s">
        <v>2795</v>
      </c>
      <c r="F566" s="52" t="s">
        <v>156</v>
      </c>
      <c r="G566" s="57">
        <v>42544</v>
      </c>
      <c r="H566" s="53" t="s">
        <v>153</v>
      </c>
    </row>
    <row r="567" spans="1:12" x14ac:dyDescent="0.25">
      <c r="A567" t="s">
        <v>186</v>
      </c>
      <c r="B567" s="48">
        <v>16</v>
      </c>
      <c r="C567" s="60">
        <f t="shared" ref="C567:C568" si="22">36000*G567</f>
        <v>678600</v>
      </c>
      <c r="D567" s="61" t="s">
        <v>2939</v>
      </c>
      <c r="E567" s="61" t="s">
        <v>3074</v>
      </c>
      <c r="F567" s="61" t="s">
        <v>2964</v>
      </c>
      <c r="G567" s="60">
        <v>18.850000000000001</v>
      </c>
      <c r="H567" s="61">
        <v>37.520000000000003</v>
      </c>
      <c r="I567" s="63">
        <v>42537</v>
      </c>
      <c r="J567" s="111" t="s">
        <v>124</v>
      </c>
      <c r="K567" s="69" t="s">
        <v>3072</v>
      </c>
    </row>
    <row r="568" spans="1:12" x14ac:dyDescent="0.25">
      <c r="A568" t="s">
        <v>186</v>
      </c>
      <c r="B568" s="48">
        <v>16</v>
      </c>
      <c r="C568" s="60">
        <f t="shared" si="22"/>
        <v>678600</v>
      </c>
      <c r="D568" s="61" t="s">
        <v>2940</v>
      </c>
      <c r="E568" s="61" t="s">
        <v>3073</v>
      </c>
      <c r="F568" s="61" t="s">
        <v>2964</v>
      </c>
      <c r="G568" s="60">
        <v>18.850000000000001</v>
      </c>
      <c r="H568" s="61">
        <v>37.520000000000003</v>
      </c>
      <c r="I568" s="63">
        <v>42537</v>
      </c>
      <c r="J568" s="111" t="s">
        <v>124</v>
      </c>
      <c r="K568" s="69" t="s">
        <v>3071</v>
      </c>
    </row>
    <row r="569" spans="1:12" x14ac:dyDescent="0.25">
      <c r="A569" s="56" t="s">
        <v>1833</v>
      </c>
      <c r="B569" s="48">
        <v>16</v>
      </c>
      <c r="C569" s="51">
        <f>731665+17907.5</f>
        <v>749572.5</v>
      </c>
      <c r="D569" s="52" t="s">
        <v>2824</v>
      </c>
      <c r="E569" s="52" t="s">
        <v>2825</v>
      </c>
      <c r="F569" s="52" t="s">
        <v>156</v>
      </c>
      <c r="G569" s="53">
        <v>42545</v>
      </c>
      <c r="H569" s="53" t="s">
        <v>153</v>
      </c>
    </row>
    <row r="570" spans="1:12" x14ac:dyDescent="0.25">
      <c r="A570" t="s">
        <v>186</v>
      </c>
      <c r="B570" s="48">
        <v>16</v>
      </c>
      <c r="C570" s="51">
        <f>386635+9311.9</f>
        <v>395946.9</v>
      </c>
      <c r="D570" s="52" t="s">
        <v>2826</v>
      </c>
      <c r="E570" s="52" t="s">
        <v>2806</v>
      </c>
      <c r="F570" s="52" t="s">
        <v>156</v>
      </c>
      <c r="G570" s="53">
        <v>42545</v>
      </c>
      <c r="H570" s="53" t="s">
        <v>153</v>
      </c>
    </row>
    <row r="571" spans="1:12" x14ac:dyDescent="0.25">
      <c r="A571" t="s">
        <v>117</v>
      </c>
      <c r="B571" s="48">
        <v>17</v>
      </c>
      <c r="C571" s="60">
        <f>34000*G571</f>
        <v>644130</v>
      </c>
      <c r="D571" s="61" t="s">
        <v>2942</v>
      </c>
      <c r="E571" s="61" t="s">
        <v>3069</v>
      </c>
      <c r="F571" s="61" t="s">
        <v>2362</v>
      </c>
      <c r="G571" s="62">
        <v>18.945</v>
      </c>
      <c r="H571" s="61">
        <v>37.85</v>
      </c>
      <c r="I571" s="63">
        <v>42538</v>
      </c>
      <c r="J571" s="111" t="s">
        <v>124</v>
      </c>
    </row>
    <row r="572" spans="1:12" x14ac:dyDescent="0.25">
      <c r="A572" t="s">
        <v>117</v>
      </c>
      <c r="B572" s="48">
        <v>17</v>
      </c>
      <c r="C572" s="60">
        <f>34000*G572</f>
        <v>644130</v>
      </c>
      <c r="D572" s="61" t="s">
        <v>2943</v>
      </c>
      <c r="E572" s="61" t="s">
        <v>3070</v>
      </c>
      <c r="F572" s="61" t="s">
        <v>2362</v>
      </c>
      <c r="G572" s="62">
        <v>18.945</v>
      </c>
      <c r="H572" s="61">
        <v>37.880000000000003</v>
      </c>
      <c r="I572" s="63">
        <v>42538</v>
      </c>
      <c r="J572" s="111" t="s">
        <v>124</v>
      </c>
    </row>
    <row r="573" spans="1:12" x14ac:dyDescent="0.25">
      <c r="A573" t="s">
        <v>117</v>
      </c>
      <c r="B573" s="48">
        <v>17</v>
      </c>
      <c r="C573" s="51">
        <v>59344</v>
      </c>
      <c r="D573" s="52" t="s">
        <v>2921</v>
      </c>
      <c r="E573" s="52" t="s">
        <v>2922</v>
      </c>
      <c r="F573" s="52" t="s">
        <v>2313</v>
      </c>
      <c r="G573" s="53">
        <v>42542</v>
      </c>
      <c r="H573" s="52" t="s">
        <v>1225</v>
      </c>
    </row>
    <row r="574" spans="1:12" x14ac:dyDescent="0.25">
      <c r="A574" t="s">
        <v>117</v>
      </c>
      <c r="B574" s="48">
        <v>17</v>
      </c>
      <c r="C574" s="51">
        <v>333200</v>
      </c>
      <c r="D574" s="52" t="s">
        <v>2994</v>
      </c>
      <c r="E574" s="52" t="s">
        <v>2993</v>
      </c>
      <c r="F574" s="52" t="s">
        <v>2995</v>
      </c>
      <c r="G574" s="52">
        <v>83.3</v>
      </c>
      <c r="H574" s="53">
        <v>42568</v>
      </c>
      <c r="I574" s="52" t="s">
        <v>1225</v>
      </c>
    </row>
    <row r="575" spans="1:12" x14ac:dyDescent="0.25">
      <c r="A575" t="s">
        <v>117</v>
      </c>
      <c r="B575" s="48">
        <v>17</v>
      </c>
      <c r="C575" s="51">
        <f>(31139-600)*G575</f>
        <v>574072.12199999997</v>
      </c>
      <c r="D575" s="52" t="s">
        <v>2930</v>
      </c>
      <c r="E575" s="52" t="s">
        <v>2879</v>
      </c>
      <c r="F575" s="52" t="s">
        <v>2880</v>
      </c>
      <c r="G575" s="70">
        <v>18.797999999999998</v>
      </c>
      <c r="H575" s="52">
        <v>34.04</v>
      </c>
      <c r="I575" s="53">
        <v>42534</v>
      </c>
      <c r="J575" s="118" t="s">
        <v>124</v>
      </c>
      <c r="K575" s="69" t="s">
        <v>2881</v>
      </c>
      <c r="L575" s="69"/>
    </row>
    <row r="576" spans="1:12" x14ac:dyDescent="0.25">
      <c r="A576" s="49" t="s">
        <v>118</v>
      </c>
      <c r="B576" s="48">
        <v>18</v>
      </c>
    </row>
    <row r="577" spans="1:10" x14ac:dyDescent="0.25">
      <c r="A577" s="49" t="s">
        <v>119</v>
      </c>
      <c r="B577" s="48">
        <v>19</v>
      </c>
    </row>
    <row r="578" spans="1:10" s="50" customFormat="1" x14ac:dyDescent="0.25">
      <c r="A578" s="50" t="s">
        <v>125</v>
      </c>
      <c r="B578" s="56">
        <v>20</v>
      </c>
      <c r="C578" s="60">
        <f>36000*G578</f>
        <v>680040</v>
      </c>
      <c r="D578" s="61" t="s">
        <v>2941</v>
      </c>
      <c r="E578" s="61" t="s">
        <v>3075</v>
      </c>
      <c r="F578" s="61" t="s">
        <v>2964</v>
      </c>
      <c r="G578" s="60">
        <v>18.89</v>
      </c>
      <c r="H578" s="61">
        <v>37.94</v>
      </c>
      <c r="I578" s="63">
        <v>42541</v>
      </c>
      <c r="J578" s="111" t="s">
        <v>124</v>
      </c>
    </row>
    <row r="579" spans="1:10" x14ac:dyDescent="0.25">
      <c r="A579" t="s">
        <v>125</v>
      </c>
      <c r="B579" s="48">
        <v>20</v>
      </c>
      <c r="C579" s="51">
        <v>69042.69</v>
      </c>
      <c r="D579" s="52" t="s">
        <v>2778</v>
      </c>
      <c r="E579" s="52" t="s">
        <v>2777</v>
      </c>
      <c r="F579" s="52" t="s">
        <v>2775</v>
      </c>
      <c r="G579" s="53">
        <v>42545</v>
      </c>
      <c r="H579" s="52" t="s">
        <v>1225</v>
      </c>
    </row>
    <row r="580" spans="1:10" x14ac:dyDescent="0.25">
      <c r="A580" t="s">
        <v>125</v>
      </c>
      <c r="B580" s="48">
        <v>20</v>
      </c>
      <c r="C580" s="51">
        <v>78553.2</v>
      </c>
      <c r="D580" s="52" t="s">
        <v>3024</v>
      </c>
      <c r="E580" s="52" t="s">
        <v>3023</v>
      </c>
      <c r="F580" s="52" t="s">
        <v>2929</v>
      </c>
      <c r="G580" s="53">
        <v>42542</v>
      </c>
      <c r="H580" s="53" t="s">
        <v>153</v>
      </c>
    </row>
    <row r="581" spans="1:10" x14ac:dyDescent="0.25">
      <c r="A581" s="56" t="s">
        <v>1833</v>
      </c>
      <c r="B581" s="48">
        <v>20</v>
      </c>
      <c r="C581" s="51">
        <f>658127.5+16474.9</f>
        <v>674602.4</v>
      </c>
      <c r="D581" s="52" t="s">
        <v>2944</v>
      </c>
      <c r="E581" s="52" t="s">
        <v>2945</v>
      </c>
      <c r="F581" s="52" t="s">
        <v>156</v>
      </c>
      <c r="G581" s="53">
        <v>42548</v>
      </c>
      <c r="H581" s="53" t="s">
        <v>153</v>
      </c>
    </row>
    <row r="582" spans="1:10" x14ac:dyDescent="0.25">
      <c r="A582" t="s">
        <v>125</v>
      </c>
      <c r="B582" s="48">
        <v>20</v>
      </c>
      <c r="C582" s="51">
        <f>316542.5+7163</f>
        <v>323705.5</v>
      </c>
      <c r="D582" s="52" t="s">
        <v>2946</v>
      </c>
      <c r="E582" s="52" t="s">
        <v>2828</v>
      </c>
      <c r="F582" s="52" t="s">
        <v>156</v>
      </c>
      <c r="G582" s="53">
        <v>42548</v>
      </c>
      <c r="H582" s="53" t="s">
        <v>153</v>
      </c>
    </row>
    <row r="583" spans="1:10" x14ac:dyDescent="0.25">
      <c r="A583" t="s">
        <v>125</v>
      </c>
      <c r="B583" s="48">
        <v>20</v>
      </c>
      <c r="C583" s="51">
        <f>616390+14326-6163.9</f>
        <v>624552.1</v>
      </c>
      <c r="D583" s="52" t="s">
        <v>2950</v>
      </c>
      <c r="E583" s="52" t="s">
        <v>2873</v>
      </c>
      <c r="F583" s="52" t="s">
        <v>156</v>
      </c>
      <c r="G583" s="53">
        <v>42548</v>
      </c>
      <c r="H583" s="53" t="s">
        <v>153</v>
      </c>
    </row>
    <row r="584" spans="1:10" x14ac:dyDescent="0.25">
      <c r="A584" t="s">
        <v>128</v>
      </c>
      <c r="B584" s="48">
        <v>21</v>
      </c>
      <c r="C584" s="51">
        <f>32704.79*G584</f>
        <v>614784.64241999993</v>
      </c>
      <c r="D584" s="52" t="s">
        <v>2932</v>
      </c>
      <c r="E584" s="52" t="s">
        <v>2934</v>
      </c>
      <c r="F584" s="52" t="s">
        <v>2936</v>
      </c>
      <c r="G584" s="70">
        <v>18.797999999999998</v>
      </c>
      <c r="H584" s="52">
        <v>33.97</v>
      </c>
      <c r="I584" s="53">
        <v>42535</v>
      </c>
      <c r="J584" s="118" t="s">
        <v>124</v>
      </c>
    </row>
    <row r="585" spans="1:10" x14ac:dyDescent="0.25">
      <c r="A585" t="s">
        <v>128</v>
      </c>
      <c r="B585" s="48">
        <v>21</v>
      </c>
      <c r="C585" s="51">
        <f>32180.08*G585</f>
        <v>604921.14384000003</v>
      </c>
      <c r="D585" s="52" t="s">
        <v>2933</v>
      </c>
      <c r="E585" s="52" t="s">
        <v>2935</v>
      </c>
      <c r="F585" s="52" t="s">
        <v>2937</v>
      </c>
      <c r="G585" s="70">
        <v>18.797999999999998</v>
      </c>
      <c r="H585" s="52">
        <v>34.020000000000003</v>
      </c>
      <c r="I585" s="53">
        <v>42535</v>
      </c>
      <c r="J585" s="118" t="s">
        <v>124</v>
      </c>
    </row>
    <row r="586" spans="1:10" x14ac:dyDescent="0.25">
      <c r="A586" t="s">
        <v>128</v>
      </c>
      <c r="B586" s="48">
        <v>21</v>
      </c>
      <c r="C586" s="51">
        <f>624472.5+14326</f>
        <v>638798.5</v>
      </c>
      <c r="D586" s="52" t="s">
        <v>2951</v>
      </c>
      <c r="E586" s="52" t="s">
        <v>2878</v>
      </c>
      <c r="F586" s="52" t="s">
        <v>156</v>
      </c>
      <c r="G586" s="53">
        <v>42548</v>
      </c>
      <c r="H586" s="53" t="s">
        <v>153</v>
      </c>
      <c r="I586" s="75"/>
    </row>
    <row r="587" spans="1:10" x14ac:dyDescent="0.25">
      <c r="A587" s="56" t="s">
        <v>128</v>
      </c>
      <c r="B587" s="48">
        <v>21</v>
      </c>
      <c r="C587" s="51">
        <f>617317.5+14326</f>
        <v>631643.5</v>
      </c>
      <c r="D587" s="52" t="s">
        <v>2952</v>
      </c>
      <c r="E587" s="52" t="s">
        <v>2882</v>
      </c>
      <c r="F587" s="52" t="s">
        <v>156</v>
      </c>
      <c r="G587" s="53">
        <v>42549</v>
      </c>
      <c r="H587" s="53" t="s">
        <v>153</v>
      </c>
      <c r="I587" s="75"/>
    </row>
    <row r="588" spans="1:10" x14ac:dyDescent="0.25">
      <c r="A588" t="s">
        <v>120</v>
      </c>
      <c r="B588" s="48">
        <v>22</v>
      </c>
      <c r="C588" s="60">
        <f>40000*G588</f>
        <v>747200</v>
      </c>
      <c r="D588" s="61" t="s">
        <v>3013</v>
      </c>
      <c r="E588" s="61" t="s">
        <v>3129</v>
      </c>
      <c r="F588" s="61" t="s">
        <v>3012</v>
      </c>
      <c r="G588" s="62">
        <v>18.68</v>
      </c>
      <c r="H588" s="61">
        <v>38.22</v>
      </c>
      <c r="I588" s="63">
        <v>42543</v>
      </c>
      <c r="J588" s="111" t="s">
        <v>124</v>
      </c>
    </row>
    <row r="589" spans="1:10" x14ac:dyDescent="0.25">
      <c r="A589" t="s">
        <v>120</v>
      </c>
      <c r="B589" s="48">
        <v>22</v>
      </c>
      <c r="C589" s="51">
        <f>736965+17835.87</f>
        <v>754800.87</v>
      </c>
      <c r="D589" s="52" t="s">
        <v>2953</v>
      </c>
      <c r="E589" s="52" t="s">
        <v>2954</v>
      </c>
      <c r="F589" s="52" t="s">
        <v>156</v>
      </c>
      <c r="G589" s="53">
        <v>42549</v>
      </c>
      <c r="H589" s="53" t="s">
        <v>153</v>
      </c>
      <c r="I589" s="75"/>
    </row>
    <row r="590" spans="1:10" x14ac:dyDescent="0.25">
      <c r="A590" s="56" t="s">
        <v>120</v>
      </c>
      <c r="B590" s="48">
        <v>22</v>
      </c>
      <c r="C590" s="51">
        <f>387430+9311.9</f>
        <v>396741.9</v>
      </c>
      <c r="D590" s="52" t="s">
        <v>2955</v>
      </c>
      <c r="E590" s="52" t="s">
        <v>2912</v>
      </c>
      <c r="F590" s="52" t="s">
        <v>156</v>
      </c>
      <c r="G590" s="53">
        <v>42555</v>
      </c>
      <c r="H590" s="53" t="s">
        <v>153</v>
      </c>
    </row>
    <row r="591" spans="1:10" x14ac:dyDescent="0.25">
      <c r="A591" t="s">
        <v>186</v>
      </c>
      <c r="B591" s="48">
        <v>23</v>
      </c>
      <c r="C591" s="51">
        <f>888030+16761.42</f>
        <v>904791.42</v>
      </c>
      <c r="D591" s="52" t="s">
        <v>2956</v>
      </c>
      <c r="E591" s="52" t="s">
        <v>2917</v>
      </c>
      <c r="F591" s="52" t="s">
        <v>156</v>
      </c>
      <c r="G591" s="53">
        <v>42550</v>
      </c>
      <c r="H591" s="53" t="s">
        <v>153</v>
      </c>
    </row>
    <row r="592" spans="1:10" x14ac:dyDescent="0.25">
      <c r="A592" t="s">
        <v>1833</v>
      </c>
      <c r="B592" s="48">
        <v>23</v>
      </c>
      <c r="C592" s="51">
        <f>473985+10457.98</f>
        <v>484442.98</v>
      </c>
      <c r="D592" s="52" t="s">
        <v>2957</v>
      </c>
      <c r="E592" s="52" t="s">
        <v>2918</v>
      </c>
      <c r="F592" s="52" t="s">
        <v>156</v>
      </c>
      <c r="G592" s="53">
        <v>42552</v>
      </c>
      <c r="H592" s="53" t="s">
        <v>153</v>
      </c>
    </row>
    <row r="593" spans="1:11" x14ac:dyDescent="0.25">
      <c r="A593" t="s">
        <v>186</v>
      </c>
      <c r="B593" s="48">
        <v>23</v>
      </c>
      <c r="C593" s="60">
        <f t="shared" ref="C593:C594" si="23">40000*G593</f>
        <v>743600</v>
      </c>
      <c r="D593" s="61" t="s">
        <v>3036</v>
      </c>
      <c r="E593" s="61" t="s">
        <v>3130</v>
      </c>
      <c r="F593" s="61" t="s">
        <v>3012</v>
      </c>
      <c r="G593" s="61">
        <v>18.59</v>
      </c>
      <c r="H593" s="61">
        <v>38.26</v>
      </c>
      <c r="I593" s="63">
        <v>42544</v>
      </c>
      <c r="J593" s="111" t="s">
        <v>124</v>
      </c>
    </row>
    <row r="594" spans="1:11" x14ac:dyDescent="0.25">
      <c r="A594" t="s">
        <v>1833</v>
      </c>
      <c r="B594" s="48">
        <v>23</v>
      </c>
      <c r="C594" s="60">
        <f t="shared" si="23"/>
        <v>743600</v>
      </c>
      <c r="D594" s="61" t="s">
        <v>3037</v>
      </c>
      <c r="E594" s="61" t="s">
        <v>3131</v>
      </c>
      <c r="F594" s="61" t="s">
        <v>3012</v>
      </c>
      <c r="G594" s="61">
        <v>18.59</v>
      </c>
      <c r="H594" s="61">
        <v>38.26</v>
      </c>
      <c r="I594" s="63">
        <v>42544</v>
      </c>
      <c r="J594" s="111" t="s">
        <v>124</v>
      </c>
    </row>
    <row r="595" spans="1:11" x14ac:dyDescent="0.25">
      <c r="A595" t="s">
        <v>117</v>
      </c>
      <c r="B595" s="48">
        <v>24</v>
      </c>
      <c r="C595" s="60">
        <f>37000*G595</f>
        <v>686350</v>
      </c>
      <c r="D595" s="61" t="s">
        <v>3038</v>
      </c>
      <c r="E595" s="61" t="s">
        <v>3133</v>
      </c>
      <c r="F595" s="61" t="s">
        <v>2275</v>
      </c>
      <c r="G595" s="61">
        <v>18.55</v>
      </c>
      <c r="H595" s="61">
        <v>38.32</v>
      </c>
      <c r="I595" s="63">
        <v>42545</v>
      </c>
      <c r="J595" s="111" t="s">
        <v>124</v>
      </c>
    </row>
    <row r="596" spans="1:11" x14ac:dyDescent="0.25">
      <c r="A596" t="s">
        <v>117</v>
      </c>
      <c r="B596" s="48">
        <v>24</v>
      </c>
      <c r="C596" s="60">
        <f>37000*G596</f>
        <v>681540.00000000012</v>
      </c>
      <c r="D596" s="61" t="s">
        <v>3039</v>
      </c>
      <c r="E596" s="61" t="s">
        <v>3134</v>
      </c>
      <c r="F596" s="61" t="s">
        <v>2275</v>
      </c>
      <c r="G596" s="61">
        <v>18.420000000000002</v>
      </c>
      <c r="H596" s="61">
        <v>38.07</v>
      </c>
      <c r="I596" s="63">
        <v>42545</v>
      </c>
      <c r="J596" s="111" t="s">
        <v>124</v>
      </c>
    </row>
    <row r="597" spans="1:11" x14ac:dyDescent="0.25">
      <c r="A597" t="s">
        <v>117</v>
      </c>
      <c r="B597" s="48">
        <v>24</v>
      </c>
      <c r="C597" s="51">
        <v>63484.800000000003</v>
      </c>
      <c r="D597" s="52" t="s">
        <v>3027</v>
      </c>
      <c r="E597" s="52" t="s">
        <v>3026</v>
      </c>
      <c r="F597" s="52" t="s">
        <v>2313</v>
      </c>
      <c r="G597" s="53">
        <v>42545</v>
      </c>
      <c r="H597" s="52" t="s">
        <v>1225</v>
      </c>
    </row>
    <row r="598" spans="1:11" x14ac:dyDescent="0.25">
      <c r="A598" t="s">
        <v>117</v>
      </c>
      <c r="B598" s="48">
        <v>24</v>
      </c>
      <c r="C598" s="51">
        <v>87120</v>
      </c>
      <c r="D598" s="52" t="s">
        <v>3030</v>
      </c>
      <c r="E598" s="52" t="s">
        <v>3029</v>
      </c>
      <c r="F598" s="52" t="s">
        <v>2929</v>
      </c>
      <c r="G598" s="53">
        <v>42545</v>
      </c>
      <c r="H598" s="53" t="s">
        <v>153</v>
      </c>
    </row>
    <row r="599" spans="1:11" x14ac:dyDescent="0.25">
      <c r="A599" s="49" t="s">
        <v>118</v>
      </c>
      <c r="B599" s="48">
        <v>25</v>
      </c>
    </row>
    <row r="600" spans="1:11" x14ac:dyDescent="0.25">
      <c r="A600" s="49" t="s">
        <v>119</v>
      </c>
      <c r="B600" s="48">
        <v>26</v>
      </c>
    </row>
    <row r="601" spans="1:11" s="50" customFormat="1" x14ac:dyDescent="0.25">
      <c r="A601" t="s">
        <v>125</v>
      </c>
      <c r="B601" s="48">
        <v>27</v>
      </c>
      <c r="C601" s="60">
        <f>36000*G601</f>
        <v>685440</v>
      </c>
      <c r="D601" s="61" t="s">
        <v>3040</v>
      </c>
      <c r="E601" s="82" t="s">
        <v>487</v>
      </c>
      <c r="F601" s="61" t="s">
        <v>2964</v>
      </c>
      <c r="G601" s="61">
        <v>19.04</v>
      </c>
      <c r="H601" s="61"/>
      <c r="I601" s="63">
        <v>42548</v>
      </c>
      <c r="J601" s="111" t="s">
        <v>124</v>
      </c>
      <c r="K601" s="50" t="s">
        <v>3241</v>
      </c>
    </row>
    <row r="602" spans="1:11" s="50" customFormat="1" x14ac:dyDescent="0.25">
      <c r="A602" t="s">
        <v>125</v>
      </c>
      <c r="B602" s="48">
        <v>27</v>
      </c>
      <c r="C602" s="60">
        <f>36000*G602</f>
        <v>683208</v>
      </c>
      <c r="D602" s="61" t="s">
        <v>3041</v>
      </c>
      <c r="E602" s="61" t="s">
        <v>3175</v>
      </c>
      <c r="F602" s="61" t="s">
        <v>2964</v>
      </c>
      <c r="G602" s="61">
        <v>18.978000000000002</v>
      </c>
      <c r="H602" s="61">
        <v>41.01</v>
      </c>
      <c r="I602" s="63">
        <v>42549</v>
      </c>
      <c r="J602" s="111" t="s">
        <v>124</v>
      </c>
    </row>
    <row r="603" spans="1:11" x14ac:dyDescent="0.25">
      <c r="A603" t="s">
        <v>125</v>
      </c>
      <c r="B603" s="48">
        <v>27</v>
      </c>
      <c r="C603" s="51">
        <f>33141.91*G603</f>
        <v>626050.6799000001</v>
      </c>
      <c r="D603" s="52" t="s">
        <v>2996</v>
      </c>
      <c r="E603" s="52" t="s">
        <v>2997</v>
      </c>
      <c r="F603" s="52" t="s">
        <v>2998</v>
      </c>
      <c r="G603" s="52">
        <v>18.89</v>
      </c>
      <c r="H603" s="52">
        <v>35.33</v>
      </c>
      <c r="I603" s="53">
        <v>42541</v>
      </c>
      <c r="J603" s="118" t="s">
        <v>124</v>
      </c>
    </row>
    <row r="604" spans="1:11" s="50" customFormat="1" x14ac:dyDescent="0.25">
      <c r="A604" s="50" t="s">
        <v>125</v>
      </c>
      <c r="B604" s="56">
        <v>27</v>
      </c>
      <c r="C604" s="51">
        <f>102445.2+7395</f>
        <v>109840.2</v>
      </c>
      <c r="D604" s="52" t="s">
        <v>3159</v>
      </c>
      <c r="E604" s="52" t="s">
        <v>3160</v>
      </c>
      <c r="F604" s="52" t="s">
        <v>3161</v>
      </c>
      <c r="G604" s="53">
        <v>42551</v>
      </c>
      <c r="H604" s="53" t="s">
        <v>153</v>
      </c>
      <c r="I604" s="58"/>
      <c r="J604" s="94"/>
    </row>
    <row r="605" spans="1:11" x14ac:dyDescent="0.25">
      <c r="A605" t="s">
        <v>125</v>
      </c>
      <c r="B605" s="48">
        <v>27</v>
      </c>
      <c r="C605" s="51">
        <f>790580+17907.5</f>
        <v>808487.5</v>
      </c>
      <c r="D605" s="52" t="s">
        <v>3135</v>
      </c>
      <c r="E605" s="52" t="s">
        <v>2947</v>
      </c>
      <c r="F605" s="52" t="s">
        <v>156</v>
      </c>
      <c r="G605" s="53">
        <v>42555</v>
      </c>
      <c r="H605" s="53" t="s">
        <v>153</v>
      </c>
    </row>
    <row r="606" spans="1:11" x14ac:dyDescent="0.25">
      <c r="A606" t="s">
        <v>125</v>
      </c>
      <c r="B606" s="48">
        <v>27</v>
      </c>
      <c r="C606" s="51">
        <f>410900+9311.9-3160.64</f>
        <v>417051.26</v>
      </c>
      <c r="D606" s="52" t="s">
        <v>3136</v>
      </c>
      <c r="E606" s="52" t="s">
        <v>2948</v>
      </c>
      <c r="F606" s="52" t="s">
        <v>156</v>
      </c>
      <c r="G606" s="53">
        <v>42555</v>
      </c>
      <c r="H606" s="53" t="s">
        <v>153</v>
      </c>
    </row>
    <row r="607" spans="1:11" x14ac:dyDescent="0.25">
      <c r="A607" t="s">
        <v>125</v>
      </c>
      <c r="B607" s="48">
        <v>27</v>
      </c>
      <c r="C607" s="51">
        <f>644280+14326</f>
        <v>658606</v>
      </c>
      <c r="D607" s="52" t="s">
        <v>3137</v>
      </c>
      <c r="E607" s="52" t="s">
        <v>2963</v>
      </c>
      <c r="F607" s="52" t="s">
        <v>156</v>
      </c>
      <c r="G607" s="53">
        <v>42555</v>
      </c>
      <c r="H607" s="53" t="s">
        <v>153</v>
      </c>
    </row>
    <row r="608" spans="1:11" x14ac:dyDescent="0.25">
      <c r="A608" s="56" t="s">
        <v>125</v>
      </c>
      <c r="B608" s="48">
        <v>27</v>
      </c>
      <c r="C608" s="51">
        <f>663040+14326</f>
        <v>677366</v>
      </c>
      <c r="D608" s="52" t="s">
        <v>3138</v>
      </c>
      <c r="E608" s="52" t="s">
        <v>2968</v>
      </c>
      <c r="F608" s="52" t="s">
        <v>156</v>
      </c>
      <c r="G608" s="53">
        <v>42556</v>
      </c>
      <c r="H608" s="53" t="s">
        <v>153</v>
      </c>
    </row>
    <row r="609" spans="1:10" x14ac:dyDescent="0.25">
      <c r="A609" t="s">
        <v>128</v>
      </c>
      <c r="B609" s="48">
        <v>28</v>
      </c>
      <c r="C609" s="51">
        <f>644840+14326+193200+4297.8-9100</f>
        <v>847563.8</v>
      </c>
      <c r="D609" s="52" t="s">
        <v>3139</v>
      </c>
      <c r="E609" s="96" t="s">
        <v>2972</v>
      </c>
      <c r="F609" s="52" t="s">
        <v>156</v>
      </c>
      <c r="G609" s="53">
        <v>42557</v>
      </c>
      <c r="H609" s="53" t="s">
        <v>153</v>
      </c>
    </row>
    <row r="610" spans="1:10" x14ac:dyDescent="0.25">
      <c r="A610" t="s">
        <v>128</v>
      </c>
      <c r="B610" s="48">
        <v>28</v>
      </c>
      <c r="C610" s="51">
        <f>33644.72*G610</f>
        <v>629088.97456</v>
      </c>
      <c r="D610" s="52" t="s">
        <v>3014</v>
      </c>
      <c r="E610" s="52" t="s">
        <v>3016</v>
      </c>
      <c r="F610" s="52" t="s">
        <v>3017</v>
      </c>
      <c r="G610" s="52">
        <v>18.698</v>
      </c>
      <c r="H610" s="52">
        <v>35.340000000000003</v>
      </c>
      <c r="I610" s="53">
        <v>42542</v>
      </c>
      <c r="J610" s="118" t="s">
        <v>124</v>
      </c>
    </row>
    <row r="611" spans="1:10" x14ac:dyDescent="0.25">
      <c r="A611" t="s">
        <v>128</v>
      </c>
      <c r="B611" s="48">
        <v>28</v>
      </c>
      <c r="C611" s="51">
        <f>34123.82*G611</f>
        <v>638047.18636000005</v>
      </c>
      <c r="D611" s="52" t="s">
        <v>3015</v>
      </c>
      <c r="E611" s="52" t="s">
        <v>3018</v>
      </c>
      <c r="F611" s="52" t="s">
        <v>3019</v>
      </c>
      <c r="G611" s="52">
        <v>18.698</v>
      </c>
      <c r="H611" s="52">
        <v>35.340000000000003</v>
      </c>
      <c r="I611" s="53">
        <v>42542</v>
      </c>
      <c r="J611" s="118" t="s">
        <v>124</v>
      </c>
    </row>
    <row r="612" spans="1:10" x14ac:dyDescent="0.25">
      <c r="A612" t="s">
        <v>120</v>
      </c>
      <c r="B612" s="48">
        <v>29</v>
      </c>
      <c r="C612" s="60">
        <f>37500*G612</f>
        <v>706875</v>
      </c>
      <c r="D612" s="61" t="s">
        <v>3263</v>
      </c>
      <c r="E612" s="61" t="s">
        <v>3434</v>
      </c>
      <c r="F612" s="61" t="s">
        <v>3117</v>
      </c>
      <c r="G612" s="61">
        <v>18.850000000000001</v>
      </c>
      <c r="H612" s="61">
        <v>40.19</v>
      </c>
      <c r="I612" s="63">
        <v>42550</v>
      </c>
      <c r="J612" s="61" t="s">
        <v>952</v>
      </c>
    </row>
    <row r="613" spans="1:10" s="50" customFormat="1" x14ac:dyDescent="0.25">
      <c r="A613" s="50" t="s">
        <v>120</v>
      </c>
      <c r="B613" s="56">
        <v>29</v>
      </c>
      <c r="C613" s="51">
        <f>804160+17835.87</f>
        <v>821995.87</v>
      </c>
      <c r="D613" s="52" t="s">
        <v>3140</v>
      </c>
      <c r="E613" s="52" t="s">
        <v>3141</v>
      </c>
      <c r="F613" s="52" t="s">
        <v>156</v>
      </c>
      <c r="G613" s="53">
        <v>42558</v>
      </c>
      <c r="H613" s="53" t="s">
        <v>153</v>
      </c>
      <c r="I613" s="58"/>
    </row>
    <row r="614" spans="1:10" s="50" customFormat="1" x14ac:dyDescent="0.25">
      <c r="A614" s="56" t="s">
        <v>120</v>
      </c>
      <c r="B614" s="56">
        <v>29</v>
      </c>
      <c r="C614" s="51">
        <f>413700+9240.27</f>
        <v>422940.27</v>
      </c>
      <c r="D614" s="52" t="s">
        <v>3140</v>
      </c>
      <c r="E614" s="52" t="s">
        <v>3142</v>
      </c>
      <c r="F614" s="52" t="s">
        <v>156</v>
      </c>
      <c r="G614" s="53">
        <v>42559</v>
      </c>
      <c r="H614" s="53" t="s">
        <v>153</v>
      </c>
      <c r="I614" s="58"/>
    </row>
    <row r="615" spans="1:10" s="50" customFormat="1" x14ac:dyDescent="0.25">
      <c r="A615" s="50" t="s">
        <v>120</v>
      </c>
      <c r="B615" s="56">
        <v>29</v>
      </c>
      <c r="C615" s="51">
        <f>214354+70875+174368.8</f>
        <v>459597.8</v>
      </c>
      <c r="D615" s="52" t="s">
        <v>3201</v>
      </c>
      <c r="E615" s="52" t="s">
        <v>3198</v>
      </c>
      <c r="F615" s="52" t="s">
        <v>3202</v>
      </c>
      <c r="G615" s="52" t="s">
        <v>3203</v>
      </c>
      <c r="H615" s="52" t="s">
        <v>3204</v>
      </c>
      <c r="I615" s="53"/>
    </row>
    <row r="616" spans="1:10" s="50" customFormat="1" x14ac:dyDescent="0.25">
      <c r="A616" s="50" t="s">
        <v>186</v>
      </c>
      <c r="B616" s="56">
        <v>30</v>
      </c>
      <c r="C616" s="51">
        <f>823200+17907.5</f>
        <v>841107.5</v>
      </c>
      <c r="D616" s="52" t="s">
        <v>3143</v>
      </c>
      <c r="E616" s="52" t="s">
        <v>3144</v>
      </c>
      <c r="F616" s="52" t="s">
        <v>156</v>
      </c>
      <c r="G616" s="53">
        <v>42562</v>
      </c>
      <c r="H616" s="53" t="s">
        <v>153</v>
      </c>
      <c r="I616" s="58"/>
    </row>
    <row r="617" spans="1:10" s="50" customFormat="1" x14ac:dyDescent="0.25">
      <c r="A617" s="50" t="s">
        <v>186</v>
      </c>
      <c r="B617" s="56">
        <v>30</v>
      </c>
      <c r="C617" s="51">
        <f>375900+9311.9</f>
        <v>385211.9</v>
      </c>
      <c r="D617" s="52" t="s">
        <v>3146</v>
      </c>
      <c r="E617" s="52" t="s">
        <v>3145</v>
      </c>
      <c r="F617" s="52" t="s">
        <v>156</v>
      </c>
      <c r="G617" s="53">
        <v>42562</v>
      </c>
      <c r="H617" s="53" t="s">
        <v>153</v>
      </c>
      <c r="I617" s="58"/>
    </row>
    <row r="618" spans="1:10" x14ac:dyDescent="0.25">
      <c r="A618" t="s">
        <v>1833</v>
      </c>
      <c r="B618" s="48">
        <v>30</v>
      </c>
      <c r="C618" s="60">
        <f t="shared" ref="C618:C619" si="24">37500*G618</f>
        <v>697875</v>
      </c>
      <c r="D618" s="61" t="s">
        <v>3087</v>
      </c>
      <c r="E618" s="61" t="s">
        <v>3294</v>
      </c>
      <c r="F618" s="61" t="s">
        <v>3117</v>
      </c>
      <c r="G618" s="61">
        <v>18.61</v>
      </c>
      <c r="H618" s="61">
        <v>39.46</v>
      </c>
      <c r="I618" s="63">
        <v>42551</v>
      </c>
      <c r="J618" s="111" t="s">
        <v>124</v>
      </c>
    </row>
    <row r="619" spans="1:10" x14ac:dyDescent="0.25">
      <c r="A619" t="s">
        <v>186</v>
      </c>
      <c r="B619" s="48">
        <v>30</v>
      </c>
      <c r="C619" s="60">
        <f t="shared" si="24"/>
        <v>697875</v>
      </c>
      <c r="D619" s="61" t="s">
        <v>3088</v>
      </c>
      <c r="E619" s="61" t="s">
        <v>3262</v>
      </c>
      <c r="F619" s="61" t="s">
        <v>3117</v>
      </c>
      <c r="G619" s="61">
        <v>18.61</v>
      </c>
      <c r="H619" s="61">
        <v>39.47</v>
      </c>
      <c r="I619" s="63">
        <v>42551</v>
      </c>
      <c r="J619" s="111" t="s">
        <v>124</v>
      </c>
    </row>
    <row r="620" spans="1:10" x14ac:dyDescent="0.25">
      <c r="A620" s="47" t="s">
        <v>3076</v>
      </c>
    </row>
    <row r="621" spans="1:10" x14ac:dyDescent="0.25">
      <c r="A621" t="s">
        <v>117</v>
      </c>
      <c r="B621" s="48">
        <v>1</v>
      </c>
      <c r="C621" s="60">
        <f>39000*G621</f>
        <v>723840</v>
      </c>
      <c r="D621" s="61" t="s">
        <v>3089</v>
      </c>
      <c r="E621" s="61" t="s">
        <v>3295</v>
      </c>
      <c r="F621" s="61" t="s">
        <v>3128</v>
      </c>
      <c r="G621" s="61">
        <v>18.559999999999999</v>
      </c>
      <c r="H621" s="61">
        <v>39.369999999999997</v>
      </c>
      <c r="I621" s="63">
        <v>42552</v>
      </c>
      <c r="J621" s="61" t="s">
        <v>952</v>
      </c>
    </row>
    <row r="622" spans="1:10" x14ac:dyDescent="0.25">
      <c r="A622" t="s">
        <v>117</v>
      </c>
      <c r="B622" s="48">
        <v>1</v>
      </c>
      <c r="C622" s="60">
        <f>39000*G622</f>
        <v>723840</v>
      </c>
      <c r="D622" s="61" t="s">
        <v>3090</v>
      </c>
      <c r="E622" s="61" t="s">
        <v>3296</v>
      </c>
      <c r="F622" s="61" t="s">
        <v>3128</v>
      </c>
      <c r="G622" s="61">
        <v>18.559999999999999</v>
      </c>
      <c r="H622" s="61">
        <v>39.36</v>
      </c>
      <c r="I622" s="63">
        <v>42552</v>
      </c>
      <c r="J622" s="111" t="s">
        <v>124</v>
      </c>
    </row>
    <row r="623" spans="1:10" x14ac:dyDescent="0.25">
      <c r="A623" t="s">
        <v>117</v>
      </c>
      <c r="B623" s="48">
        <v>1</v>
      </c>
      <c r="C623" s="60">
        <f>40000*G623</f>
        <v>742400</v>
      </c>
      <c r="D623" s="61" t="s">
        <v>3091</v>
      </c>
      <c r="E623" s="61" t="s">
        <v>3297</v>
      </c>
      <c r="F623" s="61" t="s">
        <v>3012</v>
      </c>
      <c r="G623" s="61">
        <v>18.559999999999999</v>
      </c>
      <c r="H623" s="61">
        <v>39.53</v>
      </c>
      <c r="I623" s="63">
        <v>42551</v>
      </c>
      <c r="J623" s="111" t="s">
        <v>124</v>
      </c>
    </row>
    <row r="624" spans="1:10" x14ac:dyDescent="0.25">
      <c r="A624" t="s">
        <v>117</v>
      </c>
      <c r="B624" s="48">
        <v>1</v>
      </c>
      <c r="C624" s="51">
        <f>34332.97*G624</f>
        <v>626920.03220000013</v>
      </c>
      <c r="D624" s="52" t="s">
        <v>3077</v>
      </c>
      <c r="E624" s="52" t="s">
        <v>3078</v>
      </c>
      <c r="F624" s="52" t="s">
        <v>3079</v>
      </c>
      <c r="G624" s="52">
        <v>18.260000000000002</v>
      </c>
      <c r="H624" s="52">
        <v>35.200000000000003</v>
      </c>
      <c r="I624" s="53">
        <v>42517</v>
      </c>
      <c r="J624" s="52" t="s">
        <v>952</v>
      </c>
    </row>
    <row r="625" spans="1:11" x14ac:dyDescent="0.25">
      <c r="A625" s="49" t="s">
        <v>118</v>
      </c>
      <c r="B625" s="48">
        <v>2</v>
      </c>
    </row>
    <row r="626" spans="1:11" x14ac:dyDescent="0.25">
      <c r="A626" s="49" t="s">
        <v>119</v>
      </c>
      <c r="B626" s="48">
        <v>3</v>
      </c>
    </row>
    <row r="627" spans="1:11" x14ac:dyDescent="0.25">
      <c r="A627" t="s">
        <v>125</v>
      </c>
      <c r="B627" s="48">
        <v>4</v>
      </c>
      <c r="C627" s="51">
        <v>66736.800000000003</v>
      </c>
      <c r="D627" s="52" t="s">
        <v>3155</v>
      </c>
      <c r="E627" s="52" t="s">
        <v>3154</v>
      </c>
      <c r="F627" s="52" t="s">
        <v>2520</v>
      </c>
      <c r="G627" s="53">
        <v>42551</v>
      </c>
      <c r="H627" s="52" t="s">
        <v>1225</v>
      </c>
    </row>
    <row r="628" spans="1:11" x14ac:dyDescent="0.25">
      <c r="A628" t="s">
        <v>125</v>
      </c>
      <c r="B628" s="48">
        <v>4</v>
      </c>
      <c r="C628" s="51">
        <f>771540+17907.5</f>
        <v>789447.5</v>
      </c>
      <c r="D628" s="52" t="s">
        <v>3209</v>
      </c>
      <c r="E628" s="52" t="s">
        <v>3210</v>
      </c>
      <c r="F628" s="52" t="s">
        <v>156</v>
      </c>
      <c r="G628" s="53">
        <v>42562</v>
      </c>
      <c r="H628" s="53" t="s">
        <v>153</v>
      </c>
    </row>
    <row r="629" spans="1:11" x14ac:dyDescent="0.25">
      <c r="A629" s="50" t="s">
        <v>125</v>
      </c>
      <c r="B629" s="48">
        <v>4</v>
      </c>
      <c r="C629" s="51">
        <f>411460+9311.9</f>
        <v>420771.9</v>
      </c>
      <c r="D629" s="52" t="s">
        <v>3211</v>
      </c>
      <c r="E629" s="52" t="s">
        <v>3006</v>
      </c>
      <c r="F629" s="52" t="s">
        <v>156</v>
      </c>
      <c r="G629" s="53">
        <v>42564</v>
      </c>
      <c r="H629" s="53" t="s">
        <v>153</v>
      </c>
    </row>
    <row r="630" spans="1:11" x14ac:dyDescent="0.25">
      <c r="A630" t="s">
        <v>125</v>
      </c>
      <c r="B630" s="48">
        <v>4</v>
      </c>
      <c r="C630" s="51">
        <f>649040+14254.37</f>
        <v>663294.37</v>
      </c>
      <c r="D630" s="52" t="s">
        <v>3212</v>
      </c>
      <c r="E630" s="52" t="s">
        <v>3213</v>
      </c>
      <c r="F630" s="52" t="s">
        <v>156</v>
      </c>
      <c r="G630" s="53">
        <v>42563</v>
      </c>
      <c r="H630" s="53" t="s">
        <v>153</v>
      </c>
    </row>
    <row r="631" spans="1:11" x14ac:dyDescent="0.25">
      <c r="A631" t="s">
        <v>125</v>
      </c>
      <c r="B631" s="48">
        <v>4</v>
      </c>
      <c r="C631" s="51">
        <f>593880+14326</f>
        <v>608206</v>
      </c>
      <c r="D631" s="52" t="s">
        <v>3214</v>
      </c>
      <c r="E631" s="52" t="s">
        <v>3215</v>
      </c>
      <c r="F631" s="52" t="s">
        <v>156</v>
      </c>
      <c r="G631" s="53">
        <v>42564</v>
      </c>
      <c r="H631" s="53" t="s">
        <v>153</v>
      </c>
    </row>
    <row r="632" spans="1:11" x14ac:dyDescent="0.25">
      <c r="A632" t="s">
        <v>128</v>
      </c>
      <c r="B632" s="48">
        <v>5</v>
      </c>
      <c r="C632" s="51">
        <f>35591*G632</f>
        <v>671958.08</v>
      </c>
      <c r="D632" s="52" t="s">
        <v>3080</v>
      </c>
      <c r="E632" s="52" t="s">
        <v>3081</v>
      </c>
      <c r="F632" s="52" t="s">
        <v>3084</v>
      </c>
      <c r="G632" s="52">
        <v>18.88</v>
      </c>
      <c r="H632" s="52">
        <v>37.4</v>
      </c>
      <c r="I632" s="53">
        <v>42549</v>
      </c>
      <c r="J632" s="118" t="s">
        <v>124</v>
      </c>
    </row>
    <row r="633" spans="1:11" x14ac:dyDescent="0.25">
      <c r="A633" t="s">
        <v>128</v>
      </c>
      <c r="B633" s="48">
        <v>5</v>
      </c>
      <c r="C633" s="51">
        <f>35718.62*G633</f>
        <v>674367.54560000007</v>
      </c>
      <c r="D633" s="52" t="s">
        <v>3083</v>
      </c>
      <c r="E633" s="52" t="s">
        <v>3082</v>
      </c>
      <c r="F633" s="52" t="s">
        <v>3085</v>
      </c>
      <c r="G633" s="52">
        <v>18.88</v>
      </c>
      <c r="H633" s="52">
        <v>37.56</v>
      </c>
      <c r="I633" s="53">
        <v>42549</v>
      </c>
      <c r="J633" s="118" t="s">
        <v>124</v>
      </c>
    </row>
    <row r="634" spans="1:11" s="50" customFormat="1" x14ac:dyDescent="0.25">
      <c r="A634" s="50" t="s">
        <v>128</v>
      </c>
      <c r="B634" s="56">
        <v>5</v>
      </c>
      <c r="C634" s="51">
        <v>751156.9</v>
      </c>
      <c r="D634" s="52" t="s">
        <v>3257</v>
      </c>
      <c r="E634" s="52" t="s">
        <v>3256</v>
      </c>
      <c r="F634" s="52" t="s">
        <v>3258</v>
      </c>
      <c r="G634" s="52">
        <v>41</v>
      </c>
      <c r="H634" s="53">
        <v>42556</v>
      </c>
      <c r="I634" s="118" t="s">
        <v>124</v>
      </c>
      <c r="J634" s="94"/>
    </row>
    <row r="635" spans="1:11" s="50" customFormat="1" x14ac:dyDescent="0.25">
      <c r="A635" s="50" t="s">
        <v>128</v>
      </c>
      <c r="B635" s="48">
        <v>5</v>
      </c>
      <c r="C635" s="51">
        <f>582540+14326</f>
        <v>596866</v>
      </c>
      <c r="D635" s="52" t="s">
        <v>3216</v>
      </c>
      <c r="E635" s="52" t="s">
        <v>3217</v>
      </c>
      <c r="F635" s="52" t="s">
        <v>156</v>
      </c>
      <c r="G635" s="53">
        <v>42565</v>
      </c>
      <c r="H635" s="53" t="s">
        <v>153</v>
      </c>
      <c r="I635" s="58"/>
      <c r="J635" s="94"/>
    </row>
    <row r="636" spans="1:11" s="50" customFormat="1" x14ac:dyDescent="0.25">
      <c r="A636" s="50" t="s">
        <v>128</v>
      </c>
      <c r="B636" s="48">
        <v>5</v>
      </c>
      <c r="C636" s="51">
        <f>182560+4297.8</f>
        <v>186857.8</v>
      </c>
      <c r="D636" s="52" t="s">
        <v>3219</v>
      </c>
      <c r="E636" s="52" t="s">
        <v>3218</v>
      </c>
      <c r="F636" s="52" t="s">
        <v>156</v>
      </c>
      <c r="G636" s="53">
        <v>42569</v>
      </c>
      <c r="H636" s="53" t="s">
        <v>153</v>
      </c>
      <c r="I636" s="58"/>
      <c r="J636" s="94"/>
    </row>
    <row r="637" spans="1:11" x14ac:dyDescent="0.25">
      <c r="A637" t="s">
        <v>120</v>
      </c>
      <c r="B637" s="48">
        <v>6</v>
      </c>
      <c r="C637" s="60">
        <f>36000*G637</f>
        <v>685440</v>
      </c>
      <c r="D637" s="61" t="s">
        <v>3092</v>
      </c>
      <c r="E637" s="61" t="s">
        <v>3433</v>
      </c>
      <c r="F637" s="61" t="s">
        <v>2964</v>
      </c>
      <c r="G637" s="61">
        <v>19.04</v>
      </c>
      <c r="H637" s="61">
        <v>40.520000000000003</v>
      </c>
      <c r="I637" s="63">
        <v>42548</v>
      </c>
      <c r="J637" s="111" t="s">
        <v>124</v>
      </c>
      <c r="K637" t="s">
        <v>3242</v>
      </c>
    </row>
    <row r="638" spans="1:11" x14ac:dyDescent="0.25">
      <c r="A638" t="s">
        <v>120</v>
      </c>
      <c r="B638" s="48">
        <v>6</v>
      </c>
      <c r="C638" s="60">
        <f>42000*G638</f>
        <v>788760</v>
      </c>
      <c r="D638" s="61" t="s">
        <v>3097</v>
      </c>
      <c r="E638" s="61" t="s">
        <v>3446</v>
      </c>
      <c r="F638" s="61" t="s">
        <v>3243</v>
      </c>
      <c r="G638" s="61">
        <v>18.78</v>
      </c>
      <c r="H638" s="61">
        <v>40.18</v>
      </c>
      <c r="I638" s="63">
        <v>42557</v>
      </c>
      <c r="J638" s="111" t="s">
        <v>124</v>
      </c>
    </row>
    <row r="639" spans="1:11" s="50" customFormat="1" x14ac:dyDescent="0.25">
      <c r="A639" t="s">
        <v>120</v>
      </c>
      <c r="B639" s="48">
        <v>6</v>
      </c>
      <c r="C639" s="51">
        <f>850920+17835.87</f>
        <v>868755.87</v>
      </c>
      <c r="D639" s="52" t="s">
        <v>3223</v>
      </c>
      <c r="E639" s="52" t="s">
        <v>3220</v>
      </c>
      <c r="F639" s="52" t="s">
        <v>156</v>
      </c>
      <c r="G639" s="53">
        <v>42566</v>
      </c>
      <c r="H639" s="53" t="s">
        <v>153</v>
      </c>
      <c r="I639" s="58"/>
    </row>
    <row r="640" spans="1:11" s="50" customFormat="1" x14ac:dyDescent="0.25">
      <c r="A640" t="s">
        <v>120</v>
      </c>
      <c r="B640" s="48">
        <v>6</v>
      </c>
      <c r="C640" s="51">
        <f>413840+9311.9-3183.32</f>
        <v>419968.58</v>
      </c>
      <c r="D640" s="52" t="s">
        <v>3222</v>
      </c>
      <c r="E640" s="52" t="s">
        <v>3050</v>
      </c>
      <c r="F640" s="52" t="s">
        <v>156</v>
      </c>
      <c r="G640" s="53">
        <v>42569</v>
      </c>
      <c r="H640" s="53" t="s">
        <v>153</v>
      </c>
      <c r="I640" s="58"/>
    </row>
    <row r="641" spans="1:10" x14ac:dyDescent="0.25">
      <c r="A641" t="s">
        <v>1833</v>
      </c>
      <c r="B641" s="48">
        <v>7</v>
      </c>
      <c r="C641" s="60">
        <f>43000*G641</f>
        <v>810550.00000000012</v>
      </c>
      <c r="D641" s="61" t="s">
        <v>3093</v>
      </c>
      <c r="E641" s="61" t="s">
        <v>3452</v>
      </c>
      <c r="F641" s="61" t="s">
        <v>3261</v>
      </c>
      <c r="G641" s="61">
        <v>18.850000000000001</v>
      </c>
      <c r="H641" s="61">
        <v>41.02</v>
      </c>
      <c r="I641" s="63">
        <v>42558</v>
      </c>
      <c r="J641" s="61" t="s">
        <v>952</v>
      </c>
    </row>
    <row r="642" spans="1:10" x14ac:dyDescent="0.25">
      <c r="A642" t="s">
        <v>186</v>
      </c>
      <c r="B642" s="48">
        <v>7</v>
      </c>
      <c r="C642" s="60">
        <f>43000*G642</f>
        <v>810550.00000000012</v>
      </c>
      <c r="D642" s="61" t="s">
        <v>3096</v>
      </c>
      <c r="E642" s="61" t="s">
        <v>3453</v>
      </c>
      <c r="F642" s="61" t="s">
        <v>3261</v>
      </c>
      <c r="G642" s="61">
        <v>18.850000000000001</v>
      </c>
      <c r="H642" s="61">
        <v>41.02</v>
      </c>
      <c r="I642" s="63">
        <v>42558</v>
      </c>
      <c r="J642" s="111" t="s">
        <v>124</v>
      </c>
    </row>
    <row r="643" spans="1:10" x14ac:dyDescent="0.25">
      <c r="A643" t="s">
        <v>186</v>
      </c>
      <c r="B643" s="48">
        <v>7</v>
      </c>
      <c r="C643" s="51">
        <f>727020+15758.6+96320+2148.9</f>
        <v>841247.5</v>
      </c>
      <c r="D643" s="52" t="s">
        <v>3221</v>
      </c>
      <c r="E643" s="144" t="s">
        <v>3224</v>
      </c>
      <c r="F643" s="52" t="s">
        <v>156</v>
      </c>
      <c r="G643" s="53">
        <v>42569</v>
      </c>
      <c r="H643" s="53" t="s">
        <v>153</v>
      </c>
    </row>
    <row r="644" spans="1:10" x14ac:dyDescent="0.25">
      <c r="A644" t="s">
        <v>186</v>
      </c>
      <c r="B644" s="48">
        <v>7</v>
      </c>
      <c r="C644" s="51">
        <f>391580+9311.9</f>
        <v>400891.9</v>
      </c>
      <c r="D644" s="52" t="s">
        <v>3226</v>
      </c>
      <c r="E644" s="52" t="s">
        <v>3225</v>
      </c>
      <c r="F644" s="52" t="s">
        <v>156</v>
      </c>
      <c r="G644" s="53">
        <v>42569</v>
      </c>
      <c r="H644" s="53" t="s">
        <v>153</v>
      </c>
    </row>
    <row r="645" spans="1:10" x14ac:dyDescent="0.25">
      <c r="A645" t="s">
        <v>117</v>
      </c>
      <c r="B645" s="48">
        <v>8</v>
      </c>
      <c r="C645" s="51">
        <v>771103.62</v>
      </c>
      <c r="D645" s="52" t="s">
        <v>3260</v>
      </c>
      <c r="E645" s="52" t="s">
        <v>3259</v>
      </c>
      <c r="F645" s="52" t="s">
        <v>3258</v>
      </c>
      <c r="G645" s="52">
        <v>41.5</v>
      </c>
      <c r="H645" s="53">
        <v>42558</v>
      </c>
      <c r="I645" s="52" t="s">
        <v>124</v>
      </c>
    </row>
    <row r="646" spans="1:10" x14ac:dyDescent="0.25">
      <c r="A646" t="s">
        <v>117</v>
      </c>
      <c r="B646" s="48">
        <v>8</v>
      </c>
      <c r="C646" s="60">
        <f>38000*G646</f>
        <v>713260</v>
      </c>
      <c r="D646" s="61" t="s">
        <v>3094</v>
      </c>
      <c r="E646" s="61" t="s">
        <v>3448</v>
      </c>
      <c r="F646" s="61" t="s">
        <v>3293</v>
      </c>
      <c r="G646" s="60">
        <v>18.77</v>
      </c>
      <c r="H646" s="61">
        <v>40.99</v>
      </c>
      <c r="I646" s="63">
        <v>42559</v>
      </c>
      <c r="J646" s="111" t="s">
        <v>124</v>
      </c>
    </row>
    <row r="647" spans="1:10" x14ac:dyDescent="0.25">
      <c r="A647" t="s">
        <v>117</v>
      </c>
      <c r="B647" s="48">
        <v>8</v>
      </c>
      <c r="C647" s="60">
        <f>30000*G647</f>
        <v>563100</v>
      </c>
      <c r="D647" s="61" t="s">
        <v>3292</v>
      </c>
      <c r="E647" s="61" t="s">
        <v>3435</v>
      </c>
      <c r="F647" s="61" t="s">
        <v>901</v>
      </c>
      <c r="G647" s="60">
        <v>18.77</v>
      </c>
      <c r="H647" s="61" t="s">
        <v>3447</v>
      </c>
      <c r="I647" s="63">
        <v>42559</v>
      </c>
      <c r="J647" s="111" t="s">
        <v>124</v>
      </c>
    </row>
    <row r="648" spans="1:10" x14ac:dyDescent="0.25">
      <c r="A648" t="s">
        <v>117</v>
      </c>
      <c r="B648" s="48">
        <v>8</v>
      </c>
      <c r="C648" s="51">
        <f>(37665.73-800)*G648</f>
        <v>683859.29150000005</v>
      </c>
      <c r="D648" s="52" t="s">
        <v>3098</v>
      </c>
      <c r="E648" s="52" t="s">
        <v>3099</v>
      </c>
      <c r="F648" s="52" t="s">
        <v>3100</v>
      </c>
      <c r="G648" s="52">
        <v>18.55</v>
      </c>
      <c r="H648" s="52" t="s">
        <v>3148</v>
      </c>
      <c r="I648" s="53">
        <v>42555</v>
      </c>
      <c r="J648" s="118" t="s">
        <v>124</v>
      </c>
    </row>
    <row r="649" spans="1:10" s="50" customFormat="1" x14ac:dyDescent="0.25">
      <c r="A649" s="50" t="s">
        <v>117</v>
      </c>
      <c r="B649" s="56">
        <v>8</v>
      </c>
      <c r="C649" s="51">
        <v>71246.2</v>
      </c>
      <c r="D649" s="52" t="s">
        <v>3416</v>
      </c>
      <c r="E649" s="52" t="s">
        <v>3415</v>
      </c>
      <c r="F649" s="52" t="s">
        <v>2313</v>
      </c>
      <c r="G649" s="53">
        <v>42562</v>
      </c>
      <c r="H649" s="52" t="s">
        <v>1225</v>
      </c>
      <c r="I649" s="58"/>
      <c r="J649" s="94"/>
    </row>
    <row r="650" spans="1:10" x14ac:dyDescent="0.25">
      <c r="A650" s="49" t="s">
        <v>118</v>
      </c>
      <c r="B650" s="48">
        <v>9</v>
      </c>
    </row>
    <row r="651" spans="1:10" x14ac:dyDescent="0.25">
      <c r="A651" s="49" t="s">
        <v>119</v>
      </c>
      <c r="B651" s="48">
        <v>10</v>
      </c>
    </row>
    <row r="652" spans="1:10" s="50" customFormat="1" x14ac:dyDescent="0.25">
      <c r="A652" t="s">
        <v>125</v>
      </c>
      <c r="B652" s="48">
        <v>11</v>
      </c>
      <c r="C652" s="51">
        <v>674684.64</v>
      </c>
      <c r="D652" s="52" t="s">
        <v>3207</v>
      </c>
      <c r="E652" s="52" t="s">
        <v>3208</v>
      </c>
      <c r="F652" s="52" t="s">
        <v>936</v>
      </c>
      <c r="G652" s="51">
        <v>37</v>
      </c>
      <c r="H652" s="53">
        <v>42562</v>
      </c>
      <c r="I652" s="118" t="s">
        <v>124</v>
      </c>
    </row>
    <row r="653" spans="1:10" s="50" customFormat="1" x14ac:dyDescent="0.25">
      <c r="A653" t="s">
        <v>125</v>
      </c>
      <c r="B653" s="48">
        <v>11</v>
      </c>
      <c r="C653" s="51">
        <f>781897.5+17907.5</f>
        <v>799805</v>
      </c>
      <c r="D653" s="52" t="s">
        <v>3230</v>
      </c>
      <c r="E653" s="52" t="s">
        <v>3231</v>
      </c>
      <c r="F653" s="52" t="s">
        <v>156</v>
      </c>
      <c r="G653" s="53">
        <v>42569</v>
      </c>
      <c r="H653" s="53" t="s">
        <v>153</v>
      </c>
      <c r="I653" s="58"/>
    </row>
    <row r="654" spans="1:10" s="50" customFormat="1" x14ac:dyDescent="0.25">
      <c r="A654" s="50" t="s">
        <v>125</v>
      </c>
      <c r="B654" s="48">
        <v>11</v>
      </c>
      <c r="C654" s="51">
        <f>440325+9311.9</f>
        <v>449636.9</v>
      </c>
      <c r="D654" s="52" t="s">
        <v>3233</v>
      </c>
      <c r="E654" s="52" t="s">
        <v>3232</v>
      </c>
      <c r="F654" s="52" t="s">
        <v>156</v>
      </c>
      <c r="G654" s="53">
        <v>42570</v>
      </c>
      <c r="H654" s="53" t="s">
        <v>153</v>
      </c>
      <c r="I654" s="58" t="s">
        <v>3556</v>
      </c>
    </row>
    <row r="655" spans="1:10" s="50" customFormat="1" x14ac:dyDescent="0.25">
      <c r="A655" t="s">
        <v>125</v>
      </c>
      <c r="B655" s="48">
        <v>11</v>
      </c>
      <c r="C655" s="51">
        <f>667327.5+15758.6</f>
        <v>683086.1</v>
      </c>
      <c r="D655" s="52" t="s">
        <v>3234</v>
      </c>
      <c r="E655" s="52" t="s">
        <v>3105</v>
      </c>
      <c r="F655" s="52" t="s">
        <v>156</v>
      </c>
      <c r="G655" s="53">
        <v>42570</v>
      </c>
      <c r="H655" s="53" t="s">
        <v>153</v>
      </c>
      <c r="I655" s="58"/>
    </row>
    <row r="656" spans="1:10" s="50" customFormat="1" x14ac:dyDescent="0.25">
      <c r="A656" t="s">
        <v>125</v>
      </c>
      <c r="B656" s="48">
        <v>11</v>
      </c>
      <c r="C656" s="51">
        <f>677730+15758.6</f>
        <v>693488.6</v>
      </c>
      <c r="D656" s="52" t="s">
        <v>3235</v>
      </c>
      <c r="E656" s="52" t="s">
        <v>3118</v>
      </c>
      <c r="F656" s="52" t="s">
        <v>156</v>
      </c>
      <c r="G656" s="53">
        <v>42570</v>
      </c>
      <c r="H656" s="53" t="s">
        <v>153</v>
      </c>
      <c r="I656" s="58"/>
    </row>
    <row r="657" spans="1:11" x14ac:dyDescent="0.25">
      <c r="A657" s="50" t="s">
        <v>128</v>
      </c>
      <c r="B657" s="48">
        <v>12</v>
      </c>
      <c r="C657" s="51">
        <f>642390+14326</f>
        <v>656716</v>
      </c>
      <c r="D657" s="52" t="s">
        <v>3236</v>
      </c>
      <c r="E657" s="52" t="s">
        <v>3153</v>
      </c>
      <c r="F657" s="52" t="s">
        <v>156</v>
      </c>
      <c r="G657" s="53">
        <v>42571</v>
      </c>
      <c r="H657" s="53" t="s">
        <v>153</v>
      </c>
    </row>
    <row r="658" spans="1:11" x14ac:dyDescent="0.25">
      <c r="A658" t="s">
        <v>128</v>
      </c>
      <c r="B658" s="48">
        <v>12</v>
      </c>
      <c r="C658" s="51">
        <f>35995.63*G658</f>
        <v>658720.02899999998</v>
      </c>
      <c r="D658" s="52" t="s">
        <v>3244</v>
      </c>
      <c r="E658" s="52" t="s">
        <v>3246</v>
      </c>
      <c r="F658" s="52" t="s">
        <v>3247</v>
      </c>
      <c r="G658" s="52">
        <v>18.3</v>
      </c>
      <c r="H658" s="52">
        <v>37.51</v>
      </c>
      <c r="I658" s="53">
        <v>42556</v>
      </c>
      <c r="J658" s="118" t="s">
        <v>124</v>
      </c>
      <c r="K658" t="s">
        <v>3248</v>
      </c>
    </row>
    <row r="659" spans="1:11" x14ac:dyDescent="0.25">
      <c r="A659" t="s">
        <v>128</v>
      </c>
      <c r="B659" s="48">
        <v>12</v>
      </c>
      <c r="C659" s="51">
        <f>36650.28*G659</f>
        <v>670700.12399999995</v>
      </c>
      <c r="D659" s="52" t="s">
        <v>3245</v>
      </c>
      <c r="E659" s="52" t="s">
        <v>3249</v>
      </c>
      <c r="F659" s="52" t="s">
        <v>3250</v>
      </c>
      <c r="G659" s="52">
        <v>18.3</v>
      </c>
      <c r="H659" s="52">
        <v>37.520000000000003</v>
      </c>
      <c r="I659" s="53">
        <v>42556</v>
      </c>
      <c r="J659" s="118" t="s">
        <v>124</v>
      </c>
    </row>
    <row r="660" spans="1:11" s="50" customFormat="1" x14ac:dyDescent="0.25">
      <c r="A660" s="50" t="s">
        <v>128</v>
      </c>
      <c r="B660" s="56">
        <v>12</v>
      </c>
      <c r="C660" s="51">
        <v>213143.42</v>
      </c>
      <c r="D660" s="52" t="s">
        <v>3420</v>
      </c>
      <c r="E660" s="52" t="s">
        <v>3419</v>
      </c>
      <c r="F660" s="52" t="s">
        <v>1955</v>
      </c>
      <c r="G660" s="53">
        <v>42566</v>
      </c>
      <c r="H660" s="52" t="s">
        <v>1225</v>
      </c>
      <c r="I660" s="58"/>
      <c r="J660" s="94"/>
    </row>
    <row r="661" spans="1:11" x14ac:dyDescent="0.25">
      <c r="A661" s="113" t="s">
        <v>120</v>
      </c>
      <c r="B661" s="48">
        <v>13</v>
      </c>
      <c r="C661" s="51">
        <f>418950+9311.9</f>
        <v>428261.9</v>
      </c>
      <c r="D661" s="52" t="s">
        <v>3237</v>
      </c>
      <c r="E661" s="52" t="s">
        <v>3168</v>
      </c>
      <c r="F661" s="52" t="s">
        <v>156</v>
      </c>
      <c r="G661" s="53">
        <v>42577</v>
      </c>
      <c r="H661" s="52" t="s">
        <v>153</v>
      </c>
      <c r="I661" s="50"/>
      <c r="J661" s="50"/>
    </row>
    <row r="662" spans="1:11" x14ac:dyDescent="0.25">
      <c r="A662" t="s">
        <v>120</v>
      </c>
      <c r="B662" s="48">
        <v>13</v>
      </c>
      <c r="C662" s="51">
        <f>761805+17835.87</f>
        <v>779640.87</v>
      </c>
      <c r="D662" s="52" t="s">
        <v>3238</v>
      </c>
      <c r="E662" s="52" t="s">
        <v>3167</v>
      </c>
      <c r="F662" s="52" t="s">
        <v>156</v>
      </c>
      <c r="G662" s="53">
        <v>42572</v>
      </c>
      <c r="H662" s="53" t="s">
        <v>153</v>
      </c>
    </row>
    <row r="663" spans="1:11" x14ac:dyDescent="0.25">
      <c r="A663" t="s">
        <v>120</v>
      </c>
      <c r="B663" s="48">
        <v>13</v>
      </c>
      <c r="C663" s="60">
        <f t="shared" ref="C663" si="25">40000*G663</f>
        <v>742200</v>
      </c>
      <c r="D663" s="61" t="s">
        <v>3370</v>
      </c>
      <c r="E663" s="61" t="s">
        <v>3608</v>
      </c>
      <c r="F663" s="61" t="s">
        <v>3012</v>
      </c>
      <c r="G663" s="62">
        <v>18.555</v>
      </c>
      <c r="H663" s="61">
        <v>40.17</v>
      </c>
      <c r="I663" s="63">
        <v>42564</v>
      </c>
      <c r="J663" s="111" t="s">
        <v>124</v>
      </c>
    </row>
    <row r="664" spans="1:11" x14ac:dyDescent="0.25">
      <c r="A664" t="s">
        <v>120</v>
      </c>
      <c r="B664" s="48">
        <v>13</v>
      </c>
      <c r="C664" s="60">
        <f>40000*G664</f>
        <v>742600</v>
      </c>
      <c r="D664" s="61" t="s">
        <v>3371</v>
      </c>
      <c r="E664" s="61" t="s">
        <v>3609</v>
      </c>
      <c r="F664" s="61" t="s">
        <v>3012</v>
      </c>
      <c r="G664" s="62">
        <v>18.565000000000001</v>
      </c>
      <c r="H664" s="61">
        <v>40.159999999999997</v>
      </c>
      <c r="I664" s="63">
        <v>42564</v>
      </c>
      <c r="J664" s="111" t="s">
        <v>124</v>
      </c>
    </row>
    <row r="665" spans="1:11" s="50" customFormat="1" x14ac:dyDescent="0.25">
      <c r="A665" t="s">
        <v>186</v>
      </c>
      <c r="B665" s="48">
        <v>14</v>
      </c>
      <c r="C665" s="51">
        <f>841580+18050.76-6678.7</f>
        <v>852952.06</v>
      </c>
      <c r="D665" s="52" t="s">
        <v>3393</v>
      </c>
      <c r="E665" s="52" t="s">
        <v>3394</v>
      </c>
      <c r="F665" s="52" t="s">
        <v>156</v>
      </c>
      <c r="G665" s="53">
        <v>42573</v>
      </c>
      <c r="H665" s="53" t="s">
        <v>153</v>
      </c>
    </row>
    <row r="666" spans="1:11" s="50" customFormat="1" x14ac:dyDescent="0.25">
      <c r="A666" t="s">
        <v>1833</v>
      </c>
      <c r="B666" s="48">
        <v>14</v>
      </c>
      <c r="C666" s="51">
        <f>423545+9311.9</f>
        <v>432856.9</v>
      </c>
      <c r="D666" s="52" t="s">
        <v>3396</v>
      </c>
      <c r="E666" s="52" t="s">
        <v>3395</v>
      </c>
      <c r="F666" s="52" t="s">
        <v>156</v>
      </c>
      <c r="G666" s="53">
        <v>42577</v>
      </c>
      <c r="H666" s="52" t="s">
        <v>153</v>
      </c>
    </row>
    <row r="667" spans="1:11" s="50" customFormat="1" x14ac:dyDescent="0.25">
      <c r="A667" t="s">
        <v>186</v>
      </c>
      <c r="B667" s="48">
        <v>14</v>
      </c>
      <c r="C667" s="60">
        <f>40000*G667</f>
        <v>740600</v>
      </c>
      <c r="D667" s="61" t="s">
        <v>3372</v>
      </c>
      <c r="E667" s="61" t="s">
        <v>3610</v>
      </c>
      <c r="F667" s="61" t="s">
        <v>3012</v>
      </c>
      <c r="G667" s="62">
        <v>18.515000000000001</v>
      </c>
      <c r="H667" s="61">
        <v>38.99</v>
      </c>
      <c r="I667" s="63">
        <v>42562</v>
      </c>
      <c r="J667" s="61" t="s">
        <v>952</v>
      </c>
    </row>
    <row r="668" spans="1:11" s="50" customFormat="1" x14ac:dyDescent="0.25">
      <c r="A668" t="s">
        <v>1833</v>
      </c>
      <c r="B668" s="48">
        <v>14</v>
      </c>
      <c r="C668" s="60">
        <f t="shared" ref="C668" si="26">40000*G668</f>
        <v>735240</v>
      </c>
      <c r="D668" s="61" t="s">
        <v>3373</v>
      </c>
      <c r="E668" s="61" t="s">
        <v>3611</v>
      </c>
      <c r="F668" s="61" t="s">
        <v>3012</v>
      </c>
      <c r="G668" s="62">
        <v>18.381</v>
      </c>
      <c r="H668" s="61">
        <v>38.71</v>
      </c>
      <c r="I668" s="63">
        <v>42565</v>
      </c>
      <c r="J668" s="111" t="s">
        <v>124</v>
      </c>
    </row>
    <row r="669" spans="1:11" x14ac:dyDescent="0.25">
      <c r="A669" t="s">
        <v>117</v>
      </c>
      <c r="B669" s="48">
        <v>15</v>
      </c>
      <c r="C669" s="60">
        <f>38000*G669</f>
        <v>697490</v>
      </c>
      <c r="D669" s="61" t="s">
        <v>3374</v>
      </c>
      <c r="E669" s="61" t="s">
        <v>3612</v>
      </c>
      <c r="F669" s="61" t="s">
        <v>3293</v>
      </c>
      <c r="G669" s="62">
        <v>18.355</v>
      </c>
      <c r="H669" s="61">
        <v>40.200000000000003</v>
      </c>
      <c r="I669" s="63">
        <v>42566</v>
      </c>
      <c r="J669" s="111" t="s">
        <v>124</v>
      </c>
    </row>
    <row r="670" spans="1:11" x14ac:dyDescent="0.25">
      <c r="A670" t="s">
        <v>117</v>
      </c>
      <c r="B670" s="48">
        <v>15</v>
      </c>
      <c r="C670" s="51">
        <v>70632.5</v>
      </c>
      <c r="D670" s="52" t="s">
        <v>3421</v>
      </c>
      <c r="E670" s="52" t="s">
        <v>3422</v>
      </c>
      <c r="F670" s="52" t="s">
        <v>2313</v>
      </c>
      <c r="G670" s="53">
        <v>42566</v>
      </c>
      <c r="H670" s="52" t="s">
        <v>1225</v>
      </c>
    </row>
    <row r="671" spans="1:11" x14ac:dyDescent="0.25">
      <c r="A671" t="s">
        <v>117</v>
      </c>
      <c r="B671" s="48">
        <v>15</v>
      </c>
      <c r="C671" s="51">
        <v>34380.400000000001</v>
      </c>
      <c r="D671" s="52" t="s">
        <v>3416</v>
      </c>
      <c r="E671" s="52" t="s">
        <v>3430</v>
      </c>
      <c r="F671" s="52" t="s">
        <v>2313</v>
      </c>
      <c r="G671" s="53">
        <v>42566</v>
      </c>
      <c r="H671" s="52" t="s">
        <v>1225</v>
      </c>
    </row>
    <row r="672" spans="1:11" x14ac:dyDescent="0.25">
      <c r="A672" s="49" t="s">
        <v>118</v>
      </c>
      <c r="B672" s="48">
        <v>16</v>
      </c>
    </row>
    <row r="673" spans="1:10" x14ac:dyDescent="0.25">
      <c r="A673" s="49" t="s">
        <v>119</v>
      </c>
      <c r="B673" s="48">
        <v>17</v>
      </c>
    </row>
    <row r="674" spans="1:10" x14ac:dyDescent="0.25">
      <c r="A674" t="s">
        <v>125</v>
      </c>
      <c r="B674" s="48">
        <v>18</v>
      </c>
      <c r="C674" s="60">
        <f>40000*G674</f>
        <v>733199.99999999988</v>
      </c>
      <c r="D674" s="61" t="s">
        <v>3375</v>
      </c>
      <c r="E674" s="61" t="s">
        <v>3654</v>
      </c>
      <c r="F674" s="61" t="s">
        <v>3012</v>
      </c>
      <c r="G674" s="60">
        <v>18.329999999999998</v>
      </c>
      <c r="H674" s="61">
        <v>39.56</v>
      </c>
      <c r="I674" s="63">
        <v>42569</v>
      </c>
      <c r="J674" s="111" t="s">
        <v>124</v>
      </c>
    </row>
    <row r="675" spans="1:10" x14ac:dyDescent="0.25">
      <c r="A675" t="s">
        <v>125</v>
      </c>
      <c r="B675" s="48">
        <v>18</v>
      </c>
      <c r="C675" s="51">
        <f>776330+17907.5</f>
        <v>794237.5</v>
      </c>
      <c r="D675" s="52" t="s">
        <v>3397</v>
      </c>
      <c r="E675" s="52" t="s">
        <v>3398</v>
      </c>
      <c r="F675" s="52" t="s">
        <v>156</v>
      </c>
      <c r="G675" s="53">
        <v>42578</v>
      </c>
      <c r="H675" s="52" t="s">
        <v>153</v>
      </c>
    </row>
    <row r="676" spans="1:10" x14ac:dyDescent="0.25">
      <c r="A676" t="s">
        <v>125</v>
      </c>
      <c r="B676" s="48">
        <v>18</v>
      </c>
      <c r="C676" s="51">
        <f>393530+9311.9</f>
        <v>402841.9</v>
      </c>
      <c r="D676" s="52" t="s">
        <v>3397</v>
      </c>
      <c r="E676" s="52" t="s">
        <v>3177</v>
      </c>
      <c r="F676" s="52" t="s">
        <v>156</v>
      </c>
      <c r="G676" s="53">
        <v>42578</v>
      </c>
      <c r="H676" s="52" t="s">
        <v>153</v>
      </c>
    </row>
    <row r="677" spans="1:10" x14ac:dyDescent="0.25">
      <c r="A677" t="s">
        <v>125</v>
      </c>
      <c r="B677" s="48">
        <v>18</v>
      </c>
      <c r="C677" s="51">
        <f>723550+15758.6</f>
        <v>739308.6</v>
      </c>
      <c r="D677" s="52" t="s">
        <v>3399</v>
      </c>
      <c r="E677" s="52" t="s">
        <v>3400</v>
      </c>
      <c r="F677" s="52" t="s">
        <v>156</v>
      </c>
      <c r="G677" s="53">
        <v>42578</v>
      </c>
      <c r="H677" s="52" t="s">
        <v>153</v>
      </c>
    </row>
    <row r="678" spans="1:10" x14ac:dyDescent="0.25">
      <c r="A678" t="s">
        <v>125</v>
      </c>
      <c r="B678" s="48">
        <v>18</v>
      </c>
      <c r="C678" s="51">
        <f>726160+15758.6</f>
        <v>741918.6</v>
      </c>
      <c r="D678" s="52" t="s">
        <v>3401</v>
      </c>
      <c r="E678" s="52" t="s">
        <v>3254</v>
      </c>
      <c r="F678" s="52" t="s">
        <v>156</v>
      </c>
      <c r="G678" s="53">
        <v>42578</v>
      </c>
      <c r="H678" s="52" t="s">
        <v>153</v>
      </c>
    </row>
    <row r="679" spans="1:10" x14ac:dyDescent="0.25">
      <c r="A679" t="s">
        <v>128</v>
      </c>
      <c r="B679" s="48">
        <v>19</v>
      </c>
      <c r="C679" s="51">
        <f>813885+17835.87</f>
        <v>831720.87</v>
      </c>
      <c r="D679" s="52" t="s">
        <v>3402</v>
      </c>
      <c r="E679" s="52" t="s">
        <v>3403</v>
      </c>
      <c r="F679" s="52" t="s">
        <v>156</v>
      </c>
      <c r="G679" s="53">
        <v>42579</v>
      </c>
      <c r="H679" s="52" t="s">
        <v>153</v>
      </c>
    </row>
    <row r="680" spans="1:10" x14ac:dyDescent="0.25">
      <c r="A680" t="s">
        <v>128</v>
      </c>
      <c r="B680" s="48">
        <v>19</v>
      </c>
      <c r="C680" s="51">
        <f>26970+704.7</f>
        <v>27674.7</v>
      </c>
      <c r="D680" s="52" t="s">
        <v>3405</v>
      </c>
      <c r="E680" s="52" t="s">
        <v>3404</v>
      </c>
      <c r="F680" s="52" t="s">
        <v>156</v>
      </c>
      <c r="G680" s="53">
        <v>42579</v>
      </c>
      <c r="H680" s="52" t="s">
        <v>153</v>
      </c>
    </row>
    <row r="681" spans="1:10" x14ac:dyDescent="0.25">
      <c r="A681" t="s">
        <v>128</v>
      </c>
      <c r="B681" s="48">
        <v>19</v>
      </c>
      <c r="C681" s="51">
        <f>20343.35*G681</f>
        <v>376555.40850000002</v>
      </c>
      <c r="D681" s="52" t="s">
        <v>3469</v>
      </c>
      <c r="E681" s="52" t="s">
        <v>3467</v>
      </c>
      <c r="F681" s="52" t="s">
        <v>3468</v>
      </c>
      <c r="G681" s="51">
        <v>18.510000000000002</v>
      </c>
      <c r="H681" s="52">
        <v>22</v>
      </c>
      <c r="I681" s="53">
        <v>42570</v>
      </c>
      <c r="J681" s="52" t="s">
        <v>952</v>
      </c>
    </row>
    <row r="682" spans="1:10" x14ac:dyDescent="0.25">
      <c r="A682" t="s">
        <v>128</v>
      </c>
      <c r="B682" s="48">
        <v>19</v>
      </c>
      <c r="C682" s="51">
        <f>37263.13*G682</f>
        <v>694584.74320000003</v>
      </c>
      <c r="D682" s="52" t="s">
        <v>3361</v>
      </c>
      <c r="E682" s="52" t="s">
        <v>3362</v>
      </c>
      <c r="F682" s="52" t="s">
        <v>3363</v>
      </c>
      <c r="G682" s="52">
        <v>18.64</v>
      </c>
      <c r="H682" s="52">
        <v>39.72</v>
      </c>
      <c r="I682" s="53">
        <v>42562</v>
      </c>
      <c r="J682" s="118" t="s">
        <v>124</v>
      </c>
    </row>
    <row r="683" spans="1:10" x14ac:dyDescent="0.25">
      <c r="A683" t="s">
        <v>120</v>
      </c>
      <c r="B683" s="48">
        <v>20</v>
      </c>
      <c r="C683" s="60">
        <f>42000*G683</f>
        <v>777420.00000000012</v>
      </c>
      <c r="D683" s="61" t="s">
        <v>3376</v>
      </c>
      <c r="E683" s="61" t="s">
        <v>3653</v>
      </c>
      <c r="F683" s="61" t="s">
        <v>3243</v>
      </c>
      <c r="G683" s="60">
        <v>18.510000000000002</v>
      </c>
      <c r="H683" s="61"/>
      <c r="I683" s="63">
        <v>42571</v>
      </c>
      <c r="J683" s="111" t="s">
        <v>124</v>
      </c>
    </row>
    <row r="684" spans="1:10" x14ac:dyDescent="0.25">
      <c r="A684" t="s">
        <v>120</v>
      </c>
      <c r="B684" s="48">
        <v>20</v>
      </c>
      <c r="C684" s="60">
        <f>30000*G684</f>
        <v>555300</v>
      </c>
      <c r="D684" s="61" t="s">
        <v>3378</v>
      </c>
      <c r="E684" s="61" t="s">
        <v>3655</v>
      </c>
      <c r="F684" s="61" t="s">
        <v>901</v>
      </c>
      <c r="G684" s="60">
        <v>18.510000000000002</v>
      </c>
      <c r="H684" s="61"/>
      <c r="I684" s="63">
        <v>42571</v>
      </c>
      <c r="J684" s="111" t="s">
        <v>124</v>
      </c>
    </row>
    <row r="685" spans="1:10" x14ac:dyDescent="0.25">
      <c r="A685" t="s">
        <v>120</v>
      </c>
      <c r="B685" s="48">
        <v>20</v>
      </c>
      <c r="C685" s="60">
        <f>52000*G685</f>
        <v>962000</v>
      </c>
      <c r="D685" s="61" t="s">
        <v>3379</v>
      </c>
      <c r="E685" s="61" t="s">
        <v>3656</v>
      </c>
      <c r="F685" s="61" t="s">
        <v>3480</v>
      </c>
      <c r="G685" s="60">
        <v>18.5</v>
      </c>
      <c r="H685" s="61"/>
      <c r="I685" s="63">
        <v>42571</v>
      </c>
      <c r="J685" s="111" t="s">
        <v>124</v>
      </c>
    </row>
    <row r="686" spans="1:10" s="50" customFormat="1" x14ac:dyDescent="0.25">
      <c r="A686" t="s">
        <v>120</v>
      </c>
      <c r="B686" s="48">
        <v>20</v>
      </c>
      <c r="C686" s="217">
        <f>815970+17907.5</f>
        <v>833877.5</v>
      </c>
      <c r="D686" s="218" t="s">
        <v>3406</v>
      </c>
      <c r="E686" s="218" t="s">
        <v>3352</v>
      </c>
      <c r="F686" s="218" t="s">
        <v>156</v>
      </c>
      <c r="G686" s="219">
        <v>42580</v>
      </c>
      <c r="H686" s="218" t="s">
        <v>153</v>
      </c>
      <c r="I686" s="58"/>
      <c r="J686" s="94"/>
    </row>
    <row r="687" spans="1:10" s="50" customFormat="1" x14ac:dyDescent="0.25">
      <c r="A687" t="s">
        <v>120</v>
      </c>
      <c r="B687" s="48">
        <v>20</v>
      </c>
      <c r="C687" s="51">
        <f>406657.5+9311.9</f>
        <v>415969.4</v>
      </c>
      <c r="D687" s="52" t="s">
        <v>3408</v>
      </c>
      <c r="E687" s="52" t="s">
        <v>3407</v>
      </c>
      <c r="F687" s="52" t="s">
        <v>156</v>
      </c>
      <c r="G687" s="57">
        <v>42580</v>
      </c>
      <c r="H687" s="52" t="s">
        <v>153</v>
      </c>
      <c r="I687" s="58"/>
      <c r="J687" s="94"/>
    </row>
    <row r="688" spans="1:10" x14ac:dyDescent="0.25">
      <c r="A688" t="s">
        <v>1833</v>
      </c>
      <c r="B688" s="48">
        <v>21</v>
      </c>
      <c r="C688" s="60">
        <f>36000*G688</f>
        <v>671760</v>
      </c>
      <c r="D688" s="61" t="s">
        <v>3377</v>
      </c>
      <c r="E688" s="61" t="s">
        <v>3652</v>
      </c>
      <c r="F688" s="61" t="s">
        <v>2964</v>
      </c>
      <c r="G688" s="60">
        <v>18.66</v>
      </c>
      <c r="H688" s="61"/>
      <c r="I688" s="63">
        <v>42572</v>
      </c>
      <c r="J688" s="111" t="s">
        <v>124</v>
      </c>
    </row>
    <row r="689" spans="1:10" x14ac:dyDescent="0.25">
      <c r="A689" t="s">
        <v>186</v>
      </c>
      <c r="B689" s="48">
        <v>21</v>
      </c>
      <c r="C689" s="60">
        <f t="shared" ref="C689:C690" si="27">36000*G689</f>
        <v>671760</v>
      </c>
      <c r="D689" s="61" t="s">
        <v>3380</v>
      </c>
      <c r="E689" s="61" t="s">
        <v>3650</v>
      </c>
      <c r="F689" s="61" t="s">
        <v>2964</v>
      </c>
      <c r="G689" s="60">
        <v>18.66</v>
      </c>
      <c r="H689" s="61"/>
      <c r="I689" s="63">
        <v>42572</v>
      </c>
      <c r="J689" s="111" t="s">
        <v>124</v>
      </c>
    </row>
    <row r="690" spans="1:10" x14ac:dyDescent="0.25">
      <c r="A690" t="s">
        <v>1833</v>
      </c>
      <c r="B690" s="48">
        <v>21</v>
      </c>
      <c r="C690" s="60">
        <f t="shared" si="27"/>
        <v>671760</v>
      </c>
      <c r="D690" s="61" t="s">
        <v>3381</v>
      </c>
      <c r="E690" s="61" t="s">
        <v>3651</v>
      </c>
      <c r="F690" s="61" t="s">
        <v>2964</v>
      </c>
      <c r="G690" s="60">
        <v>18.66</v>
      </c>
      <c r="H690" s="61"/>
      <c r="I690" s="63">
        <v>42572</v>
      </c>
      <c r="J690" s="111" t="s">
        <v>124</v>
      </c>
    </row>
    <row r="691" spans="1:10" x14ac:dyDescent="0.25">
      <c r="A691" t="s">
        <v>186</v>
      </c>
      <c r="B691" s="48">
        <v>21</v>
      </c>
      <c r="C691" s="51">
        <f>815380+17907.5</f>
        <v>833287.5</v>
      </c>
      <c r="D691" s="52" t="s">
        <v>3409</v>
      </c>
      <c r="E691" s="52" t="s">
        <v>3357</v>
      </c>
      <c r="F691" s="52" t="s">
        <v>156</v>
      </c>
      <c r="G691" s="53">
        <v>41487</v>
      </c>
      <c r="H691" s="52" t="s">
        <v>153</v>
      </c>
    </row>
    <row r="692" spans="1:10" x14ac:dyDescent="0.25">
      <c r="A692" t="s">
        <v>186</v>
      </c>
      <c r="B692" s="48">
        <v>21</v>
      </c>
      <c r="C692" s="51">
        <f>425980+9311.9</f>
        <v>435291.9</v>
      </c>
      <c r="D692" s="52" t="s">
        <v>3410</v>
      </c>
      <c r="E692" s="52" t="s">
        <v>3358</v>
      </c>
      <c r="F692" s="52" t="s">
        <v>156</v>
      </c>
      <c r="G692" s="53">
        <v>42580</v>
      </c>
      <c r="H692" s="52" t="s">
        <v>153</v>
      </c>
    </row>
    <row r="693" spans="1:10" x14ac:dyDescent="0.25">
      <c r="A693" t="s">
        <v>1833</v>
      </c>
      <c r="B693" s="48">
        <v>21</v>
      </c>
      <c r="C693" s="51">
        <f>38655.91*G693</f>
        <v>716294.01230000006</v>
      </c>
      <c r="D693" s="52" t="s">
        <v>3364</v>
      </c>
      <c r="E693" s="52" t="s">
        <v>3365</v>
      </c>
      <c r="F693" s="52" t="s">
        <v>3368</v>
      </c>
      <c r="G693" s="51">
        <v>18.53</v>
      </c>
      <c r="H693" s="52">
        <v>39.090000000000003</v>
      </c>
      <c r="I693" s="53">
        <v>42563</v>
      </c>
      <c r="J693" s="118" t="s">
        <v>124</v>
      </c>
    </row>
    <row r="694" spans="1:10" x14ac:dyDescent="0.25">
      <c r="A694" t="s">
        <v>186</v>
      </c>
      <c r="B694" s="48">
        <v>21</v>
      </c>
      <c r="C694" s="51">
        <f>38194.14*G694</f>
        <v>701053.43969999999</v>
      </c>
      <c r="D694" s="52" t="s">
        <v>3366</v>
      </c>
      <c r="E694" s="52" t="s">
        <v>3367</v>
      </c>
      <c r="F694" s="52" t="s">
        <v>3369</v>
      </c>
      <c r="G694" s="70">
        <v>18.355</v>
      </c>
      <c r="H694" s="52">
        <v>38.76</v>
      </c>
      <c r="I694" s="53">
        <v>42566</v>
      </c>
      <c r="J694" s="118" t="s">
        <v>124</v>
      </c>
    </row>
    <row r="695" spans="1:10" x14ac:dyDescent="0.25">
      <c r="A695" t="s">
        <v>117</v>
      </c>
      <c r="B695" s="48">
        <v>22</v>
      </c>
      <c r="C695" s="60">
        <f>40000*G695</f>
        <v>746520</v>
      </c>
      <c r="D695" s="61" t="s">
        <v>3382</v>
      </c>
      <c r="E695" s="61" t="s">
        <v>3649</v>
      </c>
      <c r="F695" s="61" t="s">
        <v>3012</v>
      </c>
      <c r="G695" s="62">
        <v>18.663</v>
      </c>
      <c r="H695" s="61"/>
      <c r="I695" s="63">
        <v>42573</v>
      </c>
      <c r="J695" s="111" t="s">
        <v>124</v>
      </c>
    </row>
    <row r="696" spans="1:10" x14ac:dyDescent="0.25">
      <c r="A696" t="s">
        <v>117</v>
      </c>
      <c r="B696" s="48">
        <v>22</v>
      </c>
    </row>
    <row r="697" spans="1:10" x14ac:dyDescent="0.25">
      <c r="A697" s="49" t="s">
        <v>118</v>
      </c>
      <c r="B697" s="48">
        <v>23</v>
      </c>
    </row>
    <row r="698" spans="1:10" x14ac:dyDescent="0.25">
      <c r="A698" s="49" t="s">
        <v>119</v>
      </c>
      <c r="B698" s="48">
        <v>24</v>
      </c>
    </row>
    <row r="699" spans="1:10" x14ac:dyDescent="0.25">
      <c r="A699" t="s">
        <v>125</v>
      </c>
      <c r="B699" s="48">
        <v>25</v>
      </c>
      <c r="C699" s="60">
        <f>33690.03*G699</f>
        <v>626533.48791000003</v>
      </c>
      <c r="D699" s="61" t="s">
        <v>3383</v>
      </c>
      <c r="E699" s="61"/>
      <c r="F699" s="61" t="s">
        <v>2964</v>
      </c>
      <c r="G699" s="62">
        <v>18.597000000000001</v>
      </c>
      <c r="H699" s="61"/>
      <c r="I699" s="63">
        <v>42576</v>
      </c>
      <c r="J699" s="61" t="s">
        <v>952</v>
      </c>
    </row>
    <row r="700" spans="1:10" s="50" customFormat="1" x14ac:dyDescent="0.25">
      <c r="A700" s="50" t="s">
        <v>125</v>
      </c>
      <c r="B700" s="56">
        <v>25</v>
      </c>
      <c r="C700" s="51">
        <f>38474.84*G700</f>
        <v>715516.59947999998</v>
      </c>
      <c r="D700" s="52" t="s">
        <v>3470</v>
      </c>
      <c r="E700" s="52" t="s">
        <v>3471</v>
      </c>
      <c r="F700" s="52" t="s">
        <v>3472</v>
      </c>
      <c r="G700" s="70">
        <v>18.597000000000001</v>
      </c>
      <c r="H700" s="52">
        <v>39.43</v>
      </c>
      <c r="I700" s="53">
        <v>42569</v>
      </c>
      <c r="J700" s="118" t="s">
        <v>124</v>
      </c>
    </row>
    <row r="701" spans="1:10" x14ac:dyDescent="0.25">
      <c r="A701" t="s">
        <v>125</v>
      </c>
      <c r="B701" s="48">
        <v>25</v>
      </c>
      <c r="C701" s="51">
        <f>826000+17907.5</f>
        <v>843907.5</v>
      </c>
      <c r="D701" s="52" t="s">
        <v>3428</v>
      </c>
      <c r="E701" s="52" t="s">
        <v>3426</v>
      </c>
      <c r="F701" s="52" t="s">
        <v>156</v>
      </c>
      <c r="G701" s="53">
        <v>42583</v>
      </c>
      <c r="H701" s="52" t="s">
        <v>153</v>
      </c>
    </row>
    <row r="702" spans="1:10" x14ac:dyDescent="0.25">
      <c r="A702" t="s">
        <v>125</v>
      </c>
      <c r="B702" s="48">
        <v>25</v>
      </c>
      <c r="C702" s="51">
        <f>425095+9311.9</f>
        <v>434406.9</v>
      </c>
      <c r="D702" s="52" t="s">
        <v>3429</v>
      </c>
      <c r="E702" s="52" t="s">
        <v>3427</v>
      </c>
      <c r="F702" s="52" t="s">
        <v>156</v>
      </c>
      <c r="G702" s="53">
        <v>42583</v>
      </c>
      <c r="H702" s="52" t="s">
        <v>153</v>
      </c>
    </row>
    <row r="703" spans="1:10" x14ac:dyDescent="0.25">
      <c r="A703" t="s">
        <v>125</v>
      </c>
      <c r="B703" s="48">
        <v>25</v>
      </c>
      <c r="C703" s="51">
        <f>725700+15758.6</f>
        <v>741458.6</v>
      </c>
      <c r="D703" s="52" t="s">
        <v>3493</v>
      </c>
      <c r="E703" s="52" t="s">
        <v>3494</v>
      </c>
      <c r="F703" s="52" t="s">
        <v>156</v>
      </c>
      <c r="G703" s="53">
        <v>42583</v>
      </c>
      <c r="H703" s="52" t="s">
        <v>153</v>
      </c>
    </row>
    <row r="704" spans="1:10" x14ac:dyDescent="0.25">
      <c r="A704" t="s">
        <v>125</v>
      </c>
      <c r="B704" s="48">
        <v>25</v>
      </c>
      <c r="C704" s="51">
        <f>720390+15686.97</f>
        <v>736076.97</v>
      </c>
      <c r="D704" s="52" t="s">
        <v>3495</v>
      </c>
      <c r="E704" s="52" t="s">
        <v>3445</v>
      </c>
      <c r="F704" s="52" t="s">
        <v>156</v>
      </c>
      <c r="G704" s="53">
        <v>42584</v>
      </c>
      <c r="H704" s="52" t="s">
        <v>153</v>
      </c>
    </row>
    <row r="705" spans="1:10" x14ac:dyDescent="0.25">
      <c r="A705" t="s">
        <v>128</v>
      </c>
      <c r="B705" s="48">
        <v>26</v>
      </c>
      <c r="C705" s="51">
        <v>365342.37</v>
      </c>
      <c r="D705" s="52" t="s">
        <v>3414</v>
      </c>
      <c r="E705" s="52" t="s">
        <v>3413</v>
      </c>
      <c r="F705" s="52" t="s">
        <v>2775</v>
      </c>
      <c r="G705" s="53">
        <v>42578</v>
      </c>
      <c r="H705" s="52" t="s">
        <v>1225</v>
      </c>
    </row>
    <row r="706" spans="1:10" x14ac:dyDescent="0.25">
      <c r="A706" t="s">
        <v>128</v>
      </c>
      <c r="B706" s="48">
        <v>26</v>
      </c>
      <c r="C706" s="2">
        <f>826350+17907.5</f>
        <v>844257.5</v>
      </c>
      <c r="D706" t="s">
        <v>3496</v>
      </c>
      <c r="E706" t="s">
        <v>3497</v>
      </c>
      <c r="F706" t="s">
        <v>156</v>
      </c>
    </row>
    <row r="707" spans="1:10" x14ac:dyDescent="0.25">
      <c r="A707" t="s">
        <v>128</v>
      </c>
      <c r="B707" s="48">
        <v>26</v>
      </c>
      <c r="C707" s="2">
        <f>32302.5+716.3</f>
        <v>33018.800000000003</v>
      </c>
      <c r="D707" t="s">
        <v>3499</v>
      </c>
      <c r="E707" t="s">
        <v>3498</v>
      </c>
      <c r="F707" t="s">
        <v>156</v>
      </c>
    </row>
    <row r="708" spans="1:10" x14ac:dyDescent="0.25">
      <c r="A708" t="s">
        <v>120</v>
      </c>
      <c r="B708" s="48">
        <v>27</v>
      </c>
      <c r="C708" s="60">
        <f>32093.86*G708</f>
        <v>605771.60750000004</v>
      </c>
      <c r="D708" s="61" t="s">
        <v>3384</v>
      </c>
      <c r="E708" s="61"/>
      <c r="F708" s="61" t="s">
        <v>1320</v>
      </c>
      <c r="G708" s="221">
        <v>18.875</v>
      </c>
      <c r="H708" s="61"/>
      <c r="I708" s="63">
        <v>42578</v>
      </c>
      <c r="J708" s="111" t="s">
        <v>952</v>
      </c>
    </row>
    <row r="709" spans="1:10" x14ac:dyDescent="0.25">
      <c r="A709" t="s">
        <v>120</v>
      </c>
      <c r="B709" s="48">
        <v>27</v>
      </c>
      <c r="C709" s="60">
        <f>32009.49*G709</f>
        <v>604179.12375000003</v>
      </c>
      <c r="D709" s="61" t="s">
        <v>3385</v>
      </c>
      <c r="E709" s="61"/>
      <c r="F709" s="61" t="s">
        <v>1320</v>
      </c>
      <c r="G709" s="221">
        <v>18.875</v>
      </c>
      <c r="H709" s="61"/>
      <c r="I709" s="63">
        <v>42578</v>
      </c>
      <c r="J709" s="111" t="s">
        <v>952</v>
      </c>
    </row>
    <row r="710" spans="1:10" x14ac:dyDescent="0.25">
      <c r="A710" t="s">
        <v>120</v>
      </c>
      <c r="B710" s="48">
        <v>27</v>
      </c>
      <c r="C710" s="51">
        <f>39736.09*G710</f>
        <v>738972.06573000003</v>
      </c>
      <c r="D710" s="52" t="s">
        <v>3473</v>
      </c>
      <c r="E710" s="52" t="s">
        <v>3474</v>
      </c>
      <c r="F710" s="52" t="s">
        <v>3475</v>
      </c>
      <c r="G710" s="70">
        <v>18.597000000000001</v>
      </c>
      <c r="H710" s="52">
        <v>40.299999999999997</v>
      </c>
      <c r="I710" s="53">
        <v>42569</v>
      </c>
      <c r="J710" s="118" t="s">
        <v>124</v>
      </c>
    </row>
    <row r="711" spans="1:10" x14ac:dyDescent="0.25">
      <c r="A711" t="s">
        <v>120</v>
      </c>
      <c r="B711" s="48">
        <v>27</v>
      </c>
      <c r="C711" s="51">
        <f>38770.95*G711</f>
        <v>759794.30715000001</v>
      </c>
      <c r="D711" s="52" t="s">
        <v>3477</v>
      </c>
      <c r="E711" s="52" t="s">
        <v>3476</v>
      </c>
      <c r="F711" s="52" t="s">
        <v>3478</v>
      </c>
      <c r="G711" s="70">
        <v>19.597000000000001</v>
      </c>
      <c r="H711" s="52">
        <v>40.26</v>
      </c>
      <c r="I711" s="53">
        <v>42569</v>
      </c>
      <c r="J711" s="118" t="s">
        <v>124</v>
      </c>
    </row>
    <row r="712" spans="1:10" x14ac:dyDescent="0.25">
      <c r="A712" t="s">
        <v>120</v>
      </c>
      <c r="B712" s="48">
        <v>27</v>
      </c>
      <c r="C712" s="2">
        <f>809480+17907.5</f>
        <v>827387.5</v>
      </c>
      <c r="D712" t="s">
        <v>3489</v>
      </c>
      <c r="E712" t="s">
        <v>3487</v>
      </c>
      <c r="F712" t="s">
        <v>156</v>
      </c>
    </row>
    <row r="713" spans="1:10" x14ac:dyDescent="0.25">
      <c r="A713" t="s">
        <v>120</v>
      </c>
      <c r="B713" s="48">
        <v>27</v>
      </c>
      <c r="C713" s="2">
        <f>437550+9311.9</f>
        <v>446861.9</v>
      </c>
      <c r="D713" t="s">
        <v>3491</v>
      </c>
      <c r="E713" t="s">
        <v>3488</v>
      </c>
      <c r="F713" t="s">
        <v>156</v>
      </c>
    </row>
    <row r="714" spans="1:10" x14ac:dyDescent="0.25">
      <c r="A714" t="s">
        <v>1833</v>
      </c>
      <c r="B714" s="48">
        <v>28</v>
      </c>
      <c r="C714" s="130"/>
      <c r="D714" s="131" t="s">
        <v>3386</v>
      </c>
      <c r="E714" s="131"/>
      <c r="F714" s="131" t="s">
        <v>1048</v>
      </c>
      <c r="G714" s="51">
        <v>18.920000000000002</v>
      </c>
      <c r="H714" s="131"/>
      <c r="I714" s="132">
        <v>42579</v>
      </c>
      <c r="J714" s="131" t="s">
        <v>124</v>
      </c>
    </row>
    <row r="715" spans="1:10" x14ac:dyDescent="0.25">
      <c r="A715" t="s">
        <v>1833</v>
      </c>
      <c r="B715" s="48">
        <v>28</v>
      </c>
      <c r="C715" s="130"/>
      <c r="D715" s="131" t="s">
        <v>3387</v>
      </c>
      <c r="E715" s="131"/>
      <c r="F715" s="131" t="s">
        <v>1048</v>
      </c>
      <c r="G715" s="51">
        <v>18.920000000000002</v>
      </c>
      <c r="H715" s="131"/>
      <c r="I715" s="132">
        <v>42579</v>
      </c>
      <c r="J715" s="131" t="s">
        <v>124</v>
      </c>
    </row>
    <row r="716" spans="1:10" x14ac:dyDescent="0.25">
      <c r="A716" t="s">
        <v>1833</v>
      </c>
      <c r="B716" s="48">
        <v>28</v>
      </c>
      <c r="C716" s="2">
        <f>779700+17907.5</f>
        <v>797607.5</v>
      </c>
      <c r="D716" t="s">
        <v>3526</v>
      </c>
      <c r="E716" t="s">
        <v>3527</v>
      </c>
      <c r="F716" t="s">
        <v>156</v>
      </c>
    </row>
    <row r="717" spans="1:10" x14ac:dyDescent="0.25">
      <c r="A717" t="s">
        <v>1833</v>
      </c>
      <c r="B717" s="48">
        <v>28</v>
      </c>
      <c r="C717" s="2">
        <f>431550+9311.9</f>
        <v>440861.9</v>
      </c>
      <c r="D717" t="s">
        <v>3529</v>
      </c>
      <c r="E717" t="s">
        <v>3528</v>
      </c>
      <c r="F717" t="s">
        <v>156</v>
      </c>
    </row>
    <row r="718" spans="1:10" x14ac:dyDescent="0.25">
      <c r="A718" t="s">
        <v>1833</v>
      </c>
      <c r="B718" s="48">
        <v>28</v>
      </c>
    </row>
    <row r="719" spans="1:10" x14ac:dyDescent="0.25">
      <c r="A719" t="s">
        <v>117</v>
      </c>
      <c r="B719" s="48">
        <v>29</v>
      </c>
      <c r="C719" s="130"/>
      <c r="D719" s="131" t="s">
        <v>3388</v>
      </c>
      <c r="E719" s="131"/>
      <c r="F719" s="131" t="s">
        <v>1320</v>
      </c>
      <c r="G719" s="51">
        <v>18.86</v>
      </c>
      <c r="H719" s="131"/>
      <c r="I719" s="132">
        <v>42580</v>
      </c>
      <c r="J719" s="131" t="s">
        <v>124</v>
      </c>
    </row>
    <row r="720" spans="1:10" s="50" customFormat="1" x14ac:dyDescent="0.25">
      <c r="A720" s="50" t="s">
        <v>117</v>
      </c>
      <c r="B720" s="56">
        <v>29</v>
      </c>
      <c r="C720" s="51">
        <v>709466.84</v>
      </c>
      <c r="D720" s="52" t="s">
        <v>3424</v>
      </c>
      <c r="E720" s="52" t="s">
        <v>3423</v>
      </c>
      <c r="F720" s="52" t="s">
        <v>936</v>
      </c>
      <c r="G720" s="51">
        <v>38</v>
      </c>
      <c r="H720" s="53">
        <v>42580</v>
      </c>
      <c r="I720" s="53" t="s">
        <v>124</v>
      </c>
    </row>
    <row r="721" spans="1:11" s="50" customFormat="1" x14ac:dyDescent="0.25">
      <c r="A721" s="50" t="s">
        <v>117</v>
      </c>
      <c r="B721" s="56">
        <v>29</v>
      </c>
      <c r="C721" s="51">
        <f>38096.18*G721</f>
        <v>710112.79520000005</v>
      </c>
      <c r="D721" s="52" t="s">
        <v>3548</v>
      </c>
      <c r="E721" s="52" t="s">
        <v>3549</v>
      </c>
      <c r="F721" s="52" t="s">
        <v>3606</v>
      </c>
      <c r="G721" s="51">
        <v>18.64</v>
      </c>
      <c r="H721" s="52"/>
      <c r="I721" s="53">
        <v>42573</v>
      </c>
      <c r="J721" s="118" t="s">
        <v>124</v>
      </c>
      <c r="K721" s="50" t="s">
        <v>3607</v>
      </c>
    </row>
    <row r="722" spans="1:11" x14ac:dyDescent="0.25">
      <c r="A722" s="49" t="s">
        <v>118</v>
      </c>
      <c r="B722" s="48">
        <v>30</v>
      </c>
    </row>
    <row r="723" spans="1:11" x14ac:dyDescent="0.25">
      <c r="A723" s="49" t="s">
        <v>119</v>
      </c>
      <c r="B723" s="48">
        <v>31</v>
      </c>
    </row>
    <row r="724" spans="1:11" x14ac:dyDescent="0.25">
      <c r="A724" s="207" t="s">
        <v>3486</v>
      </c>
    </row>
    <row r="725" spans="1:11" x14ac:dyDescent="0.25">
      <c r="A725" t="s">
        <v>125</v>
      </c>
      <c r="B725" s="48">
        <v>1</v>
      </c>
      <c r="C725" s="130"/>
      <c r="D725" s="131" t="s">
        <v>3586</v>
      </c>
      <c r="E725" s="131"/>
      <c r="F725" s="131" t="s">
        <v>1048</v>
      </c>
      <c r="G725" s="52">
        <v>18.925000000000001</v>
      </c>
      <c r="H725" s="131"/>
      <c r="I725" s="132">
        <v>42583</v>
      </c>
      <c r="J725" s="131"/>
    </row>
    <row r="726" spans="1:11" x14ac:dyDescent="0.25">
      <c r="A726" t="s">
        <v>125</v>
      </c>
      <c r="B726" s="48">
        <v>1</v>
      </c>
      <c r="C726" s="2">
        <f>30300+716.3+815250+17835.87</f>
        <v>864102.17</v>
      </c>
      <c r="D726" t="s">
        <v>3544</v>
      </c>
      <c r="E726" t="s">
        <v>3543</v>
      </c>
      <c r="F726" t="s">
        <v>156</v>
      </c>
    </row>
    <row r="727" spans="1:11" x14ac:dyDescent="0.25">
      <c r="A727" t="s">
        <v>125</v>
      </c>
      <c r="B727" s="48">
        <v>1</v>
      </c>
      <c r="C727" s="2">
        <f>742500+15758.6</f>
        <v>758258.6</v>
      </c>
      <c r="D727" t="s">
        <v>3545</v>
      </c>
      <c r="E727" t="s">
        <v>3546</v>
      </c>
      <c r="F727" t="s">
        <v>156</v>
      </c>
    </row>
    <row r="728" spans="1:11" x14ac:dyDescent="0.25">
      <c r="A728" t="s">
        <v>125</v>
      </c>
      <c r="B728" s="48">
        <v>1</v>
      </c>
      <c r="C728" s="2">
        <f>812400+15761.15+3690</f>
        <v>831851.15</v>
      </c>
      <c r="D728" t="s">
        <v>3600</v>
      </c>
      <c r="E728" t="s">
        <v>3547</v>
      </c>
      <c r="F728" t="s">
        <v>156</v>
      </c>
    </row>
    <row r="729" spans="1:11" x14ac:dyDescent="0.25">
      <c r="A729" t="s">
        <v>128</v>
      </c>
      <c r="B729" s="48">
        <v>2</v>
      </c>
      <c r="C729" s="51">
        <f>37580.04*G729</f>
        <v>700491.94560000009</v>
      </c>
      <c r="D729" s="52" t="s">
        <v>3551</v>
      </c>
      <c r="E729" s="52" t="s">
        <v>3552</v>
      </c>
      <c r="F729" s="52" t="s">
        <v>3553</v>
      </c>
      <c r="G729" s="51">
        <v>18.64</v>
      </c>
      <c r="H729" s="52"/>
      <c r="I729" s="53">
        <v>42573</v>
      </c>
      <c r="J729" s="118" t="s">
        <v>124</v>
      </c>
    </row>
    <row r="730" spans="1:11" x14ac:dyDescent="0.25">
      <c r="A730" t="s">
        <v>128</v>
      </c>
      <c r="B730" s="48">
        <v>2</v>
      </c>
      <c r="C730" s="2">
        <f>837000+17907.5</f>
        <v>854907.5</v>
      </c>
      <c r="D730" t="s">
        <v>3599</v>
      </c>
      <c r="E730" t="s">
        <v>3598</v>
      </c>
      <c r="F730" t="s">
        <v>156</v>
      </c>
      <c r="G730" s="37"/>
    </row>
    <row r="731" spans="1:11" x14ac:dyDescent="0.25">
      <c r="A731" t="s">
        <v>120</v>
      </c>
      <c r="B731" s="48">
        <v>3</v>
      </c>
      <c r="C731" s="51">
        <v>709466.84</v>
      </c>
      <c r="D731" s="52" t="s">
        <v>3514</v>
      </c>
      <c r="E731" s="52" t="s">
        <v>3515</v>
      </c>
      <c r="F731" s="52" t="s">
        <v>936</v>
      </c>
      <c r="G731" s="51">
        <v>38</v>
      </c>
      <c r="H731" s="53">
        <v>42580</v>
      </c>
      <c r="I731" s="52" t="s">
        <v>124</v>
      </c>
      <c r="J731" s="50"/>
    </row>
    <row r="732" spans="1:11" x14ac:dyDescent="0.25">
      <c r="A732" t="s">
        <v>120</v>
      </c>
      <c r="B732" s="48">
        <v>3</v>
      </c>
      <c r="C732" s="51">
        <v>1482589.44</v>
      </c>
      <c r="D732" s="52" t="s">
        <v>3520</v>
      </c>
      <c r="E732" s="52" t="s">
        <v>3519</v>
      </c>
      <c r="F732" s="52" t="s">
        <v>2480</v>
      </c>
      <c r="G732" s="51">
        <v>82</v>
      </c>
      <c r="H732" s="53">
        <v>42580</v>
      </c>
      <c r="I732" s="52" t="s">
        <v>124</v>
      </c>
    </row>
    <row r="733" spans="1:11" x14ac:dyDescent="0.25">
      <c r="A733" t="s">
        <v>120</v>
      </c>
      <c r="B733" s="48">
        <v>3</v>
      </c>
      <c r="C733" s="130"/>
      <c r="D733" s="131" t="s">
        <v>3587</v>
      </c>
      <c r="E733" s="131"/>
      <c r="F733" s="131" t="s">
        <v>901</v>
      </c>
      <c r="G733" s="223">
        <v>18.998000000000001</v>
      </c>
      <c r="H733" s="131"/>
      <c r="I733" s="132">
        <v>42585</v>
      </c>
      <c r="J733" s="131"/>
    </row>
    <row r="734" spans="1:11" x14ac:dyDescent="0.25">
      <c r="A734" t="s">
        <v>120</v>
      </c>
      <c r="B734" s="48">
        <v>3</v>
      </c>
      <c r="C734" s="130"/>
      <c r="D734" s="131" t="s">
        <v>3588</v>
      </c>
      <c r="E734" s="131"/>
      <c r="F734" s="131" t="s">
        <v>901</v>
      </c>
      <c r="G734" s="223">
        <v>19.035</v>
      </c>
      <c r="H734" s="131"/>
      <c r="I734" s="132">
        <v>42585</v>
      </c>
      <c r="J734" s="131"/>
    </row>
    <row r="735" spans="1:11" s="50" customFormat="1" x14ac:dyDescent="0.25">
      <c r="A735" s="50" t="s">
        <v>120</v>
      </c>
      <c r="B735" s="56">
        <v>3</v>
      </c>
      <c r="C735" s="51">
        <f>39089.5*G735</f>
        <v>728628.28</v>
      </c>
      <c r="D735" s="52" t="s">
        <v>3601</v>
      </c>
      <c r="E735" s="52" t="s">
        <v>3602</v>
      </c>
      <c r="F735" s="52" t="s">
        <v>3603</v>
      </c>
      <c r="G735" s="51">
        <v>18.64</v>
      </c>
      <c r="H735" s="52"/>
      <c r="I735" s="53">
        <v>42573</v>
      </c>
      <c r="J735" s="118" t="s">
        <v>124</v>
      </c>
    </row>
    <row r="736" spans="1:11" s="50" customFormat="1" x14ac:dyDescent="0.25">
      <c r="A736" s="50" t="s">
        <v>120</v>
      </c>
      <c r="B736" s="56">
        <v>3</v>
      </c>
      <c r="C736" s="37">
        <f>888750+17907.5+3540</f>
        <v>910197.5</v>
      </c>
      <c r="D736" s="50" t="s">
        <v>3616</v>
      </c>
      <c r="E736" s="50" t="s">
        <v>3614</v>
      </c>
      <c r="F736" s="50" t="s">
        <v>156</v>
      </c>
      <c r="G736" s="37"/>
      <c r="I736" s="58"/>
      <c r="J736" s="94"/>
    </row>
    <row r="737" spans="1:13" s="50" customFormat="1" x14ac:dyDescent="0.25">
      <c r="A737" s="50" t="s">
        <v>120</v>
      </c>
      <c r="B737" s="56">
        <v>3</v>
      </c>
      <c r="C737" s="37">
        <f>402300+9311.9</f>
        <v>411611.9</v>
      </c>
      <c r="D737" s="50" t="s">
        <v>3616</v>
      </c>
      <c r="E737" s="50" t="s">
        <v>3615</v>
      </c>
      <c r="F737" s="50" t="s">
        <v>156</v>
      </c>
      <c r="G737" s="37"/>
      <c r="I737" s="58"/>
      <c r="J737" s="94"/>
    </row>
    <row r="738" spans="1:13" x14ac:dyDescent="0.25">
      <c r="A738" t="s">
        <v>186</v>
      </c>
      <c r="B738" s="48">
        <v>4</v>
      </c>
      <c r="C738" s="130"/>
      <c r="D738" s="131" t="s">
        <v>3589</v>
      </c>
      <c r="E738" s="131"/>
      <c r="F738" s="131"/>
      <c r="G738" s="131"/>
      <c r="H738" s="131"/>
      <c r="I738" s="132">
        <v>42586</v>
      </c>
      <c r="J738" s="131"/>
    </row>
    <row r="739" spans="1:13" x14ac:dyDescent="0.25">
      <c r="A739" t="s">
        <v>186</v>
      </c>
      <c r="B739" s="48">
        <v>4</v>
      </c>
      <c r="C739" s="130"/>
      <c r="D739" s="131" t="s">
        <v>3590</v>
      </c>
      <c r="E739" s="131"/>
      <c r="F739" s="131"/>
      <c r="G739" s="131"/>
      <c r="H739" s="131"/>
      <c r="I739" s="132">
        <v>42586</v>
      </c>
      <c r="J739" s="131"/>
    </row>
    <row r="740" spans="1:13" s="50" customFormat="1" x14ac:dyDescent="0.25">
      <c r="A740" s="50" t="s">
        <v>186</v>
      </c>
      <c r="B740" s="56">
        <v>4</v>
      </c>
      <c r="C740" s="37">
        <f>872250+17907.5+6960</f>
        <v>897117.5</v>
      </c>
      <c r="D740" s="50" t="s">
        <v>3617</v>
      </c>
      <c r="E740" s="50" t="s">
        <v>3618</v>
      </c>
      <c r="F740" s="50" t="s">
        <v>156</v>
      </c>
      <c r="I740" s="58"/>
    </row>
    <row r="741" spans="1:13" s="50" customFormat="1" x14ac:dyDescent="0.25">
      <c r="A741" s="50" t="s">
        <v>186</v>
      </c>
      <c r="B741" s="56">
        <v>4</v>
      </c>
      <c r="C741" s="37">
        <f>419400+9311.9</f>
        <v>428711.9</v>
      </c>
      <c r="D741" s="50" t="s">
        <v>3619</v>
      </c>
      <c r="E741" s="50" t="s">
        <v>3620</v>
      </c>
      <c r="F741" s="2" t="s">
        <v>156</v>
      </c>
    </row>
    <row r="742" spans="1:13" x14ac:dyDescent="0.25">
      <c r="A742" t="s">
        <v>117</v>
      </c>
      <c r="B742" s="48">
        <v>5</v>
      </c>
      <c r="C742" s="130"/>
      <c r="D742" s="131" t="s">
        <v>3591</v>
      </c>
      <c r="E742" s="131"/>
      <c r="F742" s="131"/>
      <c r="G742" s="131"/>
      <c r="H742" s="131"/>
      <c r="I742" s="132">
        <v>42587</v>
      </c>
      <c r="J742" s="131"/>
    </row>
    <row r="743" spans="1:13" x14ac:dyDescent="0.25">
      <c r="A743" t="s">
        <v>117</v>
      </c>
      <c r="B743" s="48">
        <v>5</v>
      </c>
      <c r="C743" s="130">
        <f>34519.35*G743</f>
        <v>648963.78</v>
      </c>
      <c r="D743" s="131" t="s">
        <v>3626</v>
      </c>
      <c r="E743" s="131" t="s">
        <v>3627</v>
      </c>
      <c r="F743" s="131" t="s">
        <v>3628</v>
      </c>
      <c r="G743" s="130">
        <v>18.8</v>
      </c>
      <c r="H743" s="131"/>
      <c r="I743" s="131"/>
      <c r="J743" s="131"/>
      <c r="L743" t="s">
        <v>3643</v>
      </c>
    </row>
    <row r="744" spans="1:13" x14ac:dyDescent="0.25">
      <c r="A744" s="49" t="s">
        <v>118</v>
      </c>
      <c r="B744" s="48">
        <v>6</v>
      </c>
    </row>
    <row r="745" spans="1:13" x14ac:dyDescent="0.25">
      <c r="A745" s="49" t="s">
        <v>119</v>
      </c>
      <c r="B745" s="48">
        <v>7</v>
      </c>
      <c r="C745" s="210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</row>
    <row r="746" spans="1:13" x14ac:dyDescent="0.25">
      <c r="A746" t="s">
        <v>125</v>
      </c>
      <c r="B746" s="48">
        <v>8</v>
      </c>
      <c r="C746" s="130"/>
      <c r="D746" s="131" t="s">
        <v>3592</v>
      </c>
      <c r="E746" s="131"/>
      <c r="F746" s="131"/>
      <c r="G746" s="131"/>
      <c r="H746" s="131"/>
      <c r="I746" s="132">
        <v>42590</v>
      </c>
      <c r="J746" s="131"/>
    </row>
    <row r="747" spans="1:13" x14ac:dyDescent="0.25">
      <c r="A747" t="s">
        <v>125</v>
      </c>
      <c r="B747" s="48">
        <v>8</v>
      </c>
      <c r="C747" s="130">
        <f>33842.15*G747</f>
        <v>636232.42000000004</v>
      </c>
      <c r="D747" s="131" t="s">
        <v>3632</v>
      </c>
      <c r="E747" s="131" t="s">
        <v>3633</v>
      </c>
      <c r="F747" s="131" t="s">
        <v>3634</v>
      </c>
      <c r="G747" s="130">
        <v>18.8</v>
      </c>
      <c r="H747" s="131"/>
      <c r="I747" s="132"/>
      <c r="J747" s="131"/>
      <c r="L747" t="s">
        <v>3643</v>
      </c>
    </row>
    <row r="748" spans="1:13" x14ac:dyDescent="0.25">
      <c r="A748" t="s">
        <v>125</v>
      </c>
      <c r="B748" s="48">
        <v>8</v>
      </c>
      <c r="C748" s="37">
        <f>788550+16474.9</f>
        <v>805024.9</v>
      </c>
      <c r="D748" s="50" t="s">
        <v>3631</v>
      </c>
      <c r="E748" t="s">
        <v>3630</v>
      </c>
      <c r="F748" t="s">
        <v>156</v>
      </c>
    </row>
    <row r="749" spans="1:13" x14ac:dyDescent="0.25">
      <c r="A749" t="s">
        <v>125</v>
      </c>
      <c r="B749" s="48">
        <v>8</v>
      </c>
      <c r="C749" s="2">
        <f>674850+14326</f>
        <v>689176</v>
      </c>
      <c r="D749" s="50" t="s">
        <v>3635</v>
      </c>
      <c r="E749" t="s">
        <v>3641</v>
      </c>
      <c r="F749" t="s">
        <v>156</v>
      </c>
    </row>
    <row r="750" spans="1:13" x14ac:dyDescent="0.25">
      <c r="A750" t="s">
        <v>125</v>
      </c>
      <c r="B750" s="48">
        <v>8</v>
      </c>
      <c r="D750" s="50" t="s">
        <v>3687</v>
      </c>
      <c r="F750" t="s">
        <v>1000</v>
      </c>
    </row>
    <row r="751" spans="1:13" x14ac:dyDescent="0.25">
      <c r="A751" t="s">
        <v>128</v>
      </c>
      <c r="B751" s="48">
        <v>9</v>
      </c>
      <c r="C751" s="2">
        <f>648300+14326</f>
        <v>662626</v>
      </c>
      <c r="D751" s="50" t="s">
        <v>3636</v>
      </c>
      <c r="E751" t="s">
        <v>3644</v>
      </c>
      <c r="F751" t="s">
        <v>156</v>
      </c>
    </row>
    <row r="752" spans="1:13" x14ac:dyDescent="0.25">
      <c r="A752" t="s">
        <v>128</v>
      </c>
      <c r="B752" s="48">
        <v>9</v>
      </c>
    </row>
    <row r="753" spans="1:11" x14ac:dyDescent="0.25">
      <c r="A753" t="s">
        <v>120</v>
      </c>
      <c r="B753" s="48">
        <v>10</v>
      </c>
      <c r="C753" s="130"/>
      <c r="D753" s="131" t="s">
        <v>3593</v>
      </c>
      <c r="E753" s="131"/>
      <c r="F753" s="131"/>
      <c r="G753" s="130"/>
      <c r="H753" s="131"/>
      <c r="I753" s="132">
        <v>42592</v>
      </c>
      <c r="J753" s="131"/>
    </row>
    <row r="754" spans="1:11" x14ac:dyDescent="0.25">
      <c r="A754" t="s">
        <v>120</v>
      </c>
      <c r="B754" s="48">
        <v>10</v>
      </c>
      <c r="C754" s="130"/>
      <c r="D754" s="131" t="s">
        <v>3594</v>
      </c>
      <c r="E754" s="131"/>
      <c r="F754" s="131"/>
      <c r="G754" s="130"/>
      <c r="H754" s="131"/>
      <c r="I754" s="132">
        <v>42592</v>
      </c>
      <c r="J754" s="131"/>
    </row>
    <row r="755" spans="1:11" x14ac:dyDescent="0.25">
      <c r="A755" t="s">
        <v>120</v>
      </c>
      <c r="B755" s="48">
        <v>10</v>
      </c>
      <c r="C755" s="37">
        <f>796800+17907.5</f>
        <v>814707.5</v>
      </c>
      <c r="D755" s="50" t="s">
        <v>3658</v>
      </c>
      <c r="E755" s="50" t="s">
        <v>3657</v>
      </c>
      <c r="F755" s="50" t="s">
        <v>156</v>
      </c>
      <c r="G755" s="37"/>
      <c r="H755" s="50"/>
      <c r="I755" s="50"/>
      <c r="J755" s="50"/>
    </row>
    <row r="756" spans="1:11" x14ac:dyDescent="0.25">
      <c r="A756" t="s">
        <v>186</v>
      </c>
      <c r="B756" s="48">
        <v>11</v>
      </c>
      <c r="C756" s="130"/>
      <c r="D756" s="131" t="s">
        <v>3595</v>
      </c>
      <c r="E756" s="131"/>
      <c r="F756" s="131"/>
      <c r="G756" s="131"/>
      <c r="H756" s="131"/>
      <c r="I756" s="132">
        <v>42593</v>
      </c>
      <c r="J756" s="131"/>
    </row>
    <row r="757" spans="1:11" x14ac:dyDescent="0.25">
      <c r="A757" t="s">
        <v>186</v>
      </c>
      <c r="B757" s="48">
        <v>11</v>
      </c>
      <c r="C757" s="130"/>
      <c r="D757" s="131" t="s">
        <v>3596</v>
      </c>
      <c r="E757" s="131"/>
      <c r="F757" s="131"/>
      <c r="G757" s="131"/>
      <c r="H757" s="131"/>
      <c r="I757" s="132">
        <v>42593</v>
      </c>
      <c r="J757" s="131"/>
    </row>
    <row r="758" spans="1:11" s="50" customFormat="1" x14ac:dyDescent="0.25">
      <c r="A758" s="50" t="s">
        <v>186</v>
      </c>
      <c r="B758" s="56">
        <v>11</v>
      </c>
      <c r="C758" s="37">
        <f>806700+17835.87</f>
        <v>824535.87</v>
      </c>
      <c r="D758" s="50" t="s">
        <v>3661</v>
      </c>
      <c r="E758" s="50" t="s">
        <v>3659</v>
      </c>
      <c r="F758" s="50" t="s">
        <v>156</v>
      </c>
      <c r="I758" s="58"/>
    </row>
    <row r="759" spans="1:11" x14ac:dyDescent="0.25">
      <c r="A759" t="s">
        <v>186</v>
      </c>
      <c r="B759" s="48">
        <v>11</v>
      </c>
      <c r="C759" s="37">
        <f>442650+9956.57</f>
        <v>452606.57</v>
      </c>
      <c r="D759" s="50" t="s">
        <v>3662</v>
      </c>
      <c r="E759" s="50" t="s">
        <v>3660</v>
      </c>
      <c r="F759" s="2" t="s">
        <v>156</v>
      </c>
      <c r="G759" s="50"/>
      <c r="H759" s="50"/>
      <c r="I759" s="50"/>
      <c r="J759" s="50"/>
    </row>
    <row r="760" spans="1:11" x14ac:dyDescent="0.25">
      <c r="A760" t="s">
        <v>117</v>
      </c>
      <c r="B760" s="48">
        <v>12</v>
      </c>
      <c r="C760" s="130"/>
      <c r="D760" s="131" t="s">
        <v>3597</v>
      </c>
      <c r="E760" s="131"/>
      <c r="F760" s="131"/>
      <c r="G760" s="131"/>
      <c r="H760" s="131"/>
      <c r="I760" s="132">
        <v>42594</v>
      </c>
      <c r="J760" s="131"/>
    </row>
    <row r="761" spans="1:11" x14ac:dyDescent="0.25">
      <c r="A761" t="s">
        <v>117</v>
      </c>
      <c r="B761" s="48">
        <v>12</v>
      </c>
      <c r="C761" s="130">
        <f>30891.68*G761</f>
        <v>586941.92000000004</v>
      </c>
      <c r="D761" s="131" t="s">
        <v>3673</v>
      </c>
      <c r="E761" s="131" t="s">
        <v>3674</v>
      </c>
      <c r="F761" s="131" t="s">
        <v>3684</v>
      </c>
      <c r="G761" s="220">
        <v>19</v>
      </c>
      <c r="H761" s="131"/>
      <c r="I761" s="132"/>
      <c r="J761" s="131"/>
    </row>
    <row r="762" spans="1:11" x14ac:dyDescent="0.25">
      <c r="A762" t="s">
        <v>117</v>
      </c>
      <c r="B762" s="48">
        <v>12</v>
      </c>
      <c r="C762" s="37">
        <f>636150+14326</f>
        <v>650476</v>
      </c>
      <c r="D762" s="50" t="s">
        <v>3667</v>
      </c>
      <c r="E762" s="50" t="s">
        <v>3665</v>
      </c>
      <c r="F762" s="50" t="s">
        <v>156</v>
      </c>
      <c r="G762" s="50"/>
      <c r="H762" s="50"/>
      <c r="I762" s="58"/>
      <c r="J762" s="50"/>
      <c r="K762" s="50"/>
    </row>
    <row r="763" spans="1:11" x14ac:dyDescent="0.25">
      <c r="A763" t="s">
        <v>117</v>
      </c>
      <c r="B763" s="48">
        <v>12</v>
      </c>
      <c r="C763" s="2">
        <f>448800+9311.9</f>
        <v>458111.9</v>
      </c>
      <c r="D763" s="50" t="s">
        <v>3668</v>
      </c>
      <c r="E763" s="50" t="s">
        <v>3666</v>
      </c>
      <c r="F763" s="50" t="s">
        <v>156</v>
      </c>
    </row>
    <row r="764" spans="1:11" x14ac:dyDescent="0.25">
      <c r="A764" s="49" t="s">
        <v>118</v>
      </c>
      <c r="B764" s="48">
        <v>13</v>
      </c>
    </row>
    <row r="765" spans="1:11" x14ac:dyDescent="0.25">
      <c r="A765" s="49" t="s">
        <v>119</v>
      </c>
      <c r="B765" s="48">
        <v>14</v>
      </c>
    </row>
    <row r="766" spans="1:11" x14ac:dyDescent="0.25">
      <c r="A766" t="s">
        <v>125</v>
      </c>
      <c r="B766" s="48">
        <v>15</v>
      </c>
      <c r="C766" s="130"/>
      <c r="D766" s="131"/>
      <c r="E766" s="131"/>
      <c r="F766" s="131"/>
      <c r="G766" s="131"/>
      <c r="H766" s="131"/>
      <c r="I766" s="131"/>
      <c r="J766" s="131"/>
    </row>
    <row r="767" spans="1:11" x14ac:dyDescent="0.25">
      <c r="A767" t="s">
        <v>125</v>
      </c>
      <c r="B767" s="48">
        <v>15</v>
      </c>
      <c r="C767" s="130"/>
      <c r="D767" s="131"/>
      <c r="E767" s="131"/>
      <c r="F767" s="131"/>
      <c r="G767" s="131"/>
      <c r="H767" s="131"/>
      <c r="I767" s="131"/>
      <c r="J767" s="131"/>
    </row>
    <row r="768" spans="1:11" x14ac:dyDescent="0.25">
      <c r="A768" t="s">
        <v>125</v>
      </c>
      <c r="B768" s="48">
        <v>15</v>
      </c>
      <c r="C768" s="2">
        <f>695250+14326</f>
        <v>709576</v>
      </c>
      <c r="D768" t="s">
        <v>3676</v>
      </c>
      <c r="E768" t="s">
        <v>3675</v>
      </c>
      <c r="F768" t="s">
        <v>156</v>
      </c>
    </row>
    <row r="769" spans="1:10" x14ac:dyDescent="0.25">
      <c r="A769" t="s">
        <v>128</v>
      </c>
      <c r="B769" s="48">
        <v>16</v>
      </c>
      <c r="C769" s="2">
        <f>650850+14182.74</f>
        <v>665032.74</v>
      </c>
      <c r="D769" t="s">
        <v>3681</v>
      </c>
      <c r="E769" t="s">
        <v>3680</v>
      </c>
      <c r="F769" t="s">
        <v>156</v>
      </c>
    </row>
    <row r="770" spans="1:10" x14ac:dyDescent="0.25">
      <c r="A770" t="s">
        <v>128</v>
      </c>
      <c r="B770" s="48">
        <v>16</v>
      </c>
      <c r="C770" s="130">
        <f>30519.84*G770</f>
        <v>585980.92799999996</v>
      </c>
      <c r="D770" s="131" t="s">
        <v>3689</v>
      </c>
      <c r="E770" s="131" t="s">
        <v>3690</v>
      </c>
      <c r="F770" s="131" t="s">
        <v>3691</v>
      </c>
      <c r="G770" s="220">
        <v>19.2</v>
      </c>
      <c r="H770" s="131"/>
      <c r="I770" s="132">
        <v>42598</v>
      </c>
      <c r="J770" s="131"/>
    </row>
    <row r="771" spans="1:10" x14ac:dyDescent="0.25">
      <c r="A771" t="s">
        <v>120</v>
      </c>
      <c r="B771" s="48">
        <v>17</v>
      </c>
      <c r="C771" s="130">
        <f>30302.38*G771</f>
        <v>581805.696</v>
      </c>
      <c r="D771" s="131" t="s">
        <v>3702</v>
      </c>
      <c r="E771" s="131" t="s">
        <v>3703</v>
      </c>
      <c r="F771" s="131" t="s">
        <v>3704</v>
      </c>
      <c r="G771" s="35">
        <v>19.2</v>
      </c>
      <c r="H771" s="131"/>
      <c r="I771" s="131"/>
      <c r="J771" s="131"/>
    </row>
    <row r="772" spans="1:10" x14ac:dyDescent="0.25">
      <c r="A772" t="s">
        <v>120</v>
      </c>
      <c r="B772" s="48">
        <v>17</v>
      </c>
      <c r="C772" s="130"/>
      <c r="D772" s="131"/>
      <c r="E772" s="131"/>
      <c r="F772" s="131"/>
      <c r="G772" s="130"/>
      <c r="H772" s="131"/>
      <c r="I772" s="131"/>
      <c r="J772" s="131"/>
    </row>
    <row r="773" spans="1:10" x14ac:dyDescent="0.25">
      <c r="A773" t="s">
        <v>120</v>
      </c>
      <c r="B773" s="48">
        <v>17</v>
      </c>
      <c r="C773" s="37">
        <f>656700+14326</f>
        <v>671026</v>
      </c>
      <c r="D773" s="50" t="s">
        <v>3693</v>
      </c>
      <c r="E773" s="50" t="s">
        <v>3692</v>
      </c>
      <c r="F773" s="50" t="s">
        <v>156</v>
      </c>
      <c r="G773" s="37"/>
      <c r="H773" s="50"/>
      <c r="I773" s="50"/>
      <c r="J773" s="50"/>
    </row>
    <row r="774" spans="1:10" x14ac:dyDescent="0.25">
      <c r="A774" t="s">
        <v>186</v>
      </c>
      <c r="B774" s="48">
        <v>18</v>
      </c>
      <c r="C774" s="130"/>
      <c r="D774" s="131"/>
      <c r="E774" s="131"/>
      <c r="F774" s="131"/>
      <c r="G774" s="131"/>
      <c r="H774" s="131"/>
      <c r="I774" s="131"/>
      <c r="J774" s="131"/>
    </row>
    <row r="775" spans="1:10" x14ac:dyDescent="0.25">
      <c r="A775" t="s">
        <v>186</v>
      </c>
      <c r="B775" s="48">
        <v>18</v>
      </c>
      <c r="C775" s="130"/>
      <c r="D775" s="131"/>
      <c r="E775" s="131"/>
      <c r="F775" s="131"/>
      <c r="G775" s="131"/>
      <c r="H775" s="131"/>
      <c r="I775" s="131"/>
      <c r="J775" s="131"/>
    </row>
    <row r="776" spans="1:10" x14ac:dyDescent="0.25">
      <c r="A776" t="s">
        <v>186</v>
      </c>
      <c r="B776" s="48">
        <v>18</v>
      </c>
      <c r="C776" s="37">
        <f>667950+15758.6</f>
        <v>683708.6</v>
      </c>
      <c r="D776" s="50" t="s">
        <v>3697</v>
      </c>
      <c r="E776" s="50" t="s">
        <v>3698</v>
      </c>
      <c r="F776" s="2" t="s">
        <v>156</v>
      </c>
      <c r="G776" s="50"/>
      <c r="H776" s="50"/>
      <c r="I776" s="50"/>
      <c r="J776" s="50"/>
    </row>
    <row r="777" spans="1:10" x14ac:dyDescent="0.25">
      <c r="A777" t="s">
        <v>117</v>
      </c>
      <c r="B777" s="48">
        <v>19</v>
      </c>
      <c r="C777" s="130"/>
      <c r="D777" s="131"/>
      <c r="E777" s="131"/>
      <c r="F777" s="131"/>
      <c r="G777" s="131"/>
      <c r="H777" s="131"/>
      <c r="I777" s="131"/>
      <c r="J777" s="131"/>
    </row>
    <row r="778" spans="1:10" x14ac:dyDescent="0.25">
      <c r="A778" t="s">
        <v>117</v>
      </c>
      <c r="B778" s="48">
        <v>19</v>
      </c>
    </row>
    <row r="779" spans="1:10" x14ac:dyDescent="0.25">
      <c r="A779" s="49" t="s">
        <v>118</v>
      </c>
      <c r="B779" s="48">
        <v>20</v>
      </c>
    </row>
    <row r="780" spans="1:10" x14ac:dyDescent="0.25">
      <c r="A780" s="49" t="s">
        <v>119</v>
      </c>
      <c r="B780" s="48">
        <v>21</v>
      </c>
    </row>
    <row r="781" spans="1:10" s="50" customFormat="1" x14ac:dyDescent="0.25">
      <c r="A781" t="s">
        <v>125</v>
      </c>
      <c r="B781" s="56">
        <v>22</v>
      </c>
      <c r="C781" s="130"/>
      <c r="D781" s="131"/>
      <c r="E781" s="131"/>
      <c r="F781" s="131"/>
      <c r="G781" s="131"/>
      <c r="H781" s="131"/>
      <c r="I781" s="131"/>
      <c r="J781" s="131"/>
    </row>
    <row r="782" spans="1:10" s="50" customFormat="1" x14ac:dyDescent="0.25">
      <c r="A782" t="s">
        <v>125</v>
      </c>
      <c r="B782" s="56">
        <v>22</v>
      </c>
      <c r="C782" s="2"/>
      <c r="D782"/>
      <c r="E782"/>
      <c r="F782"/>
      <c r="G782"/>
      <c r="H782"/>
      <c r="I782"/>
      <c r="J782"/>
    </row>
    <row r="783" spans="1:10" s="50" customFormat="1" x14ac:dyDescent="0.25">
      <c r="A783" t="s">
        <v>128</v>
      </c>
      <c r="B783" s="56">
        <v>23</v>
      </c>
      <c r="C783" s="2"/>
      <c r="D783"/>
      <c r="E783"/>
      <c r="F783"/>
      <c r="G783"/>
      <c r="H783"/>
      <c r="I783"/>
      <c r="J783"/>
    </row>
    <row r="784" spans="1:10" s="50" customFormat="1" x14ac:dyDescent="0.25">
      <c r="A784" t="s">
        <v>120</v>
      </c>
      <c r="B784" s="56">
        <v>24</v>
      </c>
      <c r="C784" s="130"/>
      <c r="D784" s="131"/>
      <c r="E784" s="131"/>
      <c r="F784" s="131"/>
      <c r="G784" s="130"/>
      <c r="H784" s="131"/>
      <c r="I784" s="131"/>
      <c r="J784" s="131"/>
    </row>
    <row r="785" spans="1:10" s="50" customFormat="1" x14ac:dyDescent="0.25">
      <c r="A785" t="s">
        <v>120</v>
      </c>
      <c r="B785" s="56">
        <v>24</v>
      </c>
      <c r="C785" s="130"/>
      <c r="D785" s="131"/>
      <c r="E785" s="131"/>
      <c r="F785" s="131"/>
      <c r="G785" s="130"/>
      <c r="H785" s="131"/>
      <c r="I785" s="131"/>
      <c r="J785" s="131"/>
    </row>
    <row r="786" spans="1:10" s="50" customFormat="1" x14ac:dyDescent="0.25">
      <c r="A786" t="s">
        <v>120</v>
      </c>
      <c r="B786" s="56">
        <v>24</v>
      </c>
      <c r="C786" s="37"/>
      <c r="G786" s="37"/>
    </row>
    <row r="787" spans="1:10" x14ac:dyDescent="0.25">
      <c r="A787" t="s">
        <v>186</v>
      </c>
      <c r="B787" s="48">
        <v>25</v>
      </c>
      <c r="C787" s="130"/>
      <c r="D787" s="131"/>
      <c r="E787" s="131"/>
      <c r="F787" s="131"/>
      <c r="G787" s="131"/>
      <c r="H787" s="131"/>
      <c r="I787" s="131"/>
      <c r="J787" s="131"/>
    </row>
    <row r="788" spans="1:10" x14ac:dyDescent="0.25">
      <c r="A788" t="s">
        <v>186</v>
      </c>
      <c r="B788" s="48">
        <v>25</v>
      </c>
      <c r="C788" s="130"/>
      <c r="D788" s="131"/>
      <c r="E788" s="131"/>
      <c r="F788" s="131"/>
      <c r="G788" s="131"/>
      <c r="H788" s="131"/>
      <c r="I788" s="131"/>
      <c r="J788" s="131"/>
    </row>
    <row r="789" spans="1:10" x14ac:dyDescent="0.25">
      <c r="A789" t="s">
        <v>186</v>
      </c>
      <c r="B789" s="48">
        <v>25</v>
      </c>
      <c r="C789" s="37"/>
      <c r="D789" s="50"/>
      <c r="E789" s="50"/>
      <c r="F789" s="2"/>
      <c r="G789" s="50"/>
      <c r="H789" s="50"/>
      <c r="I789" s="50"/>
      <c r="J789" s="50"/>
    </row>
    <row r="790" spans="1:10" x14ac:dyDescent="0.25">
      <c r="A790" t="s">
        <v>117</v>
      </c>
      <c r="B790" s="48">
        <v>26</v>
      </c>
      <c r="C790" s="130"/>
      <c r="D790" s="131"/>
      <c r="E790" s="131"/>
      <c r="F790" s="131"/>
      <c r="G790" s="131"/>
      <c r="H790" s="131"/>
      <c r="I790" s="131"/>
      <c r="J790" s="131"/>
    </row>
    <row r="791" spans="1:10" x14ac:dyDescent="0.25">
      <c r="A791" t="s">
        <v>117</v>
      </c>
      <c r="B791" s="48">
        <v>26</v>
      </c>
    </row>
    <row r="792" spans="1:10" x14ac:dyDescent="0.25">
      <c r="A792" s="49" t="s">
        <v>118</v>
      </c>
      <c r="B792" s="48">
        <v>27</v>
      </c>
    </row>
    <row r="793" spans="1:10" x14ac:dyDescent="0.25">
      <c r="A793" s="49" t="s">
        <v>119</v>
      </c>
      <c r="B793" s="48">
        <v>28</v>
      </c>
    </row>
    <row r="794" spans="1:10" x14ac:dyDescent="0.25">
      <c r="A794" t="s">
        <v>125</v>
      </c>
      <c r="B794" s="48">
        <v>29</v>
      </c>
    </row>
    <row r="795" spans="1:10" x14ac:dyDescent="0.25">
      <c r="A795" t="s">
        <v>125</v>
      </c>
      <c r="B795" s="48">
        <v>29</v>
      </c>
    </row>
    <row r="796" spans="1:10" x14ac:dyDescent="0.25">
      <c r="A796" t="s">
        <v>128</v>
      </c>
      <c r="B796" s="48">
        <v>30</v>
      </c>
    </row>
    <row r="797" spans="1:10" x14ac:dyDescent="0.25">
      <c r="A797" t="s">
        <v>120</v>
      </c>
      <c r="B797" s="48">
        <v>31</v>
      </c>
    </row>
    <row r="798" spans="1:10" x14ac:dyDescent="0.25">
      <c r="A798" t="s">
        <v>120</v>
      </c>
      <c r="B798" s="48">
        <v>31</v>
      </c>
    </row>
    <row r="799" spans="1:10" x14ac:dyDescent="0.25">
      <c r="A799" t="s">
        <v>120</v>
      </c>
      <c r="B799" s="48">
        <v>31</v>
      </c>
    </row>
    <row r="800" spans="1:10" x14ac:dyDescent="0.25">
      <c r="A800" s="47" t="s">
        <v>3585</v>
      </c>
      <c r="B800" s="48"/>
    </row>
    <row r="801" spans="1:2" x14ac:dyDescent="0.25">
      <c r="A801" t="s">
        <v>186</v>
      </c>
      <c r="B801" s="48">
        <v>1</v>
      </c>
    </row>
    <row r="802" spans="1:2" x14ac:dyDescent="0.25">
      <c r="A802" t="s">
        <v>186</v>
      </c>
      <c r="B802" s="48">
        <v>1</v>
      </c>
    </row>
    <row r="803" spans="1:2" x14ac:dyDescent="0.25">
      <c r="A803" t="s">
        <v>186</v>
      </c>
      <c r="B803" s="48">
        <v>1</v>
      </c>
    </row>
    <row r="804" spans="1:2" x14ac:dyDescent="0.25">
      <c r="A804" t="s">
        <v>117</v>
      </c>
      <c r="B804" s="48">
        <v>2</v>
      </c>
    </row>
    <row r="805" spans="1:2" x14ac:dyDescent="0.25">
      <c r="A805" t="s">
        <v>117</v>
      </c>
      <c r="B805" s="48">
        <v>2</v>
      </c>
    </row>
    <row r="806" spans="1:2" x14ac:dyDescent="0.25">
      <c r="A806" s="49" t="s">
        <v>118</v>
      </c>
      <c r="B806" s="48">
        <v>3</v>
      </c>
    </row>
    <row r="807" spans="1:2" x14ac:dyDescent="0.25">
      <c r="A807" s="49" t="s">
        <v>119</v>
      </c>
      <c r="B807" s="48">
        <v>4</v>
      </c>
    </row>
    <row r="808" spans="1:2" x14ac:dyDescent="0.25">
      <c r="A808" t="s">
        <v>125</v>
      </c>
      <c r="B808" s="48">
        <v>5</v>
      </c>
    </row>
    <row r="809" spans="1:2" x14ac:dyDescent="0.25">
      <c r="A809" t="s">
        <v>128</v>
      </c>
      <c r="B809" s="48">
        <v>6</v>
      </c>
    </row>
    <row r="810" spans="1:2" x14ac:dyDescent="0.25">
      <c r="A810" t="s">
        <v>120</v>
      </c>
      <c r="B810" s="48">
        <v>7</v>
      </c>
    </row>
    <row r="811" spans="1:2" x14ac:dyDescent="0.25">
      <c r="A811" t="s">
        <v>186</v>
      </c>
      <c r="B811" s="48">
        <v>8</v>
      </c>
    </row>
    <row r="812" spans="1:2" x14ac:dyDescent="0.25">
      <c r="A812" t="s">
        <v>117</v>
      </c>
      <c r="B812" s="48">
        <v>9</v>
      </c>
    </row>
    <row r="813" spans="1:2" x14ac:dyDescent="0.25">
      <c r="A813" s="49" t="s">
        <v>118</v>
      </c>
      <c r="B813" s="48">
        <v>10</v>
      </c>
    </row>
    <row r="814" spans="1:2" x14ac:dyDescent="0.25">
      <c r="A814" s="49" t="s">
        <v>119</v>
      </c>
      <c r="B814" s="48">
        <v>11</v>
      </c>
    </row>
    <row r="815" spans="1:2" x14ac:dyDescent="0.25">
      <c r="A815" t="s">
        <v>125</v>
      </c>
      <c r="B815" s="48">
        <v>12</v>
      </c>
    </row>
    <row r="816" spans="1:2" x14ac:dyDescent="0.25">
      <c r="A816" t="s">
        <v>128</v>
      </c>
      <c r="B816" s="48">
        <v>13</v>
      </c>
    </row>
    <row r="817" spans="1:2" x14ac:dyDescent="0.25">
      <c r="A817" t="s">
        <v>120</v>
      </c>
      <c r="B817" s="48">
        <v>14</v>
      </c>
    </row>
    <row r="818" spans="1:2" x14ac:dyDescent="0.25">
      <c r="A818" t="s">
        <v>186</v>
      </c>
      <c r="B818" s="48">
        <v>15</v>
      </c>
    </row>
    <row r="819" spans="1:2" x14ac:dyDescent="0.25">
      <c r="A819" t="s">
        <v>117</v>
      </c>
      <c r="B819" s="48">
        <v>16</v>
      </c>
    </row>
    <row r="820" spans="1:2" x14ac:dyDescent="0.25">
      <c r="A820" s="49" t="s">
        <v>118</v>
      </c>
      <c r="B820" s="48">
        <v>17</v>
      </c>
    </row>
    <row r="821" spans="1:2" x14ac:dyDescent="0.25">
      <c r="A821" s="49" t="s">
        <v>119</v>
      </c>
      <c r="B821" s="48">
        <v>18</v>
      </c>
    </row>
    <row r="822" spans="1:2" x14ac:dyDescent="0.25">
      <c r="A822" t="s">
        <v>125</v>
      </c>
      <c r="B822" s="48">
        <v>19</v>
      </c>
    </row>
    <row r="823" spans="1:2" x14ac:dyDescent="0.25">
      <c r="A823" t="s">
        <v>128</v>
      </c>
      <c r="B823" s="48">
        <v>20</v>
      </c>
    </row>
    <row r="824" spans="1:2" x14ac:dyDescent="0.25">
      <c r="A824" t="s">
        <v>120</v>
      </c>
      <c r="B824" s="48">
        <v>21</v>
      </c>
    </row>
    <row r="825" spans="1:2" x14ac:dyDescent="0.25">
      <c r="A825" t="s">
        <v>186</v>
      </c>
      <c r="B825" s="48">
        <v>22</v>
      </c>
    </row>
    <row r="826" spans="1:2" x14ac:dyDescent="0.25">
      <c r="A826" t="s">
        <v>117</v>
      </c>
      <c r="B826" s="48">
        <v>23</v>
      </c>
    </row>
    <row r="827" spans="1:2" x14ac:dyDescent="0.25">
      <c r="A827" s="49" t="s">
        <v>118</v>
      </c>
      <c r="B827" s="48">
        <v>24</v>
      </c>
    </row>
    <row r="828" spans="1:2" x14ac:dyDescent="0.25">
      <c r="A828" s="49" t="s">
        <v>119</v>
      </c>
      <c r="B828" s="48">
        <v>25</v>
      </c>
    </row>
    <row r="829" spans="1:2" x14ac:dyDescent="0.25">
      <c r="A829" t="s">
        <v>125</v>
      </c>
      <c r="B829" s="48">
        <v>26</v>
      </c>
    </row>
    <row r="830" spans="1:2" x14ac:dyDescent="0.25">
      <c r="A830" t="s">
        <v>128</v>
      </c>
      <c r="B830" s="48">
        <v>27</v>
      </c>
    </row>
    <row r="831" spans="1:2" x14ac:dyDescent="0.25">
      <c r="A831" t="s">
        <v>120</v>
      </c>
      <c r="B831" s="48">
        <v>28</v>
      </c>
    </row>
    <row r="832" spans="1:2" x14ac:dyDescent="0.25">
      <c r="A832" t="s">
        <v>186</v>
      </c>
      <c r="B832" s="48">
        <v>29</v>
      </c>
    </row>
    <row r="833" spans="1:2" x14ac:dyDescent="0.25">
      <c r="A833" t="s">
        <v>117</v>
      </c>
      <c r="B833" s="48">
        <v>30</v>
      </c>
    </row>
  </sheetData>
  <pageMargins left="0.70866141732283472" right="0.70866141732283472" top="0.74803149606299213" bottom="0.74803149606299213" header="0.31496062992125984" footer="0.31496062992125984"/>
  <pageSetup scale="80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</vt:i4>
      </vt:variant>
    </vt:vector>
  </HeadingPairs>
  <TitlesOfParts>
    <vt:vector size="21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programa de pagos</vt:lpstr>
      <vt:lpstr>cierres</vt:lpstr>
      <vt:lpstr>mesada</vt:lpstr>
      <vt:lpstr>edo cta Seaboard</vt:lpstr>
      <vt:lpstr>edo cta Indiana</vt:lpstr>
      <vt:lpstr>rastro</vt:lpstr>
      <vt:lpstr>Proledo</vt:lpstr>
      <vt:lpstr>Pagos Archibaldo</vt:lpstr>
      <vt:lpstr>ajustes importaciones</vt:lpstr>
      <vt:lpstr>robo canales 1 may</vt:lpstr>
      <vt:lpstr>remodelacion central</vt:lpstr>
      <vt:lpstr>'ajustes importaciones'!Área_de_impresión</vt:lpstr>
      <vt:lpstr>'programa de pagos'!Área_de_impresión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2016-07-22T22:47:49Z</cp:lastPrinted>
  <dcterms:created xsi:type="dcterms:W3CDTF">2016-01-11T20:36:50Z</dcterms:created>
  <dcterms:modified xsi:type="dcterms:W3CDTF">2016-08-11T14:32:20Z</dcterms:modified>
</cp:coreProperties>
</file>