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715" windowHeight="9615" firstSheet="11" activeTab="15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J U L I O    2016" sheetId="13" r:id="rId13"/>
    <sheet name="REMISIONES  JULIO  2016  " sheetId="14" r:id="rId14"/>
    <sheet name="A G O S T O   2016    " sheetId="15" r:id="rId15"/>
    <sheet name="REMISIONES  AGOSTO   2016   " sheetId="16" r:id="rId16"/>
    <sheet name="Hoja9" sheetId="17" r:id="rId17"/>
    <sheet name="Hoja10" sheetId="18" r:id="rId18"/>
  </sheets>
  <calcPr calcId="144525"/>
</workbook>
</file>

<file path=xl/calcChain.xml><?xml version="1.0" encoding="utf-8"?>
<calcChain xmlns="http://schemas.openxmlformats.org/spreadsheetml/2006/main">
  <c r="F64" i="16" l="1"/>
  <c r="F63" i="16"/>
  <c r="F62" i="16"/>
  <c r="F61" i="16" l="1"/>
  <c r="F60" i="16"/>
  <c r="F59" i="16" l="1"/>
  <c r="F58" i="16"/>
  <c r="F57" i="16" l="1"/>
  <c r="F56" i="16"/>
  <c r="F55" i="16"/>
  <c r="F54" i="16"/>
  <c r="AC8" i="15" l="1"/>
  <c r="L8" i="15"/>
  <c r="K45" i="15"/>
  <c r="I38" i="15"/>
  <c r="F38" i="15"/>
  <c r="C38" i="15"/>
  <c r="N37" i="15"/>
  <c r="L38" i="15"/>
  <c r="K40" i="15" l="1"/>
  <c r="F41" i="15" s="1"/>
  <c r="F44" i="15" s="1"/>
  <c r="F46" i="15" s="1"/>
  <c r="K44" i="15" s="1"/>
  <c r="K47" i="15" s="1"/>
  <c r="AB45" i="15" l="1"/>
  <c r="Z38" i="15"/>
  <c r="W38" i="15"/>
  <c r="T38" i="15"/>
  <c r="AE37" i="15"/>
  <c r="AC38" i="15"/>
  <c r="AT8" i="15"/>
  <c r="AB40" i="15" l="1"/>
  <c r="W41" i="15" s="1"/>
  <c r="W44" i="15" s="1"/>
  <c r="W46" i="15" s="1"/>
  <c r="AB44" i="15" s="1"/>
  <c r="AB47" i="15" s="1"/>
  <c r="F53" i="16" l="1"/>
  <c r="F52" i="16"/>
  <c r="E31" i="16"/>
  <c r="E29" i="16"/>
  <c r="T19" i="16"/>
  <c r="T18" i="16"/>
  <c r="T17" i="16"/>
  <c r="T26" i="16"/>
  <c r="T16" i="16"/>
  <c r="T15" i="16"/>
  <c r="T13" i="16"/>
  <c r="T12" i="16"/>
  <c r="T10" i="16"/>
  <c r="T9" i="16"/>
  <c r="T8" i="16" l="1"/>
  <c r="T7" i="16"/>
  <c r="T5" i="16"/>
  <c r="T4" i="16"/>
  <c r="T3" i="16"/>
  <c r="Y27" i="16"/>
  <c r="V27" i="16"/>
  <c r="E16" i="16" l="1"/>
  <c r="J64" i="16"/>
  <c r="J63" i="16"/>
  <c r="K63" i="16"/>
  <c r="K60" i="16"/>
  <c r="K57" i="16"/>
  <c r="K62" i="16"/>
  <c r="K58" i="16"/>
  <c r="K55" i="16"/>
  <c r="K52" i="16"/>
  <c r="K51" i="16"/>
  <c r="M67" i="16"/>
  <c r="P67" i="16"/>
  <c r="K66" i="16"/>
  <c r="AS45" i="15" l="1"/>
  <c r="AQ38" i="15"/>
  <c r="AN38" i="15"/>
  <c r="AK38" i="15"/>
  <c r="AV37" i="15"/>
  <c r="AT38" i="15"/>
  <c r="AS40" i="15" l="1"/>
  <c r="AN41" i="15" s="1"/>
  <c r="AN44" i="15" s="1"/>
  <c r="AN46" i="15" s="1"/>
  <c r="AS44" i="15" s="1"/>
  <c r="AS47" i="15" s="1"/>
  <c r="E56" i="14" l="1"/>
  <c r="E53" i="14"/>
  <c r="E52" i="14"/>
  <c r="K41" i="16"/>
  <c r="K40" i="16"/>
  <c r="K38" i="16"/>
  <c r="K37" i="16"/>
  <c r="K36" i="16"/>
  <c r="K33" i="16"/>
  <c r="K32" i="16"/>
  <c r="K31" i="16"/>
  <c r="P33" i="16"/>
  <c r="K29" i="16"/>
  <c r="K28" i="16"/>
  <c r="P44" i="16"/>
  <c r="M44" i="16"/>
  <c r="K43" i="16"/>
  <c r="E38" i="14" l="1"/>
  <c r="E37" i="14"/>
  <c r="M16" i="16" l="1"/>
  <c r="K20" i="16"/>
  <c r="K19" i="16"/>
  <c r="K18" i="16"/>
  <c r="K16" i="16"/>
  <c r="K14" i="16"/>
  <c r="K13" i="16"/>
  <c r="K11" i="16"/>
  <c r="K10" i="16"/>
  <c r="K8" i="16"/>
  <c r="K7" i="16"/>
  <c r="K6" i="16"/>
  <c r="K5" i="16"/>
  <c r="K3" i="16"/>
  <c r="P22" i="16"/>
  <c r="M22" i="16"/>
  <c r="K21" i="16"/>
  <c r="C82" i="16" l="1"/>
  <c r="F81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E82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BI8" i="15"/>
  <c r="BH45" i="15"/>
  <c r="BF38" i="15"/>
  <c r="BC38" i="15"/>
  <c r="AZ38" i="15"/>
  <c r="BK37" i="15"/>
  <c r="BI38" i="15"/>
  <c r="F19" i="16" l="1"/>
  <c r="F82" i="16" s="1"/>
  <c r="BH40" i="15"/>
  <c r="BC41" i="15" s="1"/>
  <c r="BC44" i="15" s="1"/>
  <c r="BC46" i="15" s="1"/>
  <c r="BH44" i="15" s="1"/>
  <c r="BH47" i="15" s="1"/>
  <c r="F54" i="14"/>
  <c r="F55" i="14"/>
  <c r="F56" i="14"/>
  <c r="L8" i="13" l="1"/>
  <c r="K45" i="13"/>
  <c r="I38" i="13"/>
  <c r="F38" i="13"/>
  <c r="C38" i="13"/>
  <c r="N37" i="13"/>
  <c r="L38" i="13"/>
  <c r="K40" i="13" l="1"/>
  <c r="F41" i="13" s="1"/>
  <c r="F44" i="13" s="1"/>
  <c r="F46" i="13" s="1"/>
  <c r="K44" i="13" s="1"/>
  <c r="K47" i="13" s="1"/>
  <c r="C58" i="14"/>
  <c r="F48" i="14"/>
  <c r="F49" i="14"/>
  <c r="F50" i="14"/>
  <c r="F51" i="14"/>
  <c r="F52" i="14"/>
  <c r="F53" i="14"/>
  <c r="F57" i="14"/>
  <c r="E31" i="14" l="1"/>
  <c r="Z15" i="14"/>
  <c r="W15" i="14"/>
  <c r="T12" i="14"/>
  <c r="U11" i="14"/>
  <c r="U10" i="14"/>
  <c r="U9" i="14"/>
  <c r="U8" i="14"/>
  <c r="U6" i="14"/>
  <c r="U5" i="14"/>
  <c r="U4" i="14"/>
  <c r="U3" i="14"/>
  <c r="U15" i="14" s="1"/>
  <c r="E20" i="14" l="1"/>
  <c r="E19" i="14"/>
  <c r="E58" i="14" s="1"/>
  <c r="J64" i="14"/>
  <c r="J63" i="14"/>
  <c r="AA8" i="13"/>
  <c r="Z45" i="13"/>
  <c r="X38" i="13"/>
  <c r="U38" i="13"/>
  <c r="R38" i="13"/>
  <c r="AC37" i="13"/>
  <c r="AA38" i="13"/>
  <c r="J62" i="14"/>
  <c r="J60" i="14"/>
  <c r="J59" i="14"/>
  <c r="J58" i="14"/>
  <c r="J56" i="14"/>
  <c r="J55" i="14"/>
  <c r="J54" i="14"/>
  <c r="Z40" i="13" l="1"/>
  <c r="U41" i="13" s="1"/>
  <c r="U44" i="13" s="1"/>
  <c r="U46" i="13" s="1"/>
  <c r="Z44" i="13" s="1"/>
  <c r="Z47" i="13" s="1"/>
  <c r="J53" i="14" l="1"/>
  <c r="O74" i="14"/>
  <c r="L74" i="14"/>
  <c r="J73" i="14"/>
  <c r="F36" i="14" l="1"/>
  <c r="F37" i="14"/>
  <c r="F38" i="14"/>
  <c r="F39" i="14"/>
  <c r="F40" i="14"/>
  <c r="F41" i="14"/>
  <c r="F42" i="14"/>
  <c r="F43" i="14"/>
  <c r="F44" i="14"/>
  <c r="F45" i="14"/>
  <c r="F46" i="14"/>
  <c r="E43" i="12"/>
  <c r="E40" i="12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3" i="14"/>
  <c r="J12" i="14"/>
  <c r="J11" i="14"/>
  <c r="J10" i="14"/>
  <c r="J9" i="14"/>
  <c r="J7" i="14" l="1"/>
  <c r="J6" i="14"/>
  <c r="J45" i="14"/>
  <c r="O46" i="14"/>
  <c r="AP8" i="13"/>
  <c r="AO45" i="13"/>
  <c r="AM38" i="13"/>
  <c r="AJ38" i="13"/>
  <c r="AG38" i="13"/>
  <c r="AR37" i="13"/>
  <c r="AP38" i="13"/>
  <c r="AO40" i="13" l="1"/>
  <c r="AJ41" i="13" s="1"/>
  <c r="AJ44" i="13" s="1"/>
  <c r="AJ46" i="13" s="1"/>
  <c r="AO44" i="13" s="1"/>
  <c r="AO47" i="13" s="1"/>
  <c r="F28" i="14" l="1"/>
  <c r="F29" i="14"/>
  <c r="F30" i="14"/>
  <c r="F31" i="14"/>
  <c r="F32" i="14"/>
  <c r="F33" i="14"/>
  <c r="F34" i="14"/>
  <c r="F35" i="14"/>
  <c r="F19" i="14"/>
  <c r="F20" i="14"/>
  <c r="F21" i="14"/>
  <c r="F22" i="14"/>
  <c r="F23" i="14"/>
  <c r="F24" i="14"/>
  <c r="F25" i="14"/>
  <c r="F26" i="14"/>
  <c r="F27" i="14"/>
  <c r="F38" i="11" l="1"/>
  <c r="C38" i="11"/>
  <c r="K45" i="11"/>
  <c r="L8" i="11"/>
  <c r="L46" i="14"/>
  <c r="F47" i="14" l="1"/>
  <c r="F18" i="14"/>
  <c r="F17" i="14"/>
  <c r="F16" i="14"/>
  <c r="F15" i="14"/>
  <c r="F14" i="14"/>
  <c r="F13" i="14"/>
  <c r="F12" i="14"/>
  <c r="F11" i="14"/>
  <c r="F10" i="14"/>
  <c r="F9" i="14"/>
  <c r="F8" i="14"/>
  <c r="F6" i="14"/>
  <c r="F5" i="14"/>
  <c r="BE8" i="13"/>
  <c r="BD45" i="13"/>
  <c r="BB38" i="13"/>
  <c r="AY38" i="13"/>
  <c r="AV38" i="13"/>
  <c r="BG37" i="13"/>
  <c r="BE38" i="13"/>
  <c r="F7" i="14" l="1"/>
  <c r="F58" i="14" s="1"/>
  <c r="BD40" i="13"/>
  <c r="AY41" i="13" s="1"/>
  <c r="AY44" i="13" s="1"/>
  <c r="AY46" i="13" s="1"/>
  <c r="BD44" i="13" s="1"/>
  <c r="BD47" i="13" s="1"/>
  <c r="E33" i="12"/>
  <c r="E32" i="12"/>
  <c r="V20" i="12"/>
  <c r="Y20" i="12"/>
  <c r="T19" i="12"/>
  <c r="T17" i="12"/>
  <c r="T16" i="12"/>
  <c r="T14" i="12"/>
  <c r="T13" i="12"/>
  <c r="T11" i="12"/>
  <c r="T10" i="12"/>
  <c r="T8" i="12"/>
  <c r="T6" i="12"/>
  <c r="T5" i="12"/>
  <c r="T4" i="12"/>
  <c r="T7" i="12"/>
  <c r="I38" i="11" l="1"/>
  <c r="N37" i="11"/>
  <c r="L38" i="11"/>
  <c r="K40" i="11" l="1"/>
  <c r="F41" i="11" s="1"/>
  <c r="F44" i="11" s="1"/>
  <c r="F46" i="11" s="1"/>
  <c r="K44" i="11" s="1"/>
  <c r="K47" i="11" s="1"/>
  <c r="E7" i="12"/>
  <c r="F20" i="12" l="1"/>
  <c r="F21" i="12"/>
  <c r="F22" i="12"/>
  <c r="K65" i="12"/>
  <c r="M70" i="12"/>
  <c r="K64" i="12"/>
  <c r="K62" i="12"/>
  <c r="K61" i="12"/>
  <c r="K59" i="12"/>
  <c r="F64" i="12"/>
  <c r="F65" i="12"/>
  <c r="F66" i="12"/>
  <c r="F67" i="12"/>
  <c r="K58" i="12"/>
  <c r="K57" i="12"/>
  <c r="K56" i="12"/>
  <c r="K55" i="12" l="1"/>
  <c r="AB8" i="11" l="1"/>
  <c r="AA45" i="11"/>
  <c r="Y38" i="11"/>
  <c r="V38" i="11"/>
  <c r="S38" i="11"/>
  <c r="AD37" i="11"/>
  <c r="AB38" i="11"/>
  <c r="F53" i="12"/>
  <c r="F54" i="12"/>
  <c r="F55" i="12"/>
  <c r="F56" i="12"/>
  <c r="F57" i="12"/>
  <c r="F58" i="12"/>
  <c r="F59" i="12"/>
  <c r="F60" i="12"/>
  <c r="F61" i="12"/>
  <c r="F62" i="12"/>
  <c r="F63" i="12"/>
  <c r="F68" i="12"/>
  <c r="F69" i="12"/>
  <c r="F70" i="12"/>
  <c r="K46" i="12"/>
  <c r="K53" i="12"/>
  <c r="K52" i="12"/>
  <c r="AA40" i="11" l="1"/>
  <c r="V41" i="11" s="1"/>
  <c r="V44" i="11" s="1"/>
  <c r="V46" i="11" s="1"/>
  <c r="AA44" i="11" s="1"/>
  <c r="AA47" i="11" s="1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K49" i="12" l="1"/>
  <c r="K44" i="12" l="1"/>
  <c r="K69" i="12" s="1"/>
  <c r="P70" i="12"/>
  <c r="AR8" i="11" l="1"/>
  <c r="E31" i="10" l="1"/>
  <c r="P38" i="12"/>
  <c r="K22" i="12"/>
  <c r="K21" i="12"/>
  <c r="AQ45" i="11"/>
  <c r="AO38" i="11"/>
  <c r="AL38" i="11"/>
  <c r="AI38" i="11"/>
  <c r="AT37" i="11"/>
  <c r="AR38" i="11"/>
  <c r="BK25" i="11"/>
  <c r="K20" i="12"/>
  <c r="AQ40" i="11" l="1"/>
  <c r="AL41" i="11" s="1"/>
  <c r="AL44" i="11" s="1"/>
  <c r="AL46" i="11" s="1"/>
  <c r="AQ44" i="11" s="1"/>
  <c r="AQ47" i="11" s="1"/>
  <c r="K19" i="12" l="1"/>
  <c r="K16" i="12" l="1"/>
  <c r="K15" i="12"/>
  <c r="K12" i="12"/>
  <c r="L8" i="9"/>
  <c r="K11" i="12" l="1"/>
  <c r="K10" i="12"/>
  <c r="K8" i="12"/>
  <c r="K6" i="12" l="1"/>
  <c r="K3" i="12" l="1"/>
  <c r="K38" i="12"/>
  <c r="M38" i="12"/>
  <c r="BH8" i="11" l="1"/>
  <c r="C71" i="12" l="1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23" i="12"/>
  <c r="F19" i="12"/>
  <c r="F18" i="12"/>
  <c r="F17" i="12"/>
  <c r="F16" i="12"/>
  <c r="F15" i="12"/>
  <c r="F14" i="12"/>
  <c r="E71" i="12"/>
  <c r="F12" i="12"/>
  <c r="F11" i="12"/>
  <c r="F10" i="12"/>
  <c r="F9" i="12"/>
  <c r="F8" i="12"/>
  <c r="F7" i="12"/>
  <c r="F6" i="12"/>
  <c r="F5" i="12"/>
  <c r="BG45" i="11"/>
  <c r="BE38" i="11"/>
  <c r="BB38" i="11"/>
  <c r="AY38" i="11"/>
  <c r="BJ37" i="11"/>
  <c r="BH38" i="11"/>
  <c r="F13" i="12" l="1"/>
  <c r="F71" i="12" s="1"/>
  <c r="BG40" i="11"/>
  <c r="BB41" i="11" s="1"/>
  <c r="BB44" i="11" s="1"/>
  <c r="BB46" i="11" s="1"/>
  <c r="BG44" i="11" s="1"/>
  <c r="BG47" i="11" s="1"/>
  <c r="E19" i="10"/>
  <c r="K85" i="10" l="1"/>
  <c r="K84" i="10"/>
  <c r="K83" i="10"/>
  <c r="K45" i="9"/>
  <c r="I38" i="9"/>
  <c r="F38" i="9"/>
  <c r="C38" i="9"/>
  <c r="N37" i="9"/>
  <c r="L38" i="9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<sst xmlns="http://schemas.openxmlformats.org/spreadsheetml/2006/main" count="3702" uniqueCount="957">
  <si>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</si>
  <si>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</si>
  <si>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</si>
  <si>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</si>
  <si>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</si>
  <si>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</si>
  <si>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</si>
  <si>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</si>
  <si>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</si>
  <si>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</si>
  <si>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</si>
  <si>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</si>
  <si>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</si>
  <si>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</si>
  <si>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</si>
  <si>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</si>
  <si>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</si>
  <si>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</si>
  <si>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</si>
  <si>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</si>
  <si>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</si>
  <si>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</si>
  <si>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</si>
  <si>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</si>
  <si>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</si>
  <si>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</si>
  <si>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</si>
  <si>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</si>
  <si>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</si>
  <si>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</si>
  <si>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</si>
  <si>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</si>
  <si>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</si>
  <si>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</si>
  <si>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</si>
  <si>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</si>
  <si>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</si>
  <si>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</si>
  <si>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</si>
  <si>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</si>
  <si>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</si>
  <si>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</si>
  <si>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</si>
  <si>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</si>
  <si>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</si>
  <si>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</si>
  <si>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</si>
  <si>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</si>
  <si>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</si>
  <si>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</si>
  <si>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</si>
  <si>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</si>
  <si>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</si>
  <si>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</si>
  <si>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</si>
  <si>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</si>
  <si>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</si>
  <si>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</si>
  <si>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</si>
  <si>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</si>
  <si>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</si>
  <si>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</si>
  <si>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</si>
  <si>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</si>
  <si>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</si>
  <si>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</si>
  <si>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</si>
  <si>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</si>
  <si>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</si>
  <si>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</si>
  <si>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</si>
  <si>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</si>
  <si>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</si>
  <si>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</si>
  <si>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</si>
  <si>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</si>
  <si>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</si>
  <si>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</si>
  <si>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</si>
  <si>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</si>
  <si>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</si>
  <si>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</si>
  <si>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</si>
  <si>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</si>
  <si>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</si>
  <si>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</si>
  <si>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</si>
  <si>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</si>
  <si>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</si>
  <si>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</si>
  <si>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</si>
  <si>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</si>
  <si>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</si>
  <si>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</si>
  <si>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</si>
  <si>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</si>
  <si>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</si>
  <si>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</si>
  <si>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</si>
  <si>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</si>
  <si>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</si>
  <si>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</si>
  <si>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</si>
  <si>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</si>
  <si>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</si>
  <si>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</si>
  <si>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</si>
  <si>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</si>
  <si>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</si>
  <si>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</si>
  <si>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</si>
  <si>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</si>
  <si>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</si>
  <si>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</si>
  <si>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</si>
  <si>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</si>
  <si>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</si>
  <si>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</si>
  <si>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</si>
  <si>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</si>
  <si>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</si>
  <si>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</si>
  <si>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</si>
  <si>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</si>
  <si>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</si>
  <si>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</si>
  <si>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</si>
  <si>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</si>
  <si>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</si>
  <si>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</si>
  <si>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</si>
  <si>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</si>
  <si>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</si>
  <si>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</si>
  <si>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</si>
  <si>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</si>
  <si>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</si>
  <si>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</si>
  <si>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</si>
  <si>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</si>
  <si>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</si>
  <si>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</si>
  <si>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</si>
  <si>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</si>
  <si>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</si>
  <si>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</si>
  <si>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</si>
  <si>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</si>
  <si>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</si>
  <si>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</si>
  <si>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</si>
  <si>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</si>
  <si>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</si>
  <si>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</si>
  <si>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</si>
  <si>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</si>
  <si>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</si>
  <si>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</si>
  <si>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</si>
  <si>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</si>
  <si>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</si>
  <si>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</si>
  <si>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</si>
  <si>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</si>
  <si>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</si>
  <si>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</si>
  <si>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</si>
  <si>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</si>
  <si>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</si>
  <si>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</si>
  <si>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</si>
  <si>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</si>
  <si>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</si>
  <si>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</si>
  <si>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</si>
  <si>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</si>
  <si>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</si>
  <si>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</si>
  <si>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</si>
  <si>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</si>
  <si>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</si>
  <si>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</si>
  <si>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</si>
  <si>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</si>
  <si>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</si>
  <si>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</si>
  <si>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</si>
  <si>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</si>
  <si>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</si>
  <si>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</si>
  <si>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</si>
  <si>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</si>
  <si>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</si>
  <si>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</si>
  <si>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</si>
  <si>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</si>
  <si>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</si>
  <si>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</si>
  <si>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</si>
  <si>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</si>
  <si>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</si>
  <si>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</si>
  <si>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</si>
  <si>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</si>
  <si>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</si>
  <si>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</si>
  <si>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</si>
  <si>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</si>
  <si>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</si>
  <si>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</si>
  <si>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</si>
  <si>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</si>
  <si>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</si>
  <si>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</si>
  <si>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</si>
  <si>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</si>
  <si>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</si>
  <si>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</si>
  <si>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</si>
  <si>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</si>
  <si>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</si>
  <si>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</si>
  <si>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</si>
  <si>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</si>
  <si>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</si>
  <si>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</si>
  <si>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</si>
  <si>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</si>
  <si>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</si>
  <si>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</si>
  <si>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</si>
  <si>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</si>
  <si>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</si>
  <si>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</si>
  <si>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</si>
  <si>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</si>
  <si>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</si>
  <si>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</si>
  <si>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</si>
  <si>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</si>
  <si>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</si>
  <si>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</si>
  <si>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</si>
  <si>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</si>
  <si>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</si>
  <si>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</si>
  <si>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</si>
  <si>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</si>
  <si>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</si>
  <si>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</si>
  <si>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</si>
  <si>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</si>
  <si>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</si>
  <si>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</si>
  <si>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</si>
  <si>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</si>
  <si>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</si>
  <si>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</si>
  <si>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</si>
  <si>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</si>
  <si>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</si>
  <si>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</si>
  <si>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</si>
  <si>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</si>
  <si>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</si>
  <si>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</si>
  <si>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</si>
  <si>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</si>
  <si>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</si>
  <si>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</si>
  <si>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</si>
  <si>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</si>
  <si>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</si>
  <si>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</si>
  <si>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</si>
  <si>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</si>
  <si>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</si>
  <si>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</si>
  <si>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</si>
  <si>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</si>
  <si>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</si>
  <si>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</si>
  <si>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</si>
  <si>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</si>
  <si>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</si>
  <si>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</si>
  <si>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</si>
  <si>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</si>
  <si>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</si>
  <si>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</si>
  <si>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</si>
  <si>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</si>
  <si>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</si>
  <si>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</si>
  <si>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</si>
  <si>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</si>
  <si>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</si>
  <si>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</si>
  <si>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</si>
  <si>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</si>
  <si>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</si>
  <si>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</si>
  <si>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</si>
  <si>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</si>
  <si>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</si>
  <si>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</si>
  <si>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</si>
  <si>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</si>
  <si>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</si>
  <si>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</si>
  <si>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</si>
  <si>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</si>
  <si>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</si>
  <si>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</si>
  <si>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</si>
  <si>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</si>
  <si>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</si>
  <si>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</si>
  <si>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</si>
  <si>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</si>
  <si>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</si>
  <si>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</si>
  <si>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</si>
  <si>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</si>
  <si>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</si>
  <si>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</si>
  <si>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</si>
  <si>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</si>
  <si>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</si>
  <si>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</si>
  <si>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</si>
  <si>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</si>
  <si>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</si>
  <si>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</si>
  <si>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</si>
  <si>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</si>
  <si>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</si>
  <si>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</si>
  <si>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</si>
  <si>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</si>
  <si>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</si>
  <si>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</si>
  <si>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</si>
  <si>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</si>
  <si>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</si>
  <si>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</si>
  <si>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</si>
  <si>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</si>
  <si>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</si>
  <si>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</si>
  <si>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</si>
  <si>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</si>
  <si>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</si>
  <si>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</si>
  <si>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</si>
  <si>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</si>
  <si>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</si>
  <si>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</si>
  <si>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</si>
  <si>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</si>
  <si>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</si>
  <si>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</si>
  <si>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</si>
  <si>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</si>
  <si>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</si>
  <si>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</si>
  <si>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</si>
  <si>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</si>
  <si>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</si>
  <si>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</si>
  <si>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</si>
  <si>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</si>
  <si>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</si>
  <si>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</si>
  <si>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</si>
  <si>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</si>
  <si>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</si>
  <si>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</si>
  <si>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</si>
  <si>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</si>
  <si>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</si>
  <si>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</si>
  <si>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</si>
  <si>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</si>
  <si>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</si>
  <si>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</si>
  <si>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</si>
  <si>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</si>
  <si>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</si>
  <si>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</si>
  <si>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</si>
  <si>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</si>
  <si>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</si>
  <si>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</si>
  <si>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</si>
  <si>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</si>
  <si>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</si>
  <si>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</si>
  <si>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</si>
  <si>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</si>
  <si>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</si>
  <si>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</si>
  <si>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</si>
  <si>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</si>
  <si>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</si>
  <si>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</si>
  <si>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</si>
  <si>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</si>
  <si>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</si>
  <si>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</si>
  <si>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</si>
  <si>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</si>
  <si>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</si>
  <si>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</si>
  <si>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</si>
  <si>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</si>
  <si>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</si>
  <si>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</si>
  <si>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</si>
  <si>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</si>
  <si>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</si>
  <si>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</si>
  <si>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</si>
  <si>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</si>
  <si>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</si>
  <si>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</si>
  <si>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</si>
  <si>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</si>
  <si>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</si>
  <si>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</si>
  <si>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</si>
  <si>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</si>
  <si>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</si>
  <si>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</si>
  <si>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</si>
  <si>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</si>
  <si>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</si>
  <si>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</si>
  <si>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</si>
  <si>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</si>
  <si>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</si>
  <si>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</si>
  <si>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</si>
  <si>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</si>
  <si>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</si>
  <si>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</si>
  <si>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</si>
  <si>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</si>
  <si>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</si>
  <si>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</si>
  <si>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</si>
  <si>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</si>
  <si>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</si>
  <si>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</si>
  <si>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</si>
  <si>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</si>
  <si>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</si>
  <si>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</si>
  <si>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</si>
  <si>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</si>
  <si>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</si>
  <si>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</si>
  <si>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</si>
  <si>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</si>
  <si>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</si>
  <si>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</si>
  <si>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</si>
  <si>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</si>
  <si>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</si>
  <si>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</si>
  <si>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</si>
  <si>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</si>
  <si>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</si>
  <si>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</si>
  <si>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</si>
  <si>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</si>
  <si>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</si>
  <si>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</si>
  <si>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</si>
  <si>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</si>
  <si>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</si>
  <si>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</si>
  <si>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</si>
  <si>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</si>
  <si>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</si>
  <si>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</si>
  <si>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</si>
  <si>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</si>
  <si>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</si>
  <si>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</si>
  <si>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</si>
  <si>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</si>
  <si>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</si>
  <si>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</si>
  <si>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</si>
  <si>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</si>
  <si>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</si>
  <si>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</si>
  <si>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</si>
  <si>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</si>
  <si>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</si>
  <si>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</si>
  <si>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</si>
  <si>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</si>
  <si>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</si>
  <si>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</si>
  <si>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</si>
  <si>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</si>
  <si>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</si>
  <si>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</si>
  <si>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</si>
  <si>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</si>
  <si>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</si>
  <si>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</si>
  <si>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</si>
  <si>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</si>
  <si>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</si>
  <si>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</si>
  <si>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</si>
  <si>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</si>
  <si>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</si>
  <si>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</si>
  <si>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</si>
  <si>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</si>
  <si>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</si>
  <si>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</si>
  <si>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</si>
  <si>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</si>
  <si>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</si>
  <si>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</si>
  <si>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</si>
  <si>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</si>
  <si>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</si>
  <si>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</si>
  <si>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</si>
  <si>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</si>
  <si>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</si>
  <si>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</si>
  <si>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</si>
  <si>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</si>
  <si>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</si>
  <si>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</si>
  <si>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</si>
  <si>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</si>
  <si>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</si>
  <si>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</si>
  <si>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</si>
  <si>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</si>
  <si>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</si>
  <si>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</si>
  <si>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</si>
  <si>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</si>
  <si>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</si>
  <si>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</si>
  <si>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</si>
  <si>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</si>
  <si>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</si>
  <si>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</si>
  <si>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</si>
  <si>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</si>
  <si>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</si>
  <si>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</si>
  <si>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</si>
  <si>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</si>
  <si>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</si>
  <si>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</si>
  <si>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</si>
  <si>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</si>
  <si>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</si>
  <si>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</si>
  <si>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</si>
  <si>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</si>
  <si>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</si>
  <si>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</si>
  <si>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</si>
  <si>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</si>
  <si>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</si>
  <si>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</si>
  <si>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</si>
  <si>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</si>
  <si>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</si>
  <si>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</si>
  <si>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</si>
  <si>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</si>
  <si>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</si>
  <si>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</si>
  <si>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</si>
  <si>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</si>
  <si>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</si>
  <si>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</si>
  <si>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</si>
  <si>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</si>
  <si>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</si>
  <si>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</si>
  <si>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</si>
  <si>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</si>
  <si>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</si>
  <si>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</si>
  <si>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</si>
  <si>
    <t># 8706---# 8730</t>
  </si>
  <si>
    <t>R-18207</t>
  </si>
  <si>
    <t>R-18207-18208-18313-18337</t>
  </si>
  <si>
    <t># 8731---# 8770</t>
  </si>
  <si>
    <t>R-18337-18339</t>
  </si>
  <si>
    <t># 8771---# 8805</t>
  </si>
  <si>
    <t>R-18337-18339-18411-18528-18675</t>
  </si>
  <si>
    <t># 8806---# 8860</t>
  </si>
  <si>
    <t>19365 B</t>
  </si>
  <si>
    <t>19523 B</t>
  </si>
  <si>
    <t>19561 B</t>
  </si>
  <si>
    <t>19584 B</t>
  </si>
  <si>
    <t>19815 B</t>
  </si>
  <si>
    <t>19845 B</t>
  </si>
  <si>
    <t>19339 B</t>
  </si>
  <si>
    <t>19819 B</t>
  </si>
  <si>
    <t>19841 B</t>
  </si>
  <si>
    <t>20008 B</t>
  </si>
  <si>
    <t>R-18675-18954</t>
  </si>
  <si>
    <t># 8861---# 8915</t>
  </si>
  <si>
    <t># 8916---# 8962</t>
  </si>
  <si>
    <t>NOMINA 23</t>
  </si>
  <si>
    <t>NOMINA 24</t>
  </si>
  <si>
    <t>NOMINA 25</t>
  </si>
  <si>
    <t>NOMINA 26</t>
  </si>
  <si>
    <t># 8963---# 8998</t>
  </si>
  <si>
    <t>R-18954-19107</t>
  </si>
  <si>
    <t>R-19107</t>
  </si>
  <si>
    <t xml:space="preserve">CONTRA </t>
  </si>
  <si>
    <t>R-19107--19277</t>
  </si>
  <si>
    <t># 8999---# 9038</t>
  </si>
  <si>
    <t xml:space="preserve">28-May--13-Jun </t>
  </si>
  <si>
    <t>20139 B</t>
  </si>
  <si>
    <t>20021 B</t>
  </si>
  <si>
    <t>20284 B</t>
  </si>
  <si>
    <t>20293 B</t>
  </si>
  <si>
    <t>20454 B</t>
  </si>
  <si>
    <t>20457 B</t>
  </si>
  <si>
    <t>R-19107-19277</t>
  </si>
  <si>
    <t># 9039---# 9073</t>
  </si>
  <si>
    <t>R-19277-19339-19365</t>
  </si>
  <si>
    <t># 9074---# 9118</t>
  </si>
  <si>
    <t>R-19365-19523-1561-19584</t>
  </si>
  <si>
    <t># 9119---# 9175</t>
  </si>
  <si>
    <t># 9176---# 9231</t>
  </si>
  <si>
    <t>R-19584-19815-16584-19819-19841</t>
  </si>
  <si>
    <t>20711 B</t>
  </si>
  <si>
    <t>20706 B</t>
  </si>
  <si>
    <t>20597 B</t>
  </si>
  <si>
    <t>20867 B</t>
  </si>
  <si>
    <t>20868 B</t>
  </si>
  <si>
    <t>20877 B</t>
  </si>
  <si>
    <t>20886 B</t>
  </si>
  <si>
    <t>20894 B</t>
  </si>
  <si>
    <t>21003 B</t>
  </si>
  <si>
    <t>21023 B</t>
  </si>
  <si>
    <t>21067 B</t>
  </si>
  <si>
    <t>21204 B</t>
  </si>
  <si>
    <t>R-19841-+19845-20008-20021</t>
  </si>
  <si>
    <t># 9232---# 9281</t>
  </si>
  <si>
    <t>R-20021-20022</t>
  </si>
  <si>
    <t># 9282---# 9308</t>
  </si>
  <si>
    <t>20022 B</t>
  </si>
  <si>
    <t>R-20022-20139</t>
  </si>
  <si>
    <t># 9309---# 9331</t>
  </si>
  <si>
    <t>R-20139-20284</t>
  </si>
  <si>
    <t># 9332---# 9375</t>
  </si>
  <si>
    <t>R-20139-20284-20293</t>
  </si>
  <si>
    <t># 9376---# 9419</t>
  </si>
  <si>
    <t>R-20293-20454-250457</t>
  </si>
  <si>
    <t># 9420---# 9482</t>
  </si>
  <si>
    <t>R-20457-20597-20706-2071</t>
  </si>
  <si>
    <t># 9483---# 9548</t>
  </si>
  <si>
    <t>R-20711-20894</t>
  </si>
  <si>
    <t># 9549---# 9585</t>
  </si>
  <si>
    <t>13-Jun --24-Jun</t>
  </si>
  <si>
    <t>21469 B</t>
  </si>
  <si>
    <t>21470 B</t>
  </si>
  <si>
    <t>las M--M</t>
  </si>
  <si>
    <t>21682 B</t>
  </si>
  <si>
    <t>21625 B</t>
  </si>
  <si>
    <t>21794 B</t>
  </si>
  <si>
    <t>21875 B</t>
  </si>
  <si>
    <t>21920 B</t>
  </si>
  <si>
    <t>21934 B</t>
  </si>
  <si>
    <t>22009 B</t>
  </si>
  <si>
    <t>21606 B</t>
  </si>
  <si>
    <t>22034 B</t>
  </si>
  <si>
    <t>22271 B</t>
  </si>
  <si>
    <t>22409 B</t>
  </si>
  <si>
    <t>22429 B</t>
  </si>
  <si>
    <t xml:space="preserve">24-Jun--30-Jun </t>
  </si>
  <si>
    <t>22404 B</t>
  </si>
  <si>
    <t>22585 B</t>
  </si>
  <si>
    <t>22618 B</t>
  </si>
  <si>
    <t>22701 B</t>
  </si>
  <si>
    <t>22717 B</t>
  </si>
  <si>
    <t>22713 B</t>
  </si>
  <si>
    <t>22864 B</t>
  </si>
  <si>
    <t>22882 B</t>
  </si>
  <si>
    <t>23006 B</t>
  </si>
  <si>
    <t>22855 B</t>
  </si>
  <si>
    <t>23349 B</t>
  </si>
  <si>
    <t>23180 B</t>
  </si>
  <si>
    <t>23371 B</t>
  </si>
  <si>
    <t>23400 B</t>
  </si>
  <si>
    <t>R-20894--20868</t>
  </si>
  <si>
    <t># 9586---# 9607</t>
  </si>
  <si>
    <t>R-20894--20868--20867--20877</t>
  </si>
  <si>
    <t># 9608---# 9645</t>
  </si>
  <si>
    <t>R-20877-20886-21003</t>
  </si>
  <si>
    <t># 9646---# 9681</t>
  </si>
  <si>
    <t>R-21003-21067-21204-21469</t>
  </si>
  <si>
    <t>R-21204-21469-21470-21606</t>
  </si>
  <si>
    <t># 9701--9750--9771--9772</t>
  </si>
  <si>
    <t>R-21606-21625</t>
  </si>
  <si>
    <t># 9773---9824</t>
  </si>
  <si>
    <t>R-21794-21625</t>
  </si>
  <si>
    <t># 9825---9868</t>
  </si>
  <si>
    <t>R-21625-21794-21682-21875</t>
  </si>
  <si>
    <t>R-21920-+21875-21934</t>
  </si>
  <si>
    <t># 9869---# 9895</t>
  </si>
  <si>
    <t># 9896---# 9924</t>
  </si>
  <si>
    <t>R-21625-21934-22009-22034</t>
  </si>
  <si>
    <t># 9925---9968</t>
  </si>
  <si>
    <t># 9682--# 9700--# 9751---# 9770</t>
  </si>
  <si>
    <t xml:space="preserve">BALANCE       DE     J U L I O                2016     HERRADURA </t>
  </si>
  <si>
    <t>R-22034-22271-22404</t>
  </si>
  <si>
    <t># 9969---# 10011</t>
  </si>
  <si>
    <t>R-22271-22404-22409-22429</t>
  </si>
  <si>
    <t># 10012---# 10069</t>
  </si>
  <si>
    <t>R-22429-22585-22618-22701-22713</t>
  </si>
  <si>
    <t># 10070---# 10120</t>
  </si>
  <si>
    <t>R-22713-22717</t>
  </si>
  <si>
    <t># 10121---# 10159</t>
  </si>
  <si>
    <t>R-22717-22723</t>
  </si>
  <si>
    <t># 10160---# 10193</t>
  </si>
  <si>
    <t>22723 B</t>
  </si>
  <si>
    <t>NOMINA 27</t>
  </si>
  <si>
    <t>NOMINA 28</t>
  </si>
  <si>
    <t>NOMINA 29</t>
  </si>
  <si>
    <t>NOMINA 30</t>
  </si>
  <si>
    <t>R-22723-22855-22864</t>
  </si>
  <si>
    <t># 10194---# 10221</t>
  </si>
  <si>
    <t>R-22855-22864-22882</t>
  </si>
  <si>
    <t># 10222---# 10270</t>
  </si>
  <si>
    <t>R-22882-23006</t>
  </si>
  <si>
    <t># 10271---# 10307</t>
  </si>
  <si>
    <t>R-23006-23180-23349</t>
  </si>
  <si>
    <t># 10308---# 10360</t>
  </si>
  <si>
    <t>23619 B</t>
  </si>
  <si>
    <t>23621 B</t>
  </si>
  <si>
    <t>23729 B</t>
  </si>
  <si>
    <t>23732 B</t>
  </si>
  <si>
    <t>23924 B</t>
  </si>
  <si>
    <t>24044 B</t>
  </si>
  <si>
    <t>24054 B</t>
  </si>
  <si>
    <t>R-23349-23371-23400</t>
  </si>
  <si>
    <t>#10361---# 10410</t>
  </si>
  <si>
    <t>R-23400-23619-23621</t>
  </si>
  <si>
    <t># 10411---# 10451</t>
  </si>
  <si>
    <t>GANACIA</t>
  </si>
  <si>
    <t>30-Jun--14-Jul</t>
  </si>
  <si>
    <t>24223 B</t>
  </si>
  <si>
    <t>24128 B</t>
  </si>
  <si>
    <t>24402 B</t>
  </si>
  <si>
    <t>24642 B</t>
  </si>
  <si>
    <t># 10452---# 10481</t>
  </si>
  <si>
    <t>R-23619-23621</t>
  </si>
  <si>
    <t># 10482---# 10517</t>
  </si>
  <si>
    <t>R-23621-23729</t>
  </si>
  <si>
    <t>R-23729-213732-23924</t>
  </si>
  <si>
    <t># 10518--- # 10574</t>
  </si>
  <si>
    <t>R-23924-24044-24054</t>
  </si>
  <si>
    <t># 10575---# 10619</t>
  </si>
  <si>
    <t>R-24223-24489</t>
  </si>
  <si>
    <t># 10683---# 10737</t>
  </si>
  <si>
    <t>24489 B</t>
  </si>
  <si>
    <t>24562 B</t>
  </si>
  <si>
    <t>R-24054-24128-24223</t>
  </si>
  <si>
    <t># 10620---# 10682</t>
  </si>
  <si>
    <t>R-24489-24562-24402-24642</t>
  </si>
  <si>
    <t># 10738---# 10777</t>
  </si>
  <si>
    <t>R-24642</t>
  </si>
  <si>
    <t># 10778---# 10805</t>
  </si>
  <si>
    <t># 10806---# 10833</t>
  </si>
  <si>
    <t xml:space="preserve">14-Jul --22-Jul </t>
  </si>
  <si>
    <t>24744 B</t>
  </si>
  <si>
    <t>24868 B</t>
  </si>
  <si>
    <t>00093 C</t>
  </si>
  <si>
    <t>00114 C</t>
  </si>
  <si>
    <t>00143 C</t>
  </si>
  <si>
    <t>00235 C</t>
  </si>
  <si>
    <t>00256 C</t>
  </si>
  <si>
    <t>00361 C</t>
  </si>
  <si>
    <t>00506 C</t>
  </si>
  <si>
    <t>00512 C</t>
  </si>
  <si>
    <t>00572 C</t>
  </si>
  <si>
    <t>00359 C</t>
  </si>
  <si>
    <t>00382 C</t>
  </si>
  <si>
    <t>R-24642-24744</t>
  </si>
  <si>
    <t>R-24642-24744-24868</t>
  </si>
  <si>
    <t># 10834---# 10867</t>
  </si>
  <si>
    <t># 10868---# 10910</t>
  </si>
  <si>
    <t>R-24744-24868-+0093</t>
  </si>
  <si>
    <t># 10911---# 10959</t>
  </si>
  <si>
    <t>R-93-114-361-143</t>
  </si>
  <si>
    <t># 10960---# 11014</t>
  </si>
  <si>
    <t>R-361-143-359-256-59</t>
  </si>
  <si>
    <t># 11015---# 11049</t>
  </si>
  <si>
    <t xml:space="preserve">22-Jul --27-Jul </t>
  </si>
  <si>
    <t>00794 C</t>
  </si>
  <si>
    <t>0815 C</t>
  </si>
  <si>
    <t>00897 C</t>
  </si>
  <si>
    <t>00938 C</t>
  </si>
  <si>
    <t>01029 C</t>
  </si>
  <si>
    <t>01087 C</t>
  </si>
  <si>
    <t>R-256-235-382</t>
  </si>
  <si>
    <t># 11050---# 11077</t>
  </si>
  <si>
    <t># 11078---# 11110</t>
  </si>
  <si>
    <t>R-235-382-506</t>
  </si>
  <si>
    <t>R-506-512</t>
  </si>
  <si>
    <t># 11111---# 11145</t>
  </si>
  <si>
    <t>01197 C</t>
  </si>
  <si>
    <t>01204 C</t>
  </si>
  <si>
    <t>01230 C</t>
  </si>
  <si>
    <t>01358 C</t>
  </si>
  <si>
    <t>01417 C</t>
  </si>
  <si>
    <t xml:space="preserve">BALANCE       DE     A G O S T O                2016     HERRADURA </t>
  </si>
  <si>
    <t>1510 C</t>
  </si>
  <si>
    <t>1649 C</t>
  </si>
  <si>
    <t>1659 C</t>
  </si>
  <si>
    <t>1678 C</t>
  </si>
  <si>
    <t>1803 C</t>
  </si>
  <si>
    <t>1805 C</t>
  </si>
  <si>
    <t>1865 C</t>
  </si>
  <si>
    <t>00815 C</t>
  </si>
  <si>
    <t>00829 C</t>
  </si>
  <si>
    <t xml:space="preserve">27-Jul --06-Ago </t>
  </si>
  <si>
    <t>1950 C</t>
  </si>
  <si>
    <t>2078 C</t>
  </si>
  <si>
    <t>2079 C</t>
  </si>
  <si>
    <t>2114 C</t>
  </si>
  <si>
    <t>2192 C</t>
  </si>
  <si>
    <t>2207 C</t>
  </si>
  <si>
    <t>2227 C</t>
  </si>
  <si>
    <t>2509 C</t>
  </si>
  <si>
    <t>2528 C</t>
  </si>
  <si>
    <t>2623 C</t>
  </si>
  <si>
    <t>2634 C</t>
  </si>
  <si>
    <t xml:space="preserve">06-Ago--12-Ago </t>
  </si>
  <si>
    <t>R-512-572-794-815</t>
  </si>
  <si>
    <t># 11146---# 11189</t>
  </si>
  <si>
    <t>R-815-829-897-+938-1029</t>
  </si>
  <si>
    <t># 11190---11240</t>
  </si>
  <si>
    <t>R-938-1029-1087-1197</t>
  </si>
  <si>
    <t># 11241---11286</t>
  </si>
  <si>
    <t># 11287---# 11328</t>
  </si>
  <si>
    <t>R-1197-1204</t>
  </si>
  <si>
    <t>Inv JULIO</t>
  </si>
  <si>
    <t>R-1204-1230</t>
  </si>
  <si>
    <t># 11329---11357</t>
  </si>
  <si>
    <t>R-1230-1358</t>
  </si>
  <si>
    <t># 11358---# 11398</t>
  </si>
  <si>
    <t>R-1358-1417</t>
  </si>
  <si>
    <t># 11399---# 11432</t>
  </si>
  <si>
    <t># 11433---# 11488</t>
  </si>
  <si>
    <t>R-1417-1510-1649-1659</t>
  </si>
  <si>
    <t>R-1659-1678-1803-1805-1865</t>
  </si>
  <si>
    <t># 11489---# 11534</t>
  </si>
  <si>
    <t>R-1865-+1950-2078</t>
  </si>
  <si>
    <t># 11535---# 11579</t>
  </si>
  <si>
    <t>R-2078-2114</t>
  </si>
  <si>
    <t># 11580---# 11618</t>
  </si>
  <si>
    <t>NOMINA 31</t>
  </si>
  <si>
    <t>NOMINA 32</t>
  </si>
  <si>
    <t>NOMINA 33</t>
  </si>
  <si>
    <t>NOMINA 34</t>
  </si>
  <si>
    <t>NOMINA 35</t>
  </si>
  <si>
    <t>R-2078-2114-2079-2192</t>
  </si>
  <si>
    <t># 11619---# 11655</t>
  </si>
  <si>
    <t>R-2192-2207</t>
  </si>
  <si>
    <t># 11656---# 11686</t>
  </si>
  <si>
    <t>2769 C</t>
  </si>
  <si>
    <t>2911 C</t>
  </si>
  <si>
    <t>2917 C</t>
  </si>
  <si>
    <t>2792 C</t>
  </si>
  <si>
    <t>2798 C</t>
  </si>
  <si>
    <t>2921 C</t>
  </si>
  <si>
    <t>03047 C</t>
  </si>
  <si>
    <t>03049 C</t>
  </si>
  <si>
    <t>03069 C</t>
  </si>
  <si>
    <t>03158 C</t>
  </si>
  <si>
    <t>03366 C</t>
  </si>
  <si>
    <t>03376 C</t>
  </si>
  <si>
    <t>03491 C</t>
  </si>
  <si>
    <t>03512 C</t>
  </si>
  <si>
    <t xml:space="preserve">12-ago-19-Ago </t>
  </si>
  <si>
    <t>03614 C</t>
  </si>
  <si>
    <t>03643 C</t>
  </si>
  <si>
    <t>03785 C</t>
  </si>
  <si>
    <t>03797 C</t>
  </si>
  <si>
    <t>03898 C</t>
  </si>
  <si>
    <t>03907 C</t>
  </si>
  <si>
    <t>03908 C</t>
  </si>
  <si>
    <t>03914 C</t>
  </si>
  <si>
    <t>03928 C</t>
  </si>
  <si>
    <t>04013 C</t>
  </si>
  <si>
    <t>04133 C</t>
  </si>
  <si>
    <t>04198 C</t>
  </si>
  <si>
    <t>04234 C</t>
  </si>
  <si>
    <t xml:space="preserve">19-Ago --26-Ago </t>
  </si>
  <si>
    <t>04208 C</t>
  </si>
  <si>
    <t>04212 C</t>
  </si>
  <si>
    <t>04213 C</t>
  </si>
  <si>
    <t>04483 C</t>
  </si>
  <si>
    <t>R-2207-2227</t>
  </si>
  <si>
    <t># 11687---# 11725</t>
  </si>
  <si>
    <t>R-2227-2509-2528-2623</t>
  </si>
  <si>
    <t># 11726---# 11769</t>
  </si>
  <si>
    <t>R-2623-2634-2911</t>
  </si>
  <si>
    <t>R-2911-2917-2921</t>
  </si>
  <si>
    <t># 11770---# 11814</t>
  </si>
  <si>
    <t># 11815---# 856</t>
  </si>
  <si>
    <t>R-2921-2769-2792</t>
  </si>
  <si>
    <t>R-2769-2792-2798-3047</t>
  </si>
  <si>
    <t># 11894---# 11924</t>
  </si>
  <si>
    <t># 11815---# 11856</t>
  </si>
  <si>
    <t># 11857---# 11893</t>
  </si>
  <si>
    <t>R-3047-3049</t>
  </si>
  <si>
    <t># 11925---# 11955</t>
  </si>
  <si>
    <t>R-3049-3069-3366</t>
  </si>
  <si>
    <t># 11956---# 11988</t>
  </si>
  <si>
    <t>R-3069-3366-3158-3376-3491</t>
  </si>
  <si>
    <t># 11989---# 12034</t>
  </si>
  <si>
    <t>R-3491-3512-3614-3643</t>
  </si>
  <si>
    <t># 12035---# 12090</t>
  </si>
  <si>
    <t>R-3643-3785-3797-+3898-3907</t>
  </si>
  <si>
    <t># 12091---# 12138</t>
  </si>
  <si>
    <t>R-3898-3907</t>
  </si>
  <si>
    <t># 12139---# 12180</t>
  </si>
  <si>
    <t>R-3907-3908</t>
  </si>
  <si>
    <t># 12181---# 12211</t>
  </si>
  <si>
    <t>R-3908-3914-3928</t>
  </si>
  <si>
    <t>R-3928-4013-4133</t>
  </si>
  <si>
    <t># 12240---# 12280</t>
  </si>
  <si>
    <t># 12212---# 12239</t>
  </si>
  <si>
    <t>04357 C</t>
  </si>
  <si>
    <t>04596 C</t>
  </si>
  <si>
    <t>04617 C</t>
  </si>
  <si>
    <t>04704 C</t>
  </si>
  <si>
    <t>04731 C</t>
  </si>
  <si>
    <t>04801 C</t>
  </si>
  <si>
    <t>04827 C</t>
  </si>
  <si>
    <t>04933 C</t>
  </si>
  <si>
    <t>05062 C</t>
  </si>
  <si>
    <t>05078 C</t>
  </si>
  <si>
    <t>05164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</si>
</sst>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rgb="FF0000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CA4E5"/>
        <bgColor indexed="64"/>
      </patternFill>
    </fill>
    <fill>
      <patternFill patternType="solid">
        <fgColor rgb="FFFF00FF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3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/>
    </xf>
    <xf numFmtId="0" fontId="0" fillId="7" borderId="0" xfId="0" applyFill="1" applyBorder="1"/>
    <xf numFmtId="44" fontId="0" fillId="9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8" xfId="1" applyFont="1" applyFill="1" applyBorder="1"/>
    <xf numFmtId="0" fontId="2" fillId="0" borderId="43" xfId="0" applyFont="1" applyBorder="1"/>
    <xf numFmtId="44" fontId="2" fillId="0" borderId="43" xfId="1" applyFont="1" applyBorder="1"/>
    <xf numFmtId="164" fontId="2" fillId="0" borderId="43" xfId="0" applyNumberFormat="1" applyFont="1" applyBorder="1"/>
    <xf numFmtId="16" fontId="0" fillId="0" borderId="0" xfId="0" applyNumberFormat="1" applyBorder="1"/>
    <xf numFmtId="44" fontId="15" fillId="0" borderId="45" xfId="1" applyFont="1" applyFill="1" applyBorder="1"/>
    <xf numFmtId="165" fontId="38" fillId="0" borderId="0" xfId="0" applyNumberFormat="1" applyFont="1" applyFill="1" applyBorder="1"/>
    <xf numFmtId="44" fontId="7" fillId="0" borderId="30" xfId="1" applyFont="1" applyFill="1" applyBorder="1"/>
    <xf numFmtId="1" fontId="2" fillId="3" borderId="33" xfId="0" applyNumberFormat="1" applyFont="1" applyFill="1" applyBorder="1" applyAlignment="1">
      <alignment horizontal="center"/>
    </xf>
    <xf numFmtId="44" fontId="29" fillId="0" borderId="48" xfId="1" applyFont="1" applyFill="1" applyBorder="1" applyAlignment="1">
      <alignment horizontal="left" wrapText="1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4" fillId="0" borderId="0" xfId="1" applyFont="1" applyFill="1" applyBorder="1"/>
    <xf numFmtId="44" fontId="28" fillId="0" borderId="0" xfId="1" applyFont="1" applyFill="1" applyBorder="1" applyAlignment="1">
      <alignment horizontal="center" wrapText="1"/>
    </xf>
    <xf numFmtId="44" fontId="36" fillId="0" borderId="0" xfId="1" applyFont="1" applyFill="1" applyBorder="1" applyAlignment="1">
      <alignment horizontal="left" wrapText="1"/>
    </xf>
    <xf numFmtId="44" fontId="29" fillId="0" borderId="0" xfId="1" applyFont="1" applyFill="1" applyBorder="1" applyAlignment="1">
      <alignment horizontal="left" wrapText="1"/>
    </xf>
    <xf numFmtId="164" fontId="0" fillId="0" borderId="0" xfId="0" applyNumberFormat="1" applyFill="1" applyBorder="1"/>
    <xf numFmtId="44" fontId="2" fillId="0" borderId="0" xfId="0" applyNumberFormat="1" applyFont="1" applyFill="1" applyBorder="1"/>
    <xf numFmtId="44" fontId="21" fillId="0" borderId="0" xfId="1" applyFont="1" applyFill="1" applyBorder="1"/>
    <xf numFmtId="164" fontId="26" fillId="12" borderId="0" xfId="1" applyNumberFormat="1" applyFont="1" applyFill="1" applyBorder="1" applyAlignment="1">
      <alignment horizontal="center"/>
    </xf>
    <xf numFmtId="165" fontId="0" fillId="6" borderId="0" xfId="0" applyNumberFormat="1" applyFill="1" applyBorder="1"/>
    <xf numFmtId="44" fontId="2" fillId="1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/>
    </xf>
    <xf numFmtId="164" fontId="26" fillId="5" borderId="0" xfId="1" applyNumberFormat="1" applyFont="1" applyFill="1" applyBorder="1" applyAlignment="1">
      <alignment horizontal="center"/>
    </xf>
    <xf numFmtId="44" fontId="2" fillId="0" borderId="0" xfId="0" applyNumberFormat="1" applyFont="1" applyBorder="1"/>
    <xf numFmtId="44" fontId="21" fillId="0" borderId="0" xfId="1" applyFont="1" applyBorder="1"/>
    <xf numFmtId="44" fontId="29" fillId="0" borderId="49" xfId="1" applyFont="1" applyFill="1" applyBorder="1" applyAlignment="1">
      <alignment horizontal="left" wrapText="1"/>
    </xf>
    <xf numFmtId="164" fontId="21" fillId="0" borderId="49" xfId="0" applyNumberFormat="1" applyFont="1" applyFill="1" applyBorder="1"/>
    <xf numFmtId="0" fontId="10" fillId="0" borderId="16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1" fillId="0" borderId="48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33" xfId="1" applyFont="1" applyFill="1" applyBorder="1"/>
    <xf numFmtId="44" fontId="39" fillId="0" borderId="48" xfId="1" applyFont="1" applyFill="1" applyBorder="1" applyAlignment="1">
      <alignment horizontal="left" wrapText="1"/>
    </xf>
    <xf numFmtId="44" fontId="2" fillId="0" borderId="50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/>
    </xf>
    <xf numFmtId="44" fontId="24" fillId="0" borderId="51" xfId="1" applyFont="1" applyFill="1" applyBorder="1"/>
    <xf numFmtId="0" fontId="25" fillId="0" borderId="41" xfId="0" applyFont="1" applyBorder="1" applyAlignment="1">
      <alignment horizontal="center"/>
    </xf>
    <xf numFmtId="16" fontId="25" fillId="0" borderId="41" xfId="0" applyNumberFormat="1" applyFont="1" applyBorder="1" applyAlignment="1">
      <alignment horizontal="center"/>
    </xf>
    <xf numFmtId="44" fontId="2" fillId="0" borderId="41" xfId="0" applyNumberFormat="1" applyFont="1" applyBorder="1"/>
    <xf numFmtId="44" fontId="2" fillId="0" borderId="0" xfId="0" applyNumberFormat="1" applyFont="1" applyFill="1"/>
    <xf numFmtId="44" fontId="24" fillId="0" borderId="52" xfId="1" applyFont="1" applyFill="1" applyBorder="1"/>
    <xf numFmtId="164" fontId="26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45" xfId="0" applyFill="1" applyBorder="1"/>
    <xf numFmtId="0" fontId="25" fillId="0" borderId="45" xfId="0" applyFont="1" applyBorder="1" applyAlignment="1">
      <alignment horizontal="center"/>
    </xf>
    <xf numFmtId="44" fontId="2" fillId="0" borderId="45" xfId="0" applyNumberFormat="1" applyFont="1" applyBorder="1"/>
    <xf numFmtId="1" fontId="2" fillId="0" borderId="0" xfId="0" applyNumberFormat="1" applyFont="1" applyFill="1" applyBorder="1" applyAlignment="1">
      <alignment horizontal="center"/>
    </xf>
    <xf numFmtId="44" fontId="39" fillId="0" borderId="0" xfId="1" applyFont="1" applyFill="1" applyBorder="1" applyAlignment="1">
      <alignment horizontal="left" wrapText="1"/>
    </xf>
    <xf numFmtId="164" fontId="26" fillId="0" borderId="0" xfId="1" applyNumberFormat="1" applyFont="1" applyFill="1" applyBorder="1" applyAlignment="1">
      <alignment horizontal="center"/>
    </xf>
    <xf numFmtId="44" fontId="2" fillId="6" borderId="41" xfId="0" applyNumberFormat="1" applyFont="1" applyFill="1" applyBorder="1"/>
    <xf numFmtId="44" fontId="2" fillId="6" borderId="0" xfId="1" applyFont="1" applyFill="1"/>
    <xf numFmtId="164" fontId="26" fillId="7" borderId="0" xfId="1" applyNumberFormat="1" applyFont="1" applyFill="1" applyBorder="1" applyAlignment="1">
      <alignment horizontal="center"/>
    </xf>
    <xf numFmtId="44" fontId="2" fillId="0" borderId="41" xfId="0" applyNumberFormat="1" applyFont="1" applyFill="1" applyBorder="1"/>
    <xf numFmtId="44" fontId="2" fillId="0" borderId="45" xfId="0" applyNumberFormat="1" applyFont="1" applyFill="1" applyBorder="1"/>
    <xf numFmtId="0" fontId="25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Border="1"/>
    <xf numFmtId="15" fontId="2" fillId="4" borderId="21" xfId="0" applyNumberFormat="1" applyFont="1" applyFill="1" applyBorder="1"/>
    <xf numFmtId="164" fontId="12" fillId="4" borderId="3" xfId="0" applyNumberFormat="1" applyFont="1" applyFill="1" applyBorder="1" applyAlignment="1">
      <alignment horizontal="center"/>
    </xf>
    <xf numFmtId="15" fontId="2" fillId="4" borderId="11" xfId="0" applyNumberFormat="1" applyFont="1" applyFill="1" applyBorder="1"/>
    <xf numFmtId="44" fontId="2" fillId="0" borderId="12" xfId="1" applyFont="1" applyBorder="1"/>
    <xf numFmtId="0" fontId="0" fillId="4" borderId="16" xfId="0" applyFill="1" applyBorder="1" applyAlignment="1">
      <alignment horizontal="center"/>
    </xf>
    <xf numFmtId="164" fontId="26" fillId="2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6" fillId="11" borderId="0" xfId="1" applyNumberFormat="1" applyFont="1" applyFill="1" applyBorder="1" applyAlignment="1">
      <alignment horizontal="center"/>
    </xf>
    <xf numFmtId="44" fontId="2" fillId="0" borderId="45" xfId="1" applyFont="1" applyBorder="1"/>
    <xf numFmtId="0" fontId="20" fillId="0" borderId="53" xfId="0" applyFont="1" applyFill="1" applyBorder="1" applyAlignment="1">
      <alignment horizontal="center"/>
    </xf>
    <xf numFmtId="44" fontId="15" fillId="0" borderId="53" xfId="1" applyFont="1" applyFill="1" applyBorder="1"/>
    <xf numFmtId="44" fontId="2" fillId="0" borderId="49" xfId="1" applyFont="1" applyFill="1" applyBorder="1"/>
    <xf numFmtId="164" fontId="2" fillId="0" borderId="49" xfId="0" applyNumberFormat="1" applyFont="1" applyFill="1" applyBorder="1"/>
    <xf numFmtId="44" fontId="2" fillId="11" borderId="0" xfId="1" applyFont="1" applyFill="1"/>
    <xf numFmtId="44" fontId="2" fillId="4" borderId="41" xfId="1" applyFont="1" applyFill="1" applyBorder="1"/>
    <xf numFmtId="44" fontId="24" fillId="4" borderId="51" xfId="1" applyFont="1" applyFill="1" applyBorder="1"/>
    <xf numFmtId="164" fontId="0" fillId="0" borderId="41" xfId="1" applyNumberFormat="1" applyFont="1" applyBorder="1"/>
    <xf numFmtId="164" fontId="0" fillId="0" borderId="45" xfId="1" applyNumberFormat="1" applyFont="1" applyBorder="1"/>
    <xf numFmtId="164" fontId="2" fillId="0" borderId="41" xfId="1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0" fontId="23" fillId="3" borderId="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00FF"/>
      <color rgb="FFFCA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4" name="10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5" name="10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6" name="10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7" name="10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8" name="10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9" name="10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0" name="10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1" name="11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2" name="11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3" name="11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4" name="11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5" name="11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6" name="11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7" name="11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8" name="11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9" name="11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20" name="119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43</xdr:row>
      <xdr:rowOff>47625</xdr:rowOff>
    </xdr:from>
    <xdr:to>
      <xdr:col>53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43</xdr:row>
      <xdr:rowOff>47625</xdr:rowOff>
    </xdr:from>
    <xdr:to>
      <xdr:col>38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43</xdr:row>
      <xdr:rowOff>47625</xdr:rowOff>
    </xdr:from>
    <xdr:to>
      <xdr:col>23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43</xdr:row>
      <xdr:rowOff>47625</xdr:rowOff>
    </xdr:from>
    <xdr:to>
      <xdr:col>57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411" t="s">
        <v>81</v>
      </c>
      <c r="D1" s="411"/>
      <c r="E1" s="411"/>
      <c r="F1" s="411"/>
      <c r="G1" s="411"/>
      <c r="H1" s="411"/>
      <c r="I1" s="411"/>
      <c r="J1" s="411"/>
      <c r="K1" s="411"/>
      <c r="M1" s="2" t="s">
        <v>153</v>
      </c>
      <c r="N1" s="3"/>
      <c r="O1" s="4"/>
      <c r="S1" s="1"/>
      <c r="T1" s="411" t="s">
        <v>81</v>
      </c>
      <c r="U1" s="411"/>
      <c r="V1" s="411"/>
      <c r="W1" s="411"/>
      <c r="X1" s="411"/>
      <c r="Y1" s="411"/>
      <c r="Z1" s="411"/>
      <c r="AA1" s="411"/>
      <c r="AB1" s="411"/>
      <c r="AD1" s="2" t="s">
        <v>152</v>
      </c>
      <c r="AE1" s="3"/>
      <c r="AF1" s="4"/>
      <c r="AJ1" s="1"/>
      <c r="AK1" s="411" t="s">
        <v>81</v>
      </c>
      <c r="AL1" s="411"/>
      <c r="AM1" s="411"/>
      <c r="AN1" s="411"/>
      <c r="AO1" s="411"/>
      <c r="AP1" s="411"/>
      <c r="AQ1" s="411"/>
      <c r="AR1" s="411"/>
      <c r="AS1" s="411"/>
      <c r="AU1" s="2" t="s">
        <v>92</v>
      </c>
      <c r="AV1" s="3"/>
      <c r="AW1" s="4"/>
      <c r="AZ1" s="1"/>
      <c r="BA1" s="411" t="s">
        <v>81</v>
      </c>
      <c r="BB1" s="411"/>
      <c r="BC1" s="411"/>
      <c r="BD1" s="411"/>
      <c r="BE1" s="411"/>
      <c r="BF1" s="411"/>
      <c r="BG1" s="411"/>
      <c r="BH1" s="411"/>
      <c r="BI1" s="411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412" t="s">
        <v>3</v>
      </c>
      <c r="W4" s="413"/>
      <c r="Z4" s="414" t="s">
        <v>4</v>
      </c>
      <c r="AA4" s="415"/>
      <c r="AB4" s="415"/>
      <c r="AC4" s="415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412" t="s">
        <v>3</v>
      </c>
      <c r="AN4" s="413"/>
      <c r="AQ4" s="414" t="s">
        <v>4</v>
      </c>
      <c r="AR4" s="415"/>
      <c r="AS4" s="415"/>
      <c r="AT4" s="415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412" t="s">
        <v>3</v>
      </c>
      <c r="BD4" s="413"/>
      <c r="BG4" s="414" t="s">
        <v>4</v>
      </c>
      <c r="BH4" s="415"/>
      <c r="BI4" s="415"/>
      <c r="BJ4" s="415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420" t="s">
        <v>21</v>
      </c>
      <c r="I40" s="421"/>
      <c r="J40" s="184"/>
      <c r="K40" s="422">
        <f>I38+L38</f>
        <v>83691.819999999992</v>
      </c>
      <c r="L40" s="423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20" t="s">
        <v>21</v>
      </c>
      <c r="Z40" s="421"/>
      <c r="AA40" s="184"/>
      <c r="AB40" s="422">
        <f>Z38+AC38</f>
        <v>75272.319999999992</v>
      </c>
      <c r="AC40" s="423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420" t="s">
        <v>21</v>
      </c>
      <c r="AQ40" s="421"/>
      <c r="AR40" s="169"/>
      <c r="AS40" s="422">
        <f>AQ38+AT38</f>
        <v>48736.7</v>
      </c>
      <c r="AT40" s="423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420" t="s">
        <v>21</v>
      </c>
      <c r="BG40" s="421"/>
      <c r="BH40" s="85"/>
      <c r="BI40" s="422">
        <f>BG38+BJ38</f>
        <v>19479.72</v>
      </c>
      <c r="BJ40" s="423"/>
      <c r="BK40" s="8"/>
      <c r="BL40" s="51"/>
      <c r="BM40" s="28"/>
      <c r="BN40" s="23"/>
    </row>
    <row r="41" spans="1:66" ht="15.75" customHeight="1" x14ac:dyDescent="0.25">
      <c r="B41" s="1"/>
      <c r="C41" s="5"/>
      <c r="D41" s="419" t="s">
        <v>22</v>
      </c>
      <c r="E41" s="419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419" t="s">
        <v>22</v>
      </c>
      <c r="V41" s="419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419" t="s">
        <v>22</v>
      </c>
      <c r="AM41" s="419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419" t="s">
        <v>22</v>
      </c>
      <c r="BC41" s="419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403"/>
      <c r="J43" s="403"/>
      <c r="K43" s="403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403"/>
      <c r="AA43" s="403"/>
      <c r="AB43" s="403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403"/>
      <c r="AR43" s="403"/>
      <c r="AS43" s="403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403"/>
      <c r="BH43" s="403"/>
      <c r="BI43" s="403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416" t="s">
        <v>26</v>
      </c>
      <c r="J44" s="416"/>
      <c r="K44" s="417">
        <f>F46</f>
        <v>81862.340000000026</v>
      </c>
      <c r="L44" s="418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416" t="s">
        <v>26</v>
      </c>
      <c r="AA44" s="416"/>
      <c r="AB44" s="417">
        <f>W46</f>
        <v>220363.87999999986</v>
      </c>
      <c r="AC44" s="418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416" t="s">
        <v>26</v>
      </c>
      <c r="AR44" s="416"/>
      <c r="AS44" s="417">
        <f>AN46</f>
        <v>182588.50000000006</v>
      </c>
      <c r="AT44" s="418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416" t="s">
        <v>26</v>
      </c>
      <c r="BH44" s="416"/>
      <c r="BI44" s="417">
        <f>BD46</f>
        <v>174315.54000000004</v>
      </c>
      <c r="BJ44" s="418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409" t="s">
        <v>2</v>
      </c>
      <c r="J45" s="409"/>
      <c r="K45" s="410">
        <f>-C4</f>
        <v>-150460.42000000001</v>
      </c>
      <c r="L45" s="410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409" t="s">
        <v>2</v>
      </c>
      <c r="AA45" s="409"/>
      <c r="AB45" s="410">
        <f>-T4</f>
        <v>-150460.42000000001</v>
      </c>
      <c r="AC45" s="410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409" t="s">
        <v>2</v>
      </c>
      <c r="AR45" s="409"/>
      <c r="AS45" s="410">
        <f>-AK4</f>
        <v>-150460.42000000001</v>
      </c>
      <c r="AT45" s="410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409" t="s">
        <v>2</v>
      </c>
      <c r="BH45" s="409"/>
      <c r="BI45" s="410">
        <f>-BA4</f>
        <v>-150460.42000000001</v>
      </c>
      <c r="BJ45" s="410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404">
        <v>0</v>
      </c>
      <c r="L46" s="404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404">
        <v>0</v>
      </c>
      <c r="AC46" s="404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404">
        <v>0</v>
      </c>
      <c r="AT46" s="404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404">
        <v>0</v>
      </c>
      <c r="BJ46" s="404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-68598.079999999987</v>
      </c>
      <c r="L47" s="427"/>
      <c r="M47" s="8"/>
      <c r="N47" s="51"/>
      <c r="O47" s="4"/>
      <c r="S47" s="1"/>
      <c r="T47" s="5"/>
      <c r="V47" s="83"/>
      <c r="W47" s="86"/>
      <c r="Z47" s="405" t="s">
        <v>155</v>
      </c>
      <c r="AA47" s="406"/>
      <c r="AB47" s="407">
        <f>SUM(AB44:AC46)</f>
        <v>69903.459999999846</v>
      </c>
      <c r="AC47" s="408"/>
      <c r="AD47" s="8"/>
      <c r="AE47" s="51"/>
      <c r="AF47" s="4"/>
      <c r="AJ47" s="1"/>
      <c r="AK47" s="5"/>
      <c r="AM47" s="83"/>
      <c r="AN47" s="86"/>
      <c r="AQ47" s="405" t="s">
        <v>155</v>
      </c>
      <c r="AR47" s="406"/>
      <c r="AS47" s="407">
        <f>SUM(AS44:AT46)</f>
        <v>32128.080000000045</v>
      </c>
      <c r="AT47" s="408"/>
      <c r="AU47" s="8"/>
      <c r="AV47" s="51"/>
      <c r="AW47" s="4"/>
      <c r="AZ47" s="1"/>
      <c r="BA47" s="5"/>
      <c r="BC47" s="83"/>
      <c r="BD47" s="86"/>
      <c r="BG47" s="405" t="s">
        <v>155</v>
      </c>
      <c r="BH47" s="406"/>
      <c r="BI47" s="407">
        <f>SUM(BI44:BJ46)</f>
        <v>23855.120000000024</v>
      </c>
      <c r="BJ47" s="408"/>
      <c r="BK47" s="8"/>
      <c r="BL47" s="51"/>
      <c r="BM47" s="4"/>
    </row>
    <row r="48" spans="1:66" x14ac:dyDescent="0.25">
      <c r="B48" s="1"/>
      <c r="C48" s="5"/>
      <c r="D48" s="403"/>
      <c r="E48" s="403"/>
      <c r="F48" s="4"/>
      <c r="I48" s="5"/>
      <c r="J48" s="5"/>
      <c r="M48" s="8"/>
      <c r="N48" s="51"/>
      <c r="O48" s="4"/>
      <c r="S48" s="1"/>
      <c r="T48" s="5"/>
      <c r="U48" s="403"/>
      <c r="V48" s="403"/>
      <c r="W48" s="4"/>
      <c r="Z48" s="5"/>
      <c r="AA48" s="5"/>
      <c r="AD48" s="8"/>
      <c r="AE48" s="51"/>
      <c r="AF48" s="4"/>
      <c r="AJ48" s="1"/>
      <c r="AK48" s="5"/>
      <c r="AL48" s="403"/>
      <c r="AM48" s="403"/>
      <c r="AN48" s="4"/>
      <c r="AQ48" s="5"/>
      <c r="AR48" s="5"/>
      <c r="AU48" s="8"/>
      <c r="AV48" s="51"/>
      <c r="AW48" s="4"/>
      <c r="AZ48" s="1"/>
      <c r="BA48" s="5"/>
      <c r="BB48" s="403"/>
      <c r="BC48" s="403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BB48:BC48"/>
    <mergeCell ref="BI46:BJ46"/>
    <mergeCell ref="BG47:BH47"/>
    <mergeCell ref="BI47:BJ47"/>
    <mergeCell ref="BG45:BH45"/>
    <mergeCell ref="BI45:BJ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26" workbookViewId="0">
      <selection activeCell="E73" sqref="E73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28" t="s">
        <v>30</v>
      </c>
      <c r="D3" s="429"/>
      <c r="E3" s="430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6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80" t="s">
        <v>630</v>
      </c>
      <c r="E31" s="181">
        <f>29210.27+60421.48</f>
        <v>89631.75</v>
      </c>
      <c r="F31" s="110">
        <f t="shared" si="0"/>
        <v>0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80">
        <v>42534</v>
      </c>
      <c r="E32" s="181">
        <v>8825.9599999999991</v>
      </c>
      <c r="F32" s="110">
        <f t="shared" si="0"/>
        <v>0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80">
        <v>42534</v>
      </c>
      <c r="E33" s="181">
        <v>8126.52</v>
      </c>
      <c r="F33" s="110">
        <f t="shared" si="0"/>
        <v>0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80">
        <v>42534</v>
      </c>
      <c r="E34" s="181">
        <v>32971.85</v>
      </c>
      <c r="F34" s="110">
        <f t="shared" si="0"/>
        <v>0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80">
        <v>42534</v>
      </c>
      <c r="E35" s="181">
        <v>30543.5</v>
      </c>
      <c r="F35" s="110">
        <f t="shared" si="0"/>
        <v>0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80">
        <v>42534</v>
      </c>
      <c r="E36" s="181">
        <v>39487.9</v>
      </c>
      <c r="F36" s="110">
        <f t="shared" si="0"/>
        <v>0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80">
        <v>42534</v>
      </c>
      <c r="E37" s="181">
        <v>33664.199999999997</v>
      </c>
      <c r="F37" s="110">
        <f t="shared" si="0"/>
        <v>0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80">
        <v>42534</v>
      </c>
      <c r="E38" s="181">
        <v>62810</v>
      </c>
      <c r="F38" s="110">
        <f t="shared" si="0"/>
        <v>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80">
        <v>42534</v>
      </c>
      <c r="E39" s="316">
        <v>9091.5</v>
      </c>
      <c r="F39" s="110">
        <f t="shared" si="0"/>
        <v>0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80">
        <v>42534</v>
      </c>
      <c r="E40" s="181">
        <v>93057.8</v>
      </c>
      <c r="F40" s="110">
        <f t="shared" si="0"/>
        <v>0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80">
        <v>42534</v>
      </c>
      <c r="E41" s="181">
        <v>5058.5</v>
      </c>
      <c r="F41" s="110">
        <f t="shared" si="0"/>
        <v>0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80">
        <v>42534</v>
      </c>
      <c r="E42" s="261">
        <v>2241</v>
      </c>
      <c r="F42" s="110">
        <f t="shared" si="0"/>
        <v>0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80">
        <v>42534</v>
      </c>
      <c r="E43" s="261">
        <v>79941.899999999994</v>
      </c>
      <c r="F43" s="110">
        <f t="shared" si="0"/>
        <v>0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180">
        <v>42534</v>
      </c>
      <c r="E44" s="285">
        <v>30416.1</v>
      </c>
      <c r="F44" s="110">
        <f t="shared" si="0"/>
        <v>0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180">
        <v>42534</v>
      </c>
      <c r="E45" s="285">
        <v>12957</v>
      </c>
      <c r="F45" s="110">
        <f t="shared" si="0"/>
        <v>0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180">
        <v>42534</v>
      </c>
      <c r="E46" s="285">
        <v>2050</v>
      </c>
      <c r="F46" s="114">
        <f t="shared" si="0"/>
        <v>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180">
        <v>42534</v>
      </c>
      <c r="E47" s="285">
        <v>101855.8</v>
      </c>
      <c r="F47" s="114">
        <f t="shared" si="0"/>
        <v>0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1861728.3299999998</v>
      </c>
      <c r="F54" s="51">
        <f>SUM(F5:F53)</f>
        <v>1054.0400000000009</v>
      </c>
      <c r="G54"/>
      <c r="K54" s="5"/>
      <c r="L54" s="104"/>
      <c r="M54" s="297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298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1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75"/>
  <sheetViews>
    <sheetView workbookViewId="0">
      <selection activeCell="D48" sqref="D48:E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2" max="42" width="8.7109375" customWidth="1"/>
    <col min="45" max="45" width="22.5703125" customWidth="1"/>
    <col min="46" max="47" width="14.140625" bestFit="1" customWidth="1"/>
    <col min="49" max="49" width="5.28515625" customWidth="1"/>
    <col min="51" max="51" width="14.140625" bestFit="1" customWidth="1"/>
    <col min="52" max="52" width="11.42578125" style="91"/>
    <col min="54" max="54" width="14.140625" bestFit="1" customWidth="1"/>
    <col min="55" max="55" width="8.140625" customWidth="1"/>
    <col min="58" max="58" width="8.7109375" customWidth="1"/>
    <col min="61" max="61" width="22.5703125" customWidth="1"/>
    <col min="62" max="63" width="14.140625" bestFit="1" customWidth="1"/>
    <col min="64" max="64" width="12.5703125" bestFit="1" customWidth="1"/>
  </cols>
  <sheetData>
    <row r="1" spans="1:64" ht="23.25" x14ac:dyDescent="0.35">
      <c r="B1" s="1"/>
      <c r="C1" s="411" t="s">
        <v>583</v>
      </c>
      <c r="D1" s="411"/>
      <c r="E1" s="411"/>
      <c r="F1" s="411"/>
      <c r="G1" s="411"/>
      <c r="H1" s="411"/>
      <c r="I1" s="411"/>
      <c r="J1" s="411"/>
      <c r="K1" s="411"/>
      <c r="M1" s="2" t="s">
        <v>153</v>
      </c>
      <c r="N1" s="3"/>
      <c r="O1" s="4"/>
      <c r="R1" s="1"/>
      <c r="S1" s="411" t="s">
        <v>583</v>
      </c>
      <c r="T1" s="411"/>
      <c r="U1" s="411"/>
      <c r="V1" s="411"/>
      <c r="W1" s="411"/>
      <c r="X1" s="411"/>
      <c r="Y1" s="411"/>
      <c r="Z1" s="411"/>
      <c r="AA1" s="411"/>
      <c r="AC1" s="2" t="s">
        <v>152</v>
      </c>
      <c r="AD1" s="3"/>
      <c r="AE1" s="4"/>
      <c r="AH1" s="1"/>
      <c r="AI1" s="411" t="s">
        <v>583</v>
      </c>
      <c r="AJ1" s="411"/>
      <c r="AK1" s="411"/>
      <c r="AL1" s="411"/>
      <c r="AM1" s="411"/>
      <c r="AN1" s="411"/>
      <c r="AO1" s="411"/>
      <c r="AP1" s="411"/>
      <c r="AQ1" s="411"/>
      <c r="AS1" s="2" t="s">
        <v>92</v>
      </c>
      <c r="AT1" s="3"/>
      <c r="AU1" s="4"/>
      <c r="AX1" s="1"/>
      <c r="AY1" s="411" t="s">
        <v>583</v>
      </c>
      <c r="AZ1" s="411"/>
      <c r="BA1" s="411"/>
      <c r="BB1" s="411"/>
      <c r="BC1" s="411"/>
      <c r="BD1" s="411"/>
      <c r="BE1" s="411"/>
      <c r="BF1" s="411"/>
      <c r="BG1" s="411"/>
      <c r="BI1" s="2" t="s">
        <v>0</v>
      </c>
      <c r="BJ1" s="3"/>
      <c r="BK1" s="4"/>
      <c r="BL1" s="4"/>
    </row>
    <row r="2" spans="1:64" ht="15.75" thickBot="1" x14ac:dyDescent="0.3">
      <c r="B2" s="1"/>
      <c r="C2" s="5"/>
      <c r="E2" s="333"/>
      <c r="F2" s="7"/>
      <c r="I2" s="5"/>
      <c r="J2" s="5"/>
      <c r="M2" s="8"/>
      <c r="N2" s="3"/>
      <c r="O2" s="4"/>
      <c r="R2" s="1"/>
      <c r="S2" s="5"/>
      <c r="U2" s="321"/>
      <c r="V2" s="7"/>
      <c r="Y2" s="5"/>
      <c r="Z2" s="5"/>
      <c r="AC2" s="8"/>
      <c r="AD2" s="3"/>
      <c r="AE2" s="4"/>
      <c r="AH2" s="1"/>
      <c r="AI2" s="5"/>
      <c r="AK2" s="307"/>
      <c r="AL2" s="7"/>
      <c r="AO2" s="5"/>
      <c r="AP2" s="5"/>
      <c r="AS2" s="8"/>
      <c r="AT2" s="3"/>
      <c r="AU2" s="4"/>
      <c r="AX2" s="1"/>
      <c r="AY2" s="5"/>
      <c r="BA2" s="302"/>
      <c r="BB2" s="7"/>
      <c r="BE2" s="5"/>
      <c r="BF2" s="5"/>
      <c r="BI2" s="8"/>
      <c r="BJ2" s="3"/>
      <c r="BK2" s="4"/>
      <c r="BL2" s="4"/>
    </row>
    <row r="3" spans="1:64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R3" s="1"/>
      <c r="S3" s="9" t="s">
        <v>281</v>
      </c>
      <c r="T3" s="215"/>
      <c r="V3" s="5"/>
      <c r="Y3" s="5"/>
      <c r="Z3" s="5"/>
      <c r="AC3" s="8"/>
      <c r="AD3" s="3"/>
      <c r="AE3" s="4"/>
      <c r="AH3" s="1"/>
      <c r="AI3" s="9" t="s">
        <v>281</v>
      </c>
      <c r="AJ3" s="215"/>
      <c r="AL3" s="5"/>
      <c r="AO3" s="5"/>
      <c r="AP3" s="5"/>
      <c r="AS3" s="8"/>
      <c r="AT3" s="3"/>
      <c r="AU3" s="4"/>
      <c r="AX3" s="1"/>
      <c r="AY3" s="9" t="s">
        <v>281</v>
      </c>
      <c r="AZ3" s="215"/>
      <c r="BB3" s="5"/>
      <c r="BE3" s="5"/>
      <c r="BF3" s="5"/>
      <c r="BI3" s="8"/>
      <c r="BJ3" s="3"/>
      <c r="BK3" s="4"/>
      <c r="BL3" s="4"/>
    </row>
    <row r="4" spans="1:64" ht="20.25" thickTop="1" thickBot="1" x14ac:dyDescent="0.35">
      <c r="A4" s="11" t="s">
        <v>2</v>
      </c>
      <c r="B4" s="12"/>
      <c r="C4" s="13">
        <v>210023.6</v>
      </c>
      <c r="D4" s="217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210023.6</v>
      </c>
      <c r="T4" s="217"/>
      <c r="U4" s="412" t="s">
        <v>3</v>
      </c>
      <c r="V4" s="413"/>
      <c r="Y4" s="414" t="s">
        <v>4</v>
      </c>
      <c r="Z4" s="415"/>
      <c r="AA4" s="415"/>
      <c r="AB4" s="415"/>
      <c r="AC4" s="15" t="s">
        <v>5</v>
      </c>
      <c r="AD4" s="16" t="s">
        <v>6</v>
      </c>
      <c r="AE4" s="17" t="s">
        <v>7</v>
      </c>
      <c r="AG4" s="11" t="s">
        <v>2</v>
      </c>
      <c r="AH4" s="12"/>
      <c r="AI4" s="13">
        <v>210023.6</v>
      </c>
      <c r="AJ4" s="217"/>
      <c r="AK4" s="412" t="s">
        <v>3</v>
      </c>
      <c r="AL4" s="413"/>
      <c r="AO4" s="414" t="s">
        <v>4</v>
      </c>
      <c r="AP4" s="415"/>
      <c r="AQ4" s="415"/>
      <c r="AR4" s="415"/>
      <c r="AS4" s="15" t="s">
        <v>5</v>
      </c>
      <c r="AT4" s="16" t="s">
        <v>6</v>
      </c>
      <c r="AU4" s="17" t="s">
        <v>7</v>
      </c>
      <c r="AW4" s="11" t="s">
        <v>2</v>
      </c>
      <c r="AX4" s="12"/>
      <c r="AY4" s="13">
        <v>210023.6</v>
      </c>
      <c r="AZ4" s="217"/>
      <c r="BA4" s="412" t="s">
        <v>3</v>
      </c>
      <c r="BB4" s="413"/>
      <c r="BE4" s="414" t="s">
        <v>4</v>
      </c>
      <c r="BF4" s="415"/>
      <c r="BG4" s="415"/>
      <c r="BH4" s="415"/>
      <c r="BI4" s="15" t="s">
        <v>5</v>
      </c>
      <c r="BJ4" s="16" t="s">
        <v>6</v>
      </c>
      <c r="BK4" s="17" t="s">
        <v>7</v>
      </c>
      <c r="BL4" s="17"/>
    </row>
    <row r="5" spans="1:64" ht="16.5" thickTop="1" thickBot="1" x14ac:dyDescent="0.3">
      <c r="A5" s="18"/>
      <c r="B5" s="19">
        <v>42522</v>
      </c>
      <c r="C5" s="170">
        <v>28797.5</v>
      </c>
      <c r="D5" s="236" t="s">
        <v>600</v>
      </c>
      <c r="E5" s="21">
        <v>42522</v>
      </c>
      <c r="F5" s="22">
        <v>42273</v>
      </c>
      <c r="G5" s="23"/>
      <c r="H5" s="178">
        <v>42522</v>
      </c>
      <c r="I5" s="179">
        <v>200</v>
      </c>
      <c r="J5" s="24"/>
      <c r="K5" s="25"/>
      <c r="L5" s="25"/>
      <c r="M5" s="26" t="s">
        <v>599</v>
      </c>
      <c r="N5" s="27">
        <v>0</v>
      </c>
      <c r="O5" s="28"/>
      <c r="Q5" s="18"/>
      <c r="R5" s="19">
        <v>42522</v>
      </c>
      <c r="S5" s="170">
        <v>28797.5</v>
      </c>
      <c r="T5" s="236" t="s">
        <v>600</v>
      </c>
      <c r="U5" s="21">
        <v>42522</v>
      </c>
      <c r="V5" s="22">
        <v>42273</v>
      </c>
      <c r="W5" s="23"/>
      <c r="X5" s="178">
        <v>42522</v>
      </c>
      <c r="Y5" s="179">
        <v>200</v>
      </c>
      <c r="Z5" s="24"/>
      <c r="AA5" s="25"/>
      <c r="AB5" s="25"/>
      <c r="AC5" s="26" t="s">
        <v>599</v>
      </c>
      <c r="AD5" s="27">
        <v>0</v>
      </c>
      <c r="AE5" s="28"/>
      <c r="AG5" s="18"/>
      <c r="AH5" s="19">
        <v>42522</v>
      </c>
      <c r="AI5" s="170">
        <v>28797.5</v>
      </c>
      <c r="AJ5" s="236" t="s">
        <v>600</v>
      </c>
      <c r="AK5" s="21">
        <v>42522</v>
      </c>
      <c r="AL5" s="22">
        <v>42273</v>
      </c>
      <c r="AM5" s="23"/>
      <c r="AN5" s="178">
        <v>42522</v>
      </c>
      <c r="AO5" s="179">
        <v>200</v>
      </c>
      <c r="AP5" s="24"/>
      <c r="AQ5" s="25"/>
      <c r="AR5" s="25"/>
      <c r="AS5" s="26" t="s">
        <v>599</v>
      </c>
      <c r="AT5" s="27">
        <v>0</v>
      </c>
      <c r="AU5" s="28"/>
      <c r="AW5" s="18"/>
      <c r="AX5" s="19">
        <v>42522</v>
      </c>
      <c r="AY5" s="170">
        <v>28797.5</v>
      </c>
      <c r="AZ5" s="236" t="s">
        <v>600</v>
      </c>
      <c r="BA5" s="21">
        <v>42522</v>
      </c>
      <c r="BB5" s="22">
        <v>42273</v>
      </c>
      <c r="BC5" s="23"/>
      <c r="BD5" s="178">
        <v>42522</v>
      </c>
      <c r="BE5" s="179">
        <v>200</v>
      </c>
      <c r="BF5" s="24"/>
      <c r="BG5" s="25"/>
      <c r="BH5" s="25"/>
      <c r="BI5" s="26" t="s">
        <v>599</v>
      </c>
      <c r="BJ5" s="27">
        <v>0</v>
      </c>
      <c r="BK5" s="28"/>
      <c r="BL5" s="28"/>
    </row>
    <row r="6" spans="1:64" ht="15.75" thickBot="1" x14ac:dyDescent="0.3">
      <c r="A6" s="18"/>
      <c r="B6" s="19">
        <v>42523</v>
      </c>
      <c r="C6" s="170">
        <v>43093</v>
      </c>
      <c r="D6" s="219" t="s">
        <v>601</v>
      </c>
      <c r="E6" s="21">
        <v>42523</v>
      </c>
      <c r="F6" s="22">
        <v>44817</v>
      </c>
      <c r="G6" s="30"/>
      <c r="H6" s="178">
        <v>42523</v>
      </c>
      <c r="I6" s="32">
        <v>200</v>
      </c>
      <c r="J6" s="33"/>
      <c r="K6" s="34" t="s">
        <v>8</v>
      </c>
      <c r="L6" s="35">
        <v>747</v>
      </c>
      <c r="M6" s="26" t="s">
        <v>602</v>
      </c>
      <c r="N6" s="27">
        <v>0</v>
      </c>
      <c r="O6" s="28"/>
      <c r="Q6" s="18"/>
      <c r="R6" s="19">
        <v>42523</v>
      </c>
      <c r="S6" s="170">
        <v>43093</v>
      </c>
      <c r="T6" s="219" t="s">
        <v>601</v>
      </c>
      <c r="U6" s="21">
        <v>42523</v>
      </c>
      <c r="V6" s="22">
        <v>44817</v>
      </c>
      <c r="W6" s="30"/>
      <c r="X6" s="178">
        <v>42523</v>
      </c>
      <c r="Y6" s="32">
        <v>200</v>
      </c>
      <c r="Z6" s="33"/>
      <c r="AA6" s="34" t="s">
        <v>8</v>
      </c>
      <c r="AB6" s="35">
        <v>0</v>
      </c>
      <c r="AC6" s="26" t="s">
        <v>602</v>
      </c>
      <c r="AD6" s="27">
        <v>0</v>
      </c>
      <c r="AE6" s="28"/>
      <c r="AG6" s="18"/>
      <c r="AH6" s="19">
        <v>42523</v>
      </c>
      <c r="AI6" s="170">
        <v>43093</v>
      </c>
      <c r="AJ6" s="219" t="s">
        <v>601</v>
      </c>
      <c r="AK6" s="21">
        <v>42523</v>
      </c>
      <c r="AL6" s="22">
        <v>44817</v>
      </c>
      <c r="AM6" s="30"/>
      <c r="AN6" s="178">
        <v>42523</v>
      </c>
      <c r="AO6" s="32">
        <v>200</v>
      </c>
      <c r="AP6" s="33"/>
      <c r="AQ6" s="34" t="s">
        <v>8</v>
      </c>
      <c r="AR6" s="35">
        <v>0</v>
      </c>
      <c r="AS6" s="26" t="s">
        <v>602</v>
      </c>
      <c r="AT6" s="27">
        <v>0</v>
      </c>
      <c r="AU6" s="28"/>
      <c r="AW6" s="18"/>
      <c r="AX6" s="19">
        <v>42523</v>
      </c>
      <c r="AY6" s="170">
        <v>43093</v>
      </c>
      <c r="AZ6" s="219" t="s">
        <v>601</v>
      </c>
      <c r="BA6" s="21">
        <v>42523</v>
      </c>
      <c r="BB6" s="22">
        <v>44817</v>
      </c>
      <c r="BC6" s="30"/>
      <c r="BD6" s="178">
        <v>42523</v>
      </c>
      <c r="BE6" s="32">
        <v>200</v>
      </c>
      <c r="BF6" s="33"/>
      <c r="BG6" s="34" t="s">
        <v>8</v>
      </c>
      <c r="BH6" s="35">
        <v>0</v>
      </c>
      <c r="BI6" s="26" t="s">
        <v>602</v>
      </c>
      <c r="BJ6" s="27">
        <v>0</v>
      </c>
      <c r="BK6" s="28"/>
      <c r="BL6" s="28"/>
    </row>
    <row r="7" spans="1:64" ht="15.75" thickBot="1" x14ac:dyDescent="0.3">
      <c r="A7" s="18"/>
      <c r="B7" s="19">
        <v>42524</v>
      </c>
      <c r="C7" s="170">
        <v>57181.5</v>
      </c>
      <c r="D7" s="220" t="s">
        <v>603</v>
      </c>
      <c r="E7" s="21">
        <v>42524</v>
      </c>
      <c r="F7" s="22">
        <v>64958</v>
      </c>
      <c r="G7" s="23"/>
      <c r="H7" s="178">
        <v>42524</v>
      </c>
      <c r="I7" s="32">
        <v>232</v>
      </c>
      <c r="J7" s="33"/>
      <c r="K7" s="305" t="s">
        <v>9</v>
      </c>
      <c r="L7" s="35">
        <v>13107</v>
      </c>
      <c r="M7" s="291" t="s">
        <v>604</v>
      </c>
      <c r="N7" s="27">
        <v>0</v>
      </c>
      <c r="O7" s="28"/>
      <c r="Q7" s="18"/>
      <c r="R7" s="19">
        <v>42524</v>
      </c>
      <c r="S7" s="170">
        <v>57181.5</v>
      </c>
      <c r="T7" s="220" t="s">
        <v>603</v>
      </c>
      <c r="U7" s="21">
        <v>42524</v>
      </c>
      <c r="V7" s="22">
        <v>64958</v>
      </c>
      <c r="W7" s="23"/>
      <c r="X7" s="178">
        <v>42524</v>
      </c>
      <c r="Y7" s="32">
        <v>232</v>
      </c>
      <c r="Z7" s="33"/>
      <c r="AA7" s="305" t="s">
        <v>9</v>
      </c>
      <c r="AB7" s="35">
        <v>0</v>
      </c>
      <c r="AC7" s="291" t="s">
        <v>604</v>
      </c>
      <c r="AD7" s="27">
        <v>0</v>
      </c>
      <c r="AE7" s="28"/>
      <c r="AG7" s="18"/>
      <c r="AH7" s="19">
        <v>42524</v>
      </c>
      <c r="AI7" s="170">
        <v>57181.5</v>
      </c>
      <c r="AJ7" s="220" t="s">
        <v>603</v>
      </c>
      <c r="AK7" s="21">
        <v>42524</v>
      </c>
      <c r="AL7" s="22">
        <v>64958</v>
      </c>
      <c r="AM7" s="23"/>
      <c r="AN7" s="178">
        <v>42524</v>
      </c>
      <c r="AO7" s="32">
        <v>232</v>
      </c>
      <c r="AP7" s="33"/>
      <c r="AQ7" s="305" t="s">
        <v>9</v>
      </c>
      <c r="AR7" s="35">
        <v>0</v>
      </c>
      <c r="AS7" s="291" t="s">
        <v>604</v>
      </c>
      <c r="AT7" s="27">
        <v>0</v>
      </c>
      <c r="AU7" s="28"/>
      <c r="AW7" s="18"/>
      <c r="AX7" s="19">
        <v>42524</v>
      </c>
      <c r="AY7" s="170">
        <v>57181.5</v>
      </c>
      <c r="AZ7" s="220" t="s">
        <v>603</v>
      </c>
      <c r="BA7" s="21">
        <v>42524</v>
      </c>
      <c r="BB7" s="22">
        <v>64958</v>
      </c>
      <c r="BC7" s="23"/>
      <c r="BD7" s="178">
        <v>42524</v>
      </c>
      <c r="BE7" s="32">
        <v>232</v>
      </c>
      <c r="BF7" s="33"/>
      <c r="BG7" s="305" t="s">
        <v>9</v>
      </c>
      <c r="BH7" s="35">
        <v>0</v>
      </c>
      <c r="BI7" s="291" t="s">
        <v>604</v>
      </c>
      <c r="BJ7" s="27">
        <v>0</v>
      </c>
      <c r="BK7" s="28"/>
      <c r="BL7" s="28"/>
    </row>
    <row r="8" spans="1:64" ht="15.75" thickBot="1" x14ac:dyDescent="0.3">
      <c r="A8" s="18"/>
      <c r="B8" s="19">
        <v>42525</v>
      </c>
      <c r="C8" s="170">
        <v>83704</v>
      </c>
      <c r="D8" s="221" t="s">
        <v>605</v>
      </c>
      <c r="E8" s="21">
        <v>42525</v>
      </c>
      <c r="F8" s="22">
        <v>70703.5</v>
      </c>
      <c r="G8" s="23"/>
      <c r="H8" s="178">
        <v>42525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606</v>
      </c>
      <c r="N8" s="38">
        <v>0</v>
      </c>
      <c r="O8" s="28"/>
      <c r="Q8" s="18"/>
      <c r="R8" s="19">
        <v>42525</v>
      </c>
      <c r="S8" s="170">
        <v>83704</v>
      </c>
      <c r="T8" s="221" t="s">
        <v>605</v>
      </c>
      <c r="U8" s="21">
        <v>42525</v>
      </c>
      <c r="V8" s="22">
        <v>70703.5</v>
      </c>
      <c r="W8" s="23"/>
      <c r="X8" s="178">
        <v>42525</v>
      </c>
      <c r="Y8" s="32">
        <v>200</v>
      </c>
      <c r="Z8" s="33"/>
      <c r="AA8" s="34" t="s">
        <v>10</v>
      </c>
      <c r="AB8" s="35">
        <f>7187.5+7187.5+7187.5</f>
        <v>21562.5</v>
      </c>
      <c r="AC8" s="292" t="s">
        <v>606</v>
      </c>
      <c r="AD8" s="38">
        <v>0</v>
      </c>
      <c r="AE8" s="28"/>
      <c r="AG8" s="18"/>
      <c r="AH8" s="19">
        <v>42525</v>
      </c>
      <c r="AI8" s="170">
        <v>83704</v>
      </c>
      <c r="AJ8" s="221" t="s">
        <v>605</v>
      </c>
      <c r="AK8" s="21">
        <v>42525</v>
      </c>
      <c r="AL8" s="22">
        <v>70703.5</v>
      </c>
      <c r="AM8" s="23"/>
      <c r="AN8" s="178">
        <v>42525</v>
      </c>
      <c r="AO8" s="32">
        <v>200</v>
      </c>
      <c r="AP8" s="33"/>
      <c r="AQ8" s="34" t="s">
        <v>10</v>
      </c>
      <c r="AR8" s="35">
        <f>7187.5+7187.5</f>
        <v>14375</v>
      </c>
      <c r="AS8" s="292" t="s">
        <v>606</v>
      </c>
      <c r="AT8" s="38">
        <v>0</v>
      </c>
      <c r="AU8" s="28"/>
      <c r="AW8" s="18"/>
      <c r="AX8" s="19">
        <v>42525</v>
      </c>
      <c r="AY8" s="170">
        <v>83704</v>
      </c>
      <c r="AZ8" s="221" t="s">
        <v>605</v>
      </c>
      <c r="BA8" s="21">
        <v>42525</v>
      </c>
      <c r="BB8" s="22">
        <v>70703.5</v>
      </c>
      <c r="BC8" s="23"/>
      <c r="BD8" s="178">
        <v>42525</v>
      </c>
      <c r="BE8" s="32">
        <v>200</v>
      </c>
      <c r="BF8" s="33"/>
      <c r="BG8" s="34" t="s">
        <v>10</v>
      </c>
      <c r="BH8" s="35">
        <f>7187.5</f>
        <v>7187.5</v>
      </c>
      <c r="BI8" s="292" t="s">
        <v>606</v>
      </c>
      <c r="BJ8" s="38">
        <v>0</v>
      </c>
      <c r="BK8" s="28"/>
      <c r="BL8" s="51"/>
    </row>
    <row r="9" spans="1:64" ht="15.75" thickBot="1" x14ac:dyDescent="0.3">
      <c r="A9" s="18"/>
      <c r="B9" s="19">
        <v>42526</v>
      </c>
      <c r="C9" s="170">
        <v>85623.5</v>
      </c>
      <c r="D9" s="219" t="s">
        <v>617</v>
      </c>
      <c r="E9" s="21">
        <v>42526</v>
      </c>
      <c r="F9" s="22">
        <v>91478.5</v>
      </c>
      <c r="G9" s="23"/>
      <c r="H9" s="178">
        <v>42526</v>
      </c>
      <c r="I9" s="32">
        <v>200</v>
      </c>
      <c r="J9" s="33"/>
      <c r="K9" s="34" t="s">
        <v>620</v>
      </c>
      <c r="L9" s="35">
        <v>9230.56</v>
      </c>
      <c r="M9" s="26" t="s">
        <v>618</v>
      </c>
      <c r="N9" s="27">
        <v>0</v>
      </c>
      <c r="O9" s="28"/>
      <c r="Q9" s="18"/>
      <c r="R9" s="19">
        <v>42526</v>
      </c>
      <c r="S9" s="170">
        <v>85623.5</v>
      </c>
      <c r="T9" s="219" t="s">
        <v>617</v>
      </c>
      <c r="U9" s="21">
        <v>42526</v>
      </c>
      <c r="V9" s="22">
        <v>91478.5</v>
      </c>
      <c r="W9" s="23"/>
      <c r="X9" s="178">
        <v>42526</v>
      </c>
      <c r="Y9" s="32">
        <v>200</v>
      </c>
      <c r="Z9" s="33"/>
      <c r="AA9" s="34" t="s">
        <v>620</v>
      </c>
      <c r="AB9" s="35">
        <v>9230.56</v>
      </c>
      <c r="AC9" s="26" t="s">
        <v>618</v>
      </c>
      <c r="AD9" s="27">
        <v>0</v>
      </c>
      <c r="AE9" s="28"/>
      <c r="AG9" s="18"/>
      <c r="AH9" s="19">
        <v>42526</v>
      </c>
      <c r="AI9" s="170">
        <v>85623.5</v>
      </c>
      <c r="AJ9" s="219" t="s">
        <v>617</v>
      </c>
      <c r="AK9" s="21">
        <v>42526</v>
      </c>
      <c r="AL9" s="22">
        <v>91478.5</v>
      </c>
      <c r="AM9" s="23"/>
      <c r="AN9" s="178">
        <v>42526</v>
      </c>
      <c r="AO9" s="32">
        <v>200</v>
      </c>
      <c r="AP9" s="33"/>
      <c r="AQ9" s="34" t="s">
        <v>620</v>
      </c>
      <c r="AR9" s="35">
        <v>9230.56</v>
      </c>
      <c r="AS9" s="26" t="s">
        <v>618</v>
      </c>
      <c r="AT9" s="27">
        <v>0</v>
      </c>
      <c r="AU9" s="28"/>
      <c r="AW9" s="18"/>
      <c r="AX9" s="19">
        <v>42526</v>
      </c>
      <c r="AY9" s="170">
        <v>85623.5</v>
      </c>
      <c r="AZ9" s="219" t="s">
        <v>617</v>
      </c>
      <c r="BA9" s="21">
        <v>42526</v>
      </c>
      <c r="BB9" s="22">
        <v>91478.5</v>
      </c>
      <c r="BC9" s="23"/>
      <c r="BD9" s="178">
        <v>42526</v>
      </c>
      <c r="BE9" s="32">
        <v>200</v>
      </c>
      <c r="BF9" s="33"/>
      <c r="BG9" s="34" t="s">
        <v>620</v>
      </c>
      <c r="BH9" s="35">
        <v>0</v>
      </c>
      <c r="BI9" s="26" t="s">
        <v>618</v>
      </c>
      <c r="BJ9" s="27">
        <v>0</v>
      </c>
      <c r="BK9" s="28"/>
      <c r="BL9" s="51"/>
    </row>
    <row r="10" spans="1:64" ht="15.75" thickBot="1" x14ac:dyDescent="0.3">
      <c r="A10" s="18"/>
      <c r="B10" s="19">
        <v>42527</v>
      </c>
      <c r="C10" s="170">
        <v>96384.5</v>
      </c>
      <c r="D10" s="220" t="s">
        <v>625</v>
      </c>
      <c r="E10" s="21">
        <v>42527</v>
      </c>
      <c r="F10" s="22">
        <v>81437</v>
      </c>
      <c r="G10" s="23"/>
      <c r="H10" s="178">
        <v>42527</v>
      </c>
      <c r="I10" s="32">
        <v>400</v>
      </c>
      <c r="J10" s="33"/>
      <c r="K10" s="34" t="s">
        <v>621</v>
      </c>
      <c r="L10" s="331">
        <v>9230.56</v>
      </c>
      <c r="M10" s="26" t="s">
        <v>619</v>
      </c>
      <c r="N10" s="27">
        <v>0</v>
      </c>
      <c r="O10" s="28"/>
      <c r="Q10" s="18"/>
      <c r="R10" s="19">
        <v>42527</v>
      </c>
      <c r="S10" s="170">
        <v>96384.5</v>
      </c>
      <c r="T10" s="220" t="s">
        <v>625</v>
      </c>
      <c r="U10" s="21">
        <v>42527</v>
      </c>
      <c r="V10" s="22">
        <v>81437</v>
      </c>
      <c r="W10" s="23"/>
      <c r="X10" s="178">
        <v>42527</v>
      </c>
      <c r="Y10" s="32">
        <v>400</v>
      </c>
      <c r="Z10" s="33"/>
      <c r="AA10" s="34" t="s">
        <v>621</v>
      </c>
      <c r="AB10" s="331">
        <v>9230.56</v>
      </c>
      <c r="AC10" s="26" t="s">
        <v>619</v>
      </c>
      <c r="AD10" s="27">
        <v>0</v>
      </c>
      <c r="AE10" s="28"/>
      <c r="AG10" s="18"/>
      <c r="AH10" s="19">
        <v>42527</v>
      </c>
      <c r="AI10" s="170">
        <v>96384.5</v>
      </c>
      <c r="AJ10" s="220" t="s">
        <v>625</v>
      </c>
      <c r="AK10" s="21">
        <v>42527</v>
      </c>
      <c r="AL10" s="233">
        <v>81437</v>
      </c>
      <c r="AM10" s="23"/>
      <c r="AN10" s="178">
        <v>42527</v>
      </c>
      <c r="AO10" s="309">
        <v>400</v>
      </c>
      <c r="AP10" s="33"/>
      <c r="AQ10" s="34" t="s">
        <v>621</v>
      </c>
      <c r="AR10" s="331">
        <v>9230.56</v>
      </c>
      <c r="AS10" s="26" t="s">
        <v>619</v>
      </c>
      <c r="AT10" s="27">
        <v>0</v>
      </c>
      <c r="AU10" s="28"/>
      <c r="AW10" s="18"/>
      <c r="AX10" s="19">
        <v>42527</v>
      </c>
      <c r="AY10" s="170">
        <v>96384.5</v>
      </c>
      <c r="AZ10" s="220"/>
      <c r="BA10" s="21">
        <v>42527</v>
      </c>
      <c r="BB10" s="233">
        <v>81437</v>
      </c>
      <c r="BC10" s="23"/>
      <c r="BD10" s="178">
        <v>42527</v>
      </c>
      <c r="BE10" s="309">
        <v>400</v>
      </c>
      <c r="BF10" s="33"/>
      <c r="BG10" s="34" t="s">
        <v>621</v>
      </c>
      <c r="BH10" s="30">
        <v>0</v>
      </c>
      <c r="BI10" s="26" t="s">
        <v>619</v>
      </c>
      <c r="BJ10" s="27">
        <v>0</v>
      </c>
      <c r="BK10" s="28"/>
      <c r="BL10" s="51"/>
    </row>
    <row r="11" spans="1:64" ht="15.75" thickBot="1" x14ac:dyDescent="0.3">
      <c r="A11" s="18"/>
      <c r="B11" s="19">
        <v>42528</v>
      </c>
      <c r="C11" s="170">
        <v>50824</v>
      </c>
      <c r="D11" s="220" t="s">
        <v>626</v>
      </c>
      <c r="E11" s="21">
        <v>42528</v>
      </c>
      <c r="F11" s="22">
        <v>47583</v>
      </c>
      <c r="G11" s="23"/>
      <c r="H11" s="178">
        <v>42528</v>
      </c>
      <c r="I11" s="39">
        <v>200</v>
      </c>
      <c r="J11" s="33"/>
      <c r="K11" s="34" t="s">
        <v>622</v>
      </c>
      <c r="L11" s="30">
        <v>7551.24</v>
      </c>
      <c r="M11" s="26" t="s">
        <v>624</v>
      </c>
      <c r="N11" s="27">
        <v>0</v>
      </c>
      <c r="O11" s="28"/>
      <c r="Q11" s="18"/>
      <c r="R11" s="19">
        <v>42528</v>
      </c>
      <c r="S11" s="170">
        <v>50824</v>
      </c>
      <c r="T11" s="220" t="s">
        <v>626</v>
      </c>
      <c r="U11" s="21">
        <v>42528</v>
      </c>
      <c r="V11" s="22">
        <v>47583</v>
      </c>
      <c r="W11" s="23"/>
      <c r="X11" s="178">
        <v>42528</v>
      </c>
      <c r="Y11" s="39">
        <v>200</v>
      </c>
      <c r="Z11" s="33"/>
      <c r="AA11" s="34" t="s">
        <v>622</v>
      </c>
      <c r="AB11" s="30">
        <v>0</v>
      </c>
      <c r="AC11" s="26" t="s">
        <v>624</v>
      </c>
      <c r="AD11" s="27">
        <v>0</v>
      </c>
      <c r="AE11" s="28"/>
      <c r="AG11" s="18"/>
      <c r="AH11" s="19">
        <v>42528</v>
      </c>
      <c r="AI11" s="170">
        <v>50824</v>
      </c>
      <c r="AJ11" s="220" t="s">
        <v>626</v>
      </c>
      <c r="AK11" s="21">
        <v>42528</v>
      </c>
      <c r="AL11" s="22">
        <v>47583</v>
      </c>
      <c r="AM11" s="23"/>
      <c r="AN11" s="178">
        <v>42528</v>
      </c>
      <c r="AO11" s="39">
        <v>200</v>
      </c>
      <c r="AP11" s="33"/>
      <c r="AQ11" s="34" t="s">
        <v>622</v>
      </c>
      <c r="AR11" s="30">
        <v>0</v>
      </c>
      <c r="AS11" s="26" t="s">
        <v>624</v>
      </c>
      <c r="AT11" s="27">
        <v>0</v>
      </c>
      <c r="AU11" s="28"/>
      <c r="AW11" s="18"/>
      <c r="AX11" s="19">
        <v>42528</v>
      </c>
      <c r="AY11" s="170"/>
      <c r="AZ11" s="220"/>
      <c r="BA11" s="21">
        <v>42528</v>
      </c>
      <c r="BB11" s="22"/>
      <c r="BC11" s="23"/>
      <c r="BD11" s="178">
        <v>42528</v>
      </c>
      <c r="BE11" s="39"/>
      <c r="BF11" s="33"/>
      <c r="BG11" s="34" t="s">
        <v>622</v>
      </c>
      <c r="BH11" s="30">
        <v>0</v>
      </c>
      <c r="BI11" s="26"/>
      <c r="BJ11" s="27"/>
      <c r="BK11" s="28"/>
      <c r="BL11" s="51"/>
    </row>
    <row r="12" spans="1:64" ht="15.75" thickBot="1" x14ac:dyDescent="0.3">
      <c r="A12" s="18"/>
      <c r="B12" s="19">
        <v>42529</v>
      </c>
      <c r="C12" s="170">
        <v>32093</v>
      </c>
      <c r="D12" s="220" t="s">
        <v>628</v>
      </c>
      <c r="E12" s="21">
        <v>42529</v>
      </c>
      <c r="F12" s="22">
        <v>39999.5</v>
      </c>
      <c r="G12" s="23"/>
      <c r="H12" s="178">
        <v>42529</v>
      </c>
      <c r="I12" s="39">
        <v>200</v>
      </c>
      <c r="J12" s="33"/>
      <c r="K12" s="34" t="s">
        <v>623</v>
      </c>
      <c r="L12" s="30">
        <v>8262.7099999999991</v>
      </c>
      <c r="M12" s="26" t="s">
        <v>629</v>
      </c>
      <c r="N12" s="27">
        <v>0</v>
      </c>
      <c r="O12" s="28"/>
      <c r="Q12" s="18"/>
      <c r="R12" s="19">
        <v>42529</v>
      </c>
      <c r="S12" s="170">
        <v>30162.5</v>
      </c>
      <c r="T12" s="220" t="s">
        <v>628</v>
      </c>
      <c r="U12" s="21">
        <v>42529</v>
      </c>
      <c r="V12" s="22">
        <v>39999.5</v>
      </c>
      <c r="W12" s="23"/>
      <c r="X12" s="178">
        <v>42529</v>
      </c>
      <c r="Y12" s="39">
        <v>200</v>
      </c>
      <c r="Z12" s="33"/>
      <c r="AA12" s="34" t="s">
        <v>623</v>
      </c>
      <c r="AB12" s="30">
        <v>0</v>
      </c>
      <c r="AC12" s="26" t="s">
        <v>629</v>
      </c>
      <c r="AD12" s="27">
        <v>0</v>
      </c>
      <c r="AE12" s="28"/>
      <c r="AG12" s="18"/>
      <c r="AH12" s="19">
        <v>42529</v>
      </c>
      <c r="AI12" s="170">
        <v>30162.5</v>
      </c>
      <c r="AJ12" s="220" t="s">
        <v>628</v>
      </c>
      <c r="AK12" s="21">
        <v>42529</v>
      </c>
      <c r="AL12" s="22">
        <v>39999.5</v>
      </c>
      <c r="AM12" s="23"/>
      <c r="AN12" s="178">
        <v>42529</v>
      </c>
      <c r="AO12" s="39">
        <v>200</v>
      </c>
      <c r="AP12" s="33"/>
      <c r="AQ12" s="34" t="s">
        <v>623</v>
      </c>
      <c r="AR12" s="30">
        <v>0</v>
      </c>
      <c r="AS12" s="26" t="s">
        <v>629</v>
      </c>
      <c r="AT12" s="27">
        <v>0</v>
      </c>
      <c r="AU12" s="51"/>
      <c r="AW12" s="18"/>
      <c r="AX12" s="19">
        <v>42529</v>
      </c>
      <c r="AY12" s="170"/>
      <c r="AZ12" s="220"/>
      <c r="BA12" s="21">
        <v>42529</v>
      </c>
      <c r="BB12" s="22"/>
      <c r="BC12" s="23"/>
      <c r="BD12" s="178">
        <v>42529</v>
      </c>
      <c r="BE12" s="39"/>
      <c r="BF12" s="33"/>
      <c r="BG12" s="34" t="s">
        <v>623</v>
      </c>
      <c r="BH12" s="30">
        <v>0</v>
      </c>
      <c r="BI12" s="26"/>
      <c r="BJ12" s="27"/>
      <c r="BK12" s="28"/>
      <c r="BL12" s="51"/>
    </row>
    <row r="13" spans="1:64" ht="15.75" thickBot="1" x14ac:dyDescent="0.3">
      <c r="A13" s="18"/>
      <c r="B13" s="19">
        <v>42530</v>
      </c>
      <c r="C13" s="170">
        <v>65854.5</v>
      </c>
      <c r="D13" s="220" t="s">
        <v>637</v>
      </c>
      <c r="E13" s="21">
        <v>42530</v>
      </c>
      <c r="F13" s="22">
        <v>53456</v>
      </c>
      <c r="G13" s="23"/>
      <c r="H13" s="178">
        <v>42530</v>
      </c>
      <c r="I13" s="39">
        <v>232</v>
      </c>
      <c r="J13" s="33"/>
      <c r="K13" s="40"/>
      <c r="L13" s="35">
        <v>0</v>
      </c>
      <c r="M13" s="26" t="s">
        <v>638</v>
      </c>
      <c r="N13" s="27">
        <v>0</v>
      </c>
      <c r="O13" s="28"/>
      <c r="Q13" s="18"/>
      <c r="R13" s="19">
        <v>42530</v>
      </c>
      <c r="S13" s="170">
        <v>65854.5</v>
      </c>
      <c r="T13" s="220" t="s">
        <v>637</v>
      </c>
      <c r="U13" s="21">
        <v>42530</v>
      </c>
      <c r="V13" s="22">
        <v>53456</v>
      </c>
      <c r="W13" s="23"/>
      <c r="X13" s="178">
        <v>42530</v>
      </c>
      <c r="Y13" s="39">
        <v>232</v>
      </c>
      <c r="Z13" s="33"/>
      <c r="AA13" s="40"/>
      <c r="AB13" s="35">
        <v>0</v>
      </c>
      <c r="AC13" s="26" t="s">
        <v>638</v>
      </c>
      <c r="AD13" s="27">
        <v>0</v>
      </c>
      <c r="AE13" s="28"/>
      <c r="AG13" s="18"/>
      <c r="AH13" s="19">
        <v>42530</v>
      </c>
      <c r="AI13" s="170">
        <v>65854.5</v>
      </c>
      <c r="AJ13" s="220" t="s">
        <v>637</v>
      </c>
      <c r="AK13" s="21">
        <v>42530</v>
      </c>
      <c r="AL13" s="22">
        <v>53456</v>
      </c>
      <c r="AM13" s="23"/>
      <c r="AN13" s="178">
        <v>42530</v>
      </c>
      <c r="AO13" s="39">
        <v>232</v>
      </c>
      <c r="AP13" s="33"/>
      <c r="AQ13" s="40"/>
      <c r="AR13" s="35">
        <v>0</v>
      </c>
      <c r="AS13" s="26" t="s">
        <v>638</v>
      </c>
      <c r="AT13" s="27">
        <v>0</v>
      </c>
      <c r="AU13" s="51"/>
      <c r="AW13" s="18"/>
      <c r="AX13" s="19">
        <v>42530</v>
      </c>
      <c r="AY13" s="170"/>
      <c r="AZ13" s="220"/>
      <c r="BA13" s="21">
        <v>42530</v>
      </c>
      <c r="BB13" s="22"/>
      <c r="BC13" s="23"/>
      <c r="BD13" s="178">
        <v>42530</v>
      </c>
      <c r="BE13" s="39"/>
      <c r="BF13" s="33"/>
      <c r="BG13" s="40"/>
      <c r="BH13" s="35">
        <v>0</v>
      </c>
      <c r="BI13" s="26"/>
      <c r="BJ13" s="27"/>
      <c r="BK13" s="28"/>
      <c r="BL13" s="51"/>
    </row>
    <row r="14" spans="1:64" ht="15.75" thickBot="1" x14ac:dyDescent="0.3">
      <c r="A14" s="18"/>
      <c r="B14" s="19">
        <v>42531</v>
      </c>
      <c r="C14" s="170">
        <v>69884</v>
      </c>
      <c r="D14" s="219" t="s">
        <v>639</v>
      </c>
      <c r="E14" s="21">
        <v>42531</v>
      </c>
      <c r="F14" s="22">
        <v>83052.5</v>
      </c>
      <c r="G14" s="23"/>
      <c r="H14" s="178">
        <v>42531</v>
      </c>
      <c r="I14" s="39">
        <v>200</v>
      </c>
      <c r="J14" s="33"/>
      <c r="K14" s="41"/>
      <c r="L14" s="35">
        <v>0</v>
      </c>
      <c r="M14" s="26" t="s">
        <v>640</v>
      </c>
      <c r="N14" s="27">
        <v>0</v>
      </c>
      <c r="O14" s="28"/>
      <c r="Q14" s="18"/>
      <c r="R14" s="19">
        <v>42531</v>
      </c>
      <c r="S14" s="170">
        <v>69884</v>
      </c>
      <c r="T14" s="219" t="s">
        <v>639</v>
      </c>
      <c r="U14" s="21">
        <v>42531</v>
      </c>
      <c r="V14" s="22">
        <v>83052.5</v>
      </c>
      <c r="W14" s="23"/>
      <c r="X14" s="178">
        <v>42531</v>
      </c>
      <c r="Y14" s="39">
        <v>200</v>
      </c>
      <c r="Z14" s="33"/>
      <c r="AA14" s="41"/>
      <c r="AB14" s="35">
        <v>0</v>
      </c>
      <c r="AC14" s="26" t="s">
        <v>640</v>
      </c>
      <c r="AD14" s="27">
        <v>0</v>
      </c>
      <c r="AE14" s="28"/>
      <c r="AG14" s="18"/>
      <c r="AH14" s="19">
        <v>42531</v>
      </c>
      <c r="AI14" s="170">
        <v>69884</v>
      </c>
      <c r="AJ14" s="219" t="s">
        <v>639</v>
      </c>
      <c r="AK14" s="21">
        <v>42531</v>
      </c>
      <c r="AL14" s="22">
        <v>83052.5</v>
      </c>
      <c r="AM14" s="23"/>
      <c r="AN14" s="178">
        <v>42531</v>
      </c>
      <c r="AO14" s="39">
        <v>200</v>
      </c>
      <c r="AP14" s="33"/>
      <c r="AQ14" s="41"/>
      <c r="AR14" s="35">
        <v>0</v>
      </c>
      <c r="AS14" s="26" t="s">
        <v>640</v>
      </c>
      <c r="AT14" s="27">
        <v>0</v>
      </c>
      <c r="AU14" s="51"/>
      <c r="AW14" s="18"/>
      <c r="AX14" s="19">
        <v>42531</v>
      </c>
      <c r="AY14" s="170"/>
      <c r="AZ14" s="219"/>
      <c r="BA14" s="21">
        <v>42531</v>
      </c>
      <c r="BB14" s="22"/>
      <c r="BC14" s="23"/>
      <c r="BD14" s="178">
        <v>42531</v>
      </c>
      <c r="BE14" s="39"/>
      <c r="BF14" s="33"/>
      <c r="BG14" s="41"/>
      <c r="BH14" s="35">
        <v>0</v>
      </c>
      <c r="BI14" s="26"/>
      <c r="BJ14" s="27"/>
      <c r="BK14" s="28"/>
      <c r="BL14" s="51"/>
    </row>
    <row r="15" spans="1:64" ht="15.75" thickBot="1" x14ac:dyDescent="0.3">
      <c r="A15" s="18"/>
      <c r="B15" s="19">
        <v>42532</v>
      </c>
      <c r="C15" s="170">
        <v>81573</v>
      </c>
      <c r="D15" s="219" t="s">
        <v>641</v>
      </c>
      <c r="E15" s="21">
        <v>42532</v>
      </c>
      <c r="F15" s="22">
        <v>72051.5</v>
      </c>
      <c r="G15" s="23"/>
      <c r="H15" s="178">
        <v>42532</v>
      </c>
      <c r="I15" s="39">
        <v>200</v>
      </c>
      <c r="J15" s="33"/>
      <c r="K15" s="40" t="s">
        <v>12</v>
      </c>
      <c r="L15" s="35">
        <v>0</v>
      </c>
      <c r="M15" s="26" t="s">
        <v>642</v>
      </c>
      <c r="N15" s="27">
        <v>0</v>
      </c>
      <c r="O15" s="28"/>
      <c r="Q15" s="18"/>
      <c r="R15" s="19">
        <v>42532</v>
      </c>
      <c r="S15" s="170">
        <v>81573</v>
      </c>
      <c r="T15" s="219" t="s">
        <v>641</v>
      </c>
      <c r="U15" s="21">
        <v>42532</v>
      </c>
      <c r="V15" s="22">
        <v>72051.5</v>
      </c>
      <c r="W15" s="23"/>
      <c r="X15" s="178">
        <v>42532</v>
      </c>
      <c r="Y15" s="39">
        <v>200</v>
      </c>
      <c r="Z15" s="33"/>
      <c r="AA15" s="40" t="s">
        <v>12</v>
      </c>
      <c r="AB15" s="35">
        <v>0</v>
      </c>
      <c r="AC15" s="26" t="s">
        <v>642</v>
      </c>
      <c r="AD15" s="27">
        <v>0</v>
      </c>
      <c r="AE15" s="28"/>
      <c r="AG15" s="18"/>
      <c r="AH15" s="19">
        <v>42532</v>
      </c>
      <c r="AI15" s="170">
        <v>81573</v>
      </c>
      <c r="AJ15" s="219" t="s">
        <v>641</v>
      </c>
      <c r="AK15" s="21">
        <v>42532</v>
      </c>
      <c r="AL15" s="22">
        <v>72051.5</v>
      </c>
      <c r="AM15" s="23"/>
      <c r="AN15" s="178">
        <v>42532</v>
      </c>
      <c r="AO15" s="39">
        <v>200</v>
      </c>
      <c r="AP15" s="33"/>
      <c r="AQ15" s="40" t="s">
        <v>12</v>
      </c>
      <c r="AR15" s="35">
        <v>0</v>
      </c>
      <c r="AS15" s="26" t="s">
        <v>642</v>
      </c>
      <c r="AT15" s="27">
        <v>0</v>
      </c>
      <c r="AU15" s="51"/>
      <c r="AW15" s="18"/>
      <c r="AX15" s="19">
        <v>42532</v>
      </c>
      <c r="AY15" s="170"/>
      <c r="AZ15" s="219"/>
      <c r="BA15" s="21">
        <v>42532</v>
      </c>
      <c r="BB15" s="22"/>
      <c r="BC15" s="23"/>
      <c r="BD15" s="178">
        <v>42532</v>
      </c>
      <c r="BE15" s="39"/>
      <c r="BF15" s="33"/>
      <c r="BG15" s="40" t="s">
        <v>12</v>
      </c>
      <c r="BH15" s="35">
        <v>0</v>
      </c>
      <c r="BI15" s="26"/>
      <c r="BJ15" s="27"/>
      <c r="BK15" s="28"/>
      <c r="BL15" s="51"/>
    </row>
    <row r="16" spans="1:64" ht="15.75" thickBot="1" x14ac:dyDescent="0.3">
      <c r="A16" s="18"/>
      <c r="B16" s="19">
        <v>42533</v>
      </c>
      <c r="C16" s="170">
        <v>95830</v>
      </c>
      <c r="D16" s="219" t="s">
        <v>644</v>
      </c>
      <c r="E16" s="21">
        <v>42533</v>
      </c>
      <c r="F16" s="22">
        <v>106888.5</v>
      </c>
      <c r="G16" s="23"/>
      <c r="H16" s="178">
        <v>42533</v>
      </c>
      <c r="I16" s="39">
        <v>200</v>
      </c>
      <c r="J16" s="33"/>
      <c r="K16" s="42" t="s">
        <v>13</v>
      </c>
      <c r="L16" s="43">
        <v>0</v>
      </c>
      <c r="M16" s="26" t="s">
        <v>643</v>
      </c>
      <c r="N16" s="27">
        <v>0</v>
      </c>
      <c r="O16" s="28"/>
      <c r="Q16" s="18"/>
      <c r="R16" s="19">
        <v>42533</v>
      </c>
      <c r="S16" s="170">
        <v>95830</v>
      </c>
      <c r="T16" s="219" t="s">
        <v>644</v>
      </c>
      <c r="U16" s="21">
        <v>42533</v>
      </c>
      <c r="V16" s="22">
        <v>106888.5</v>
      </c>
      <c r="W16" s="23"/>
      <c r="X16" s="178">
        <v>42533</v>
      </c>
      <c r="Y16" s="39">
        <v>200</v>
      </c>
      <c r="Z16" s="33"/>
      <c r="AA16" s="42" t="s">
        <v>13</v>
      </c>
      <c r="AB16" s="43">
        <v>0</v>
      </c>
      <c r="AC16" s="26" t="s">
        <v>643</v>
      </c>
      <c r="AD16" s="27">
        <v>0</v>
      </c>
      <c r="AE16" s="28"/>
      <c r="AG16" s="18"/>
      <c r="AH16" s="19">
        <v>42533</v>
      </c>
      <c r="AI16" s="170">
        <v>95830</v>
      </c>
      <c r="AJ16" s="219" t="s">
        <v>644</v>
      </c>
      <c r="AK16" s="21">
        <v>42533</v>
      </c>
      <c r="AL16" s="22">
        <v>106888.5</v>
      </c>
      <c r="AM16" s="23"/>
      <c r="AN16" s="178">
        <v>42533</v>
      </c>
      <c r="AO16" s="39">
        <v>200</v>
      </c>
      <c r="AP16" s="33"/>
      <c r="AQ16" s="42" t="s">
        <v>13</v>
      </c>
      <c r="AR16" s="43">
        <v>0</v>
      </c>
      <c r="AS16" s="26" t="s">
        <v>643</v>
      </c>
      <c r="AT16" s="27">
        <v>0</v>
      </c>
      <c r="AU16" s="51"/>
      <c r="AW16" s="18"/>
      <c r="AX16" s="19">
        <v>42533</v>
      </c>
      <c r="AY16" s="170"/>
      <c r="AZ16" s="219"/>
      <c r="BA16" s="21">
        <v>42533</v>
      </c>
      <c r="BB16" s="22"/>
      <c r="BC16" s="23"/>
      <c r="BD16" s="178">
        <v>42533</v>
      </c>
      <c r="BE16" s="39"/>
      <c r="BF16" s="33"/>
      <c r="BG16" s="42" t="s">
        <v>13</v>
      </c>
      <c r="BH16" s="43">
        <v>0</v>
      </c>
      <c r="BI16" s="26"/>
      <c r="BJ16" s="27"/>
      <c r="BK16" s="28"/>
      <c r="BL16" s="51"/>
    </row>
    <row r="17" spans="1:64" ht="15.75" thickBot="1" x14ac:dyDescent="0.3">
      <c r="A17" s="18"/>
      <c r="B17" s="19">
        <v>42534</v>
      </c>
      <c r="C17" s="170">
        <v>81184.5</v>
      </c>
      <c r="D17" s="219" t="s">
        <v>657</v>
      </c>
      <c r="E17" s="21">
        <v>42534</v>
      </c>
      <c r="F17" s="22">
        <v>105855.5</v>
      </c>
      <c r="G17" s="23"/>
      <c r="H17" s="178">
        <v>42534</v>
      </c>
      <c r="I17" s="39">
        <v>200</v>
      </c>
      <c r="J17" s="33"/>
      <c r="K17" s="40" t="s">
        <v>14</v>
      </c>
      <c r="L17" s="43">
        <v>0</v>
      </c>
      <c r="M17" s="26" t="s">
        <v>658</v>
      </c>
      <c r="N17" s="27">
        <v>20</v>
      </c>
      <c r="O17" s="28"/>
      <c r="Q17" s="18"/>
      <c r="R17" s="19">
        <v>42534</v>
      </c>
      <c r="S17" s="170">
        <v>81184.5</v>
      </c>
      <c r="T17" s="219" t="s">
        <v>657</v>
      </c>
      <c r="U17" s="21">
        <v>42534</v>
      </c>
      <c r="V17" s="22">
        <v>105855.5</v>
      </c>
      <c r="W17" s="23"/>
      <c r="X17" s="178">
        <v>42534</v>
      </c>
      <c r="Y17" s="39">
        <v>200</v>
      </c>
      <c r="Z17" s="33"/>
      <c r="AA17" s="40" t="s">
        <v>14</v>
      </c>
      <c r="AB17" s="43">
        <v>0</v>
      </c>
      <c r="AC17" s="26" t="s">
        <v>658</v>
      </c>
      <c r="AD17" s="27">
        <v>20</v>
      </c>
      <c r="AE17" s="28"/>
      <c r="AG17" s="18"/>
      <c r="AH17" s="19">
        <v>42534</v>
      </c>
      <c r="AI17" s="170">
        <v>81184.5</v>
      </c>
      <c r="AJ17" s="219" t="s">
        <v>657</v>
      </c>
      <c r="AK17" s="21">
        <v>42534</v>
      </c>
      <c r="AL17" s="22">
        <v>105855.5</v>
      </c>
      <c r="AM17" s="23"/>
      <c r="AN17" s="178">
        <v>42534</v>
      </c>
      <c r="AO17" s="39">
        <v>200</v>
      </c>
      <c r="AP17" s="33"/>
      <c r="AQ17" s="40" t="s">
        <v>14</v>
      </c>
      <c r="AR17" s="43">
        <v>0</v>
      </c>
      <c r="AS17" s="26" t="s">
        <v>658</v>
      </c>
      <c r="AT17" s="27">
        <v>0</v>
      </c>
      <c r="AU17" s="51"/>
      <c r="AW17" s="18"/>
      <c r="AX17" s="19">
        <v>42534</v>
      </c>
      <c r="AY17" s="170"/>
      <c r="AZ17" s="219"/>
      <c r="BA17" s="21">
        <v>42534</v>
      </c>
      <c r="BB17" s="22"/>
      <c r="BC17" s="23"/>
      <c r="BD17" s="178">
        <v>42534</v>
      </c>
      <c r="BE17" s="39"/>
      <c r="BF17" s="33"/>
      <c r="BG17" s="40" t="s">
        <v>14</v>
      </c>
      <c r="BH17" s="43">
        <v>0</v>
      </c>
      <c r="BI17" s="26"/>
      <c r="BJ17" s="27"/>
      <c r="BK17" s="28"/>
      <c r="BL17" s="51"/>
    </row>
    <row r="18" spans="1:64" ht="15.75" thickBot="1" x14ac:dyDescent="0.3">
      <c r="A18" s="18"/>
      <c r="B18" s="19">
        <v>42535</v>
      </c>
      <c r="C18" s="170">
        <v>64402</v>
      </c>
      <c r="D18" s="220" t="s">
        <v>659</v>
      </c>
      <c r="E18" s="21">
        <v>42535</v>
      </c>
      <c r="F18" s="22">
        <v>28126.5</v>
      </c>
      <c r="G18" s="23"/>
      <c r="H18" s="178">
        <v>42535</v>
      </c>
      <c r="I18" s="39">
        <v>200</v>
      </c>
      <c r="J18" s="44"/>
      <c r="K18" s="40" t="s">
        <v>15</v>
      </c>
      <c r="L18" s="27">
        <v>0</v>
      </c>
      <c r="M18" s="26" t="s">
        <v>660</v>
      </c>
      <c r="N18" s="27">
        <v>0</v>
      </c>
      <c r="O18" s="223">
        <v>49</v>
      </c>
      <c r="Q18" s="18"/>
      <c r="R18" s="19">
        <v>42535</v>
      </c>
      <c r="S18" s="170">
        <v>64402</v>
      </c>
      <c r="T18" s="220" t="s">
        <v>659</v>
      </c>
      <c r="U18" s="21">
        <v>42535</v>
      </c>
      <c r="V18" s="22">
        <v>28126.5</v>
      </c>
      <c r="W18" s="23"/>
      <c r="X18" s="178">
        <v>42535</v>
      </c>
      <c r="Y18" s="39">
        <v>200</v>
      </c>
      <c r="Z18" s="44"/>
      <c r="AA18" s="40" t="s">
        <v>15</v>
      </c>
      <c r="AB18" s="27">
        <v>0</v>
      </c>
      <c r="AC18" s="26" t="s">
        <v>660</v>
      </c>
      <c r="AD18" s="27">
        <v>0</v>
      </c>
      <c r="AE18" s="223">
        <v>49</v>
      </c>
      <c r="AG18" s="18"/>
      <c r="AH18" s="19">
        <v>42535</v>
      </c>
      <c r="AI18" s="170"/>
      <c r="AJ18" s="220"/>
      <c r="AK18" s="21">
        <v>42535</v>
      </c>
      <c r="AL18" s="22"/>
      <c r="AM18" s="23"/>
      <c r="AN18" s="178">
        <v>42535</v>
      </c>
      <c r="AO18" s="39"/>
      <c r="AP18" s="44"/>
      <c r="AQ18" s="40" t="s">
        <v>15</v>
      </c>
      <c r="AR18" s="27">
        <v>0</v>
      </c>
      <c r="AS18" s="26"/>
      <c r="AT18" s="27"/>
      <c r="AU18" s="51"/>
      <c r="AW18" s="18"/>
      <c r="AX18" s="19">
        <v>42535</v>
      </c>
      <c r="AY18" s="170"/>
      <c r="AZ18" s="220"/>
      <c r="BA18" s="21">
        <v>42535</v>
      </c>
      <c r="BB18" s="22"/>
      <c r="BC18" s="23"/>
      <c r="BD18" s="178">
        <v>42535</v>
      </c>
      <c r="BE18" s="39"/>
      <c r="BF18" s="44"/>
      <c r="BG18" s="40" t="s">
        <v>15</v>
      </c>
      <c r="BH18" s="27">
        <v>0</v>
      </c>
      <c r="BI18" s="26"/>
      <c r="BJ18" s="27"/>
      <c r="BK18" s="28"/>
      <c r="BL18" s="51"/>
    </row>
    <row r="19" spans="1:64" ht="15.75" thickBot="1" x14ac:dyDescent="0.3">
      <c r="A19" s="18"/>
      <c r="B19" s="19">
        <v>42536</v>
      </c>
      <c r="C19" s="170">
        <v>33558.5</v>
      </c>
      <c r="D19" s="219" t="s">
        <v>662</v>
      </c>
      <c r="E19" s="21">
        <v>42536</v>
      </c>
      <c r="F19" s="22">
        <v>42229</v>
      </c>
      <c r="G19" s="23"/>
      <c r="H19" s="178">
        <v>42536</v>
      </c>
      <c r="I19" s="39">
        <v>234</v>
      </c>
      <c r="J19" s="33"/>
      <c r="K19" s="40" t="s">
        <v>16</v>
      </c>
      <c r="L19" s="27">
        <v>0</v>
      </c>
      <c r="M19" s="26" t="s">
        <v>663</v>
      </c>
      <c r="N19" s="27">
        <v>0</v>
      </c>
      <c r="O19" s="51"/>
      <c r="Q19" s="18"/>
      <c r="R19" s="19">
        <v>42536</v>
      </c>
      <c r="S19" s="170">
        <v>33558.5</v>
      </c>
      <c r="T19" s="219" t="s">
        <v>662</v>
      </c>
      <c r="U19" s="21">
        <v>42536</v>
      </c>
      <c r="V19" s="22">
        <v>42229</v>
      </c>
      <c r="W19" s="23"/>
      <c r="X19" s="178">
        <v>42536</v>
      </c>
      <c r="Y19" s="39">
        <v>234</v>
      </c>
      <c r="Z19" s="33"/>
      <c r="AA19" s="40" t="s">
        <v>16</v>
      </c>
      <c r="AB19" s="27">
        <v>0</v>
      </c>
      <c r="AC19" s="26" t="s">
        <v>663</v>
      </c>
      <c r="AD19" s="27">
        <v>0</v>
      </c>
      <c r="AE19" s="51"/>
      <c r="AG19" s="18"/>
      <c r="AH19" s="19">
        <v>42536</v>
      </c>
      <c r="AI19" s="170"/>
      <c r="AJ19" s="219"/>
      <c r="AK19" s="21">
        <v>42536</v>
      </c>
      <c r="AL19" s="22"/>
      <c r="AM19" s="23"/>
      <c r="AN19" s="178">
        <v>42536</v>
      </c>
      <c r="AO19" s="39"/>
      <c r="AP19" s="33"/>
      <c r="AQ19" s="40" t="s">
        <v>16</v>
      </c>
      <c r="AR19" s="27">
        <v>0</v>
      </c>
      <c r="AS19" s="26"/>
      <c r="AT19" s="27"/>
      <c r="AU19" s="51"/>
      <c r="AW19" s="18"/>
      <c r="AX19" s="19">
        <v>42536</v>
      </c>
      <c r="AY19" s="170"/>
      <c r="AZ19" s="219"/>
      <c r="BA19" s="21">
        <v>42536</v>
      </c>
      <c r="BB19" s="22"/>
      <c r="BC19" s="23"/>
      <c r="BD19" s="178">
        <v>42536</v>
      </c>
      <c r="BE19" s="39"/>
      <c r="BF19" s="33"/>
      <c r="BG19" s="40" t="s">
        <v>16</v>
      </c>
      <c r="BH19" s="27">
        <v>0</v>
      </c>
      <c r="BI19" s="26"/>
      <c r="BJ19" s="27"/>
      <c r="BK19" s="51"/>
      <c r="BL19" s="51"/>
    </row>
    <row r="20" spans="1:64" ht="15.75" thickBot="1" x14ac:dyDescent="0.3">
      <c r="A20" s="18"/>
      <c r="B20" s="19">
        <v>42537</v>
      </c>
      <c r="C20" s="170">
        <v>49563.5</v>
      </c>
      <c r="D20" s="221" t="s">
        <v>664</v>
      </c>
      <c r="E20" s="21">
        <v>42537</v>
      </c>
      <c r="F20" s="22">
        <v>49010</v>
      </c>
      <c r="G20" s="23"/>
      <c r="H20" s="178">
        <v>42537</v>
      </c>
      <c r="I20" s="39">
        <v>200</v>
      </c>
      <c r="J20" s="45"/>
      <c r="K20" s="46" t="s">
        <v>17</v>
      </c>
      <c r="L20" s="47">
        <v>0</v>
      </c>
      <c r="M20" s="26" t="s">
        <v>665</v>
      </c>
      <c r="N20" s="27">
        <v>0</v>
      </c>
      <c r="O20" s="51"/>
      <c r="Q20" s="18"/>
      <c r="R20" s="19">
        <v>42537</v>
      </c>
      <c r="S20" s="170">
        <v>49563.5</v>
      </c>
      <c r="T20" s="221" t="s">
        <v>664</v>
      </c>
      <c r="U20" s="21">
        <v>42537</v>
      </c>
      <c r="V20" s="22">
        <v>49010</v>
      </c>
      <c r="W20" s="23"/>
      <c r="X20" s="178">
        <v>42537</v>
      </c>
      <c r="Y20" s="39">
        <v>200</v>
      </c>
      <c r="Z20" s="45"/>
      <c r="AA20" s="46" t="s">
        <v>17</v>
      </c>
      <c r="AB20" s="47">
        <v>0</v>
      </c>
      <c r="AC20" s="26" t="s">
        <v>665</v>
      </c>
      <c r="AD20" s="27">
        <v>0</v>
      </c>
      <c r="AE20" s="51"/>
      <c r="AG20" s="18"/>
      <c r="AH20" s="19">
        <v>42537</v>
      </c>
      <c r="AI20" s="170"/>
      <c r="AJ20" s="221"/>
      <c r="AK20" s="21">
        <v>42537</v>
      </c>
      <c r="AL20" s="22"/>
      <c r="AM20" s="23"/>
      <c r="AN20" s="178">
        <v>42537</v>
      </c>
      <c r="AO20" s="39"/>
      <c r="AP20" s="45"/>
      <c r="AQ20" s="46" t="s">
        <v>17</v>
      </c>
      <c r="AR20" s="47">
        <v>0</v>
      </c>
      <c r="AS20" s="26"/>
      <c r="AT20" s="27"/>
      <c r="AU20" s="51"/>
      <c r="AW20" s="18"/>
      <c r="AX20" s="19">
        <v>42537</v>
      </c>
      <c r="AY20" s="170"/>
      <c r="AZ20" s="221"/>
      <c r="BA20" s="21">
        <v>42537</v>
      </c>
      <c r="BB20" s="22"/>
      <c r="BC20" s="23"/>
      <c r="BD20" s="178">
        <v>42537</v>
      </c>
      <c r="BE20" s="39"/>
      <c r="BF20" s="45"/>
      <c r="BG20" s="46" t="s">
        <v>17</v>
      </c>
      <c r="BH20" s="47">
        <v>0</v>
      </c>
      <c r="BI20" s="26"/>
      <c r="BJ20" s="27"/>
      <c r="BK20" s="51"/>
      <c r="BL20" s="51"/>
    </row>
    <row r="21" spans="1:64" ht="15.75" thickBot="1" x14ac:dyDescent="0.3">
      <c r="A21" s="18"/>
      <c r="B21" s="19">
        <v>42538</v>
      </c>
      <c r="C21" s="170">
        <v>45930</v>
      </c>
      <c r="D21" s="221" t="s">
        <v>666</v>
      </c>
      <c r="E21" s="21">
        <v>42538</v>
      </c>
      <c r="F21" s="22">
        <v>50216.5</v>
      </c>
      <c r="G21" s="23"/>
      <c r="H21" s="178">
        <v>42538</v>
      </c>
      <c r="I21" s="39">
        <v>200</v>
      </c>
      <c r="J21" s="33"/>
      <c r="K21" s="237"/>
      <c r="L21" s="47">
        <v>0</v>
      </c>
      <c r="M21" s="26" t="s">
        <v>667</v>
      </c>
      <c r="N21" s="27">
        <v>0</v>
      </c>
      <c r="O21" s="51"/>
      <c r="Q21" s="18"/>
      <c r="R21" s="19">
        <v>42538</v>
      </c>
      <c r="S21" s="170">
        <v>45930</v>
      </c>
      <c r="T21" s="221" t="s">
        <v>666</v>
      </c>
      <c r="U21" s="21">
        <v>42538</v>
      </c>
      <c r="V21" s="22">
        <v>50216.5</v>
      </c>
      <c r="W21" s="23"/>
      <c r="X21" s="178">
        <v>42538</v>
      </c>
      <c r="Y21" s="39">
        <v>200</v>
      </c>
      <c r="Z21" s="33"/>
      <c r="AA21" s="237"/>
      <c r="AB21" s="47">
        <v>0</v>
      </c>
      <c r="AC21" s="26" t="s">
        <v>667</v>
      </c>
      <c r="AD21" s="27">
        <v>0</v>
      </c>
      <c r="AE21" s="51"/>
      <c r="AG21" s="18"/>
      <c r="AH21" s="19">
        <v>42538</v>
      </c>
      <c r="AI21" s="170"/>
      <c r="AJ21" s="221"/>
      <c r="AK21" s="21">
        <v>42538</v>
      </c>
      <c r="AL21" s="22"/>
      <c r="AM21" s="23"/>
      <c r="AN21" s="178">
        <v>42538</v>
      </c>
      <c r="AO21" s="39"/>
      <c r="AP21" s="33"/>
      <c r="AQ21" s="237"/>
      <c r="AR21" s="47">
        <v>0</v>
      </c>
      <c r="AS21" s="26"/>
      <c r="AT21" s="27"/>
      <c r="AU21" s="51"/>
      <c r="AW21" s="18"/>
      <c r="AX21" s="19">
        <v>42538</v>
      </c>
      <c r="AY21" s="170"/>
      <c r="AZ21" s="221"/>
      <c r="BA21" s="21">
        <v>42538</v>
      </c>
      <c r="BB21" s="22"/>
      <c r="BC21" s="23"/>
      <c r="BD21" s="178">
        <v>42538</v>
      </c>
      <c r="BE21" s="39"/>
      <c r="BF21" s="33"/>
      <c r="BG21" s="237"/>
      <c r="BH21" s="47">
        <v>0</v>
      </c>
      <c r="BI21" s="26"/>
      <c r="BJ21" s="27"/>
      <c r="BK21" s="103">
        <v>104524.7</v>
      </c>
      <c r="BL21" s="51"/>
    </row>
    <row r="22" spans="1:64" ht="15.75" thickBot="1" x14ac:dyDescent="0.3">
      <c r="A22" s="18"/>
      <c r="B22" s="19">
        <v>42539</v>
      </c>
      <c r="C22" s="170">
        <v>83909</v>
      </c>
      <c r="D22" s="219" t="s">
        <v>668</v>
      </c>
      <c r="E22" s="21">
        <v>42539</v>
      </c>
      <c r="F22" s="22">
        <v>91856.5</v>
      </c>
      <c r="G22" s="23"/>
      <c r="H22" s="178">
        <v>42539</v>
      </c>
      <c r="I22" s="39">
        <v>200</v>
      </c>
      <c r="J22" s="45"/>
      <c r="K22" s="49"/>
      <c r="L22" s="47">
        <v>0</v>
      </c>
      <c r="M22" s="26" t="s">
        <v>669</v>
      </c>
      <c r="N22" s="27">
        <v>0</v>
      </c>
      <c r="O22" s="279">
        <v>60</v>
      </c>
      <c r="P22" t="s">
        <v>677</v>
      </c>
      <c r="Q22" s="18"/>
      <c r="R22" s="19">
        <v>42539</v>
      </c>
      <c r="S22" s="170">
        <v>83909</v>
      </c>
      <c r="T22" s="219" t="s">
        <v>668</v>
      </c>
      <c r="U22" s="21">
        <v>42539</v>
      </c>
      <c r="V22" s="22">
        <v>91856.5</v>
      </c>
      <c r="W22" s="23"/>
      <c r="X22" s="178">
        <v>42539</v>
      </c>
      <c r="Y22" s="39">
        <v>200</v>
      </c>
      <c r="Z22" s="45"/>
      <c r="AA22" s="49"/>
      <c r="AB22" s="47">
        <v>0</v>
      </c>
      <c r="AC22" s="26" t="s">
        <v>669</v>
      </c>
      <c r="AD22" s="27">
        <v>0</v>
      </c>
      <c r="AE22" s="279">
        <v>60</v>
      </c>
      <c r="AF22" t="s">
        <v>677</v>
      </c>
      <c r="AG22" s="18"/>
      <c r="AH22" s="19">
        <v>42539</v>
      </c>
      <c r="AI22" s="170"/>
      <c r="AJ22" s="219"/>
      <c r="AK22" s="21">
        <v>42539</v>
      </c>
      <c r="AL22" s="22"/>
      <c r="AM22" s="23"/>
      <c r="AN22" s="178">
        <v>42539</v>
      </c>
      <c r="AO22" s="39"/>
      <c r="AP22" s="45"/>
      <c r="AQ22" s="49"/>
      <c r="AR22" s="47">
        <v>0</v>
      </c>
      <c r="AS22" s="26"/>
      <c r="AT22" s="27"/>
      <c r="AU22" s="51"/>
      <c r="AW22" s="18"/>
      <c r="AX22" s="19">
        <v>42539</v>
      </c>
      <c r="AY22" s="170"/>
      <c r="AZ22" s="219"/>
      <c r="BA22" s="21">
        <v>42539</v>
      </c>
      <c r="BB22" s="22"/>
      <c r="BC22" s="23"/>
      <c r="BD22" s="178">
        <v>42539</v>
      </c>
      <c r="BE22" s="39"/>
      <c r="BF22" s="45"/>
      <c r="BG22" s="49"/>
      <c r="BH22" s="47">
        <v>0</v>
      </c>
      <c r="BI22" s="26"/>
      <c r="BJ22" s="27"/>
      <c r="BK22" s="108">
        <v>102377.45</v>
      </c>
      <c r="BL22" s="51"/>
    </row>
    <row r="23" spans="1:64" ht="15.75" thickBot="1" x14ac:dyDescent="0.3">
      <c r="A23" s="18"/>
      <c r="B23" s="19">
        <v>42540</v>
      </c>
      <c r="C23" s="170">
        <v>101605</v>
      </c>
      <c r="D23" s="219" t="s">
        <v>670</v>
      </c>
      <c r="E23" s="21">
        <v>42540</v>
      </c>
      <c r="F23" s="22">
        <v>92625.5</v>
      </c>
      <c r="G23" s="23"/>
      <c r="H23" s="178">
        <v>42540</v>
      </c>
      <c r="I23" s="39">
        <v>200</v>
      </c>
      <c r="J23" s="33"/>
      <c r="K23" s="50"/>
      <c r="L23" s="47" t="s">
        <v>23</v>
      </c>
      <c r="M23" s="26" t="s">
        <v>671</v>
      </c>
      <c r="N23" s="27">
        <v>0</v>
      </c>
      <c r="O23" s="51"/>
      <c r="Q23" s="18"/>
      <c r="R23" s="19">
        <v>42540</v>
      </c>
      <c r="S23" s="170">
        <v>101605</v>
      </c>
      <c r="T23" s="219" t="s">
        <v>670</v>
      </c>
      <c r="U23" s="21">
        <v>42540</v>
      </c>
      <c r="V23" s="22">
        <v>92625.5</v>
      </c>
      <c r="W23" s="23"/>
      <c r="X23" s="178">
        <v>42540</v>
      </c>
      <c r="Y23" s="39">
        <v>200</v>
      </c>
      <c r="Z23" s="33"/>
      <c r="AA23" s="50"/>
      <c r="AB23" s="47" t="s">
        <v>23</v>
      </c>
      <c r="AC23" s="26" t="s">
        <v>671</v>
      </c>
      <c r="AD23" s="27">
        <v>0</v>
      </c>
      <c r="AE23" s="51"/>
      <c r="AG23" s="18"/>
      <c r="AH23" s="19">
        <v>42540</v>
      </c>
      <c r="AI23" s="170"/>
      <c r="AJ23" s="219"/>
      <c r="AK23" s="21">
        <v>42540</v>
      </c>
      <c r="AL23" s="22"/>
      <c r="AM23" s="23"/>
      <c r="AN23" s="178">
        <v>42540</v>
      </c>
      <c r="AO23" s="39"/>
      <c r="AP23" s="33"/>
      <c r="AQ23" s="50"/>
      <c r="AR23" s="47" t="s">
        <v>23</v>
      </c>
      <c r="AS23" s="26"/>
      <c r="AT23" s="27"/>
      <c r="AU23" s="51"/>
      <c r="AW23" s="18"/>
      <c r="AX23" s="19">
        <v>42540</v>
      </c>
      <c r="AY23" s="170"/>
      <c r="AZ23" s="219"/>
      <c r="BA23" s="21">
        <v>42540</v>
      </c>
      <c r="BB23" s="22"/>
      <c r="BC23" s="23"/>
      <c r="BD23" s="178">
        <v>42540</v>
      </c>
      <c r="BE23" s="39"/>
      <c r="BF23" s="33"/>
      <c r="BG23" s="50"/>
      <c r="BH23" s="47" t="s">
        <v>23</v>
      </c>
      <c r="BI23" s="26"/>
      <c r="BJ23" s="27"/>
      <c r="BK23" s="108">
        <v>119860.7</v>
      </c>
      <c r="BL23" s="51"/>
    </row>
    <row r="24" spans="1:64" ht="15.75" thickBot="1" x14ac:dyDescent="0.3">
      <c r="A24" s="18"/>
      <c r="B24" s="19">
        <v>42541</v>
      </c>
      <c r="C24" s="170">
        <v>76135</v>
      </c>
      <c r="D24" s="236" t="s">
        <v>672</v>
      </c>
      <c r="E24" s="21">
        <v>42541</v>
      </c>
      <c r="F24" s="22">
        <v>72681</v>
      </c>
      <c r="G24" s="23"/>
      <c r="H24" s="178">
        <v>42541</v>
      </c>
      <c r="I24" s="39">
        <v>200</v>
      </c>
      <c r="J24" s="33"/>
      <c r="K24" s="52" t="s">
        <v>19</v>
      </c>
      <c r="L24" s="47">
        <v>800</v>
      </c>
      <c r="M24" s="26" t="s">
        <v>673</v>
      </c>
      <c r="N24" s="27">
        <v>0</v>
      </c>
      <c r="O24" s="51"/>
      <c r="Q24" s="18"/>
      <c r="R24" s="19">
        <v>42541</v>
      </c>
      <c r="S24" s="170">
        <v>76135</v>
      </c>
      <c r="T24" s="236" t="s">
        <v>672</v>
      </c>
      <c r="U24" s="21">
        <v>42541</v>
      </c>
      <c r="V24" s="233">
        <v>72681</v>
      </c>
      <c r="W24" s="23"/>
      <c r="X24" s="178">
        <v>42541</v>
      </c>
      <c r="Y24" s="234">
        <v>200</v>
      </c>
      <c r="Z24" s="33"/>
      <c r="AA24" s="52" t="s">
        <v>19</v>
      </c>
      <c r="AB24" s="47">
        <v>800</v>
      </c>
      <c r="AC24" s="26" t="s">
        <v>673</v>
      </c>
      <c r="AD24" s="27">
        <v>0</v>
      </c>
      <c r="AE24" s="51"/>
      <c r="AG24" s="18"/>
      <c r="AH24" s="19">
        <v>42541</v>
      </c>
      <c r="AI24" s="170"/>
      <c r="AJ24" s="236"/>
      <c r="AK24" s="21">
        <v>42541</v>
      </c>
      <c r="AL24" s="22"/>
      <c r="AM24" s="23"/>
      <c r="AN24" s="178">
        <v>42541</v>
      </c>
      <c r="AO24" s="39"/>
      <c r="AP24" s="33"/>
      <c r="AQ24" s="52" t="s">
        <v>19</v>
      </c>
      <c r="AR24" s="47">
        <v>800</v>
      </c>
      <c r="AS24" s="26"/>
      <c r="AT24" s="27"/>
      <c r="AU24" s="51"/>
      <c r="AW24" s="18"/>
      <c r="AX24" s="19">
        <v>42541</v>
      </c>
      <c r="AY24" s="170"/>
      <c r="AZ24" s="236"/>
      <c r="BA24" s="21">
        <v>42541</v>
      </c>
      <c r="BB24" s="22"/>
      <c r="BC24" s="23"/>
      <c r="BD24" s="178">
        <v>42541</v>
      </c>
      <c r="BE24" s="39"/>
      <c r="BF24" s="33"/>
      <c r="BG24" s="52" t="s">
        <v>19</v>
      </c>
      <c r="BH24" s="47">
        <v>800</v>
      </c>
      <c r="BI24" s="26"/>
      <c r="BJ24" s="27"/>
      <c r="BK24" s="108">
        <v>12305</v>
      </c>
      <c r="BL24" s="51"/>
    </row>
    <row r="25" spans="1:64" ht="15.75" thickBot="1" x14ac:dyDescent="0.3">
      <c r="A25" s="18"/>
      <c r="B25" s="19">
        <v>42542</v>
      </c>
      <c r="C25" s="170">
        <v>22341.5</v>
      </c>
      <c r="D25" s="235" t="s">
        <v>705</v>
      </c>
      <c r="E25" s="21">
        <v>42542</v>
      </c>
      <c r="F25" s="22">
        <v>22541.5</v>
      </c>
      <c r="G25" s="23"/>
      <c r="H25" s="178">
        <v>42542</v>
      </c>
      <c r="I25" s="39">
        <v>200</v>
      </c>
      <c r="J25" s="33"/>
      <c r="K25" s="266">
        <v>42525</v>
      </c>
      <c r="L25" s="47"/>
      <c r="M25" s="26" t="s">
        <v>706</v>
      </c>
      <c r="N25" s="27">
        <v>0</v>
      </c>
      <c r="O25" s="51"/>
      <c r="Q25" s="18"/>
      <c r="R25" s="19">
        <v>42542</v>
      </c>
      <c r="S25" s="170"/>
      <c r="T25" s="235"/>
      <c r="U25" s="21">
        <v>42542</v>
      </c>
      <c r="V25" s="22"/>
      <c r="W25" s="23"/>
      <c r="X25" s="178">
        <v>42542</v>
      </c>
      <c r="Y25" s="39"/>
      <c r="Z25" s="33"/>
      <c r="AA25" s="266">
        <v>42525</v>
      </c>
      <c r="AB25" s="47"/>
      <c r="AC25" s="26"/>
      <c r="AD25" s="27"/>
      <c r="AE25" s="51"/>
      <c r="AG25" s="18"/>
      <c r="AH25" s="19">
        <v>42542</v>
      </c>
      <c r="AI25" s="170"/>
      <c r="AJ25" s="235"/>
      <c r="AK25" s="21">
        <v>42542</v>
      </c>
      <c r="AL25" s="22"/>
      <c r="AM25" s="23"/>
      <c r="AN25" s="178">
        <v>42542</v>
      </c>
      <c r="AO25" s="39"/>
      <c r="AP25" s="33"/>
      <c r="AQ25" s="266">
        <v>42525</v>
      </c>
      <c r="AR25" s="47"/>
      <c r="AS25" s="26"/>
      <c r="AT25" s="27"/>
      <c r="AU25" s="51"/>
      <c r="AW25" s="18"/>
      <c r="AX25" s="19">
        <v>42542</v>
      </c>
      <c r="AY25" s="170"/>
      <c r="AZ25" s="235"/>
      <c r="BA25" s="21">
        <v>42542</v>
      </c>
      <c r="BB25" s="22"/>
      <c r="BC25" s="23"/>
      <c r="BD25" s="178">
        <v>42542</v>
      </c>
      <c r="BE25" s="39"/>
      <c r="BF25" s="33"/>
      <c r="BG25" s="266">
        <v>42525</v>
      </c>
      <c r="BH25" s="47"/>
      <c r="BI25" s="26"/>
      <c r="BJ25" s="27"/>
      <c r="BK25" s="51">
        <f>SUM(BK21:BK24)</f>
        <v>339067.85</v>
      </c>
      <c r="BL25" s="51"/>
    </row>
    <row r="26" spans="1:64" ht="15.75" thickBot="1" x14ac:dyDescent="0.3">
      <c r="A26" s="18"/>
      <c r="B26" s="19">
        <v>42543</v>
      </c>
      <c r="C26" s="170">
        <v>39626</v>
      </c>
      <c r="D26" s="219" t="s">
        <v>707</v>
      </c>
      <c r="E26" s="21">
        <v>42543</v>
      </c>
      <c r="F26" s="22">
        <v>42264</v>
      </c>
      <c r="G26" s="23"/>
      <c r="H26" s="178">
        <v>42543</v>
      </c>
      <c r="I26" s="39">
        <v>200</v>
      </c>
      <c r="J26" s="33"/>
      <c r="K26" s="53" t="s">
        <v>18</v>
      </c>
      <c r="L26" s="47">
        <v>900</v>
      </c>
      <c r="M26" s="26" t="s">
        <v>708</v>
      </c>
      <c r="N26" s="27">
        <v>0</v>
      </c>
      <c r="O26" s="51"/>
      <c r="Q26" s="18"/>
      <c r="R26" s="19">
        <v>42543</v>
      </c>
      <c r="S26" s="170"/>
      <c r="T26" s="219"/>
      <c r="U26" s="21">
        <v>42543</v>
      </c>
      <c r="V26" s="22"/>
      <c r="W26" s="23"/>
      <c r="X26" s="178">
        <v>42543</v>
      </c>
      <c r="Y26" s="39"/>
      <c r="Z26" s="33"/>
      <c r="AA26" s="53" t="s">
        <v>18</v>
      </c>
      <c r="AB26" s="47">
        <v>900</v>
      </c>
      <c r="AC26" s="26"/>
      <c r="AD26" s="27"/>
      <c r="AE26" s="51"/>
      <c r="AG26" s="18"/>
      <c r="AH26" s="19">
        <v>42543</v>
      </c>
      <c r="AI26" s="170"/>
      <c r="AJ26" s="219"/>
      <c r="AK26" s="21">
        <v>42543</v>
      </c>
      <c r="AL26" s="22"/>
      <c r="AM26" s="23"/>
      <c r="AN26" s="178">
        <v>42543</v>
      </c>
      <c r="AO26" s="39"/>
      <c r="AP26" s="33"/>
      <c r="AQ26" s="53" t="s">
        <v>18</v>
      </c>
      <c r="AR26" s="47">
        <v>900</v>
      </c>
      <c r="AS26" s="26"/>
      <c r="AT26" s="27"/>
      <c r="AU26" s="51"/>
      <c r="AW26" s="18"/>
      <c r="AX26" s="19">
        <v>42543</v>
      </c>
      <c r="AY26" s="170"/>
      <c r="AZ26" s="219"/>
      <c r="BA26" s="21">
        <v>42543</v>
      </c>
      <c r="BB26" s="22"/>
      <c r="BC26" s="23"/>
      <c r="BD26" s="178">
        <v>42543</v>
      </c>
      <c r="BE26" s="39"/>
      <c r="BF26" s="33"/>
      <c r="BG26" s="53" t="s">
        <v>18</v>
      </c>
      <c r="BH26" s="47">
        <v>900</v>
      </c>
      <c r="BI26" s="26"/>
      <c r="BJ26" s="27"/>
      <c r="BK26" s="51"/>
      <c r="BL26" s="51"/>
    </row>
    <row r="27" spans="1:64" ht="15.75" thickBot="1" x14ac:dyDescent="0.3">
      <c r="A27" s="18"/>
      <c r="B27" s="19">
        <v>42544</v>
      </c>
      <c r="C27" s="170">
        <v>68152</v>
      </c>
      <c r="D27" s="219" t="s">
        <v>709</v>
      </c>
      <c r="E27" s="21">
        <v>42544</v>
      </c>
      <c r="F27" s="22">
        <v>57766</v>
      </c>
      <c r="G27" s="23"/>
      <c r="H27" s="178">
        <v>42544</v>
      </c>
      <c r="I27" s="39">
        <v>232</v>
      </c>
      <c r="J27" s="33"/>
      <c r="K27" s="266">
        <v>42524</v>
      </c>
      <c r="L27" s="47"/>
      <c r="M27" s="26" t="s">
        <v>710</v>
      </c>
      <c r="N27" s="27">
        <v>0</v>
      </c>
      <c r="O27" s="51"/>
      <c r="Q27" s="18"/>
      <c r="R27" s="19">
        <v>42544</v>
      </c>
      <c r="S27" s="170"/>
      <c r="T27" s="219"/>
      <c r="U27" s="21">
        <v>42544</v>
      </c>
      <c r="V27" s="22"/>
      <c r="W27" s="23"/>
      <c r="X27" s="178">
        <v>42544</v>
      </c>
      <c r="Y27" s="39"/>
      <c r="Z27" s="33"/>
      <c r="AA27" s="175">
        <v>42524</v>
      </c>
      <c r="AB27" s="47"/>
      <c r="AC27" s="26"/>
      <c r="AD27" s="27"/>
      <c r="AE27" s="51"/>
      <c r="AG27" s="18"/>
      <c r="AH27" s="19">
        <v>42544</v>
      </c>
      <c r="AI27" s="170"/>
      <c r="AJ27" s="219"/>
      <c r="AK27" s="21">
        <v>42544</v>
      </c>
      <c r="AL27" s="22"/>
      <c r="AM27" s="23"/>
      <c r="AN27" s="178">
        <v>42544</v>
      </c>
      <c r="AO27" s="39"/>
      <c r="AP27" s="33"/>
      <c r="AQ27" s="175">
        <v>42524</v>
      </c>
      <c r="AR27" s="47"/>
      <c r="AS27" s="26"/>
      <c r="AT27" s="27"/>
      <c r="AU27" s="51"/>
      <c r="AW27" s="18"/>
      <c r="AX27" s="19">
        <v>42544</v>
      </c>
      <c r="AY27" s="170"/>
      <c r="AZ27" s="219"/>
      <c r="BA27" s="21">
        <v>42544</v>
      </c>
      <c r="BB27" s="22"/>
      <c r="BC27" s="23"/>
      <c r="BD27" s="178">
        <v>42544</v>
      </c>
      <c r="BE27" s="39"/>
      <c r="BF27" s="33"/>
      <c r="BG27" s="175">
        <v>42524</v>
      </c>
      <c r="BH27" s="47"/>
      <c r="BI27" s="26"/>
      <c r="BJ27" s="27"/>
      <c r="BK27" s="51"/>
      <c r="BL27" s="51"/>
    </row>
    <row r="28" spans="1:64" ht="15.75" thickBot="1" x14ac:dyDescent="0.3">
      <c r="A28" s="18"/>
      <c r="B28" s="19">
        <v>42545</v>
      </c>
      <c r="C28" s="170">
        <v>59691</v>
      </c>
      <c r="D28" s="219" t="s">
        <v>711</v>
      </c>
      <c r="E28" s="21">
        <v>42545</v>
      </c>
      <c r="F28" s="22">
        <v>74171.5</v>
      </c>
      <c r="G28" s="23"/>
      <c r="H28" s="178">
        <v>42545</v>
      </c>
      <c r="I28" s="39">
        <v>200</v>
      </c>
      <c r="J28" s="33"/>
      <c r="K28" s="53" t="s">
        <v>411</v>
      </c>
      <c r="L28" s="47">
        <v>0</v>
      </c>
      <c r="M28" s="344" t="s">
        <v>724</v>
      </c>
      <c r="N28" s="27">
        <v>0</v>
      </c>
      <c r="O28" s="51"/>
      <c r="Q28" s="18"/>
      <c r="R28" s="19">
        <v>42545</v>
      </c>
      <c r="S28" s="170"/>
      <c r="T28" s="219"/>
      <c r="U28" s="21">
        <v>42545</v>
      </c>
      <c r="V28" s="22"/>
      <c r="W28" s="23"/>
      <c r="X28" s="178">
        <v>42545</v>
      </c>
      <c r="Y28" s="39"/>
      <c r="Z28" s="33"/>
      <c r="AA28" s="53" t="s">
        <v>411</v>
      </c>
      <c r="AB28" s="47">
        <v>0</v>
      </c>
      <c r="AC28" s="37"/>
      <c r="AD28" s="27"/>
      <c r="AE28" s="51"/>
      <c r="AG28" s="18"/>
      <c r="AH28" s="19">
        <v>42545</v>
      </c>
      <c r="AI28" s="170"/>
      <c r="AJ28" s="219"/>
      <c r="AK28" s="21">
        <v>42545</v>
      </c>
      <c r="AL28" s="22"/>
      <c r="AM28" s="23"/>
      <c r="AN28" s="178">
        <v>42545</v>
      </c>
      <c r="AO28" s="39"/>
      <c r="AP28" s="33"/>
      <c r="AQ28" s="53" t="s">
        <v>411</v>
      </c>
      <c r="AR28" s="47">
        <v>0</v>
      </c>
      <c r="AS28" s="37"/>
      <c r="AT28" s="27"/>
      <c r="AU28" s="51"/>
      <c r="AW28" s="18"/>
      <c r="AX28" s="19">
        <v>42545</v>
      </c>
      <c r="AY28" s="170"/>
      <c r="AZ28" s="219"/>
      <c r="BA28" s="21">
        <v>42545</v>
      </c>
      <c r="BB28" s="22"/>
      <c r="BC28" s="23"/>
      <c r="BD28" s="178">
        <v>42545</v>
      </c>
      <c r="BE28" s="39"/>
      <c r="BF28" s="33"/>
      <c r="BG28" s="53" t="s">
        <v>411</v>
      </c>
      <c r="BH28" s="47">
        <v>0</v>
      </c>
      <c r="BI28" s="37"/>
      <c r="BJ28" s="27"/>
      <c r="BK28" s="51"/>
      <c r="BL28" s="51"/>
    </row>
    <row r="29" spans="1:64" ht="15.75" thickBot="1" x14ac:dyDescent="0.3">
      <c r="A29" s="18"/>
      <c r="B29" s="19">
        <v>42546</v>
      </c>
      <c r="C29" s="170">
        <v>93776.5</v>
      </c>
      <c r="D29" s="219" t="s">
        <v>712</v>
      </c>
      <c r="E29" s="21">
        <v>42546</v>
      </c>
      <c r="F29" s="22">
        <v>81333.5</v>
      </c>
      <c r="G29" s="23"/>
      <c r="H29" s="178">
        <v>42546</v>
      </c>
      <c r="I29" s="39">
        <v>200</v>
      </c>
      <c r="J29" s="33"/>
      <c r="K29" s="266"/>
      <c r="L29" s="35"/>
      <c r="M29" s="343" t="s">
        <v>713</v>
      </c>
      <c r="N29" s="27">
        <v>0</v>
      </c>
      <c r="O29" s="51"/>
      <c r="Q29" s="18"/>
      <c r="R29" s="19">
        <v>42546</v>
      </c>
      <c r="S29" s="170"/>
      <c r="T29" s="219"/>
      <c r="U29" s="21">
        <v>42546</v>
      </c>
      <c r="V29" s="22"/>
      <c r="W29" s="23"/>
      <c r="X29" s="178">
        <v>42546</v>
      </c>
      <c r="Y29" s="39"/>
      <c r="Z29" s="33"/>
      <c r="AA29" s="266"/>
      <c r="AB29" s="35"/>
      <c r="AC29" s="26"/>
      <c r="AD29" s="27"/>
      <c r="AE29" s="51"/>
      <c r="AG29" s="18"/>
      <c r="AH29" s="19">
        <v>42546</v>
      </c>
      <c r="AI29" s="170"/>
      <c r="AJ29" s="219"/>
      <c r="AK29" s="21">
        <v>42546</v>
      </c>
      <c r="AL29" s="22"/>
      <c r="AM29" s="23"/>
      <c r="AN29" s="178">
        <v>42546</v>
      </c>
      <c r="AO29" s="39"/>
      <c r="AP29" s="33"/>
      <c r="AQ29" s="266"/>
      <c r="AR29" s="35"/>
      <c r="AS29" s="26"/>
      <c r="AT29" s="27"/>
      <c r="AU29" s="51"/>
      <c r="AW29" s="18"/>
      <c r="AX29" s="19">
        <v>42546</v>
      </c>
      <c r="AY29" s="170"/>
      <c r="AZ29" s="219"/>
      <c r="BA29" s="21">
        <v>42546</v>
      </c>
      <c r="BB29" s="22"/>
      <c r="BC29" s="23"/>
      <c r="BD29" s="178">
        <v>42546</v>
      </c>
      <c r="BE29" s="39"/>
      <c r="BF29" s="33"/>
      <c r="BG29" s="266"/>
      <c r="BH29" s="35"/>
      <c r="BI29" s="26"/>
      <c r="BJ29" s="27"/>
      <c r="BK29" s="51"/>
      <c r="BL29" s="51"/>
    </row>
    <row r="30" spans="1:64" ht="15.75" thickBot="1" x14ac:dyDescent="0.3">
      <c r="A30" s="18"/>
      <c r="B30" s="19">
        <v>42547</v>
      </c>
      <c r="C30" s="170">
        <v>102359.5</v>
      </c>
      <c r="D30" s="218" t="s">
        <v>714</v>
      </c>
      <c r="E30" s="21">
        <v>42547</v>
      </c>
      <c r="F30" s="22">
        <v>102609.5</v>
      </c>
      <c r="G30" s="23"/>
      <c r="H30" s="178">
        <v>42547</v>
      </c>
      <c r="I30" s="39">
        <v>410</v>
      </c>
      <c r="J30" s="33"/>
      <c r="K30" s="54" t="s">
        <v>164</v>
      </c>
      <c r="L30" s="35">
        <v>0</v>
      </c>
      <c r="M30" s="37" t="s">
        <v>715</v>
      </c>
      <c r="N30" s="27">
        <v>0</v>
      </c>
      <c r="O30" s="51"/>
      <c r="Q30" s="18"/>
      <c r="R30" s="19">
        <v>42547</v>
      </c>
      <c r="S30" s="170"/>
      <c r="T30" s="218"/>
      <c r="U30" s="21">
        <v>42547</v>
      </c>
      <c r="V30" s="22"/>
      <c r="W30" s="23"/>
      <c r="X30" s="178">
        <v>42547</v>
      </c>
      <c r="Y30" s="39"/>
      <c r="Z30" s="33"/>
      <c r="AA30" s="54" t="s">
        <v>164</v>
      </c>
      <c r="AB30" s="35">
        <v>0</v>
      </c>
      <c r="AC30" s="37"/>
      <c r="AD30" s="27"/>
      <c r="AE30" s="51"/>
      <c r="AG30" s="18"/>
      <c r="AH30" s="19">
        <v>42547</v>
      </c>
      <c r="AI30" s="170"/>
      <c r="AJ30" s="218"/>
      <c r="AK30" s="21">
        <v>42547</v>
      </c>
      <c r="AL30" s="22"/>
      <c r="AM30" s="23"/>
      <c r="AN30" s="178">
        <v>42547</v>
      </c>
      <c r="AO30" s="39"/>
      <c r="AP30" s="33"/>
      <c r="AQ30" s="54" t="s">
        <v>164</v>
      </c>
      <c r="AR30" s="35">
        <v>0</v>
      </c>
      <c r="AS30" s="37"/>
      <c r="AT30" s="27"/>
      <c r="AU30" s="51"/>
      <c r="AW30" s="18"/>
      <c r="AX30" s="19">
        <v>42547</v>
      </c>
      <c r="AY30" s="170"/>
      <c r="AZ30" s="218"/>
      <c r="BA30" s="21">
        <v>42547</v>
      </c>
      <c r="BB30" s="22"/>
      <c r="BC30" s="23"/>
      <c r="BD30" s="178">
        <v>42547</v>
      </c>
      <c r="BE30" s="39"/>
      <c r="BF30" s="33"/>
      <c r="BG30" s="54" t="s">
        <v>164</v>
      </c>
      <c r="BH30" s="35">
        <v>0</v>
      </c>
      <c r="BI30" s="37"/>
      <c r="BJ30" s="27"/>
      <c r="BK30" s="51"/>
      <c r="BL30" s="51"/>
    </row>
    <row r="31" spans="1:64" ht="15.75" thickBot="1" x14ac:dyDescent="0.3">
      <c r="A31" s="18"/>
      <c r="B31" s="19">
        <v>42548</v>
      </c>
      <c r="C31" s="170">
        <v>52026</v>
      </c>
      <c r="D31" s="218" t="s">
        <v>716</v>
      </c>
      <c r="E31" s="21">
        <v>42548</v>
      </c>
      <c r="F31" s="22">
        <v>61623.5</v>
      </c>
      <c r="G31" s="23"/>
      <c r="H31" s="178">
        <v>42548</v>
      </c>
      <c r="I31" s="39">
        <v>200</v>
      </c>
      <c r="J31" s="33"/>
      <c r="K31" s="48"/>
      <c r="L31" s="35"/>
      <c r="M31" s="37" t="s">
        <v>717</v>
      </c>
      <c r="N31" s="27">
        <v>0</v>
      </c>
      <c r="O31" s="51"/>
      <c r="Q31" s="18"/>
      <c r="R31" s="19">
        <v>42548</v>
      </c>
      <c r="S31" s="170"/>
      <c r="T31" s="218"/>
      <c r="U31" s="21">
        <v>42548</v>
      </c>
      <c r="V31" s="22"/>
      <c r="W31" s="23"/>
      <c r="X31" s="178">
        <v>42548</v>
      </c>
      <c r="Y31" s="39"/>
      <c r="Z31" s="33"/>
      <c r="AA31" s="48"/>
      <c r="AB31" s="35"/>
      <c r="AC31" s="37"/>
      <c r="AD31" s="27"/>
      <c r="AE31" s="51"/>
      <c r="AG31" s="18"/>
      <c r="AH31" s="19">
        <v>42548</v>
      </c>
      <c r="AI31" s="170"/>
      <c r="AJ31" s="218"/>
      <c r="AK31" s="21">
        <v>42548</v>
      </c>
      <c r="AL31" s="22"/>
      <c r="AM31" s="23"/>
      <c r="AN31" s="178">
        <v>42548</v>
      </c>
      <c r="AO31" s="39"/>
      <c r="AP31" s="33"/>
      <c r="AQ31" s="48"/>
      <c r="AR31" s="35"/>
      <c r="AS31" s="37"/>
      <c r="AT31" s="27"/>
      <c r="AU31" s="51"/>
      <c r="AW31" s="18"/>
      <c r="AX31" s="19">
        <v>42548</v>
      </c>
      <c r="AY31" s="170"/>
      <c r="AZ31" s="218"/>
      <c r="BA31" s="21">
        <v>42548</v>
      </c>
      <c r="BB31" s="22"/>
      <c r="BC31" s="23"/>
      <c r="BD31" s="178">
        <v>42548</v>
      </c>
      <c r="BE31" s="39"/>
      <c r="BF31" s="33"/>
      <c r="BG31" s="48"/>
      <c r="BH31" s="35"/>
      <c r="BI31" s="37"/>
      <c r="BJ31" s="27"/>
      <c r="BK31" s="51"/>
      <c r="BL31" s="51"/>
    </row>
    <row r="32" spans="1:64" ht="15.75" thickBot="1" x14ac:dyDescent="0.3">
      <c r="A32" s="18"/>
      <c r="B32" s="19">
        <v>42549</v>
      </c>
      <c r="C32" s="170">
        <v>53955</v>
      </c>
      <c r="D32" s="218" t="s">
        <v>718</v>
      </c>
      <c r="E32" s="21">
        <v>42549</v>
      </c>
      <c r="F32" s="22">
        <v>44757.5</v>
      </c>
      <c r="G32" s="23"/>
      <c r="H32" s="178">
        <v>42549</v>
      </c>
      <c r="I32" s="39">
        <v>200</v>
      </c>
      <c r="J32" s="33"/>
      <c r="K32" s="54"/>
      <c r="L32" s="35"/>
      <c r="M32" s="26" t="s">
        <v>720</v>
      </c>
      <c r="N32" s="27">
        <v>0</v>
      </c>
      <c r="O32" s="51"/>
      <c r="Q32" s="18"/>
      <c r="R32" s="19">
        <v>42549</v>
      </c>
      <c r="S32" s="170"/>
      <c r="T32" s="218"/>
      <c r="U32" s="21">
        <v>42549</v>
      </c>
      <c r="V32" s="22"/>
      <c r="W32" s="23"/>
      <c r="X32" s="178">
        <v>42549</v>
      </c>
      <c r="Y32" s="39"/>
      <c r="Z32" s="33"/>
      <c r="AA32" s="54"/>
      <c r="AB32" s="35"/>
      <c r="AC32" s="26"/>
      <c r="AD32" s="27"/>
      <c r="AE32" s="51"/>
      <c r="AG32" s="18"/>
      <c r="AH32" s="19">
        <v>42549</v>
      </c>
      <c r="AI32" s="170"/>
      <c r="AJ32" s="218"/>
      <c r="AK32" s="21">
        <v>42549</v>
      </c>
      <c r="AL32" s="22"/>
      <c r="AM32" s="23"/>
      <c r="AN32" s="178">
        <v>42549</v>
      </c>
      <c r="AO32" s="39"/>
      <c r="AP32" s="33"/>
      <c r="AQ32" s="54"/>
      <c r="AR32" s="35"/>
      <c r="AS32" s="26"/>
      <c r="AT32" s="27"/>
      <c r="AU32" s="51"/>
      <c r="AW32" s="18"/>
      <c r="AX32" s="19">
        <v>42549</v>
      </c>
      <c r="AY32" s="170"/>
      <c r="AZ32" s="218"/>
      <c r="BA32" s="21">
        <v>42549</v>
      </c>
      <c r="BB32" s="22"/>
      <c r="BC32" s="23"/>
      <c r="BD32" s="178">
        <v>42549</v>
      </c>
      <c r="BE32" s="39"/>
      <c r="BF32" s="33"/>
      <c r="BG32" s="54"/>
      <c r="BH32" s="35"/>
      <c r="BI32" s="26"/>
      <c r="BJ32" s="27"/>
      <c r="BK32" s="51"/>
      <c r="BL32" s="51"/>
    </row>
    <row r="33" spans="1:64" ht="15.75" thickBot="1" x14ac:dyDescent="0.3">
      <c r="A33" s="18"/>
      <c r="B33" s="19">
        <v>42550</v>
      </c>
      <c r="C33" s="170">
        <v>59733</v>
      </c>
      <c r="D33" s="220" t="s">
        <v>719</v>
      </c>
      <c r="E33" s="21">
        <v>42550</v>
      </c>
      <c r="F33" s="22">
        <v>62677</v>
      </c>
      <c r="G33" s="23"/>
      <c r="H33" s="178">
        <v>42550</v>
      </c>
      <c r="I33" s="39">
        <v>200</v>
      </c>
      <c r="J33" s="33"/>
      <c r="K33" s="54"/>
      <c r="L33" s="35" t="s">
        <v>23</v>
      </c>
      <c r="M33" s="26" t="s">
        <v>721</v>
      </c>
      <c r="N33" s="27">
        <v>0</v>
      </c>
      <c r="O33" s="51"/>
      <c r="Q33" s="18"/>
      <c r="R33" s="19">
        <v>42550</v>
      </c>
      <c r="S33" s="170"/>
      <c r="T33" s="220"/>
      <c r="U33" s="21">
        <v>42550</v>
      </c>
      <c r="V33" s="22"/>
      <c r="W33" s="23"/>
      <c r="X33" s="178">
        <v>42550</v>
      </c>
      <c r="Y33" s="39"/>
      <c r="Z33" s="33"/>
      <c r="AA33" s="54"/>
      <c r="AB33" s="35"/>
      <c r="AC33" s="26"/>
      <c r="AD33" s="27"/>
      <c r="AE33" s="51"/>
      <c r="AG33" s="18"/>
      <c r="AH33" s="19">
        <v>42550</v>
      </c>
      <c r="AI33" s="170"/>
      <c r="AJ33" s="220"/>
      <c r="AK33" s="21">
        <v>42550</v>
      </c>
      <c r="AL33" s="22"/>
      <c r="AM33" s="23"/>
      <c r="AN33" s="178">
        <v>42550</v>
      </c>
      <c r="AO33" s="39"/>
      <c r="AP33" s="33"/>
      <c r="AQ33" s="54"/>
      <c r="AR33" s="35"/>
      <c r="AS33" s="26"/>
      <c r="AT33" s="27"/>
      <c r="AU33" s="51"/>
      <c r="AW33" s="18"/>
      <c r="AX33" s="19">
        <v>42550</v>
      </c>
      <c r="AY33" s="170"/>
      <c r="AZ33" s="220"/>
      <c r="BA33" s="21">
        <v>42550</v>
      </c>
      <c r="BB33" s="22"/>
      <c r="BC33" s="23"/>
      <c r="BD33" s="178">
        <v>42550</v>
      </c>
      <c r="BE33" s="39"/>
      <c r="BF33" s="33"/>
      <c r="BG33" s="54"/>
      <c r="BH33" s="35"/>
      <c r="BI33" s="26"/>
      <c r="BJ33" s="27"/>
      <c r="BK33" s="51"/>
      <c r="BL33" s="51"/>
    </row>
    <row r="34" spans="1:64" ht="15.75" thickBot="1" x14ac:dyDescent="0.3">
      <c r="A34" s="18"/>
      <c r="B34" s="19">
        <v>42551</v>
      </c>
      <c r="C34" s="170">
        <v>82633</v>
      </c>
      <c r="D34" s="221" t="s">
        <v>722</v>
      </c>
      <c r="E34" s="21">
        <v>42551</v>
      </c>
      <c r="F34" s="22">
        <v>94366</v>
      </c>
      <c r="G34" s="23"/>
      <c r="H34" s="178">
        <v>42551</v>
      </c>
      <c r="I34" s="39">
        <v>200</v>
      </c>
      <c r="J34" s="33"/>
      <c r="K34" s="54"/>
      <c r="L34" s="35"/>
      <c r="M34" s="56" t="s">
        <v>723</v>
      </c>
      <c r="N34" s="27">
        <v>0</v>
      </c>
      <c r="O34" s="51"/>
      <c r="Q34" s="18"/>
      <c r="R34" s="19">
        <v>42551</v>
      </c>
      <c r="S34" s="170"/>
      <c r="T34" s="221"/>
      <c r="U34" s="21">
        <v>42551</v>
      </c>
      <c r="V34" s="22"/>
      <c r="W34" s="23"/>
      <c r="X34" s="178">
        <v>42551</v>
      </c>
      <c r="Y34" s="39"/>
      <c r="Z34" s="33"/>
      <c r="AA34" s="54"/>
      <c r="AB34" s="35"/>
      <c r="AC34" s="56"/>
      <c r="AD34" s="27">
        <v>0</v>
      </c>
      <c r="AE34" s="51"/>
      <c r="AG34" s="18"/>
      <c r="AH34" s="19">
        <v>42551</v>
      </c>
      <c r="AI34" s="170"/>
      <c r="AJ34" s="221"/>
      <c r="AK34" s="21">
        <v>42551</v>
      </c>
      <c r="AL34" s="22"/>
      <c r="AM34" s="23"/>
      <c r="AN34" s="178">
        <v>42551</v>
      </c>
      <c r="AO34" s="39"/>
      <c r="AP34" s="33"/>
      <c r="AQ34" s="54"/>
      <c r="AR34" s="35"/>
      <c r="AS34" s="56"/>
      <c r="AT34" s="27">
        <v>0</v>
      </c>
      <c r="AU34" s="51"/>
      <c r="AW34" s="18"/>
      <c r="AX34" s="19">
        <v>42551</v>
      </c>
      <c r="AY34" s="170"/>
      <c r="AZ34" s="221"/>
      <c r="BA34" s="21">
        <v>42551</v>
      </c>
      <c r="BB34" s="22"/>
      <c r="BC34" s="23"/>
      <c r="BD34" s="178">
        <v>42551</v>
      </c>
      <c r="BE34" s="39"/>
      <c r="BF34" s="33"/>
      <c r="BG34" s="54"/>
      <c r="BH34" s="35"/>
      <c r="BI34" s="56"/>
      <c r="BJ34" s="27">
        <v>0</v>
      </c>
      <c r="BK34" s="51"/>
      <c r="BL34" s="51"/>
    </row>
    <row r="35" spans="1:64" ht="15.75" thickBot="1" x14ac:dyDescent="0.3">
      <c r="A35" s="18"/>
      <c r="B35" s="19"/>
      <c r="C35" s="170"/>
      <c r="D35" s="218"/>
      <c r="E35" s="21"/>
      <c r="F35" s="22">
        <v>0</v>
      </c>
      <c r="G35" s="23"/>
      <c r="H35" s="178"/>
      <c r="I35" s="39"/>
      <c r="J35" s="33"/>
      <c r="K35" s="54"/>
      <c r="L35" s="35"/>
      <c r="M35" s="57"/>
      <c r="N35" s="27">
        <v>0</v>
      </c>
      <c r="O35" s="51"/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E35" s="51"/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U35" s="51"/>
      <c r="AW35" s="18"/>
      <c r="AX35" s="19"/>
      <c r="AY35" s="170"/>
      <c r="AZ35" s="218"/>
      <c r="BA35" s="21"/>
      <c r="BB35" s="22"/>
      <c r="BC35" s="23"/>
      <c r="BD35" s="178"/>
      <c r="BE35" s="39"/>
      <c r="BF35" s="33"/>
      <c r="BG35" s="54"/>
      <c r="BH35" s="35"/>
      <c r="BI35" s="57"/>
      <c r="BJ35" s="27">
        <v>0</v>
      </c>
      <c r="BK35" s="51"/>
      <c r="BL35" s="51"/>
    </row>
    <row r="36" spans="1:64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51"/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  <c r="AU36" s="51"/>
      <c r="AW36" s="58"/>
      <c r="AX36" s="59"/>
      <c r="AY36" s="60">
        <v>0</v>
      </c>
      <c r="AZ36" s="217"/>
      <c r="BA36" s="61"/>
      <c r="BB36" s="62">
        <v>0</v>
      </c>
      <c r="BD36" s="63"/>
      <c r="BE36" s="64"/>
      <c r="BF36" s="47"/>
      <c r="BG36" s="54"/>
      <c r="BH36" s="65"/>
      <c r="BI36" s="8"/>
      <c r="BJ36" s="27">
        <v>0</v>
      </c>
      <c r="BK36" s="51"/>
      <c r="BL36" s="51"/>
    </row>
    <row r="37" spans="1:64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20</v>
      </c>
      <c r="O37" s="51"/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20</v>
      </c>
      <c r="AE37" s="51"/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  <c r="AU37" s="51"/>
      <c r="AW37" s="66"/>
      <c r="AX37" s="67"/>
      <c r="AY37" s="68">
        <v>0</v>
      </c>
      <c r="AZ37" s="217"/>
      <c r="BA37" s="69"/>
      <c r="BB37" s="70">
        <v>0</v>
      </c>
      <c r="BD37" s="71"/>
      <c r="BE37" s="72"/>
      <c r="BF37" s="47"/>
      <c r="BG37" s="73"/>
      <c r="BH37" s="74"/>
      <c r="BI37" s="8"/>
      <c r="BJ37" s="293">
        <f>SUM(BJ5:BJ36)</f>
        <v>0</v>
      </c>
      <c r="BK37" s="51"/>
      <c r="BL37" s="51"/>
    </row>
    <row r="38" spans="1:64" x14ac:dyDescent="0.25">
      <c r="B38" s="76" t="s">
        <v>20</v>
      </c>
      <c r="C38" s="77">
        <f>SUM(C5:C37)</f>
        <v>1961423.5</v>
      </c>
      <c r="E38" s="78" t="s">
        <v>20</v>
      </c>
      <c r="F38" s="79">
        <f>SUM(F5:F37)</f>
        <v>1975408.5</v>
      </c>
      <c r="H38" s="333" t="s">
        <v>20</v>
      </c>
      <c r="I38" s="4">
        <f>SUM(I5:I37)</f>
        <v>6540</v>
      </c>
      <c r="J38" s="4"/>
      <c r="K38" s="80" t="s">
        <v>20</v>
      </c>
      <c r="L38" s="81">
        <f t="shared" ref="L38" si="0">SUM(L5:L37)</f>
        <v>78579.070000000007</v>
      </c>
      <c r="M38" s="8"/>
      <c r="N38" s="3"/>
      <c r="O38" s="51"/>
      <c r="R38" s="76" t="s">
        <v>20</v>
      </c>
      <c r="S38" s="77">
        <f>SUM(S5:S37)</f>
        <v>1325199.5</v>
      </c>
      <c r="U38" s="78" t="s">
        <v>20</v>
      </c>
      <c r="V38" s="79">
        <f>SUM(V5:V37)</f>
        <v>1331298.5</v>
      </c>
      <c r="X38" s="321" t="s">
        <v>20</v>
      </c>
      <c r="Y38" s="4">
        <f>SUM(Y5:Y37)</f>
        <v>4298</v>
      </c>
      <c r="Z38" s="4"/>
      <c r="AA38" s="80" t="s">
        <v>20</v>
      </c>
      <c r="AB38" s="81">
        <f t="shared" ref="AB38" si="1">SUM(AB5:AB37)</f>
        <v>41723.619999999995</v>
      </c>
      <c r="AC38" s="8"/>
      <c r="AD38" s="3"/>
      <c r="AE38" s="51"/>
      <c r="AH38" s="76" t="s">
        <v>20</v>
      </c>
      <c r="AI38" s="77">
        <f>SUM(AI5:AI37)</f>
        <v>870096.5</v>
      </c>
      <c r="AK38" s="78" t="s">
        <v>20</v>
      </c>
      <c r="AL38" s="79">
        <f>SUM(AL5:AL37)</f>
        <v>904553.5</v>
      </c>
      <c r="AN38" s="307" t="s">
        <v>20</v>
      </c>
      <c r="AO38" s="4">
        <f>SUM(AO5:AO37)</f>
        <v>2864</v>
      </c>
      <c r="AP38" s="4"/>
      <c r="AQ38" s="80" t="s">
        <v>20</v>
      </c>
      <c r="AR38" s="81">
        <f t="shared" ref="AR38" si="2">SUM(AR5:AR37)</f>
        <v>34536.119999999995</v>
      </c>
      <c r="AS38" s="8"/>
      <c r="AT38" s="3"/>
      <c r="AU38" s="51"/>
      <c r="AX38" s="76" t="s">
        <v>20</v>
      </c>
      <c r="AY38" s="77">
        <f>SUM(AY5:AY37)</f>
        <v>394784</v>
      </c>
      <c r="BA38" s="78" t="s">
        <v>20</v>
      </c>
      <c r="BB38" s="79">
        <f>SUM(BB5:BB37)</f>
        <v>395667</v>
      </c>
      <c r="BD38" s="302" t="s">
        <v>20</v>
      </c>
      <c r="BE38" s="4">
        <f>SUM(BE5:BE37)</f>
        <v>1432</v>
      </c>
      <c r="BF38" s="4"/>
      <c r="BG38" s="80" t="s">
        <v>20</v>
      </c>
      <c r="BH38" s="81">
        <f t="shared" ref="BH38" si="3">SUM(BH5:BH37)</f>
        <v>8887.5</v>
      </c>
      <c r="BI38" s="8"/>
      <c r="BJ38" s="3"/>
      <c r="BK38" s="51"/>
      <c r="BL38" s="51"/>
    </row>
    <row r="39" spans="1:64" x14ac:dyDescent="0.25">
      <c r="B39" s="1"/>
      <c r="C39" s="5"/>
      <c r="F39" s="5"/>
      <c r="I39" s="5"/>
      <c r="J39" s="5"/>
      <c r="M39" s="8"/>
      <c r="N39" s="3"/>
      <c r="O39" s="51"/>
      <c r="R39" s="1"/>
      <c r="S39" s="5"/>
      <c r="V39" s="5"/>
      <c r="Y39" s="5"/>
      <c r="Z39" s="5"/>
      <c r="AC39" s="8"/>
      <c r="AD39" s="3"/>
      <c r="AE39" s="51"/>
      <c r="AH39" s="1"/>
      <c r="AI39" s="5"/>
      <c r="AL39" s="5"/>
      <c r="AO39" s="5"/>
      <c r="AP39" s="5"/>
      <c r="AS39" s="8"/>
      <c r="AT39" s="3"/>
      <c r="AU39" s="51"/>
      <c r="AX39" s="1"/>
      <c r="AY39" s="5"/>
      <c r="BB39" s="5"/>
      <c r="BE39" s="5"/>
      <c r="BF39" s="5"/>
      <c r="BI39" s="8"/>
      <c r="BJ39" s="3"/>
      <c r="BK39" s="51"/>
      <c r="BL39" s="51"/>
    </row>
    <row r="40" spans="1:64" ht="15.75" customHeight="1" x14ac:dyDescent="0.25">
      <c r="A40" s="83"/>
      <c r="B40" s="1"/>
      <c r="C40" s="84">
        <v>0</v>
      </c>
      <c r="D40" s="222"/>
      <c r="E40" s="34"/>
      <c r="F40" s="47"/>
      <c r="H40" s="420" t="s">
        <v>21</v>
      </c>
      <c r="I40" s="421"/>
      <c r="J40" s="334"/>
      <c r="K40" s="422">
        <f>I38+L38</f>
        <v>85119.07</v>
      </c>
      <c r="L40" s="423"/>
      <c r="M40" s="8"/>
      <c r="N40" s="51"/>
      <c r="O40" s="51"/>
      <c r="Q40" s="83"/>
      <c r="R40" s="1"/>
      <c r="S40" s="84">
        <v>0</v>
      </c>
      <c r="T40" s="222"/>
      <c r="U40" s="34"/>
      <c r="V40" s="47"/>
      <c r="X40" s="420" t="s">
        <v>21</v>
      </c>
      <c r="Y40" s="421"/>
      <c r="Z40" s="322"/>
      <c r="AA40" s="422">
        <f>Y38+AB38</f>
        <v>46021.619999999995</v>
      </c>
      <c r="AB40" s="423"/>
      <c r="AC40" s="8"/>
      <c r="AD40" s="51"/>
      <c r="AE40" s="51"/>
      <c r="AG40" s="83"/>
      <c r="AH40" s="1"/>
      <c r="AI40" s="84">
        <v>0</v>
      </c>
      <c r="AJ40" s="222"/>
      <c r="AK40" s="34"/>
      <c r="AL40" s="47"/>
      <c r="AN40" s="420" t="s">
        <v>21</v>
      </c>
      <c r="AO40" s="421"/>
      <c r="AP40" s="308"/>
      <c r="AQ40" s="422">
        <f>AO38+AR38</f>
        <v>37400.119999999995</v>
      </c>
      <c r="AR40" s="423"/>
      <c r="AS40" s="8"/>
      <c r="AT40" s="51"/>
      <c r="AU40" s="51"/>
      <c r="AW40" s="83"/>
      <c r="AX40" s="1"/>
      <c r="AY40" s="84">
        <v>0</v>
      </c>
      <c r="AZ40" s="222"/>
      <c r="BA40" s="34"/>
      <c r="BB40" s="47"/>
      <c r="BD40" s="420" t="s">
        <v>21</v>
      </c>
      <c r="BE40" s="421"/>
      <c r="BF40" s="303"/>
      <c r="BG40" s="422">
        <f>BE38+BH38</f>
        <v>10319.5</v>
      </c>
      <c r="BH40" s="423"/>
      <c r="BI40" s="8"/>
      <c r="BJ40" s="51"/>
      <c r="BK40" s="51"/>
      <c r="BL40" s="51"/>
    </row>
    <row r="41" spans="1:64" ht="15.75" customHeight="1" x14ac:dyDescent="0.25">
      <c r="B41" s="1"/>
      <c r="C41" s="5"/>
      <c r="D41" s="419" t="s">
        <v>22</v>
      </c>
      <c r="E41" s="419"/>
      <c r="F41" s="86">
        <f>F38-K40</f>
        <v>1890289.43</v>
      </c>
      <c r="I41" s="87"/>
      <c r="J41" s="87"/>
      <c r="M41" s="8"/>
      <c r="N41" s="51"/>
      <c r="O41" s="51"/>
      <c r="R41" s="1"/>
      <c r="S41" s="5"/>
      <c r="T41" s="419" t="s">
        <v>22</v>
      </c>
      <c r="U41" s="419"/>
      <c r="V41" s="86">
        <f>V38-AA40</f>
        <v>1285276.8799999999</v>
      </c>
      <c r="Y41" s="87"/>
      <c r="Z41" s="87"/>
      <c r="AC41" s="8"/>
      <c r="AD41" s="51"/>
      <c r="AE41" s="51"/>
      <c r="AH41" s="1"/>
      <c r="AI41" s="5"/>
      <c r="AJ41" s="419" t="s">
        <v>22</v>
      </c>
      <c r="AK41" s="419"/>
      <c r="AL41" s="86">
        <f>AL38-AQ40</f>
        <v>867153.38</v>
      </c>
      <c r="AO41" s="87"/>
      <c r="AP41" s="87"/>
      <c r="AS41" s="8"/>
      <c r="AT41" s="51"/>
      <c r="AU41" s="51"/>
      <c r="AX41" s="1"/>
      <c r="AY41" s="5"/>
      <c r="AZ41" s="419" t="s">
        <v>22</v>
      </c>
      <c r="BA41" s="419"/>
      <c r="BB41" s="86">
        <f>BB38-BG40</f>
        <v>385347.5</v>
      </c>
      <c r="BE41" s="87"/>
      <c r="BF41" s="87"/>
      <c r="BI41" s="8"/>
      <c r="BJ41" s="51"/>
      <c r="BK41" s="51"/>
      <c r="BL41" s="51"/>
    </row>
    <row r="42" spans="1:64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R42" s="1"/>
      <c r="S42" s="5"/>
      <c r="T42" s="222"/>
      <c r="U42" s="34"/>
      <c r="V42" s="86"/>
      <c r="Y42" s="5"/>
      <c r="Z42" s="5"/>
      <c r="AC42" s="8"/>
      <c r="AD42" s="51"/>
      <c r="AE42" s="51"/>
      <c r="AH42" s="1"/>
      <c r="AI42" s="5"/>
      <c r="AJ42" s="222"/>
      <c r="AK42" s="34"/>
      <c r="AL42" s="86"/>
      <c r="AO42" s="5"/>
      <c r="AP42" s="5"/>
      <c r="AS42" s="8"/>
      <c r="AT42" s="51"/>
      <c r="AU42" s="51"/>
      <c r="AX42" s="1"/>
      <c r="AY42" s="5"/>
      <c r="AZ42" s="222"/>
      <c r="BA42" s="34"/>
      <c r="BB42" s="86"/>
      <c r="BE42" s="5"/>
      <c r="BF42" s="5"/>
      <c r="BI42" s="8"/>
      <c r="BJ42" s="51"/>
      <c r="BK42" s="51"/>
      <c r="BL42" s="51"/>
    </row>
    <row r="43" spans="1:64" ht="15.75" thickBot="1" x14ac:dyDescent="0.3">
      <c r="B43" s="1"/>
      <c r="C43" s="5" t="s">
        <v>23</v>
      </c>
      <c r="D43" s="91" t="s">
        <v>24</v>
      </c>
      <c r="F43" s="89">
        <v>-1942637.44</v>
      </c>
      <c r="I43" s="403"/>
      <c r="J43" s="403"/>
      <c r="K43" s="403"/>
      <c r="L43" s="14"/>
      <c r="M43" s="8"/>
      <c r="N43" s="51"/>
      <c r="O43" s="51"/>
      <c r="R43" s="1"/>
      <c r="S43" s="5" t="s">
        <v>23</v>
      </c>
      <c r="T43" s="91" t="s">
        <v>24</v>
      </c>
      <c r="V43" s="89">
        <v>-1299116.1100000001</v>
      </c>
      <c r="Y43" s="403"/>
      <c r="Z43" s="403"/>
      <c r="AA43" s="403"/>
      <c r="AB43" s="14"/>
      <c r="AC43" s="8"/>
      <c r="AD43" s="51"/>
      <c r="AE43" s="51"/>
      <c r="AH43" s="1"/>
      <c r="AI43" s="5" t="s">
        <v>23</v>
      </c>
      <c r="AJ43" s="91" t="s">
        <v>24</v>
      </c>
      <c r="AL43" s="89">
        <v>-825417.62</v>
      </c>
      <c r="AO43" s="403"/>
      <c r="AP43" s="403"/>
      <c r="AQ43" s="403"/>
      <c r="AR43" s="14"/>
      <c r="AS43" s="8"/>
      <c r="AT43" s="51"/>
      <c r="AU43" s="51"/>
      <c r="AX43" s="1"/>
      <c r="AY43" s="5" t="s">
        <v>23</v>
      </c>
      <c r="AZ43" s="91" t="s">
        <v>24</v>
      </c>
      <c r="BB43" s="89">
        <v>-339067.85</v>
      </c>
      <c r="BE43" s="403"/>
      <c r="BF43" s="403"/>
      <c r="BG43" s="403"/>
      <c r="BH43" s="14"/>
      <c r="BI43" s="8"/>
      <c r="BJ43" s="51"/>
      <c r="BK43" s="51"/>
      <c r="BL43" s="51"/>
    </row>
    <row r="44" spans="1:64" ht="16.5" thickTop="1" x14ac:dyDescent="0.25">
      <c r="B44" s="1"/>
      <c r="C44" s="5"/>
      <c r="E44" s="83" t="s">
        <v>25</v>
      </c>
      <c r="F44" s="4">
        <f>SUM(F41:F43)</f>
        <v>-52348.010000000009</v>
      </c>
      <c r="I44" s="416" t="s">
        <v>26</v>
      </c>
      <c r="J44" s="416"/>
      <c r="K44" s="417">
        <f>F46</f>
        <v>105066.38999999998</v>
      </c>
      <c r="L44" s="418"/>
      <c r="M44" s="8"/>
      <c r="N44" s="51"/>
      <c r="O44" s="51"/>
      <c r="R44" s="1"/>
      <c r="S44" s="5"/>
      <c r="U44" s="83" t="s">
        <v>25</v>
      </c>
      <c r="V44" s="4">
        <f>SUM(V41:V43)</f>
        <v>-13839.230000000214</v>
      </c>
      <c r="Y44" s="416" t="s">
        <v>26</v>
      </c>
      <c r="Z44" s="416"/>
      <c r="AA44" s="417">
        <f>V46</f>
        <v>185003.78999999978</v>
      </c>
      <c r="AB44" s="418"/>
      <c r="AC44" s="8"/>
      <c r="AD44" s="51"/>
      <c r="AE44" s="51"/>
      <c r="AH44" s="1"/>
      <c r="AI44" s="5"/>
      <c r="AK44" s="83" t="s">
        <v>25</v>
      </c>
      <c r="AL44" s="4">
        <f>SUM(AL41:AL43)</f>
        <v>41735.760000000009</v>
      </c>
      <c r="AO44" s="416" t="s">
        <v>26</v>
      </c>
      <c r="AP44" s="416"/>
      <c r="AQ44" s="417">
        <f>AL46</f>
        <v>188139.81</v>
      </c>
      <c r="AR44" s="418"/>
      <c r="AS44" s="8"/>
      <c r="AT44" s="51"/>
      <c r="AU44" s="51"/>
      <c r="AX44" s="1"/>
      <c r="AY44" s="5"/>
      <c r="BA44" s="83" t="s">
        <v>25</v>
      </c>
      <c r="BB44" s="4">
        <f>SUM(BB41:BB43)</f>
        <v>46279.650000000023</v>
      </c>
      <c r="BE44" s="416" t="s">
        <v>26</v>
      </c>
      <c r="BF44" s="416"/>
      <c r="BG44" s="417">
        <f>BB46</f>
        <v>216420.76</v>
      </c>
      <c r="BH44" s="418"/>
      <c r="BI44" s="8"/>
      <c r="BJ44" s="51"/>
      <c r="BK44" s="51"/>
      <c r="BL44" s="51"/>
    </row>
    <row r="45" spans="1:64" ht="16.5" thickBot="1" x14ac:dyDescent="0.3">
      <c r="B45" s="1"/>
      <c r="C45" s="5"/>
      <c r="D45" s="216" t="s">
        <v>27</v>
      </c>
      <c r="E45" s="78"/>
      <c r="F45" s="90">
        <v>157414.39999999999</v>
      </c>
      <c r="I45" s="409" t="s">
        <v>2</v>
      </c>
      <c r="J45" s="409"/>
      <c r="K45" s="410">
        <f>-C4</f>
        <v>-210023.6</v>
      </c>
      <c r="L45" s="410"/>
      <c r="M45" s="8"/>
      <c r="N45" s="51"/>
      <c r="O45" s="51"/>
      <c r="R45" s="1"/>
      <c r="S45" s="5"/>
      <c r="T45" s="216" t="s">
        <v>27</v>
      </c>
      <c r="U45" s="78"/>
      <c r="V45" s="90">
        <v>198843.02</v>
      </c>
      <c r="Y45" s="409" t="s">
        <v>2</v>
      </c>
      <c r="Z45" s="409"/>
      <c r="AA45" s="410">
        <f>-S4</f>
        <v>-210023.6</v>
      </c>
      <c r="AB45" s="410"/>
      <c r="AC45" s="8"/>
      <c r="AD45" s="51"/>
      <c r="AE45" s="51"/>
      <c r="AH45" s="1"/>
      <c r="AI45" s="5"/>
      <c r="AJ45" s="216" t="s">
        <v>27</v>
      </c>
      <c r="AK45" s="78"/>
      <c r="AL45" s="90">
        <v>146404.04999999999</v>
      </c>
      <c r="AO45" s="409" t="s">
        <v>2</v>
      </c>
      <c r="AP45" s="409"/>
      <c r="AQ45" s="410">
        <f>-AI4</f>
        <v>-210023.6</v>
      </c>
      <c r="AR45" s="410"/>
      <c r="AS45" s="8"/>
      <c r="AT45" s="51"/>
      <c r="AU45" s="51"/>
      <c r="AX45" s="1"/>
      <c r="AY45" s="5"/>
      <c r="AZ45" s="216" t="s">
        <v>27</v>
      </c>
      <c r="BA45" s="78"/>
      <c r="BB45" s="90">
        <v>170141.11</v>
      </c>
      <c r="BE45" s="409" t="s">
        <v>2</v>
      </c>
      <c r="BF45" s="409"/>
      <c r="BG45" s="410">
        <f>-AY4</f>
        <v>-210023.6</v>
      </c>
      <c r="BH45" s="410"/>
      <c r="BI45" s="8"/>
      <c r="BJ45" s="51"/>
      <c r="BK45" s="51"/>
      <c r="BL45" s="86"/>
    </row>
    <row r="46" spans="1:64" ht="19.5" thickBot="1" x14ac:dyDescent="0.3">
      <c r="B46" s="1"/>
      <c r="C46" s="5"/>
      <c r="E46" s="91" t="s">
        <v>28</v>
      </c>
      <c r="F46" s="77">
        <f>F45+F44</f>
        <v>105066.38999999998</v>
      </c>
      <c r="J46" s="92"/>
      <c r="K46" s="404">
        <v>0</v>
      </c>
      <c r="L46" s="404"/>
      <c r="M46" s="8"/>
      <c r="N46" s="51"/>
      <c r="O46" s="51"/>
      <c r="R46" s="1"/>
      <c r="S46" s="5"/>
      <c r="U46" s="91" t="s">
        <v>28</v>
      </c>
      <c r="V46" s="77">
        <f>V45+V44</f>
        <v>185003.78999999978</v>
      </c>
      <c r="Z46" s="92"/>
      <c r="AA46" s="404">
        <v>0</v>
      </c>
      <c r="AB46" s="404"/>
      <c r="AC46" s="8"/>
      <c r="AD46" s="51"/>
      <c r="AE46" s="51"/>
      <c r="AH46" s="1"/>
      <c r="AI46" s="5"/>
      <c r="AK46" s="91" t="s">
        <v>28</v>
      </c>
      <c r="AL46" s="77">
        <f>AL45+AL44</f>
        <v>188139.81</v>
      </c>
      <c r="AP46" s="92"/>
      <c r="AQ46" s="404">
        <v>0</v>
      </c>
      <c r="AR46" s="404"/>
      <c r="AS46" s="8"/>
      <c r="AT46" s="51"/>
      <c r="AU46" s="51"/>
      <c r="AX46" s="1"/>
      <c r="AY46" s="5"/>
      <c r="BA46" s="91" t="s">
        <v>28</v>
      </c>
      <c r="BB46" s="77">
        <f>BB45+BB44</f>
        <v>216420.76</v>
      </c>
      <c r="BF46" s="92"/>
      <c r="BG46" s="404">
        <v>0</v>
      </c>
      <c r="BH46" s="404"/>
      <c r="BI46" s="8"/>
      <c r="BJ46" s="51"/>
      <c r="BK46" s="51"/>
      <c r="BL46" s="4"/>
    </row>
    <row r="47" spans="1:64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-104957.21000000002</v>
      </c>
      <c r="L47" s="427"/>
      <c r="M47" s="8"/>
      <c r="N47" s="51"/>
      <c r="O47" s="51"/>
      <c r="R47" s="1"/>
      <c r="S47" s="5"/>
      <c r="U47" s="83"/>
      <c r="V47" s="86"/>
      <c r="Y47" s="424" t="s">
        <v>29</v>
      </c>
      <c r="Z47" s="425"/>
      <c r="AA47" s="426">
        <f>SUM(AA44:AB46)</f>
        <v>-25019.810000000231</v>
      </c>
      <c r="AB47" s="427"/>
      <c r="AC47" s="8"/>
      <c r="AD47" s="51"/>
      <c r="AE47" s="51"/>
      <c r="AH47" s="1"/>
      <c r="AI47" s="5"/>
      <c r="AK47" s="83"/>
      <c r="AL47" s="86"/>
      <c r="AO47" s="424" t="s">
        <v>29</v>
      </c>
      <c r="AP47" s="425"/>
      <c r="AQ47" s="426">
        <f>SUM(AQ44:AR46)</f>
        <v>-21883.790000000008</v>
      </c>
      <c r="AR47" s="427"/>
      <c r="AS47" s="8"/>
      <c r="AT47" s="51"/>
      <c r="AU47" s="51"/>
      <c r="AX47" s="1"/>
      <c r="AY47" s="5"/>
      <c r="BA47" s="83"/>
      <c r="BB47" s="86"/>
      <c r="BE47" s="424" t="s">
        <v>294</v>
      </c>
      <c r="BF47" s="425"/>
      <c r="BG47" s="426">
        <f>SUM(BG44:BH46)</f>
        <v>6397.1600000000035</v>
      </c>
      <c r="BH47" s="427"/>
      <c r="BI47" s="8"/>
      <c r="BJ47" s="51"/>
      <c r="BK47" s="51"/>
      <c r="BL47" s="4"/>
    </row>
    <row r="48" spans="1:64" x14ac:dyDescent="0.25">
      <c r="B48" s="1"/>
      <c r="C48" s="5"/>
      <c r="D48" s="403"/>
      <c r="E48" s="403"/>
      <c r="F48" s="4"/>
      <c r="I48" s="5"/>
      <c r="J48" s="5"/>
      <c r="M48" s="8"/>
      <c r="N48" s="51"/>
      <c r="O48" s="86"/>
      <c r="R48" s="1"/>
      <c r="S48" s="5"/>
      <c r="T48" s="403"/>
      <c r="U48" s="403"/>
      <c r="V48" s="4"/>
      <c r="Y48" s="5"/>
      <c r="Z48" s="5"/>
      <c r="AC48" s="8"/>
      <c r="AD48" s="51"/>
      <c r="AE48" s="86"/>
      <c r="AH48" s="1"/>
      <c r="AI48" s="5"/>
      <c r="AJ48" s="403"/>
      <c r="AK48" s="403"/>
      <c r="AL48" s="4"/>
      <c r="AO48" s="5"/>
      <c r="AP48" s="5"/>
      <c r="AS48" s="8"/>
      <c r="AT48" s="51"/>
      <c r="AU48" s="86"/>
      <c r="AX48" s="1"/>
      <c r="AY48" s="5"/>
      <c r="AZ48" s="403"/>
      <c r="BA48" s="403"/>
      <c r="BB48" s="4"/>
      <c r="BE48" s="5"/>
      <c r="BF48" s="5"/>
      <c r="BI48" s="8"/>
      <c r="BJ48" s="51"/>
      <c r="BK48" s="86"/>
      <c r="BL48" s="4"/>
    </row>
    <row r="49" spans="4:64" x14ac:dyDescent="0.25">
      <c r="D49"/>
      <c r="O49" s="4"/>
      <c r="T49"/>
      <c r="AD49" s="51"/>
      <c r="AE49" s="4"/>
      <c r="AJ49"/>
      <c r="AU49" s="4"/>
      <c r="AZ49"/>
      <c r="BK49" s="4"/>
      <c r="BL49" s="4"/>
    </row>
    <row r="50" spans="4:64" x14ac:dyDescent="0.25">
      <c r="AD50" s="51"/>
    </row>
    <row r="51" spans="4:64" x14ac:dyDescent="0.25">
      <c r="AD51" s="51"/>
    </row>
    <row r="52" spans="4:64" x14ac:dyDescent="0.25">
      <c r="AD52" s="51"/>
    </row>
    <row r="53" spans="4:64" x14ac:dyDescent="0.25">
      <c r="AD53" s="51"/>
    </row>
    <row r="54" spans="4:64" x14ac:dyDescent="0.25">
      <c r="AD54" s="51"/>
    </row>
    <row r="55" spans="4:64" x14ac:dyDescent="0.25">
      <c r="AD55" s="51"/>
    </row>
    <row r="56" spans="4:64" x14ac:dyDescent="0.25">
      <c r="AD56" s="51"/>
    </row>
    <row r="57" spans="4:64" x14ac:dyDescent="0.25">
      <c r="AD57" s="51"/>
    </row>
    <row r="58" spans="4:64" x14ac:dyDescent="0.25">
      <c r="AD58" s="51"/>
    </row>
    <row r="59" spans="4:64" x14ac:dyDescent="0.25">
      <c r="AD59" s="51"/>
    </row>
    <row r="60" spans="4:64" x14ac:dyDescent="0.25">
      <c r="AD60" s="51"/>
    </row>
    <row r="61" spans="4:64" x14ac:dyDescent="0.25">
      <c r="AD61" s="51"/>
    </row>
    <row r="62" spans="4:64" x14ac:dyDescent="0.25">
      <c r="AD62" s="51"/>
    </row>
    <row r="63" spans="4:64" x14ac:dyDescent="0.25">
      <c r="AD63" s="51"/>
    </row>
    <row r="64" spans="4:64" x14ac:dyDescent="0.25">
      <c r="AD64" s="51"/>
    </row>
    <row r="65" spans="30:30" x14ac:dyDescent="0.25">
      <c r="AD65" s="51"/>
    </row>
    <row r="66" spans="30:30" x14ac:dyDescent="0.25">
      <c r="AD66" s="51"/>
    </row>
    <row r="67" spans="30:30" x14ac:dyDescent="0.25">
      <c r="AD67" s="51"/>
    </row>
    <row r="68" spans="30:30" x14ac:dyDescent="0.25">
      <c r="AD68" s="51"/>
    </row>
    <row r="69" spans="30:30" x14ac:dyDescent="0.25">
      <c r="AD69" s="51"/>
    </row>
    <row r="70" spans="30:30" x14ac:dyDescent="0.25">
      <c r="AD70" s="51"/>
    </row>
    <row r="71" spans="30:30" x14ac:dyDescent="0.25">
      <c r="AD71" s="51"/>
    </row>
    <row r="72" spans="30:30" x14ac:dyDescent="0.25">
      <c r="AD72" s="51"/>
    </row>
    <row r="73" spans="30:30" x14ac:dyDescent="0.25">
      <c r="AD73" s="51"/>
    </row>
    <row r="74" spans="30:30" x14ac:dyDescent="0.25">
      <c r="AD74" s="82"/>
    </row>
    <row r="75" spans="30:30" x14ac:dyDescent="0.25">
      <c r="AD75" s="34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Q46:AR46"/>
    <mergeCell ref="AO47:AP47"/>
    <mergeCell ref="AQ47:AR47"/>
    <mergeCell ref="AJ48:AK48"/>
    <mergeCell ref="AJ41:AK41"/>
    <mergeCell ref="AO43:AQ43"/>
    <mergeCell ref="AO44:AP44"/>
    <mergeCell ref="AQ44:AR44"/>
    <mergeCell ref="AO45:AP45"/>
    <mergeCell ref="AQ45:AR45"/>
    <mergeCell ref="AI1:AQ1"/>
    <mergeCell ref="AK4:AL4"/>
    <mergeCell ref="AO4:AR4"/>
    <mergeCell ref="AN40:AO40"/>
    <mergeCell ref="AQ40:AR40"/>
    <mergeCell ref="AZ48:BA48"/>
    <mergeCell ref="BE47:BF47"/>
    <mergeCell ref="BG47:BH47"/>
    <mergeCell ref="BG46:BH46"/>
    <mergeCell ref="BE45:BF45"/>
    <mergeCell ref="BG45:BH45"/>
    <mergeCell ref="AY1:BG1"/>
    <mergeCell ref="BA4:BB4"/>
    <mergeCell ref="BE4:BH4"/>
    <mergeCell ref="BE44:BF44"/>
    <mergeCell ref="BG44:BH44"/>
    <mergeCell ref="AZ41:BA41"/>
    <mergeCell ref="BE43:BG43"/>
    <mergeCell ref="BD40:BE40"/>
    <mergeCell ref="BG40:BH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115"/>
  <sheetViews>
    <sheetView topLeftCell="A33" workbookViewId="0">
      <selection activeCell="I27" sqref="I2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  <col min="20" max="20" width="12.5703125" bestFit="1" customWidth="1"/>
    <col min="22" max="22" width="12.5703125" bestFit="1" customWidth="1"/>
    <col min="25" max="25" width="13.85546875" bestFit="1" customWidth="1"/>
  </cols>
  <sheetData>
    <row r="1" spans="1:28" ht="18.75" x14ac:dyDescent="0.3">
      <c r="L1" s="104"/>
      <c r="M1" s="123">
        <v>42534</v>
      </c>
      <c r="N1" s="124"/>
      <c r="O1" s="315" t="s">
        <v>56</v>
      </c>
      <c r="P1" s="33"/>
      <c r="T1" s="5"/>
      <c r="U1" s="104"/>
      <c r="V1" s="338">
        <v>42551</v>
      </c>
      <c r="W1" s="124"/>
      <c r="X1" s="125" t="s">
        <v>56</v>
      </c>
      <c r="Y1" s="33"/>
    </row>
    <row r="2" spans="1:28" ht="15.75" thickBot="1" x14ac:dyDescent="0.3">
      <c r="L2" s="126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8" ht="17.25" thickTop="1" thickBot="1" x14ac:dyDescent="0.3">
      <c r="C3" s="428" t="s">
        <v>30</v>
      </c>
      <c r="D3" s="429"/>
      <c r="E3" s="430"/>
      <c r="K3" s="306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  <c r="T3" s="96">
        <v>1167</v>
      </c>
      <c r="U3" s="107" t="s">
        <v>648</v>
      </c>
      <c r="V3" s="108">
        <v>1166.8</v>
      </c>
      <c r="W3" s="259"/>
      <c r="X3" s="131" t="s">
        <v>57</v>
      </c>
      <c r="Y3" s="132">
        <v>14757.5</v>
      </c>
      <c r="Z3" s="133">
        <v>42542</v>
      </c>
      <c r="AB3" s="34"/>
    </row>
    <row r="4" spans="1:2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  <c r="T4" s="17">
        <f>7584+7993</f>
        <v>15577</v>
      </c>
      <c r="U4" s="107" t="s">
        <v>649</v>
      </c>
      <c r="V4" s="108">
        <v>15540.9</v>
      </c>
      <c r="W4" s="259"/>
      <c r="X4" s="131" t="s">
        <v>57</v>
      </c>
      <c r="Y4" s="132">
        <v>7584</v>
      </c>
      <c r="Z4" s="133">
        <v>42543</v>
      </c>
      <c r="AB4" s="34"/>
    </row>
    <row r="5" spans="1:28" ht="15.75" x14ac:dyDescent="0.25">
      <c r="A5" s="101">
        <v>42523</v>
      </c>
      <c r="B5" s="102" t="s">
        <v>584</v>
      </c>
      <c r="C5" s="103">
        <v>104524.7</v>
      </c>
      <c r="D5" s="104">
        <v>42534</v>
      </c>
      <c r="E5" s="103">
        <v>104524.7</v>
      </c>
      <c r="F5" s="105">
        <f t="shared" ref="F5:F70" si="0">C5-E5</f>
        <v>0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  <c r="T5" s="96">
        <f>8180+13820.5+7110+6993.5</f>
        <v>36104</v>
      </c>
      <c r="U5" s="107" t="s">
        <v>650</v>
      </c>
      <c r="V5" s="108">
        <v>36104.18</v>
      </c>
      <c r="W5" s="130"/>
      <c r="X5" s="278" t="s">
        <v>57</v>
      </c>
      <c r="Y5" s="132">
        <v>32516</v>
      </c>
      <c r="Z5" s="133">
        <v>42543</v>
      </c>
      <c r="AB5" s="33"/>
    </row>
    <row r="6" spans="1:28" ht="15.75" x14ac:dyDescent="0.25">
      <c r="A6" s="106">
        <v>42524</v>
      </c>
      <c r="B6" s="107" t="s">
        <v>585</v>
      </c>
      <c r="C6" s="108">
        <v>102377.45</v>
      </c>
      <c r="D6" s="104">
        <v>42534</v>
      </c>
      <c r="E6" s="108">
        <v>102377.45</v>
      </c>
      <c r="F6" s="109">
        <f t="shared" si="0"/>
        <v>0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  <c r="T6" s="96">
        <f>25976.5+10618</f>
        <v>36594.5</v>
      </c>
      <c r="U6" s="107" t="s">
        <v>651</v>
      </c>
      <c r="V6" s="108">
        <v>36594.480000000003</v>
      </c>
      <c r="W6" s="130"/>
      <c r="X6" s="131" t="s">
        <v>57</v>
      </c>
      <c r="Y6" s="132">
        <v>7110</v>
      </c>
      <c r="Z6" s="133">
        <v>42544</v>
      </c>
      <c r="AB6" s="33"/>
    </row>
    <row r="7" spans="1:28" ht="15.75" x14ac:dyDescent="0.25">
      <c r="A7" s="106">
        <v>42526</v>
      </c>
      <c r="B7" s="107" t="s">
        <v>586</v>
      </c>
      <c r="C7" s="108">
        <v>119860.7</v>
      </c>
      <c r="D7" s="104" t="s">
        <v>674</v>
      </c>
      <c r="E7" s="108">
        <f>55382.34+64478.36</f>
        <v>119860.7</v>
      </c>
      <c r="F7" s="109">
        <f t="shared" si="0"/>
        <v>0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  <c r="T7" s="96">
        <f>14757.5+1355.5</f>
        <v>16113</v>
      </c>
      <c r="U7" s="107" t="s">
        <v>652</v>
      </c>
      <c r="V7" s="108">
        <v>16112.56</v>
      </c>
      <c r="W7" s="194" t="s">
        <v>63</v>
      </c>
      <c r="X7" s="131" t="s">
        <v>57</v>
      </c>
      <c r="Y7" s="132">
        <v>61240</v>
      </c>
      <c r="Z7" s="133">
        <v>42544</v>
      </c>
      <c r="AB7" s="33"/>
    </row>
    <row r="8" spans="1:28" ht="15.75" x14ac:dyDescent="0.25">
      <c r="A8" s="106">
        <v>42526</v>
      </c>
      <c r="B8" s="107" t="s">
        <v>613</v>
      </c>
      <c r="C8" s="108">
        <v>9144.7999999999993</v>
      </c>
      <c r="D8" s="104">
        <v>42545</v>
      </c>
      <c r="E8" s="108">
        <v>9144.7999999999993</v>
      </c>
      <c r="F8" s="110">
        <f t="shared" si="0"/>
        <v>0</v>
      </c>
      <c r="G8" s="111"/>
      <c r="K8" s="306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  <c r="T8" s="96">
        <f>17652+6912+4579.5</f>
        <v>29143.5</v>
      </c>
      <c r="U8" s="107" t="s">
        <v>653</v>
      </c>
      <c r="V8" s="108">
        <v>29143.78</v>
      </c>
      <c r="W8" s="194" t="s">
        <v>63</v>
      </c>
      <c r="X8" s="131" t="s">
        <v>57</v>
      </c>
      <c r="Y8" s="132">
        <v>6912</v>
      </c>
      <c r="Z8" s="133">
        <v>42545</v>
      </c>
      <c r="AB8" s="33"/>
    </row>
    <row r="9" spans="1:28" ht="15.75" x14ac:dyDescent="0.25">
      <c r="A9" s="106">
        <v>42527</v>
      </c>
      <c r="B9" s="107" t="s">
        <v>607</v>
      </c>
      <c r="C9" s="108">
        <v>12305</v>
      </c>
      <c r="D9" s="104">
        <v>42545</v>
      </c>
      <c r="E9" s="108">
        <v>12305</v>
      </c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  <c r="T9" s="96">
        <v>46903</v>
      </c>
      <c r="U9" s="107" t="s">
        <v>655</v>
      </c>
      <c r="V9" s="108">
        <v>46903.1</v>
      </c>
      <c r="W9" s="298"/>
      <c r="X9" s="131" t="s">
        <v>57</v>
      </c>
      <c r="Y9" s="132">
        <v>51988</v>
      </c>
      <c r="Z9" s="133">
        <v>42545</v>
      </c>
      <c r="AB9" s="33"/>
    </row>
    <row r="10" spans="1:28" ht="15.75" x14ac:dyDescent="0.25">
      <c r="A10" s="106">
        <v>42528</v>
      </c>
      <c r="B10" s="107" t="s">
        <v>608</v>
      </c>
      <c r="C10" s="108">
        <v>3055</v>
      </c>
      <c r="D10" s="104">
        <v>42545</v>
      </c>
      <c r="E10" s="108">
        <v>3055</v>
      </c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  <c r="T10" s="96">
        <f>505.5+3402</f>
        <v>3907.5</v>
      </c>
      <c r="U10" s="107" t="s">
        <v>656</v>
      </c>
      <c r="V10" s="108">
        <v>3907.32</v>
      </c>
      <c r="W10" s="134"/>
      <c r="X10" s="131" t="s">
        <v>57</v>
      </c>
      <c r="Y10" s="135">
        <v>7703</v>
      </c>
      <c r="Z10" s="136">
        <v>42546</v>
      </c>
      <c r="AB10" s="323"/>
    </row>
    <row r="11" spans="1:28" ht="15.75" x14ac:dyDescent="0.25">
      <c r="A11" s="106">
        <v>42528</v>
      </c>
      <c r="B11" s="107" t="s">
        <v>609</v>
      </c>
      <c r="C11" s="108">
        <v>19349.900000000001</v>
      </c>
      <c r="D11" s="104">
        <v>42545</v>
      </c>
      <c r="E11" s="108">
        <v>19349.900000000001</v>
      </c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  <c r="T11" s="28">
        <f>7703+21769+16052</f>
        <v>45524</v>
      </c>
      <c r="U11" s="107" t="s">
        <v>675</v>
      </c>
      <c r="V11" s="108">
        <v>45524.08</v>
      </c>
      <c r="W11" s="194"/>
      <c r="X11" s="131" t="s">
        <v>57</v>
      </c>
      <c r="Y11" s="114">
        <v>82647</v>
      </c>
      <c r="Z11" s="136">
        <v>42546</v>
      </c>
      <c r="AB11" s="33"/>
    </row>
    <row r="12" spans="1:28" ht="15.75" x14ac:dyDescent="0.25">
      <c r="A12" s="106">
        <v>42528</v>
      </c>
      <c r="B12" s="107" t="s">
        <v>610</v>
      </c>
      <c r="C12" s="108">
        <v>97855.8</v>
      </c>
      <c r="D12" s="104">
        <v>42545</v>
      </c>
      <c r="E12" s="108">
        <v>97855.8</v>
      </c>
      <c r="F12" s="110">
        <f t="shared" si="0"/>
        <v>0</v>
      </c>
      <c r="K12" s="306">
        <f>6312+48017+11000+8305.5+14217+3127.5+11453+4843</f>
        <v>107275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  <c r="T12" s="28">
        <v>39345</v>
      </c>
      <c r="U12" s="107" t="s">
        <v>676</v>
      </c>
      <c r="V12" s="108">
        <v>39345.24</v>
      </c>
      <c r="W12" s="318"/>
      <c r="X12" s="131" t="s">
        <v>57</v>
      </c>
      <c r="Y12" s="319">
        <v>11129.5</v>
      </c>
      <c r="Z12" s="320">
        <v>42548</v>
      </c>
      <c r="AB12" s="33"/>
    </row>
    <row r="13" spans="1:28" ht="15.75" x14ac:dyDescent="0.25">
      <c r="A13" s="106">
        <v>42530</v>
      </c>
      <c r="B13" s="107" t="s">
        <v>611</v>
      </c>
      <c r="C13" s="108">
        <v>15583.14</v>
      </c>
      <c r="D13" s="104">
        <v>42545</v>
      </c>
      <c r="E13" s="108">
        <v>15583.14</v>
      </c>
      <c r="F13" s="110">
        <f t="shared" si="0"/>
        <v>0</v>
      </c>
      <c r="K13" s="5">
        <v>5058.5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  <c r="T13" s="28">
        <f>2079+11129.5+32255.5+3409</f>
        <v>48873</v>
      </c>
      <c r="U13" s="107" t="s">
        <v>685</v>
      </c>
      <c r="V13" s="108">
        <v>48873.2</v>
      </c>
      <c r="W13" s="318"/>
      <c r="X13" s="131" t="s">
        <v>57</v>
      </c>
      <c r="Y13" s="319">
        <v>91670.5</v>
      </c>
      <c r="Z13" s="320">
        <v>42548</v>
      </c>
      <c r="AB13" s="33"/>
    </row>
    <row r="14" spans="1:28" ht="15.75" x14ac:dyDescent="0.25">
      <c r="A14" s="106">
        <v>42530</v>
      </c>
      <c r="B14" s="107" t="s">
        <v>614</v>
      </c>
      <c r="C14" s="108">
        <v>6365</v>
      </c>
      <c r="D14" s="104">
        <v>42545</v>
      </c>
      <c r="E14" s="108">
        <v>6365</v>
      </c>
      <c r="F14" s="110">
        <f t="shared" si="0"/>
        <v>0</v>
      </c>
      <c r="K14" s="5">
        <v>2241</v>
      </c>
      <c r="L14" s="197" t="s">
        <v>575</v>
      </c>
      <c r="M14" s="115">
        <v>2241</v>
      </c>
      <c r="N14" s="134"/>
      <c r="O14" s="131" t="s">
        <v>57</v>
      </c>
      <c r="P14" s="132">
        <v>11000</v>
      </c>
      <c r="Q14" s="133">
        <v>42522</v>
      </c>
      <c r="T14" s="28">
        <f>56006+10689+44550+767</f>
        <v>112012</v>
      </c>
      <c r="U14" s="107" t="s">
        <v>679</v>
      </c>
      <c r="V14" s="108">
        <v>112012</v>
      </c>
      <c r="W14" s="318" t="s">
        <v>172</v>
      </c>
      <c r="X14" s="131" t="s">
        <v>65</v>
      </c>
      <c r="Y14" s="319">
        <v>10689</v>
      </c>
      <c r="Z14" s="320">
        <v>42549</v>
      </c>
      <c r="AB14" s="33"/>
    </row>
    <row r="15" spans="1:28" ht="15.75" x14ac:dyDescent="0.25">
      <c r="A15" s="106">
        <v>42530</v>
      </c>
      <c r="B15" s="107" t="s">
        <v>615</v>
      </c>
      <c r="C15" s="108">
        <v>33011.449999999997</v>
      </c>
      <c r="D15" s="104">
        <v>42545</v>
      </c>
      <c r="E15" s="108">
        <v>33011.449999999997</v>
      </c>
      <c r="F15" s="110">
        <f t="shared" si="0"/>
        <v>0</v>
      </c>
      <c r="K15" s="5">
        <f>14614+6600.5+9736+29828+16666+2497.5</f>
        <v>79942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  <c r="T15" s="28">
        <v>1483</v>
      </c>
      <c r="U15" s="107" t="s">
        <v>678</v>
      </c>
      <c r="V15" s="108">
        <v>1483.2</v>
      </c>
      <c r="W15" s="318"/>
      <c r="X15" s="131" t="s">
        <v>57</v>
      </c>
      <c r="Y15" s="319">
        <v>44550</v>
      </c>
      <c r="Z15" s="320">
        <v>42549</v>
      </c>
      <c r="AB15" s="33"/>
    </row>
    <row r="16" spans="1:28" ht="15.75" x14ac:dyDescent="0.25">
      <c r="A16" s="106">
        <v>42530</v>
      </c>
      <c r="B16" s="107" t="s">
        <v>612</v>
      </c>
      <c r="C16" s="108">
        <v>33043.4</v>
      </c>
      <c r="D16" s="104">
        <v>42545</v>
      </c>
      <c r="E16" s="108">
        <v>33043.4</v>
      </c>
      <c r="F16" s="110">
        <f t="shared" si="0"/>
        <v>0</v>
      </c>
      <c r="K16" s="5">
        <f>10687.5+19728.5</f>
        <v>30416</v>
      </c>
      <c r="L16" s="251" t="s">
        <v>577</v>
      </c>
      <c r="M16" s="114">
        <v>30416.1</v>
      </c>
      <c r="N16" s="194"/>
      <c r="O16" s="131" t="s">
        <v>57</v>
      </c>
      <c r="P16" s="132">
        <v>17344.5</v>
      </c>
      <c r="Q16" s="133">
        <v>42522</v>
      </c>
      <c r="T16" s="28">
        <f>7476+6513</f>
        <v>13989</v>
      </c>
      <c r="U16" s="107" t="s">
        <v>680</v>
      </c>
      <c r="V16" s="108">
        <v>13989</v>
      </c>
      <c r="W16" s="318"/>
      <c r="X16" s="131" t="s">
        <v>57</v>
      </c>
      <c r="Y16" s="319">
        <v>7476</v>
      </c>
      <c r="Z16" s="320">
        <v>42549</v>
      </c>
      <c r="AB16" s="33"/>
    </row>
    <row r="17" spans="1:28" ht="15.75" x14ac:dyDescent="0.25">
      <c r="A17" s="106">
        <v>42531</v>
      </c>
      <c r="B17" s="107" t="s">
        <v>616</v>
      </c>
      <c r="C17" s="108">
        <v>32274</v>
      </c>
      <c r="D17" s="104">
        <v>42545</v>
      </c>
      <c r="E17" s="108">
        <v>32274</v>
      </c>
      <c r="F17" s="110">
        <f t="shared" si="0"/>
        <v>0</v>
      </c>
      <c r="K17" s="5">
        <v>12957</v>
      </c>
      <c r="L17" s="251" t="s">
        <v>582</v>
      </c>
      <c r="M17" s="114">
        <v>12957</v>
      </c>
      <c r="N17" s="134"/>
      <c r="O17" s="131" t="s">
        <v>57</v>
      </c>
      <c r="P17" s="135">
        <v>11453</v>
      </c>
      <c r="Q17" s="136">
        <v>42523</v>
      </c>
      <c r="T17" s="17">
        <f>9397.5+26463.5+9331</f>
        <v>45192</v>
      </c>
      <c r="U17" s="107" t="s">
        <v>681</v>
      </c>
      <c r="V17" s="108">
        <v>45227.66</v>
      </c>
      <c r="W17" s="318" t="s">
        <v>172</v>
      </c>
      <c r="X17" s="131" t="s">
        <v>65</v>
      </c>
      <c r="Y17" s="319">
        <v>44624</v>
      </c>
      <c r="Z17" s="320">
        <v>42549</v>
      </c>
      <c r="AB17" s="33"/>
    </row>
    <row r="18" spans="1:28" ht="15.75" x14ac:dyDescent="0.25">
      <c r="A18" s="106">
        <v>42531</v>
      </c>
      <c r="B18" s="107" t="s">
        <v>632</v>
      </c>
      <c r="C18" s="108">
        <v>33670.800000000003</v>
      </c>
      <c r="D18" s="104">
        <v>42545</v>
      </c>
      <c r="E18" s="108">
        <v>33670.800000000003</v>
      </c>
      <c r="F18" s="110">
        <f t="shared" si="0"/>
        <v>0</v>
      </c>
      <c r="K18" s="5">
        <v>2050</v>
      </c>
      <c r="L18" s="251" t="s">
        <v>580</v>
      </c>
      <c r="M18" s="114">
        <v>2050</v>
      </c>
      <c r="N18" s="194"/>
      <c r="O18" s="131" t="s">
        <v>57</v>
      </c>
      <c r="P18" s="114">
        <v>33357</v>
      </c>
      <c r="Q18" s="136">
        <v>42523</v>
      </c>
      <c r="T18" s="28">
        <v>0</v>
      </c>
      <c r="U18" s="107"/>
      <c r="V18" s="108">
        <v>0</v>
      </c>
      <c r="W18" s="318"/>
      <c r="X18" s="131" t="s">
        <v>57</v>
      </c>
      <c r="Y18" s="319">
        <v>9331</v>
      </c>
      <c r="Z18" s="320">
        <v>42550</v>
      </c>
      <c r="AB18" s="33"/>
    </row>
    <row r="19" spans="1:28" ht="16.5" thickBot="1" x14ac:dyDescent="0.3">
      <c r="A19" s="106">
        <v>42531</v>
      </c>
      <c r="B19" s="107" t="s">
        <v>661</v>
      </c>
      <c r="C19" s="108">
        <v>67020.36</v>
      </c>
      <c r="D19" s="104">
        <v>42545</v>
      </c>
      <c r="E19" s="108">
        <v>67020.36</v>
      </c>
      <c r="F19" s="110">
        <f t="shared" si="0"/>
        <v>0</v>
      </c>
      <c r="K19" s="5">
        <f>25109+12950.5+8411.5+6831+48554</f>
        <v>101856</v>
      </c>
      <c r="L19" s="251" t="s">
        <v>581</v>
      </c>
      <c r="M19" s="114">
        <v>101855.8</v>
      </c>
      <c r="N19" s="114"/>
      <c r="O19" s="131" t="s">
        <v>57</v>
      </c>
      <c r="P19" s="114">
        <v>9736</v>
      </c>
      <c r="Q19" s="136">
        <v>42524</v>
      </c>
      <c r="T19" s="28">
        <f>SUM(T3:T18)</f>
        <v>491927.5</v>
      </c>
      <c r="U19" s="189"/>
      <c r="V19" s="207">
        <v>0</v>
      </c>
      <c r="W19" s="341"/>
      <c r="X19" s="342"/>
      <c r="Y19" s="191">
        <v>0</v>
      </c>
      <c r="Z19" s="209"/>
      <c r="AB19" s="34"/>
    </row>
    <row r="20" spans="1:28" ht="16.5" thickTop="1" x14ac:dyDescent="0.25">
      <c r="A20" s="106">
        <v>42532</v>
      </c>
      <c r="B20" s="107" t="s">
        <v>631</v>
      </c>
      <c r="C20" s="108">
        <v>42321.74</v>
      </c>
      <c r="D20" s="104">
        <v>42545</v>
      </c>
      <c r="E20" s="108">
        <v>42321.74</v>
      </c>
      <c r="F20" s="110">
        <f t="shared" si="0"/>
        <v>0</v>
      </c>
      <c r="K20" s="5">
        <f>22653.5+7585+62150</f>
        <v>92388.5</v>
      </c>
      <c r="L20" s="102" t="s">
        <v>584</v>
      </c>
      <c r="M20" s="103">
        <v>104524.7</v>
      </c>
      <c r="N20" s="114"/>
      <c r="O20" s="131" t="s">
        <v>57</v>
      </c>
      <c r="P20" s="135">
        <v>46494</v>
      </c>
      <c r="Q20" s="136">
        <v>42524</v>
      </c>
      <c r="T20" s="33"/>
      <c r="U20" s="88"/>
      <c r="V20" s="51">
        <f>SUM(V3:V19)</f>
        <v>491927.5</v>
      </c>
      <c r="W20" s="326"/>
      <c r="X20" s="148"/>
      <c r="Y20" s="33">
        <f>SUM(Y3:Y19)</f>
        <v>491927.5</v>
      </c>
      <c r="Z20" s="104"/>
      <c r="AA20" s="34"/>
      <c r="AB20" s="34"/>
    </row>
    <row r="21" spans="1:28" ht="15.75" x14ac:dyDescent="0.25">
      <c r="A21" s="106">
        <v>42534</v>
      </c>
      <c r="B21" s="107" t="s">
        <v>633</v>
      </c>
      <c r="C21" s="108">
        <v>21107.7</v>
      </c>
      <c r="D21" s="104">
        <v>42545</v>
      </c>
      <c r="E21" s="108">
        <v>21107.7</v>
      </c>
      <c r="F21" s="110">
        <f t="shared" si="0"/>
        <v>0</v>
      </c>
      <c r="K21" s="306">
        <f>2798.5+23712.5+7723.5+30661.5+8365+11797.5+20722.5+2350</f>
        <v>108131</v>
      </c>
      <c r="L21" s="107" t="s">
        <v>585</v>
      </c>
      <c r="M21" s="108">
        <v>102377.45</v>
      </c>
      <c r="N21" s="115"/>
      <c r="O21" s="131" t="s">
        <v>57</v>
      </c>
      <c r="P21" s="114">
        <v>10687.5</v>
      </c>
      <c r="Q21" s="136">
        <v>42525</v>
      </c>
      <c r="T21" s="33"/>
      <c r="U21" s="88"/>
      <c r="V21" s="51"/>
      <c r="W21" s="326"/>
      <c r="X21" s="148"/>
      <c r="Y21" s="33"/>
      <c r="Z21" s="104"/>
      <c r="AA21" s="34"/>
      <c r="AB21" s="34"/>
    </row>
    <row r="22" spans="1:28" ht="15.75" x14ac:dyDescent="0.25">
      <c r="A22" s="106">
        <v>42534</v>
      </c>
      <c r="B22" s="107" t="s">
        <v>634</v>
      </c>
      <c r="C22" s="108">
        <v>70616.179999999993</v>
      </c>
      <c r="D22" s="104">
        <v>42545</v>
      </c>
      <c r="E22" s="108">
        <v>70616.179999999993</v>
      </c>
      <c r="F22" s="110">
        <f t="shared" si="0"/>
        <v>0</v>
      </c>
      <c r="G22" s="23" t="s">
        <v>23</v>
      </c>
      <c r="K22" s="5">
        <f>7090</f>
        <v>7090</v>
      </c>
      <c r="L22" s="107" t="s">
        <v>586</v>
      </c>
      <c r="M22" s="108">
        <v>55382.34</v>
      </c>
      <c r="N22" s="115" t="s">
        <v>110</v>
      </c>
      <c r="O22" s="131" t="s">
        <v>57</v>
      </c>
      <c r="P22" s="114">
        <v>75292.5</v>
      </c>
      <c r="Q22" s="136">
        <v>42525</v>
      </c>
      <c r="T22" s="33"/>
      <c r="U22" s="88"/>
      <c r="V22" s="51"/>
      <c r="W22" s="326"/>
      <c r="X22" s="148"/>
      <c r="Y22" s="33"/>
      <c r="Z22" s="104"/>
      <c r="AA22" s="34"/>
    </row>
    <row r="23" spans="1:28" ht="15.75" x14ac:dyDescent="0.25">
      <c r="A23" s="106">
        <v>42535</v>
      </c>
      <c r="B23" s="107" t="s">
        <v>635</v>
      </c>
      <c r="C23" s="108">
        <v>33222.300000000003</v>
      </c>
      <c r="D23" s="104">
        <v>42545</v>
      </c>
      <c r="E23" s="108">
        <v>33222.300000000003</v>
      </c>
      <c r="F23" s="110">
        <f t="shared" si="0"/>
        <v>0</v>
      </c>
      <c r="L23" s="107"/>
      <c r="M23" s="108"/>
      <c r="N23" s="115"/>
      <c r="O23" s="131" t="s">
        <v>57</v>
      </c>
      <c r="P23" s="114">
        <v>8411.5</v>
      </c>
      <c r="Q23" s="136">
        <v>42527</v>
      </c>
      <c r="T23" s="33"/>
      <c r="U23" s="88"/>
      <c r="V23" s="51"/>
      <c r="W23" s="326"/>
      <c r="X23" s="148"/>
      <c r="Y23" s="33"/>
      <c r="Z23" s="104"/>
      <c r="AA23" s="34"/>
    </row>
    <row r="24" spans="1:28" ht="15.75" x14ac:dyDescent="0.25">
      <c r="A24" s="106">
        <v>42535</v>
      </c>
      <c r="B24" s="107" t="s">
        <v>636</v>
      </c>
      <c r="C24" s="108">
        <v>32576.98</v>
      </c>
      <c r="D24" s="104">
        <v>42545</v>
      </c>
      <c r="E24" s="108">
        <v>32576.98</v>
      </c>
      <c r="F24" s="110">
        <f t="shared" si="0"/>
        <v>0</v>
      </c>
      <c r="L24" s="107"/>
      <c r="M24" s="108"/>
      <c r="N24" s="115"/>
      <c r="O24" s="131" t="s">
        <v>57</v>
      </c>
      <c r="P24" s="114">
        <v>78038.5</v>
      </c>
      <c r="Q24" s="136">
        <v>42527</v>
      </c>
      <c r="T24" s="33"/>
      <c r="U24" s="88"/>
      <c r="V24" s="51"/>
      <c r="W24" s="326"/>
      <c r="X24" s="148"/>
      <c r="Y24" s="33"/>
      <c r="Z24" s="104"/>
      <c r="AA24" s="34"/>
    </row>
    <row r="25" spans="1:28" ht="15.75" x14ac:dyDescent="0.25">
      <c r="A25" s="106">
        <v>42537</v>
      </c>
      <c r="B25" s="107" t="s">
        <v>647</v>
      </c>
      <c r="C25" s="108">
        <v>43973.2</v>
      </c>
      <c r="D25" s="104">
        <v>42545</v>
      </c>
      <c r="E25" s="108">
        <v>43973.2</v>
      </c>
      <c r="F25" s="110">
        <f t="shared" si="0"/>
        <v>0</v>
      </c>
      <c r="L25" s="107"/>
      <c r="M25" s="108"/>
      <c r="N25" s="115"/>
      <c r="O25" s="131" t="s">
        <v>57</v>
      </c>
      <c r="P25" s="114">
        <v>7585</v>
      </c>
      <c r="Q25" s="136">
        <v>42527</v>
      </c>
      <c r="T25" s="33"/>
      <c r="U25" s="88"/>
      <c r="V25" s="51"/>
      <c r="W25" s="326"/>
      <c r="X25" s="148"/>
      <c r="Y25" s="33"/>
      <c r="Z25" s="104"/>
      <c r="AA25" s="34"/>
    </row>
    <row r="26" spans="1:28" ht="15.75" x14ac:dyDescent="0.25">
      <c r="A26" s="106">
        <v>42537</v>
      </c>
      <c r="B26" s="107" t="s">
        <v>646</v>
      </c>
      <c r="C26" s="108">
        <v>33666.300000000003</v>
      </c>
      <c r="D26" s="104">
        <v>42545</v>
      </c>
      <c r="E26" s="108">
        <v>33666.300000000003</v>
      </c>
      <c r="F26" s="110">
        <f t="shared" si="0"/>
        <v>0</v>
      </c>
      <c r="L26" s="107"/>
      <c r="M26" s="108"/>
      <c r="N26" s="115"/>
      <c r="O26" s="131" t="s">
        <v>57</v>
      </c>
      <c r="P26" s="114">
        <v>7723.5</v>
      </c>
      <c r="Q26" s="136">
        <v>42528</v>
      </c>
      <c r="T26" s="33"/>
      <c r="U26" s="88"/>
      <c r="V26" s="51"/>
      <c r="W26" s="326"/>
      <c r="X26" s="148"/>
      <c r="Y26" s="33"/>
      <c r="Z26" s="104"/>
      <c r="AA26" s="34"/>
    </row>
    <row r="27" spans="1:28" ht="15.75" x14ac:dyDescent="0.25">
      <c r="A27" s="106">
        <v>42537</v>
      </c>
      <c r="B27" s="107" t="s">
        <v>645</v>
      </c>
      <c r="C27" s="108">
        <v>33566.400000000001</v>
      </c>
      <c r="D27" s="104">
        <v>42545</v>
      </c>
      <c r="E27" s="108">
        <v>33566.400000000001</v>
      </c>
      <c r="F27" s="110">
        <f t="shared" si="0"/>
        <v>0</v>
      </c>
      <c r="L27" s="107"/>
      <c r="M27" s="108"/>
      <c r="N27" s="115"/>
      <c r="O27" s="131" t="s">
        <v>57</v>
      </c>
      <c r="P27" s="114">
        <v>77085</v>
      </c>
      <c r="Q27" s="136">
        <v>42527</v>
      </c>
      <c r="T27" s="33"/>
      <c r="U27" s="88"/>
      <c r="V27" s="51"/>
      <c r="W27" s="326"/>
      <c r="X27" s="148"/>
      <c r="Y27" s="33"/>
      <c r="Z27" s="104"/>
      <c r="AA27" s="34"/>
    </row>
    <row r="28" spans="1:28" ht="15.75" x14ac:dyDescent="0.25">
      <c r="A28" s="106">
        <v>42538</v>
      </c>
      <c r="B28" s="107" t="s">
        <v>648</v>
      </c>
      <c r="C28" s="108">
        <v>1166.8</v>
      </c>
      <c r="D28" s="104">
        <v>42551</v>
      </c>
      <c r="E28" s="108">
        <v>1166.8</v>
      </c>
      <c r="F28" s="110">
        <f t="shared" si="0"/>
        <v>0</v>
      </c>
      <c r="L28" s="107"/>
      <c r="M28" s="108"/>
      <c r="N28" s="115"/>
      <c r="O28" s="131" t="s">
        <v>65</v>
      </c>
      <c r="P28" s="114">
        <v>1261</v>
      </c>
      <c r="Q28" s="136">
        <v>42524</v>
      </c>
      <c r="T28" s="47"/>
      <c r="U28" s="34"/>
      <c r="V28" s="47"/>
      <c r="W28" s="34"/>
      <c r="X28" s="148"/>
      <c r="Y28" s="86"/>
      <c r="Z28" s="205"/>
      <c r="AA28" s="34"/>
    </row>
    <row r="29" spans="1:28" ht="15.75" x14ac:dyDescent="0.25">
      <c r="A29" s="106">
        <v>42538</v>
      </c>
      <c r="B29" s="107" t="s">
        <v>649</v>
      </c>
      <c r="C29" s="108">
        <v>15540.9</v>
      </c>
      <c r="D29" s="104">
        <v>42551</v>
      </c>
      <c r="E29" s="108">
        <v>15540.9</v>
      </c>
      <c r="F29" s="110">
        <f t="shared" si="0"/>
        <v>0</v>
      </c>
      <c r="L29" s="107"/>
      <c r="M29" s="108"/>
      <c r="N29" s="115"/>
      <c r="O29" s="131" t="s">
        <v>65</v>
      </c>
      <c r="P29" s="114">
        <v>1176.5</v>
      </c>
      <c r="Q29" s="136">
        <v>42510</v>
      </c>
      <c r="T29" s="47"/>
      <c r="U29" s="34"/>
      <c r="V29" s="339"/>
      <c r="W29" s="339"/>
      <c r="X29" s="339"/>
      <c r="Y29" s="340"/>
      <c r="Z29" s="34"/>
      <c r="AA29" s="34"/>
    </row>
    <row r="30" spans="1:28" ht="15.75" x14ac:dyDescent="0.25">
      <c r="A30" s="106">
        <v>42538</v>
      </c>
      <c r="B30" s="107" t="s">
        <v>650</v>
      </c>
      <c r="C30" s="108">
        <v>36104.18</v>
      </c>
      <c r="D30" s="104">
        <v>42551</v>
      </c>
      <c r="E30" s="108">
        <v>36104.18</v>
      </c>
      <c r="F30" s="110">
        <f t="shared" si="0"/>
        <v>0</v>
      </c>
      <c r="L30" s="107"/>
      <c r="M30" s="108"/>
      <c r="N30" s="115"/>
      <c r="O30" s="131" t="s">
        <v>65</v>
      </c>
      <c r="P30" s="114">
        <v>1948</v>
      </c>
      <c r="Q30" s="136">
        <v>42511</v>
      </c>
      <c r="T30" s="34"/>
      <c r="U30" s="34"/>
      <c r="V30" s="34"/>
      <c r="W30" s="34"/>
      <c r="X30" s="34"/>
      <c r="Y30" s="34"/>
      <c r="Z30" s="34"/>
      <c r="AA30" s="34"/>
    </row>
    <row r="31" spans="1:28" ht="15.75" x14ac:dyDescent="0.25">
      <c r="A31" s="106">
        <v>42538</v>
      </c>
      <c r="B31" s="107" t="s">
        <v>651</v>
      </c>
      <c r="C31" s="108">
        <v>36594.480000000003</v>
      </c>
      <c r="D31" s="104">
        <v>42551</v>
      </c>
      <c r="E31" s="108">
        <v>36594.480000000003</v>
      </c>
      <c r="F31" s="110">
        <f t="shared" si="0"/>
        <v>0</v>
      </c>
      <c r="L31" s="107"/>
      <c r="M31" s="108"/>
      <c r="N31" s="115"/>
      <c r="O31" s="131" t="s">
        <v>65</v>
      </c>
      <c r="P31" s="114">
        <v>4102.5</v>
      </c>
      <c r="Q31" s="136">
        <v>42516</v>
      </c>
      <c r="T31" s="34"/>
      <c r="U31" s="34"/>
      <c r="V31" s="34"/>
      <c r="W31" s="34"/>
      <c r="X31" s="34"/>
      <c r="Y31" s="34"/>
      <c r="Z31" s="34"/>
      <c r="AA31" s="34"/>
    </row>
    <row r="32" spans="1:28" ht="15.75" x14ac:dyDescent="0.25">
      <c r="A32" s="106">
        <v>42538</v>
      </c>
      <c r="B32" s="107" t="s">
        <v>652</v>
      </c>
      <c r="C32" s="108">
        <v>72658.559999999998</v>
      </c>
      <c r="D32" s="104" t="s">
        <v>690</v>
      </c>
      <c r="E32" s="108">
        <f>7372.5+49173.5+16112.56</f>
        <v>72658.559999999998</v>
      </c>
      <c r="F32" s="110">
        <f t="shared" si="0"/>
        <v>0</v>
      </c>
      <c r="L32" s="107"/>
      <c r="M32" s="108"/>
      <c r="N32" s="115"/>
      <c r="O32" s="131" t="s">
        <v>65</v>
      </c>
      <c r="P32" s="114">
        <v>3088</v>
      </c>
      <c r="Q32" s="136">
        <v>42520</v>
      </c>
    </row>
    <row r="33" spans="1:17" ht="15.75" x14ac:dyDescent="0.25">
      <c r="A33" s="106">
        <v>42539</v>
      </c>
      <c r="B33" s="107" t="s">
        <v>653</v>
      </c>
      <c r="C33" s="108">
        <v>45896.71</v>
      </c>
      <c r="D33" s="104" t="s">
        <v>690</v>
      </c>
      <c r="E33" s="108">
        <f>16752.93+29143.78</f>
        <v>45896.71</v>
      </c>
      <c r="F33" s="110">
        <f t="shared" si="0"/>
        <v>0</v>
      </c>
      <c r="L33" s="107"/>
      <c r="M33" s="108"/>
      <c r="N33" s="115"/>
      <c r="O33" s="131" t="s">
        <v>57</v>
      </c>
      <c r="P33" s="114">
        <v>11797.5</v>
      </c>
      <c r="Q33" s="136">
        <v>42529</v>
      </c>
    </row>
    <row r="34" spans="1:17" ht="15.75" x14ac:dyDescent="0.25">
      <c r="A34" s="106">
        <v>42539</v>
      </c>
      <c r="B34" s="107" t="s">
        <v>654</v>
      </c>
      <c r="C34" s="108">
        <v>37921.26</v>
      </c>
      <c r="D34" s="104">
        <v>42545</v>
      </c>
      <c r="E34" s="108">
        <v>37921.26</v>
      </c>
      <c r="F34" s="110">
        <f t="shared" si="0"/>
        <v>0</v>
      </c>
      <c r="L34" s="107"/>
      <c r="M34" s="108"/>
      <c r="N34" s="115"/>
      <c r="O34" s="131" t="s">
        <v>57</v>
      </c>
      <c r="P34" s="114">
        <v>39026.5</v>
      </c>
      <c r="Q34" s="136">
        <v>42528</v>
      </c>
    </row>
    <row r="35" spans="1:17" ht="15.75" x14ac:dyDescent="0.25">
      <c r="A35" s="106">
        <v>42540</v>
      </c>
      <c r="B35" s="107" t="s">
        <v>655</v>
      </c>
      <c r="C35" s="108">
        <v>46903.1</v>
      </c>
      <c r="D35" s="104">
        <v>42551</v>
      </c>
      <c r="E35" s="108">
        <v>46903.1</v>
      </c>
      <c r="F35" s="110">
        <f t="shared" si="0"/>
        <v>0</v>
      </c>
      <c r="L35" s="107"/>
      <c r="M35" s="108"/>
      <c r="N35" s="115"/>
      <c r="O35" s="137" t="s">
        <v>57</v>
      </c>
      <c r="P35" s="114">
        <v>23072.5</v>
      </c>
      <c r="Q35" s="136">
        <v>42529</v>
      </c>
    </row>
    <row r="36" spans="1:17" ht="15.75" thickBot="1" x14ac:dyDescent="0.3">
      <c r="A36" s="106">
        <v>42541</v>
      </c>
      <c r="B36" s="107" t="s">
        <v>656</v>
      </c>
      <c r="C36" s="108">
        <v>3907.32</v>
      </c>
      <c r="D36" s="104">
        <v>42551</v>
      </c>
      <c r="E36" s="108">
        <v>3907.32</v>
      </c>
      <c r="F36" s="110">
        <f t="shared" si="0"/>
        <v>0</v>
      </c>
      <c r="L36" s="153"/>
      <c r="M36" s="154"/>
      <c r="N36" s="314"/>
      <c r="O36" s="310" t="s">
        <v>57</v>
      </c>
      <c r="P36" s="311">
        <v>7090</v>
      </c>
      <c r="Q36" s="312">
        <v>42530</v>
      </c>
    </row>
    <row r="37" spans="1:17" ht="16.5" thickBot="1" x14ac:dyDescent="0.3">
      <c r="A37" s="106">
        <v>42543</v>
      </c>
      <c r="B37" s="107" t="s">
        <v>675</v>
      </c>
      <c r="C37" s="108">
        <v>45524.08</v>
      </c>
      <c r="D37" s="104">
        <v>42551</v>
      </c>
      <c r="E37" s="108">
        <v>45524.08</v>
      </c>
      <c r="F37" s="110">
        <f t="shared" si="0"/>
        <v>0</v>
      </c>
      <c r="L37" s="189"/>
      <c r="M37" s="207"/>
      <c r="N37" s="119"/>
      <c r="O37" s="190" t="s">
        <v>57</v>
      </c>
      <c r="P37" s="191">
        <v>0</v>
      </c>
      <c r="Q37" s="209"/>
    </row>
    <row r="38" spans="1:17" ht="16.5" thickTop="1" x14ac:dyDescent="0.25">
      <c r="A38" s="106">
        <v>42543</v>
      </c>
      <c r="B38" s="107" t="s">
        <v>676</v>
      </c>
      <c r="C38" s="108">
        <v>39345.24</v>
      </c>
      <c r="D38" s="104">
        <v>42551</v>
      </c>
      <c r="E38" s="108">
        <v>39345.24</v>
      </c>
      <c r="F38" s="110">
        <f t="shared" si="0"/>
        <v>0</v>
      </c>
      <c r="H38" s="23"/>
      <c r="K38" s="146">
        <f>SUM(K3:K37)</f>
        <v>875805.5</v>
      </c>
      <c r="L38" s="146"/>
      <c r="M38" s="146">
        <f>SUM(M3:M37)</f>
        <v>875805.49999999988</v>
      </c>
      <c r="N38" s="146"/>
      <c r="O38" s="146"/>
      <c r="P38" s="147">
        <f>SUM(P3:P37)</f>
        <v>875805.5</v>
      </c>
    </row>
    <row r="39" spans="1:17" x14ac:dyDescent="0.25">
      <c r="A39" s="106">
        <v>42544</v>
      </c>
      <c r="B39" s="107" t="s">
        <v>685</v>
      </c>
      <c r="C39" s="108">
        <v>48873.2</v>
      </c>
      <c r="D39" s="104">
        <v>42551</v>
      </c>
      <c r="E39" s="108">
        <v>48873.2</v>
      </c>
      <c r="F39" s="110">
        <f t="shared" si="0"/>
        <v>0</v>
      </c>
      <c r="H39" s="23"/>
    </row>
    <row r="40" spans="1:17" x14ac:dyDescent="0.25">
      <c r="A40" s="106">
        <v>42544</v>
      </c>
      <c r="B40" s="107" t="s">
        <v>679</v>
      </c>
      <c r="C40" s="108">
        <v>112922.2</v>
      </c>
      <c r="D40" s="180" t="s">
        <v>761</v>
      </c>
      <c r="E40" s="181">
        <f>112012+910.2</f>
        <v>112922.2</v>
      </c>
      <c r="F40" s="110">
        <f t="shared" si="0"/>
        <v>0</v>
      </c>
      <c r="H40" s="23"/>
    </row>
    <row r="41" spans="1:17" x14ac:dyDescent="0.25">
      <c r="A41" s="106">
        <v>42545</v>
      </c>
      <c r="B41" s="107" t="s">
        <v>678</v>
      </c>
      <c r="C41" s="108">
        <v>1483.2</v>
      </c>
      <c r="D41" s="104">
        <v>42551</v>
      </c>
      <c r="E41" s="108">
        <v>1483.2</v>
      </c>
      <c r="F41" s="110">
        <f t="shared" si="0"/>
        <v>0</v>
      </c>
      <c r="H41" s="23"/>
    </row>
    <row r="42" spans="1:17" ht="15.75" x14ac:dyDescent="0.25">
      <c r="A42" s="106">
        <v>42545</v>
      </c>
      <c r="B42" s="107" t="s">
        <v>680</v>
      </c>
      <c r="C42" s="108">
        <v>13989</v>
      </c>
      <c r="D42" s="104">
        <v>42551</v>
      </c>
      <c r="E42" s="108">
        <v>13989</v>
      </c>
      <c r="F42" s="110">
        <f t="shared" si="0"/>
        <v>0</v>
      </c>
      <c r="H42" s="23"/>
      <c r="L42" s="104"/>
      <c r="M42" s="330">
        <v>42545</v>
      </c>
      <c r="N42" s="124"/>
      <c r="O42" s="125" t="s">
        <v>56</v>
      </c>
      <c r="P42" s="33"/>
    </row>
    <row r="43" spans="1:17" ht="15.75" thickBot="1" x14ac:dyDescent="0.3">
      <c r="A43" s="106">
        <v>42546</v>
      </c>
      <c r="B43" s="107" t="s">
        <v>681</v>
      </c>
      <c r="C43" s="108">
        <v>53697.8</v>
      </c>
      <c r="D43" s="180" t="s">
        <v>761</v>
      </c>
      <c r="E43" s="181">
        <f>45227.66+8470.14</f>
        <v>53697.8</v>
      </c>
      <c r="F43" s="110">
        <f t="shared" si="0"/>
        <v>0</v>
      </c>
      <c r="H43" s="23"/>
      <c r="K43" s="5">
        <v>6382.5</v>
      </c>
      <c r="L43" s="317">
        <v>19107</v>
      </c>
      <c r="M43" s="127"/>
      <c r="N43" s="127"/>
      <c r="O43" s="127"/>
      <c r="P43" s="128"/>
      <c r="Q43" s="129"/>
    </row>
    <row r="44" spans="1:17" ht="16.5" thickTop="1" x14ac:dyDescent="0.25">
      <c r="A44" s="106">
        <v>42546</v>
      </c>
      <c r="B44" s="107" t="s">
        <v>682</v>
      </c>
      <c r="C44" s="108">
        <v>42189</v>
      </c>
      <c r="D44" s="180">
        <v>42565</v>
      </c>
      <c r="E44" s="181">
        <v>42189</v>
      </c>
      <c r="F44" s="110">
        <f t="shared" si="0"/>
        <v>0</v>
      </c>
      <c r="H44" s="23"/>
      <c r="K44" s="96">
        <f>36107+12630.5+10734.5+53298.5</f>
        <v>112770.5</v>
      </c>
      <c r="L44" s="107" t="s">
        <v>586</v>
      </c>
      <c r="M44" s="108">
        <v>64478.36</v>
      </c>
      <c r="N44" s="259" t="s">
        <v>63</v>
      </c>
      <c r="O44" s="131" t="s">
        <v>57</v>
      </c>
      <c r="P44" s="132">
        <v>55120</v>
      </c>
      <c r="Q44" s="133">
        <v>42530</v>
      </c>
    </row>
    <row r="45" spans="1:17" ht="15.75" x14ac:dyDescent="0.25">
      <c r="A45" s="106">
        <v>42546</v>
      </c>
      <c r="B45" s="107" t="s">
        <v>683</v>
      </c>
      <c r="C45" s="108">
        <v>73558.509999999995</v>
      </c>
      <c r="D45" s="180">
        <v>42565</v>
      </c>
      <c r="E45" s="181">
        <v>73558.509999999995</v>
      </c>
      <c r="F45" s="110">
        <f t="shared" si="0"/>
        <v>0</v>
      </c>
      <c r="H45" s="23"/>
      <c r="K45" s="28">
        <v>9145</v>
      </c>
      <c r="L45" s="107" t="s">
        <v>613</v>
      </c>
      <c r="M45" s="108">
        <v>9144.7999999999993</v>
      </c>
      <c r="N45" s="259"/>
      <c r="O45" s="131" t="s">
        <v>57</v>
      </c>
      <c r="P45" s="132">
        <v>10734.5</v>
      </c>
      <c r="Q45" s="133">
        <v>42531</v>
      </c>
    </row>
    <row r="46" spans="1:17" ht="15.75" x14ac:dyDescent="0.25">
      <c r="A46" s="106">
        <v>42547</v>
      </c>
      <c r="B46" s="107" t="s">
        <v>684</v>
      </c>
      <c r="C46" s="108">
        <v>1200</v>
      </c>
      <c r="D46" s="180">
        <v>42565</v>
      </c>
      <c r="E46" s="181">
        <v>1200</v>
      </c>
      <c r="F46" s="110">
        <f t="shared" si="0"/>
        <v>0</v>
      </c>
      <c r="H46" s="23"/>
      <c r="K46" s="96">
        <f>922+6518.5+4864.5</f>
        <v>12305</v>
      </c>
      <c r="L46" s="107" t="s">
        <v>607</v>
      </c>
      <c r="M46" s="108">
        <v>12305</v>
      </c>
      <c r="N46" s="130"/>
      <c r="O46" s="278" t="s">
        <v>57</v>
      </c>
      <c r="P46" s="132">
        <v>63365.5</v>
      </c>
      <c r="Q46" s="133">
        <v>42531</v>
      </c>
    </row>
    <row r="47" spans="1:17" ht="15.75" x14ac:dyDescent="0.25">
      <c r="A47" s="106">
        <v>42548</v>
      </c>
      <c r="B47" s="107" t="s">
        <v>686</v>
      </c>
      <c r="C47" s="108">
        <v>41852.79</v>
      </c>
      <c r="D47" s="180">
        <v>42565</v>
      </c>
      <c r="E47" s="181">
        <v>41852.79</v>
      </c>
      <c r="F47" s="110">
        <f t="shared" si="0"/>
        <v>0</v>
      </c>
      <c r="H47" s="23"/>
      <c r="K47" s="96">
        <v>3055</v>
      </c>
      <c r="L47" s="107" t="s">
        <v>608</v>
      </c>
      <c r="M47" s="108">
        <v>3055</v>
      </c>
      <c r="N47" s="130"/>
      <c r="O47" s="131" t="s">
        <v>57</v>
      </c>
      <c r="P47" s="132">
        <v>6518.5</v>
      </c>
      <c r="Q47" s="133">
        <v>42532</v>
      </c>
    </row>
    <row r="48" spans="1:17" ht="15.75" x14ac:dyDescent="0.25">
      <c r="A48" s="106">
        <v>42549</v>
      </c>
      <c r="B48" s="107" t="s">
        <v>687</v>
      </c>
      <c r="C48" s="108">
        <v>39515.67</v>
      </c>
      <c r="D48" s="180">
        <v>42565</v>
      </c>
      <c r="E48" s="181">
        <v>39515.67</v>
      </c>
      <c r="F48" s="110">
        <f t="shared" si="0"/>
        <v>0</v>
      </c>
      <c r="H48" s="23"/>
      <c r="K48" s="96">
        <v>19350</v>
      </c>
      <c r="L48" s="107" t="s">
        <v>609</v>
      </c>
      <c r="M48" s="108">
        <v>19349.900000000001</v>
      </c>
      <c r="N48" s="134"/>
      <c r="O48" s="131" t="s">
        <v>57</v>
      </c>
      <c r="P48" s="132">
        <v>74531.5</v>
      </c>
      <c r="Q48" s="133">
        <v>42532</v>
      </c>
    </row>
    <row r="49" spans="1:17" ht="15.75" x14ac:dyDescent="0.25">
      <c r="A49" s="106">
        <v>42550</v>
      </c>
      <c r="B49" s="107" t="s">
        <v>691</v>
      </c>
      <c r="C49" s="108">
        <v>44228.3</v>
      </c>
      <c r="D49" s="180">
        <v>42565</v>
      </c>
      <c r="E49" s="181">
        <v>44228.3</v>
      </c>
      <c r="F49" s="110">
        <f t="shared" si="0"/>
        <v>0</v>
      </c>
      <c r="H49" s="23"/>
      <c r="K49" s="96">
        <f>33261+14001+7041.5+38278+5274.5</f>
        <v>97856</v>
      </c>
      <c r="L49" s="107" t="s">
        <v>610</v>
      </c>
      <c r="M49" s="108">
        <v>97855.8</v>
      </c>
      <c r="N49" s="134"/>
      <c r="O49" s="131" t="s">
        <v>57</v>
      </c>
      <c r="P49" s="132">
        <v>7041.5</v>
      </c>
      <c r="Q49" s="133">
        <v>42534</v>
      </c>
    </row>
    <row r="50" spans="1:17" ht="15.75" x14ac:dyDescent="0.25">
      <c r="A50" s="106">
        <v>42550</v>
      </c>
      <c r="B50" s="107" t="s">
        <v>688</v>
      </c>
      <c r="C50" s="108">
        <v>37006.6</v>
      </c>
      <c r="D50" s="180">
        <v>42565</v>
      </c>
      <c r="E50" s="181">
        <v>37006.6</v>
      </c>
      <c r="F50" s="110">
        <f t="shared" si="0"/>
        <v>0</v>
      </c>
      <c r="K50" s="96">
        <v>15583</v>
      </c>
      <c r="L50" s="107" t="s">
        <v>611</v>
      </c>
      <c r="M50" s="108">
        <v>15583.14</v>
      </c>
      <c r="N50" s="298"/>
      <c r="O50" s="131" t="s">
        <v>65</v>
      </c>
      <c r="P50" s="132">
        <v>2256</v>
      </c>
      <c r="Q50" s="133">
        <v>42527</v>
      </c>
    </row>
    <row r="51" spans="1:17" ht="15.75" x14ac:dyDescent="0.25">
      <c r="A51" s="106">
        <v>42551</v>
      </c>
      <c r="B51" s="107" t="s">
        <v>689</v>
      </c>
      <c r="C51" s="108">
        <v>48135.74</v>
      </c>
      <c r="D51" s="180">
        <v>42565</v>
      </c>
      <c r="E51" s="181">
        <v>48135.74</v>
      </c>
      <c r="F51" s="110">
        <f t="shared" si="0"/>
        <v>0</v>
      </c>
      <c r="K51" s="96">
        <v>6365</v>
      </c>
      <c r="L51" s="107" t="s">
        <v>614</v>
      </c>
      <c r="M51" s="108">
        <v>6365</v>
      </c>
      <c r="N51" s="134"/>
      <c r="O51" s="131" t="s">
        <v>57</v>
      </c>
      <c r="P51" s="135">
        <v>88708</v>
      </c>
      <c r="Q51" s="136">
        <v>42534</v>
      </c>
    </row>
    <row r="52" spans="1:17" ht="15.75" x14ac:dyDescent="0.25">
      <c r="A52" s="106"/>
      <c r="B52" s="112"/>
      <c r="C52" s="113"/>
      <c r="D52" s="104"/>
      <c r="E52" s="108"/>
      <c r="F52" s="110">
        <f t="shared" si="0"/>
        <v>0</v>
      </c>
      <c r="K52" s="28">
        <f>25464+4865.5+2682</f>
        <v>33011.5</v>
      </c>
      <c r="L52" s="107" t="s">
        <v>615</v>
      </c>
      <c r="M52" s="108">
        <v>33011.449999999997</v>
      </c>
      <c r="N52" s="194"/>
      <c r="O52" s="131" t="s">
        <v>57</v>
      </c>
      <c r="P52" s="114">
        <v>4865</v>
      </c>
      <c r="Q52" s="136">
        <v>42534</v>
      </c>
    </row>
    <row r="53" spans="1:17" ht="15.75" x14ac:dyDescent="0.25">
      <c r="A53" s="106"/>
      <c r="B53" s="112"/>
      <c r="C53" s="113"/>
      <c r="D53" s="104"/>
      <c r="E53" s="108"/>
      <c r="F53" s="110">
        <f t="shared" si="0"/>
        <v>0</v>
      </c>
      <c r="K53" s="28">
        <f>12004.5+21039</f>
        <v>33043.5</v>
      </c>
      <c r="L53" s="107" t="s">
        <v>612</v>
      </c>
      <c r="M53" s="108">
        <v>33043.4</v>
      </c>
      <c r="N53" s="318"/>
      <c r="O53" s="131" t="s">
        <v>57</v>
      </c>
      <c r="P53" s="319">
        <v>74135</v>
      </c>
      <c r="Q53" s="320">
        <v>42534</v>
      </c>
    </row>
    <row r="54" spans="1:17" ht="15.75" x14ac:dyDescent="0.25">
      <c r="A54" s="106"/>
      <c r="B54" s="112"/>
      <c r="C54" s="113"/>
      <c r="D54" s="104"/>
      <c r="E54" s="108"/>
      <c r="F54" s="110">
        <f t="shared" si="0"/>
        <v>0</v>
      </c>
      <c r="K54" s="28">
        <v>32274</v>
      </c>
      <c r="L54" s="107" t="s">
        <v>616</v>
      </c>
      <c r="M54" s="108">
        <v>32274</v>
      </c>
      <c r="N54" s="318"/>
      <c r="O54" s="131" t="s">
        <v>57</v>
      </c>
      <c r="P54" s="319">
        <v>7049.5</v>
      </c>
      <c r="Q54" s="320">
        <v>42535</v>
      </c>
    </row>
    <row r="55" spans="1:17" ht="15.75" x14ac:dyDescent="0.25">
      <c r="A55" s="106"/>
      <c r="B55" s="112"/>
      <c r="C55" s="113"/>
      <c r="D55" s="104"/>
      <c r="E55" s="108"/>
      <c r="F55" s="110">
        <f t="shared" si="0"/>
        <v>0</v>
      </c>
      <c r="K55" s="28">
        <f>6135.5+7049.5+7375+13111</f>
        <v>33671</v>
      </c>
      <c r="L55" s="107" t="s">
        <v>632</v>
      </c>
      <c r="M55" s="108">
        <v>33670.800000000003</v>
      </c>
      <c r="N55" s="318"/>
      <c r="O55" s="131" t="s">
        <v>57</v>
      </c>
      <c r="P55" s="319">
        <v>43850.5</v>
      </c>
      <c r="Q55" s="320">
        <v>42535</v>
      </c>
    </row>
    <row r="56" spans="1:17" ht="15.75" x14ac:dyDescent="0.25">
      <c r="A56" s="106"/>
      <c r="B56" s="112"/>
      <c r="C56" s="113"/>
      <c r="D56" s="104"/>
      <c r="E56" s="108"/>
      <c r="F56" s="110">
        <f t="shared" si="0"/>
        <v>0</v>
      </c>
      <c r="K56" s="28">
        <f>36475.5+739+6701.5+23104.5</f>
        <v>67020.5</v>
      </c>
      <c r="L56" s="107" t="s">
        <v>661</v>
      </c>
      <c r="M56" s="108">
        <v>67020.36</v>
      </c>
      <c r="N56" s="318"/>
      <c r="O56" s="131" t="s">
        <v>57</v>
      </c>
      <c r="P56" s="319">
        <v>13850</v>
      </c>
      <c r="Q56" s="320">
        <v>42536</v>
      </c>
    </row>
    <row r="57" spans="1:17" ht="15.75" x14ac:dyDescent="0.25">
      <c r="A57" s="106"/>
      <c r="B57" s="112"/>
      <c r="C57" s="113"/>
      <c r="D57" s="104"/>
      <c r="E57" s="108"/>
      <c r="F57" s="110">
        <f t="shared" si="0"/>
        <v>0</v>
      </c>
      <c r="K57" s="28">
        <f>294+10160+31403.5+464.5</f>
        <v>42322</v>
      </c>
      <c r="L57" s="107" t="s">
        <v>631</v>
      </c>
      <c r="M57" s="108">
        <v>42321.74</v>
      </c>
      <c r="N57" s="318"/>
      <c r="O57" s="131" t="s">
        <v>57</v>
      </c>
      <c r="P57" s="319">
        <v>6701.5</v>
      </c>
      <c r="Q57" s="320">
        <v>42536</v>
      </c>
    </row>
    <row r="58" spans="1:17" ht="15.75" x14ac:dyDescent="0.25">
      <c r="A58" s="106"/>
      <c r="B58" s="112"/>
      <c r="C58" s="113"/>
      <c r="D58" s="104"/>
      <c r="E58" s="108"/>
      <c r="F58" s="110">
        <f t="shared" si="0"/>
        <v>0</v>
      </c>
      <c r="K58" s="28">
        <f>8436.5+9723.5+2947.5</f>
        <v>21107.5</v>
      </c>
      <c r="L58" s="107" t="s">
        <v>633</v>
      </c>
      <c r="M58" s="108">
        <v>21107.7</v>
      </c>
      <c r="N58" s="318"/>
      <c r="O58" s="131" t="s">
        <v>57</v>
      </c>
      <c r="P58" s="319">
        <v>23398.5</v>
      </c>
      <c r="Q58" s="320">
        <v>42536</v>
      </c>
    </row>
    <row r="59" spans="1:17" ht="15.75" x14ac:dyDescent="0.25">
      <c r="A59" s="106"/>
      <c r="B59" s="112"/>
      <c r="C59" s="113"/>
      <c r="D59" s="104"/>
      <c r="E59" s="108"/>
      <c r="F59" s="110">
        <f t="shared" si="0"/>
        <v>0</v>
      </c>
      <c r="K59" s="28">
        <f>27981.5+7683+6853.5+13051+15047</f>
        <v>70616</v>
      </c>
      <c r="L59" s="107" t="s">
        <v>634</v>
      </c>
      <c r="M59" s="108">
        <v>70616.179999999993</v>
      </c>
      <c r="N59" s="318"/>
      <c r="O59" s="131" t="s">
        <v>57</v>
      </c>
      <c r="P59" s="319">
        <v>10160</v>
      </c>
      <c r="Q59" s="320">
        <v>42537</v>
      </c>
    </row>
    <row r="60" spans="1:17" ht="15.75" x14ac:dyDescent="0.25">
      <c r="A60" s="106"/>
      <c r="B60" s="112"/>
      <c r="C60" s="113"/>
      <c r="D60" s="104"/>
      <c r="E60" s="108"/>
      <c r="F60" s="110">
        <f t="shared" si="0"/>
        <v>0</v>
      </c>
      <c r="K60" s="28">
        <v>33222.5</v>
      </c>
      <c r="L60" s="107" t="s">
        <v>635</v>
      </c>
      <c r="M60" s="108">
        <v>33222.300000000003</v>
      </c>
      <c r="N60" s="318"/>
      <c r="O60" s="131" t="s">
        <v>57</v>
      </c>
      <c r="P60" s="319">
        <v>39840</v>
      </c>
      <c r="Q60" s="320">
        <v>42537</v>
      </c>
    </row>
    <row r="61" spans="1:17" ht="15.75" x14ac:dyDescent="0.25">
      <c r="A61" s="106"/>
      <c r="B61" s="112"/>
      <c r="C61" s="113"/>
      <c r="D61" s="104"/>
      <c r="E61" s="108"/>
      <c r="F61" s="110">
        <f t="shared" si="0"/>
        <v>0</v>
      </c>
      <c r="K61" s="28">
        <f>15826+6762.5+9988.5</f>
        <v>32577</v>
      </c>
      <c r="L61" s="107" t="s">
        <v>636</v>
      </c>
      <c r="M61" s="108">
        <v>32576.98</v>
      </c>
      <c r="N61" s="318"/>
      <c r="O61" s="131" t="s">
        <v>57</v>
      </c>
      <c r="P61" s="319">
        <v>9723.5</v>
      </c>
      <c r="Q61" s="320">
        <v>42538</v>
      </c>
    </row>
    <row r="62" spans="1:17" ht="15.75" x14ac:dyDescent="0.25">
      <c r="A62" s="106"/>
      <c r="B62" s="112"/>
      <c r="C62" s="113"/>
      <c r="D62" s="104"/>
      <c r="E62" s="108"/>
      <c r="F62" s="110">
        <f t="shared" si="0"/>
        <v>0</v>
      </c>
      <c r="K62" s="28">
        <f>21013.5+22959.5</f>
        <v>43973</v>
      </c>
      <c r="L62" s="107" t="s">
        <v>647</v>
      </c>
      <c r="M62" s="108">
        <v>43973.2</v>
      </c>
      <c r="N62" s="318"/>
      <c r="O62" s="131" t="s">
        <v>57</v>
      </c>
      <c r="P62" s="319">
        <v>39076.5</v>
      </c>
      <c r="Q62" s="320">
        <v>42538</v>
      </c>
    </row>
    <row r="63" spans="1:17" ht="15.75" x14ac:dyDescent="0.25">
      <c r="A63" s="106"/>
      <c r="B63" s="112"/>
      <c r="C63" s="113"/>
      <c r="D63" s="104"/>
      <c r="E63" s="108"/>
      <c r="F63" s="110">
        <f t="shared" si="0"/>
        <v>0</v>
      </c>
      <c r="K63" s="28">
        <v>33666.5</v>
      </c>
      <c r="L63" s="107" t="s">
        <v>646</v>
      </c>
      <c r="M63" s="108">
        <v>33666.300000000003</v>
      </c>
      <c r="N63" s="318"/>
      <c r="O63" s="131" t="s">
        <v>57</v>
      </c>
      <c r="P63" s="319">
        <v>6853.5</v>
      </c>
      <c r="Q63" s="320">
        <v>42539</v>
      </c>
    </row>
    <row r="64" spans="1:17" ht="15.75" x14ac:dyDescent="0.25">
      <c r="A64" s="106"/>
      <c r="B64" s="112"/>
      <c r="C64" s="113"/>
      <c r="D64" s="104"/>
      <c r="E64" s="108"/>
      <c r="F64" s="110">
        <f t="shared" si="0"/>
        <v>0</v>
      </c>
      <c r="K64" s="28">
        <f>6689.5+7287.5+7755+11834</f>
        <v>33566</v>
      </c>
      <c r="L64" s="107" t="s">
        <v>645</v>
      </c>
      <c r="M64" s="108">
        <v>33566.400000000001</v>
      </c>
      <c r="N64" s="318"/>
      <c r="O64" s="131" t="s">
        <v>57</v>
      </c>
      <c r="P64" s="319">
        <v>77146.5</v>
      </c>
      <c r="Q64" s="320">
        <v>42539</v>
      </c>
    </row>
    <row r="65" spans="1:17" ht="15.75" x14ac:dyDescent="0.25">
      <c r="A65" s="106"/>
      <c r="B65" s="112"/>
      <c r="C65" s="113"/>
      <c r="D65" s="104"/>
      <c r="E65" s="108"/>
      <c r="F65" s="110">
        <f t="shared" si="0"/>
        <v>0</v>
      </c>
      <c r="K65" s="28">
        <f>49173.5+7372.5</f>
        <v>56546</v>
      </c>
      <c r="L65" s="107" t="s">
        <v>652</v>
      </c>
      <c r="M65" s="108">
        <v>56546</v>
      </c>
      <c r="N65" s="318" t="s">
        <v>110</v>
      </c>
      <c r="O65" s="131" t="s">
        <v>57</v>
      </c>
      <c r="P65" s="319">
        <v>6762.5</v>
      </c>
      <c r="Q65" s="320">
        <v>42541</v>
      </c>
    </row>
    <row r="66" spans="1:17" ht="15.75" x14ac:dyDescent="0.25">
      <c r="A66" s="106"/>
      <c r="B66" s="112"/>
      <c r="C66" s="113"/>
      <c r="D66" s="104"/>
      <c r="E66" s="108"/>
      <c r="F66" s="110">
        <f t="shared" si="0"/>
        <v>0</v>
      </c>
      <c r="K66" s="332"/>
      <c r="L66" s="107" t="s">
        <v>654</v>
      </c>
      <c r="M66" s="108">
        <v>37921.26</v>
      </c>
      <c r="N66" s="318"/>
      <c r="O66" s="131" t="s">
        <v>57</v>
      </c>
      <c r="P66" s="319">
        <v>94317.5</v>
      </c>
      <c r="Q66" s="320">
        <v>42541</v>
      </c>
    </row>
    <row r="67" spans="1:17" ht="15.75" x14ac:dyDescent="0.25">
      <c r="A67" s="106"/>
      <c r="B67" s="112"/>
      <c r="C67" s="113"/>
      <c r="D67" s="104"/>
      <c r="E67" s="108"/>
      <c r="F67" s="110">
        <f t="shared" si="0"/>
        <v>0</v>
      </c>
      <c r="K67" s="332"/>
      <c r="L67" s="107" t="s">
        <v>653</v>
      </c>
      <c r="M67" s="108">
        <v>16752.93</v>
      </c>
      <c r="N67" s="318" t="s">
        <v>172</v>
      </c>
      <c r="O67" s="131" t="s">
        <v>57</v>
      </c>
      <c r="P67" s="319">
        <v>7287.5</v>
      </c>
      <c r="Q67" s="320">
        <v>42541</v>
      </c>
    </row>
    <row r="68" spans="1:17" ht="15.75" x14ac:dyDescent="0.25">
      <c r="A68" s="106"/>
      <c r="B68" s="112"/>
      <c r="C68" s="113"/>
      <c r="D68" s="104"/>
      <c r="E68" s="108"/>
      <c r="F68" s="110">
        <f t="shared" si="0"/>
        <v>0</v>
      </c>
      <c r="K68" s="28"/>
      <c r="L68" s="107"/>
      <c r="M68" s="108"/>
      <c r="N68" s="318"/>
      <c r="O68" s="131" t="s">
        <v>57</v>
      </c>
      <c r="P68" s="319">
        <v>68762.5</v>
      </c>
      <c r="Q68" s="320">
        <v>42541</v>
      </c>
    </row>
    <row r="69" spans="1:17" ht="16.5" thickBot="1" x14ac:dyDescent="0.3">
      <c r="A69" s="106"/>
      <c r="B69" s="197"/>
      <c r="C69" s="115"/>
      <c r="D69" s="104"/>
      <c r="E69" s="173"/>
      <c r="F69" s="110">
        <f t="shared" si="0"/>
        <v>0</v>
      </c>
      <c r="G69"/>
      <c r="K69" s="5">
        <f>SUM(K43:K68)</f>
        <v>849429</v>
      </c>
      <c r="L69" s="144"/>
      <c r="M69" s="145">
        <v>0</v>
      </c>
      <c r="N69" s="144"/>
      <c r="O69" s="131" t="s">
        <v>57</v>
      </c>
      <c r="P69" s="311">
        <v>7372.5</v>
      </c>
      <c r="Q69" s="312">
        <v>42542</v>
      </c>
    </row>
    <row r="70" spans="1:17" ht="15.75" x14ac:dyDescent="0.25">
      <c r="A70" s="106"/>
      <c r="B70" s="197"/>
      <c r="C70" s="115"/>
      <c r="D70" s="104"/>
      <c r="E70" s="114"/>
      <c r="F70" s="110">
        <f t="shared" si="0"/>
        <v>0</v>
      </c>
      <c r="G70"/>
      <c r="M70" s="146">
        <f>SUM(M44:M69)</f>
        <v>849428.00000000012</v>
      </c>
      <c r="N70" s="146"/>
      <c r="O70" s="146"/>
      <c r="P70" s="147">
        <f>SUM(P44:P69)</f>
        <v>849428</v>
      </c>
    </row>
    <row r="71" spans="1:17" ht="15.75" x14ac:dyDescent="0.25">
      <c r="A71" s="121"/>
      <c r="B71" s="88"/>
      <c r="C71" s="51">
        <f>SUM(C5:C70)</f>
        <v>1940706.9400000002</v>
      </c>
      <c r="D71" s="51"/>
      <c r="E71" s="51">
        <f>SUM(E5:E70)</f>
        <v>1940706.9400000002</v>
      </c>
      <c r="F71" s="51">
        <f>SUM(F5:F70)</f>
        <v>0</v>
      </c>
      <c r="G71"/>
      <c r="K71" s="84"/>
      <c r="L71" s="88"/>
      <c r="M71" s="51"/>
      <c r="N71" s="324"/>
      <c r="O71" s="148"/>
      <c r="P71" s="33"/>
      <c r="Q71" s="104"/>
    </row>
    <row r="72" spans="1:17" ht="15.75" x14ac:dyDescent="0.25">
      <c r="A72" s="34"/>
      <c r="B72" s="34"/>
      <c r="C72" s="82"/>
      <c r="D72"/>
      <c r="E72" s="23"/>
      <c r="F72" s="23"/>
      <c r="G72"/>
      <c r="K72" s="84"/>
      <c r="L72" s="88"/>
      <c r="M72" s="51"/>
      <c r="N72" s="324"/>
      <c r="O72" s="148"/>
      <c r="P72" s="33"/>
      <c r="Q72" s="104"/>
    </row>
    <row r="73" spans="1:17" ht="15.75" x14ac:dyDescent="0.25">
      <c r="A73" s="34"/>
      <c r="B73" s="34"/>
      <c r="C73" s="82"/>
      <c r="D73"/>
      <c r="E73" s="23"/>
      <c r="F73" s="23"/>
      <c r="G73"/>
      <c r="K73" s="84"/>
      <c r="L73" s="88"/>
      <c r="M73" s="51"/>
      <c r="N73" s="325"/>
      <c r="O73" s="148"/>
      <c r="P73" s="33"/>
      <c r="Q73" s="104"/>
    </row>
    <row r="74" spans="1:17" ht="15.75" x14ac:dyDescent="0.25">
      <c r="A74" s="34"/>
      <c r="B74" s="313">
        <v>42529</v>
      </c>
      <c r="C74" s="82" t="s">
        <v>627</v>
      </c>
      <c r="D74" s="5">
        <v>1930.5</v>
      </c>
      <c r="E74" s="23"/>
      <c r="F74" s="23"/>
      <c r="G74"/>
      <c r="K74" s="84"/>
      <c r="L74" s="88"/>
      <c r="M74" s="51"/>
      <c r="N74" s="324"/>
      <c r="O74" s="148"/>
      <c r="P74" s="323"/>
      <c r="Q74" s="104"/>
    </row>
    <row r="75" spans="1:17" ht="15.75" x14ac:dyDescent="0.25">
      <c r="A75" s="34"/>
      <c r="B75" s="34"/>
      <c r="C75" s="82"/>
      <c r="E75" s="23"/>
      <c r="F75" s="23"/>
      <c r="G75"/>
      <c r="K75" s="33"/>
      <c r="L75" s="88"/>
      <c r="M75" s="51"/>
      <c r="N75" s="326"/>
      <c r="O75" s="148"/>
      <c r="P75" s="33"/>
      <c r="Q75" s="104"/>
    </row>
    <row r="76" spans="1:17" ht="15.75" x14ac:dyDescent="0.25">
      <c r="A76" s="34"/>
      <c r="B76" s="34"/>
      <c r="C76" s="82"/>
      <c r="E76" s="23"/>
      <c r="F76" s="23"/>
      <c r="G76"/>
      <c r="K76" s="33"/>
      <c r="L76" s="88"/>
      <c r="M76" s="51"/>
      <c r="N76" s="326"/>
      <c r="O76" s="148"/>
      <c r="P76" s="33"/>
      <c r="Q76" s="104"/>
    </row>
    <row r="77" spans="1:17" ht="15.75" x14ac:dyDescent="0.25">
      <c r="A77"/>
      <c r="B77"/>
      <c r="C77"/>
      <c r="E77" s="23"/>
      <c r="F77" s="23"/>
      <c r="G77"/>
      <c r="K77" s="33"/>
      <c r="L77" s="88"/>
      <c r="M77" s="51"/>
      <c r="N77" s="326"/>
      <c r="O77" s="148"/>
      <c r="P77" s="33"/>
      <c r="Q77" s="104"/>
    </row>
    <row r="78" spans="1:17" ht="15.75" x14ac:dyDescent="0.25">
      <c r="A78"/>
      <c r="B78"/>
      <c r="C78"/>
      <c r="E78" s="23"/>
      <c r="F78" s="23"/>
      <c r="G78"/>
      <c r="K78" s="33"/>
      <c r="L78" s="88"/>
      <c r="M78" s="51"/>
      <c r="N78" s="326"/>
      <c r="O78" s="148"/>
      <c r="P78" s="33"/>
      <c r="Q78" s="104"/>
    </row>
    <row r="79" spans="1:17" ht="15.75" x14ac:dyDescent="0.25">
      <c r="A79"/>
      <c r="B79"/>
      <c r="C79"/>
      <c r="E79" s="23"/>
      <c r="F79" s="23"/>
      <c r="G79"/>
      <c r="K79" s="33"/>
      <c r="L79" s="88"/>
      <c r="M79" s="51"/>
      <c r="N79" s="326"/>
      <c r="O79" s="148"/>
      <c r="P79" s="33"/>
      <c r="Q79" s="104"/>
    </row>
    <row r="80" spans="1:17" x14ac:dyDescent="0.25">
      <c r="K80" s="84"/>
      <c r="L80" s="40"/>
      <c r="M80" s="84"/>
      <c r="N80" s="40"/>
      <c r="O80" s="40"/>
      <c r="P80" s="84"/>
      <c r="Q80" s="327"/>
    </row>
    <row r="81" spans="1:17" ht="15.75" x14ac:dyDescent="0.25">
      <c r="K81" s="84"/>
      <c r="L81" s="40"/>
      <c r="M81" s="328"/>
      <c r="N81" s="328"/>
      <c r="O81" s="328"/>
      <c r="P81" s="329"/>
      <c r="Q81" s="40"/>
    </row>
    <row r="82" spans="1:17" x14ac:dyDescent="0.25">
      <c r="A82"/>
      <c r="B82"/>
      <c r="C82"/>
      <c r="D82"/>
      <c r="E82"/>
      <c r="F82"/>
      <c r="K82" s="84"/>
      <c r="L82" s="40"/>
      <c r="M82" s="40"/>
      <c r="N82" s="40"/>
      <c r="O82" s="40"/>
      <c r="P82" s="40"/>
      <c r="Q82" s="40"/>
    </row>
    <row r="83" spans="1:17" x14ac:dyDescent="0.25">
      <c r="A83"/>
      <c r="B83"/>
      <c r="C83"/>
      <c r="D83"/>
      <c r="E83"/>
      <c r="F83"/>
      <c r="K83" s="84"/>
      <c r="L83" s="40"/>
      <c r="M83" s="40"/>
      <c r="N83" s="40"/>
      <c r="O83" s="40"/>
      <c r="P83" s="40"/>
      <c r="Q83" s="40"/>
    </row>
    <row r="85" spans="1:17" x14ac:dyDescent="0.25">
      <c r="A85"/>
      <c r="B85"/>
      <c r="C85"/>
      <c r="D85"/>
      <c r="E85"/>
      <c r="F85"/>
      <c r="G85" s="23" t="s">
        <v>450</v>
      </c>
    </row>
    <row r="88" spans="1:17" x14ac:dyDescent="0.25">
      <c r="A88"/>
      <c r="B88"/>
      <c r="C88"/>
      <c r="D88"/>
      <c r="E88"/>
      <c r="F88"/>
    </row>
    <row r="89" spans="1:17" x14ac:dyDescent="0.25">
      <c r="A89"/>
      <c r="B89"/>
      <c r="C89"/>
      <c r="D89"/>
      <c r="E89"/>
      <c r="F89"/>
    </row>
    <row r="90" spans="1:17" x14ac:dyDescent="0.25">
      <c r="A90"/>
      <c r="B90"/>
      <c r="C90"/>
      <c r="D90"/>
      <c r="E90"/>
      <c r="F90"/>
    </row>
    <row r="91" spans="1:17" x14ac:dyDescent="0.25">
      <c r="A91"/>
      <c r="B91"/>
      <c r="C91"/>
      <c r="D91"/>
      <c r="E91"/>
      <c r="F91"/>
    </row>
    <row r="92" spans="1:17" x14ac:dyDescent="0.25">
      <c r="A92"/>
      <c r="B92"/>
      <c r="C92"/>
      <c r="D92"/>
      <c r="E92"/>
      <c r="F92"/>
    </row>
    <row r="93" spans="1:17" x14ac:dyDescent="0.25">
      <c r="A93"/>
      <c r="B93"/>
      <c r="C93"/>
      <c r="D93"/>
      <c r="E93"/>
      <c r="F93"/>
    </row>
    <row r="94" spans="1:17" x14ac:dyDescent="0.25">
      <c r="A94"/>
      <c r="B94"/>
      <c r="C94"/>
      <c r="D94"/>
      <c r="E94"/>
      <c r="F94"/>
    </row>
    <row r="95" spans="1:17" x14ac:dyDescent="0.25">
      <c r="A95"/>
      <c r="B95"/>
      <c r="C95"/>
      <c r="D95"/>
      <c r="E95"/>
      <c r="F95"/>
    </row>
    <row r="96" spans="1:17" x14ac:dyDescent="0.25">
      <c r="A96"/>
      <c r="B96"/>
      <c r="C96"/>
      <c r="D96"/>
      <c r="E96"/>
      <c r="F96"/>
    </row>
    <row r="97" spans="7:7" customFormat="1" x14ac:dyDescent="0.25">
      <c r="G97" s="23"/>
    </row>
    <row r="98" spans="7:7" customFormat="1" x14ac:dyDescent="0.25"/>
    <row r="99" spans="7:7" customFormat="1" x14ac:dyDescent="0.25"/>
    <row r="100" spans="7:7" customFormat="1" x14ac:dyDescent="0.25"/>
    <row r="101" spans="7:7" customFormat="1" x14ac:dyDescent="0.25"/>
    <row r="102" spans="7:7" customFormat="1" x14ac:dyDescent="0.25"/>
    <row r="103" spans="7:7" customFormat="1" x14ac:dyDescent="0.25"/>
    <row r="104" spans="7:7" customFormat="1" x14ac:dyDescent="0.25"/>
    <row r="105" spans="7:7" customFormat="1" x14ac:dyDescent="0.25"/>
    <row r="106" spans="7:7" customFormat="1" x14ac:dyDescent="0.25"/>
    <row r="107" spans="7:7" customFormat="1" x14ac:dyDescent="0.25"/>
    <row r="108" spans="7:7" customFormat="1" x14ac:dyDescent="0.25"/>
    <row r="109" spans="7:7" customFormat="1" x14ac:dyDescent="0.25"/>
    <row r="110" spans="7:7" customFormat="1" x14ac:dyDescent="0.25"/>
    <row r="111" spans="7:7" customFormat="1" x14ac:dyDescent="0.25"/>
    <row r="112" spans="7:7" customFormat="1" x14ac:dyDescent="0.25"/>
    <row r="113" customFormat="1" x14ac:dyDescent="0.25"/>
    <row r="114" customFormat="1" x14ac:dyDescent="0.25"/>
    <row r="115" customFormat="1" x14ac:dyDescent="0.25"/>
  </sheetData>
  <sortState ref="A46:C51">
    <sortCondition ref="B46:B51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49"/>
  <sheetViews>
    <sheetView topLeftCell="A28" workbookViewId="0">
      <selection activeCell="F48" sqref="F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6" max="16" width="5.28515625" customWidth="1"/>
    <col min="18" max="18" width="14.140625" bestFit="1" customWidth="1"/>
    <col min="19" max="19" width="11.42578125" style="91"/>
    <col min="21" max="21" width="14.140625" bestFit="1" customWidth="1"/>
    <col min="22" max="22" width="8.140625" customWidth="1"/>
    <col min="24" max="24" width="11.42578125" customWidth="1"/>
    <col min="25" max="25" width="8.7109375" customWidth="1"/>
    <col min="28" max="28" width="22.5703125" customWidth="1"/>
    <col min="29" max="30" width="14.140625" bestFit="1" customWidth="1"/>
    <col min="31" max="31" width="5.28515625" customWidth="1"/>
    <col min="33" max="33" width="14.140625" bestFit="1" customWidth="1"/>
    <col min="34" max="34" width="11.42578125" style="91"/>
    <col min="36" max="36" width="14.140625" bestFit="1" customWidth="1"/>
    <col min="37" max="37" width="8.140625" customWidth="1"/>
    <col min="39" max="39" width="11.42578125" customWidth="1"/>
    <col min="40" max="40" width="8.7109375" customWidth="1"/>
    <col min="43" max="43" width="22.5703125" customWidth="1"/>
    <col min="44" max="45" width="14.140625" bestFit="1" customWidth="1"/>
    <col min="46" max="46" width="5.28515625" customWidth="1"/>
    <col min="48" max="48" width="14.140625" bestFit="1" customWidth="1"/>
    <col min="49" max="49" width="11.42578125" style="91"/>
    <col min="51" max="51" width="14.140625" bestFit="1" customWidth="1"/>
    <col min="52" max="52" width="8.140625" customWidth="1"/>
    <col min="54" max="54" width="11.42578125" customWidth="1"/>
    <col min="55" max="55" width="8.7109375" customWidth="1"/>
    <col min="58" max="58" width="22.5703125" customWidth="1"/>
    <col min="59" max="60" width="14.140625" bestFit="1" customWidth="1"/>
  </cols>
  <sheetData>
    <row r="1" spans="1:60" ht="23.25" x14ac:dyDescent="0.35">
      <c r="B1" s="1"/>
      <c r="C1" s="411" t="s">
        <v>725</v>
      </c>
      <c r="D1" s="411"/>
      <c r="E1" s="411"/>
      <c r="F1" s="411"/>
      <c r="G1" s="411"/>
      <c r="H1" s="411"/>
      <c r="I1" s="411"/>
      <c r="J1" s="411"/>
      <c r="K1" s="411"/>
      <c r="M1" s="2" t="s">
        <v>153</v>
      </c>
      <c r="N1" s="3"/>
      <c r="O1" s="4"/>
      <c r="Q1" s="1"/>
      <c r="R1" s="411" t="s">
        <v>725</v>
      </c>
      <c r="S1" s="411"/>
      <c r="T1" s="411"/>
      <c r="U1" s="411"/>
      <c r="V1" s="411"/>
      <c r="W1" s="411"/>
      <c r="X1" s="411"/>
      <c r="Y1" s="411"/>
      <c r="Z1" s="411"/>
      <c r="AB1" s="2" t="s">
        <v>152</v>
      </c>
      <c r="AC1" s="3"/>
      <c r="AD1" s="4"/>
      <c r="AF1" s="1"/>
      <c r="AG1" s="411" t="s">
        <v>725</v>
      </c>
      <c r="AH1" s="411"/>
      <c r="AI1" s="411"/>
      <c r="AJ1" s="411"/>
      <c r="AK1" s="411"/>
      <c r="AL1" s="411"/>
      <c r="AM1" s="411"/>
      <c r="AN1" s="411"/>
      <c r="AO1" s="411"/>
      <c r="AQ1" s="2" t="s">
        <v>92</v>
      </c>
      <c r="AR1" s="3"/>
      <c r="AS1" s="4"/>
      <c r="AU1" s="1"/>
      <c r="AV1" s="411" t="s">
        <v>725</v>
      </c>
      <c r="AW1" s="411"/>
      <c r="AX1" s="411"/>
      <c r="AY1" s="411"/>
      <c r="AZ1" s="411"/>
      <c r="BA1" s="411"/>
      <c r="BB1" s="411"/>
      <c r="BC1" s="411"/>
      <c r="BD1" s="411"/>
      <c r="BF1" s="2" t="s">
        <v>0</v>
      </c>
      <c r="BG1" s="3"/>
      <c r="BH1" s="4"/>
    </row>
    <row r="2" spans="1:60" ht="15.75" thickBot="1" x14ac:dyDescent="0.3">
      <c r="B2" s="1"/>
      <c r="C2" s="5"/>
      <c r="E2" s="353"/>
      <c r="F2" s="7"/>
      <c r="I2" s="5"/>
      <c r="J2" s="5"/>
      <c r="M2" s="8"/>
      <c r="N2" s="3"/>
      <c r="O2" s="4"/>
      <c r="Q2" s="1"/>
      <c r="R2" s="5"/>
      <c r="T2" s="348"/>
      <c r="U2" s="7"/>
      <c r="X2" s="5"/>
      <c r="Y2" s="5"/>
      <c r="AB2" s="8"/>
      <c r="AC2" s="3"/>
      <c r="AD2" s="4"/>
      <c r="AF2" s="1"/>
      <c r="AG2" s="5"/>
      <c r="AI2" s="345"/>
      <c r="AJ2" s="7"/>
      <c r="AM2" s="5"/>
      <c r="AN2" s="5"/>
      <c r="AQ2" s="8"/>
      <c r="AR2" s="3"/>
      <c r="AS2" s="4"/>
      <c r="AU2" s="1"/>
      <c r="AV2" s="5"/>
      <c r="AX2" s="335"/>
      <c r="AY2" s="7"/>
      <c r="BB2" s="5"/>
      <c r="BC2" s="5"/>
      <c r="BF2" s="8"/>
      <c r="BG2" s="3"/>
      <c r="BH2" s="4"/>
    </row>
    <row r="3" spans="1:60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Q3" s="1"/>
      <c r="R3" s="9" t="s">
        <v>281</v>
      </c>
      <c r="S3" s="215"/>
      <c r="U3" s="5"/>
      <c r="X3" s="5"/>
      <c r="Y3" s="5"/>
      <c r="AB3" s="8"/>
      <c r="AC3" s="3"/>
      <c r="AD3" s="4"/>
      <c r="AF3" s="1"/>
      <c r="AG3" s="9" t="s">
        <v>281</v>
      </c>
      <c r="AH3" s="215"/>
      <c r="AJ3" s="5"/>
      <c r="AM3" s="5"/>
      <c r="AN3" s="5"/>
      <c r="AQ3" s="8"/>
      <c r="AR3" s="3"/>
      <c r="AS3" s="4"/>
      <c r="AU3" s="1"/>
      <c r="AV3" s="9" t="s">
        <v>281</v>
      </c>
      <c r="AW3" s="215"/>
      <c r="AY3" s="5"/>
      <c r="BB3" s="5"/>
      <c r="BC3" s="5"/>
      <c r="BF3" s="8"/>
      <c r="BG3" s="3"/>
      <c r="BH3" s="4"/>
    </row>
    <row r="4" spans="1:60" ht="20.25" thickTop="1" thickBot="1" x14ac:dyDescent="0.35">
      <c r="A4" s="11" t="s">
        <v>2</v>
      </c>
      <c r="B4" s="12"/>
      <c r="C4" s="13">
        <v>157414.39999999999</v>
      </c>
      <c r="D4" s="217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P4" s="11" t="s">
        <v>2</v>
      </c>
      <c r="Q4" s="12"/>
      <c r="R4" s="13">
        <v>157414.39999999999</v>
      </c>
      <c r="S4" s="217"/>
      <c r="T4" s="412" t="s">
        <v>3</v>
      </c>
      <c r="U4" s="413"/>
      <c r="X4" s="414" t="s">
        <v>4</v>
      </c>
      <c r="Y4" s="415"/>
      <c r="Z4" s="415"/>
      <c r="AA4" s="415"/>
      <c r="AB4" s="15" t="s">
        <v>5</v>
      </c>
      <c r="AC4" s="16" t="s">
        <v>6</v>
      </c>
      <c r="AD4" s="17" t="s">
        <v>7</v>
      </c>
      <c r="AE4" s="11" t="s">
        <v>2</v>
      </c>
      <c r="AF4" s="12"/>
      <c r="AG4" s="13">
        <v>157414.39999999999</v>
      </c>
      <c r="AH4" s="217"/>
      <c r="AI4" s="412" t="s">
        <v>3</v>
      </c>
      <c r="AJ4" s="413"/>
      <c r="AM4" s="414" t="s">
        <v>4</v>
      </c>
      <c r="AN4" s="415"/>
      <c r="AO4" s="415"/>
      <c r="AP4" s="415"/>
      <c r="AQ4" s="15" t="s">
        <v>5</v>
      </c>
      <c r="AR4" s="16" t="s">
        <v>6</v>
      </c>
      <c r="AS4" s="17" t="s">
        <v>7</v>
      </c>
      <c r="AT4" s="11" t="s">
        <v>2</v>
      </c>
      <c r="AU4" s="12"/>
      <c r="AV4" s="13">
        <v>157414.39999999999</v>
      </c>
      <c r="AW4" s="217"/>
      <c r="AX4" s="412" t="s">
        <v>3</v>
      </c>
      <c r="AY4" s="413"/>
      <c r="BB4" s="414" t="s">
        <v>4</v>
      </c>
      <c r="BC4" s="415"/>
      <c r="BD4" s="415"/>
      <c r="BE4" s="415"/>
      <c r="BF4" s="15" t="s">
        <v>5</v>
      </c>
      <c r="BG4" s="16" t="s">
        <v>6</v>
      </c>
      <c r="BH4" s="17" t="s">
        <v>7</v>
      </c>
    </row>
    <row r="5" spans="1:60" ht="16.5" thickTop="1" thickBot="1" x14ac:dyDescent="0.3">
      <c r="A5" s="18"/>
      <c r="B5" s="19">
        <v>42552</v>
      </c>
      <c r="C5" s="170">
        <v>69948.5</v>
      </c>
      <c r="D5" s="236" t="s">
        <v>726</v>
      </c>
      <c r="E5" s="21">
        <v>42552</v>
      </c>
      <c r="F5" s="22">
        <v>72581.5</v>
      </c>
      <c r="G5" s="23"/>
      <c r="H5" s="178">
        <v>42552</v>
      </c>
      <c r="I5" s="179">
        <v>200</v>
      </c>
      <c r="J5" s="24"/>
      <c r="K5" s="25"/>
      <c r="L5" s="25"/>
      <c r="M5" s="26" t="s">
        <v>727</v>
      </c>
      <c r="N5" s="27">
        <v>0</v>
      </c>
      <c r="O5" s="28"/>
      <c r="P5" s="18"/>
      <c r="Q5" s="19">
        <v>42552</v>
      </c>
      <c r="R5" s="170">
        <v>69948.5</v>
      </c>
      <c r="S5" s="236" t="s">
        <v>726</v>
      </c>
      <c r="T5" s="21">
        <v>42552</v>
      </c>
      <c r="U5" s="22">
        <v>72581.5</v>
      </c>
      <c r="V5" s="23"/>
      <c r="W5" s="178">
        <v>42552</v>
      </c>
      <c r="X5" s="179">
        <v>200</v>
      </c>
      <c r="Y5" s="24"/>
      <c r="Z5" s="25"/>
      <c r="AA5" s="25"/>
      <c r="AB5" s="26" t="s">
        <v>727</v>
      </c>
      <c r="AC5" s="27">
        <v>0</v>
      </c>
      <c r="AD5" s="28"/>
      <c r="AE5" s="18"/>
      <c r="AF5" s="19">
        <v>42552</v>
      </c>
      <c r="AG5" s="170">
        <v>69948.5</v>
      </c>
      <c r="AH5" s="236" t="s">
        <v>726</v>
      </c>
      <c r="AI5" s="21">
        <v>42552</v>
      </c>
      <c r="AJ5" s="22">
        <v>72581.5</v>
      </c>
      <c r="AK5" s="23"/>
      <c r="AL5" s="178">
        <v>42552</v>
      </c>
      <c r="AM5" s="179">
        <v>200</v>
      </c>
      <c r="AN5" s="24"/>
      <c r="AO5" s="25"/>
      <c r="AP5" s="25"/>
      <c r="AQ5" s="26" t="s">
        <v>727</v>
      </c>
      <c r="AR5" s="27">
        <v>0</v>
      </c>
      <c r="AS5" s="28"/>
      <c r="AT5" s="18"/>
      <c r="AU5" s="19">
        <v>42552</v>
      </c>
      <c r="AV5" s="170">
        <v>69948.5</v>
      </c>
      <c r="AW5" s="236" t="s">
        <v>726</v>
      </c>
      <c r="AX5" s="21">
        <v>42552</v>
      </c>
      <c r="AY5" s="22">
        <v>72581.5</v>
      </c>
      <c r="AZ5" s="23"/>
      <c r="BA5" s="178">
        <v>42552</v>
      </c>
      <c r="BB5" s="179">
        <v>200</v>
      </c>
      <c r="BC5" s="24"/>
      <c r="BD5" s="25"/>
      <c r="BE5" s="25"/>
      <c r="BF5" s="26" t="s">
        <v>727</v>
      </c>
      <c r="BG5" s="27">
        <v>0</v>
      </c>
      <c r="BH5" s="28"/>
    </row>
    <row r="6" spans="1:60" ht="15.75" thickBot="1" x14ac:dyDescent="0.3">
      <c r="A6" s="18"/>
      <c r="B6" s="19">
        <v>42553</v>
      </c>
      <c r="C6" s="170">
        <v>110539</v>
      </c>
      <c r="D6" s="219" t="s">
        <v>728</v>
      </c>
      <c r="E6" s="21">
        <v>42553</v>
      </c>
      <c r="F6" s="22">
        <v>95037</v>
      </c>
      <c r="G6" s="30"/>
      <c r="H6" s="178">
        <v>42553</v>
      </c>
      <c r="I6" s="32">
        <v>200</v>
      </c>
      <c r="J6" s="33"/>
      <c r="K6" s="34" t="s">
        <v>8</v>
      </c>
      <c r="L6" s="35">
        <v>714</v>
      </c>
      <c r="M6" s="26" t="s">
        <v>729</v>
      </c>
      <c r="N6" s="27">
        <v>0</v>
      </c>
      <c r="O6" s="28"/>
      <c r="P6" s="18"/>
      <c r="Q6" s="19">
        <v>42553</v>
      </c>
      <c r="R6" s="170">
        <v>110539</v>
      </c>
      <c r="S6" s="219" t="s">
        <v>728</v>
      </c>
      <c r="T6" s="21">
        <v>42553</v>
      </c>
      <c r="U6" s="22">
        <v>95037</v>
      </c>
      <c r="V6" s="30"/>
      <c r="W6" s="178">
        <v>42553</v>
      </c>
      <c r="X6" s="32">
        <v>200</v>
      </c>
      <c r="Y6" s="33"/>
      <c r="Z6" s="34" t="s">
        <v>8</v>
      </c>
      <c r="AA6" s="35">
        <v>0</v>
      </c>
      <c r="AB6" s="26" t="s">
        <v>729</v>
      </c>
      <c r="AC6" s="27">
        <v>0</v>
      </c>
      <c r="AD6" s="28"/>
      <c r="AE6" s="18"/>
      <c r="AF6" s="19">
        <v>42553</v>
      </c>
      <c r="AG6" s="170">
        <v>110539</v>
      </c>
      <c r="AH6" s="219" t="s">
        <v>728</v>
      </c>
      <c r="AI6" s="21">
        <v>42553</v>
      </c>
      <c r="AJ6" s="22">
        <v>95037</v>
      </c>
      <c r="AK6" s="30"/>
      <c r="AL6" s="178">
        <v>42553</v>
      </c>
      <c r="AM6" s="32">
        <v>200</v>
      </c>
      <c r="AN6" s="33"/>
      <c r="AO6" s="34" t="s">
        <v>8</v>
      </c>
      <c r="AP6" s="35">
        <v>0</v>
      </c>
      <c r="AQ6" s="26" t="s">
        <v>729</v>
      </c>
      <c r="AR6" s="27">
        <v>0</v>
      </c>
      <c r="AS6" s="28"/>
      <c r="AT6" s="18"/>
      <c r="AU6" s="19">
        <v>42553</v>
      </c>
      <c r="AV6" s="170">
        <v>110539</v>
      </c>
      <c r="AW6" s="219" t="s">
        <v>728</v>
      </c>
      <c r="AX6" s="21">
        <v>42553</v>
      </c>
      <c r="AY6" s="22">
        <v>95037</v>
      </c>
      <c r="AZ6" s="30"/>
      <c r="BA6" s="178">
        <v>42553</v>
      </c>
      <c r="BB6" s="32">
        <v>200</v>
      </c>
      <c r="BC6" s="33"/>
      <c r="BD6" s="34" t="s">
        <v>8</v>
      </c>
      <c r="BE6" s="35">
        <v>0</v>
      </c>
      <c r="BF6" s="26" t="s">
        <v>729</v>
      </c>
      <c r="BG6" s="27">
        <v>0</v>
      </c>
      <c r="BH6" s="28"/>
    </row>
    <row r="7" spans="1:60" ht="15.75" thickBot="1" x14ac:dyDescent="0.3">
      <c r="A7" s="18"/>
      <c r="B7" s="19">
        <v>42554</v>
      </c>
      <c r="C7" s="170">
        <v>134281</v>
      </c>
      <c r="D7" s="220" t="s">
        <v>730</v>
      </c>
      <c r="E7" s="21">
        <v>42554</v>
      </c>
      <c r="F7" s="22">
        <v>133193</v>
      </c>
      <c r="G7" s="23"/>
      <c r="H7" s="178">
        <v>42554</v>
      </c>
      <c r="I7" s="32">
        <v>200</v>
      </c>
      <c r="J7" s="33"/>
      <c r="K7" s="305" t="s">
        <v>9</v>
      </c>
      <c r="L7" s="35">
        <v>0</v>
      </c>
      <c r="M7" s="291" t="s">
        <v>731</v>
      </c>
      <c r="N7" s="27">
        <v>0</v>
      </c>
      <c r="O7" s="28"/>
      <c r="P7" s="18"/>
      <c r="Q7" s="19">
        <v>42554</v>
      </c>
      <c r="R7" s="170">
        <v>134281</v>
      </c>
      <c r="S7" s="220" t="s">
        <v>730</v>
      </c>
      <c r="T7" s="21">
        <v>42554</v>
      </c>
      <c r="U7" s="22">
        <v>133193</v>
      </c>
      <c r="V7" s="23"/>
      <c r="W7" s="178">
        <v>42554</v>
      </c>
      <c r="X7" s="32">
        <v>200</v>
      </c>
      <c r="Y7" s="33"/>
      <c r="Z7" s="305" t="s">
        <v>9</v>
      </c>
      <c r="AA7" s="35">
        <v>0</v>
      </c>
      <c r="AB7" s="291" t="s">
        <v>731</v>
      </c>
      <c r="AC7" s="27">
        <v>0</v>
      </c>
      <c r="AD7" s="28"/>
      <c r="AE7" s="18"/>
      <c r="AF7" s="19">
        <v>42554</v>
      </c>
      <c r="AG7" s="170">
        <v>134281</v>
      </c>
      <c r="AH7" s="220" t="s">
        <v>730</v>
      </c>
      <c r="AI7" s="21">
        <v>42554</v>
      </c>
      <c r="AJ7" s="22">
        <v>133193</v>
      </c>
      <c r="AK7" s="23"/>
      <c r="AL7" s="178">
        <v>42554</v>
      </c>
      <c r="AM7" s="32">
        <v>200</v>
      </c>
      <c r="AN7" s="33"/>
      <c r="AO7" s="305" t="s">
        <v>9</v>
      </c>
      <c r="AP7" s="35">
        <v>0</v>
      </c>
      <c r="AQ7" s="291" t="s">
        <v>731</v>
      </c>
      <c r="AR7" s="27">
        <v>0</v>
      </c>
      <c r="AS7" s="28"/>
      <c r="AT7" s="18"/>
      <c r="AU7" s="19">
        <v>42554</v>
      </c>
      <c r="AV7" s="170">
        <v>134281</v>
      </c>
      <c r="AW7" s="220" t="s">
        <v>730</v>
      </c>
      <c r="AX7" s="21">
        <v>42554</v>
      </c>
      <c r="AY7" s="22">
        <v>133193</v>
      </c>
      <c r="AZ7" s="23"/>
      <c r="BA7" s="178">
        <v>42554</v>
      </c>
      <c r="BB7" s="32">
        <v>200</v>
      </c>
      <c r="BC7" s="33"/>
      <c r="BD7" s="305" t="s">
        <v>9</v>
      </c>
      <c r="BE7" s="35">
        <v>0</v>
      </c>
      <c r="BF7" s="291" t="s">
        <v>731</v>
      </c>
      <c r="BG7" s="27">
        <v>0</v>
      </c>
      <c r="BH7" s="28"/>
    </row>
    <row r="8" spans="1:60" ht="15.75" thickBot="1" x14ac:dyDescent="0.3">
      <c r="A8" s="18"/>
      <c r="B8" s="19">
        <v>42555</v>
      </c>
      <c r="C8" s="170">
        <v>35731.5</v>
      </c>
      <c r="D8" s="221" t="s">
        <v>732</v>
      </c>
      <c r="E8" s="21">
        <v>42555</v>
      </c>
      <c r="F8" s="22">
        <v>59044.5</v>
      </c>
      <c r="G8" s="23"/>
      <c r="H8" s="178">
        <v>42555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733</v>
      </c>
      <c r="N8" s="38">
        <v>0</v>
      </c>
      <c r="O8" s="28"/>
      <c r="P8" s="18"/>
      <c r="Q8" s="19">
        <v>42555</v>
      </c>
      <c r="R8" s="170">
        <v>35731.5</v>
      </c>
      <c r="S8" s="221" t="s">
        <v>732</v>
      </c>
      <c r="T8" s="21">
        <v>42555</v>
      </c>
      <c r="U8" s="22">
        <v>59044.5</v>
      </c>
      <c r="V8" s="23"/>
      <c r="W8" s="178">
        <v>42555</v>
      </c>
      <c r="X8" s="32">
        <v>200</v>
      </c>
      <c r="Y8" s="33"/>
      <c r="Z8" s="34" t="s">
        <v>10</v>
      </c>
      <c r="AA8" s="35">
        <f>7187.5+7187.5+7187.5</f>
        <v>21562.5</v>
      </c>
      <c r="AB8" s="292" t="s">
        <v>733</v>
      </c>
      <c r="AC8" s="38">
        <v>0</v>
      </c>
      <c r="AD8" s="28"/>
      <c r="AE8" s="18"/>
      <c r="AF8" s="19">
        <v>42555</v>
      </c>
      <c r="AG8" s="170">
        <v>35731.5</v>
      </c>
      <c r="AH8" s="221" t="s">
        <v>732</v>
      </c>
      <c r="AI8" s="21">
        <v>42555</v>
      </c>
      <c r="AJ8" s="22">
        <v>59044.5</v>
      </c>
      <c r="AK8" s="23"/>
      <c r="AL8" s="178">
        <v>42555</v>
      </c>
      <c r="AM8" s="32">
        <v>200</v>
      </c>
      <c r="AN8" s="33"/>
      <c r="AO8" s="34" t="s">
        <v>10</v>
      </c>
      <c r="AP8" s="35">
        <f>7187.5+7187.5</f>
        <v>14375</v>
      </c>
      <c r="AQ8" s="292" t="s">
        <v>733</v>
      </c>
      <c r="AR8" s="38">
        <v>0</v>
      </c>
      <c r="AS8" s="28"/>
      <c r="AT8" s="18"/>
      <c r="AU8" s="19">
        <v>42555</v>
      </c>
      <c r="AV8" s="170">
        <v>35731.5</v>
      </c>
      <c r="AW8" s="221" t="s">
        <v>732</v>
      </c>
      <c r="AX8" s="21">
        <v>42555</v>
      </c>
      <c r="AY8" s="22">
        <v>59044.5</v>
      </c>
      <c r="AZ8" s="23"/>
      <c r="BA8" s="178">
        <v>42555</v>
      </c>
      <c r="BB8" s="32">
        <v>200</v>
      </c>
      <c r="BC8" s="33"/>
      <c r="BD8" s="34" t="s">
        <v>10</v>
      </c>
      <c r="BE8" s="35">
        <f>7187.5</f>
        <v>7187.5</v>
      </c>
      <c r="BF8" s="292" t="s">
        <v>733</v>
      </c>
      <c r="BG8" s="38">
        <v>0</v>
      </c>
      <c r="BH8" s="28"/>
    </row>
    <row r="9" spans="1:60" ht="15.75" thickBot="1" x14ac:dyDescent="0.3">
      <c r="A9" s="18"/>
      <c r="B9" s="19">
        <v>42556</v>
      </c>
      <c r="C9" s="170">
        <v>26873</v>
      </c>
      <c r="D9" s="219" t="s">
        <v>734</v>
      </c>
      <c r="E9" s="21">
        <v>42556</v>
      </c>
      <c r="F9" s="22">
        <v>30517</v>
      </c>
      <c r="G9" s="23"/>
      <c r="H9" s="178">
        <v>42556</v>
      </c>
      <c r="I9" s="32">
        <v>232</v>
      </c>
      <c r="J9" s="33"/>
      <c r="K9" s="34" t="s">
        <v>737</v>
      </c>
      <c r="L9" s="35">
        <v>8262.7099999999991</v>
      </c>
      <c r="M9" s="26" t="s">
        <v>735</v>
      </c>
      <c r="N9" s="27">
        <v>0</v>
      </c>
      <c r="O9" s="28"/>
      <c r="P9" s="18"/>
      <c r="Q9" s="19">
        <v>42556</v>
      </c>
      <c r="R9" s="170">
        <v>26873</v>
      </c>
      <c r="S9" s="219" t="s">
        <v>734</v>
      </c>
      <c r="T9" s="21">
        <v>42556</v>
      </c>
      <c r="U9" s="22">
        <v>30517</v>
      </c>
      <c r="V9" s="23"/>
      <c r="W9" s="178">
        <v>42556</v>
      </c>
      <c r="X9" s="32">
        <v>232</v>
      </c>
      <c r="Y9" s="33"/>
      <c r="Z9" s="34" t="s">
        <v>737</v>
      </c>
      <c r="AA9" s="35">
        <v>8262.7099999999991</v>
      </c>
      <c r="AB9" s="26" t="s">
        <v>735</v>
      </c>
      <c r="AC9" s="27">
        <v>0</v>
      </c>
      <c r="AD9" s="28"/>
      <c r="AE9" s="18"/>
      <c r="AF9" s="19">
        <v>42556</v>
      </c>
      <c r="AG9" s="170">
        <v>26873</v>
      </c>
      <c r="AH9" s="219" t="s">
        <v>734</v>
      </c>
      <c r="AI9" s="21">
        <v>42556</v>
      </c>
      <c r="AJ9" s="22">
        <v>30517</v>
      </c>
      <c r="AK9" s="23"/>
      <c r="AL9" s="178">
        <v>42556</v>
      </c>
      <c r="AM9" s="32">
        <v>232</v>
      </c>
      <c r="AN9" s="33"/>
      <c r="AO9" s="34" t="s">
        <v>737</v>
      </c>
      <c r="AP9" s="35">
        <v>8262.7099999999991</v>
      </c>
      <c r="AQ9" s="26" t="s">
        <v>735</v>
      </c>
      <c r="AR9" s="27">
        <v>0</v>
      </c>
      <c r="AS9" s="28"/>
      <c r="AT9" s="18"/>
      <c r="AU9" s="19">
        <v>42556</v>
      </c>
      <c r="AV9" s="170">
        <v>26873</v>
      </c>
      <c r="AW9" s="219" t="s">
        <v>734</v>
      </c>
      <c r="AX9" s="21">
        <v>42556</v>
      </c>
      <c r="AY9" s="22">
        <v>30517</v>
      </c>
      <c r="AZ9" s="23"/>
      <c r="BA9" s="178">
        <v>42556</v>
      </c>
      <c r="BB9" s="32">
        <v>232</v>
      </c>
      <c r="BC9" s="33"/>
      <c r="BD9" s="34" t="s">
        <v>737</v>
      </c>
      <c r="BE9" s="35">
        <v>8262.7099999999991</v>
      </c>
      <c r="BF9" s="26" t="s">
        <v>735</v>
      </c>
      <c r="BG9" s="27">
        <v>0</v>
      </c>
      <c r="BH9" s="28"/>
    </row>
    <row r="10" spans="1:60" ht="15.75" thickBot="1" x14ac:dyDescent="0.3">
      <c r="A10" s="18"/>
      <c r="B10" s="19">
        <v>42557</v>
      </c>
      <c r="C10" s="170">
        <v>70738</v>
      </c>
      <c r="D10" s="220" t="s">
        <v>741</v>
      </c>
      <c r="E10" s="21">
        <v>42557</v>
      </c>
      <c r="F10" s="22">
        <v>52195.5</v>
      </c>
      <c r="G10" s="23"/>
      <c r="H10" s="178">
        <v>42557</v>
      </c>
      <c r="I10" s="32">
        <v>200</v>
      </c>
      <c r="J10" s="33"/>
      <c r="K10" s="34" t="s">
        <v>738</v>
      </c>
      <c r="L10" s="30">
        <v>7760.34</v>
      </c>
      <c r="M10" s="26" t="s">
        <v>742</v>
      </c>
      <c r="N10" s="27">
        <v>0</v>
      </c>
      <c r="O10" s="28"/>
      <c r="P10" s="18"/>
      <c r="Q10" s="19">
        <v>42557</v>
      </c>
      <c r="R10" s="170">
        <v>70738</v>
      </c>
      <c r="S10" s="220" t="s">
        <v>741</v>
      </c>
      <c r="T10" s="21">
        <v>42557</v>
      </c>
      <c r="U10" s="22">
        <v>52195.5</v>
      </c>
      <c r="V10" s="23"/>
      <c r="W10" s="178">
        <v>42557</v>
      </c>
      <c r="X10" s="32">
        <v>200</v>
      </c>
      <c r="Y10" s="33"/>
      <c r="Z10" s="34" t="s">
        <v>738</v>
      </c>
      <c r="AA10" s="30">
        <v>7760.34</v>
      </c>
      <c r="AB10" s="26" t="s">
        <v>742</v>
      </c>
      <c r="AC10" s="27">
        <v>0</v>
      </c>
      <c r="AD10" s="28"/>
      <c r="AE10" s="18"/>
      <c r="AF10" s="19">
        <v>42557</v>
      </c>
      <c r="AG10" s="170">
        <v>70738</v>
      </c>
      <c r="AH10" s="220" t="s">
        <v>741</v>
      </c>
      <c r="AI10" s="21">
        <v>42557</v>
      </c>
      <c r="AJ10" s="22">
        <v>52195.5</v>
      </c>
      <c r="AK10" s="23"/>
      <c r="AL10" s="178">
        <v>42557</v>
      </c>
      <c r="AM10" s="32">
        <v>200</v>
      </c>
      <c r="AN10" s="33"/>
      <c r="AO10" s="34" t="s">
        <v>738</v>
      </c>
      <c r="AP10" s="30">
        <v>7760.34</v>
      </c>
      <c r="AQ10" s="26" t="s">
        <v>742</v>
      </c>
      <c r="AR10" s="27">
        <v>0</v>
      </c>
      <c r="AS10" s="28"/>
      <c r="AT10" s="18"/>
      <c r="AU10" s="19">
        <v>42557</v>
      </c>
      <c r="AV10" s="170">
        <v>70738</v>
      </c>
      <c r="AW10" s="220" t="s">
        <v>741</v>
      </c>
      <c r="AX10" s="21">
        <v>42557</v>
      </c>
      <c r="AY10" s="22">
        <v>52195.5</v>
      </c>
      <c r="AZ10" s="23"/>
      <c r="BA10" s="178">
        <v>42557</v>
      </c>
      <c r="BB10" s="32">
        <v>200</v>
      </c>
      <c r="BC10" s="33"/>
      <c r="BD10" s="34" t="s">
        <v>738</v>
      </c>
      <c r="BE10" s="30">
        <v>7760.34</v>
      </c>
      <c r="BF10" s="26" t="s">
        <v>742</v>
      </c>
      <c r="BG10" s="27">
        <v>0</v>
      </c>
      <c r="BH10" s="28"/>
    </row>
    <row r="11" spans="1:60" ht="15.75" thickBot="1" x14ac:dyDescent="0.3">
      <c r="A11" s="18"/>
      <c r="B11" s="19">
        <v>42558</v>
      </c>
      <c r="C11" s="170">
        <v>75117</v>
      </c>
      <c r="D11" s="220" t="s">
        <v>743</v>
      </c>
      <c r="E11" s="21">
        <v>42558</v>
      </c>
      <c r="F11" s="22">
        <v>76403</v>
      </c>
      <c r="G11" s="23"/>
      <c r="H11" s="178">
        <v>42558</v>
      </c>
      <c r="I11" s="39">
        <v>200</v>
      </c>
      <c r="J11" s="33"/>
      <c r="K11" s="34" t="s">
        <v>739</v>
      </c>
      <c r="L11" s="30">
        <v>8532.9500000000007</v>
      </c>
      <c r="M11" s="26" t="s">
        <v>744</v>
      </c>
      <c r="N11" s="27">
        <v>0</v>
      </c>
      <c r="O11" s="28"/>
      <c r="P11" s="18"/>
      <c r="Q11" s="19">
        <v>42558</v>
      </c>
      <c r="R11" s="170">
        <v>75117</v>
      </c>
      <c r="S11" s="220" t="s">
        <v>743</v>
      </c>
      <c r="T11" s="21">
        <v>42558</v>
      </c>
      <c r="U11" s="22">
        <v>76403</v>
      </c>
      <c r="V11" s="23"/>
      <c r="W11" s="178">
        <v>42558</v>
      </c>
      <c r="X11" s="39">
        <v>200</v>
      </c>
      <c r="Y11" s="33"/>
      <c r="Z11" s="34" t="s">
        <v>739</v>
      </c>
      <c r="AA11" s="30">
        <v>8532.9500000000007</v>
      </c>
      <c r="AB11" s="26" t="s">
        <v>744</v>
      </c>
      <c r="AC11" s="27">
        <v>0</v>
      </c>
      <c r="AD11" s="28"/>
      <c r="AE11" s="18"/>
      <c r="AF11" s="19">
        <v>42558</v>
      </c>
      <c r="AG11" s="170">
        <v>75117</v>
      </c>
      <c r="AH11" s="220" t="s">
        <v>743</v>
      </c>
      <c r="AI11" s="21">
        <v>42558</v>
      </c>
      <c r="AJ11" s="22">
        <v>76403</v>
      </c>
      <c r="AK11" s="23"/>
      <c r="AL11" s="178">
        <v>42558</v>
      </c>
      <c r="AM11" s="39">
        <v>200</v>
      </c>
      <c r="AN11" s="33"/>
      <c r="AO11" s="34" t="s">
        <v>739</v>
      </c>
      <c r="AP11" s="30">
        <v>8532.9500000000007</v>
      </c>
      <c r="AQ11" s="26" t="s">
        <v>744</v>
      </c>
      <c r="AR11" s="27">
        <v>0</v>
      </c>
      <c r="AS11" s="28"/>
      <c r="AT11" s="18"/>
      <c r="AU11" s="19">
        <v>42558</v>
      </c>
      <c r="AV11" s="170">
        <v>75117</v>
      </c>
      <c r="AW11" s="220" t="s">
        <v>743</v>
      </c>
      <c r="AX11" s="21">
        <v>42558</v>
      </c>
      <c r="AY11" s="22">
        <v>76403</v>
      </c>
      <c r="AZ11" s="23"/>
      <c r="BA11" s="178">
        <v>42558</v>
      </c>
      <c r="BB11" s="39">
        <v>200</v>
      </c>
      <c r="BC11" s="33"/>
      <c r="BD11" s="34" t="s">
        <v>739</v>
      </c>
      <c r="BE11" s="30">
        <v>0</v>
      </c>
      <c r="BF11" s="26" t="s">
        <v>744</v>
      </c>
      <c r="BG11" s="27">
        <v>0</v>
      </c>
      <c r="BH11" s="28"/>
    </row>
    <row r="12" spans="1:60" ht="15.75" thickBot="1" x14ac:dyDescent="0.3">
      <c r="A12" s="18"/>
      <c r="B12" s="19">
        <v>42559</v>
      </c>
      <c r="C12" s="170">
        <v>86027</v>
      </c>
      <c r="D12" s="220" t="s">
        <v>745</v>
      </c>
      <c r="E12" s="21">
        <v>42559</v>
      </c>
      <c r="F12" s="22">
        <v>84487.5</v>
      </c>
      <c r="G12" s="23"/>
      <c r="H12" s="178">
        <v>42559</v>
      </c>
      <c r="I12" s="39">
        <v>200</v>
      </c>
      <c r="J12" s="33"/>
      <c r="K12" s="34" t="s">
        <v>740</v>
      </c>
      <c r="L12" s="30">
        <v>6558.64</v>
      </c>
      <c r="M12" s="26" t="s">
        <v>746</v>
      </c>
      <c r="N12" s="27">
        <v>0</v>
      </c>
      <c r="O12" s="28"/>
      <c r="P12" s="18"/>
      <c r="Q12" s="19">
        <v>42559</v>
      </c>
      <c r="R12" s="170">
        <v>86027</v>
      </c>
      <c r="S12" s="220" t="s">
        <v>745</v>
      </c>
      <c r="T12" s="21">
        <v>42559</v>
      </c>
      <c r="U12" s="22">
        <v>84487.5</v>
      </c>
      <c r="V12" s="23"/>
      <c r="W12" s="178">
        <v>42559</v>
      </c>
      <c r="X12" s="39">
        <v>200</v>
      </c>
      <c r="Y12" s="33"/>
      <c r="Z12" s="34" t="s">
        <v>740</v>
      </c>
      <c r="AA12" s="30">
        <v>0</v>
      </c>
      <c r="AB12" s="26" t="s">
        <v>746</v>
      </c>
      <c r="AC12" s="27">
        <v>0</v>
      </c>
      <c r="AD12" s="28"/>
      <c r="AE12" s="18"/>
      <c r="AF12" s="19">
        <v>42559</v>
      </c>
      <c r="AG12" s="170">
        <v>86027</v>
      </c>
      <c r="AH12" s="220" t="s">
        <v>745</v>
      </c>
      <c r="AI12" s="21">
        <v>42559</v>
      </c>
      <c r="AJ12" s="22">
        <v>84487.5</v>
      </c>
      <c r="AK12" s="23"/>
      <c r="AL12" s="178">
        <v>42559</v>
      </c>
      <c r="AM12" s="39">
        <v>200</v>
      </c>
      <c r="AN12" s="33"/>
      <c r="AO12" s="34" t="s">
        <v>740</v>
      </c>
      <c r="AP12" s="30">
        <v>0</v>
      </c>
      <c r="AQ12" s="26" t="s">
        <v>746</v>
      </c>
      <c r="AR12" s="27">
        <v>0</v>
      </c>
      <c r="AS12" s="28"/>
      <c r="AT12" s="18"/>
      <c r="AU12" s="19">
        <v>42559</v>
      </c>
      <c r="AV12" s="170">
        <v>86027</v>
      </c>
      <c r="AW12" s="220" t="s">
        <v>745</v>
      </c>
      <c r="AX12" s="21">
        <v>42559</v>
      </c>
      <c r="AY12" s="22">
        <v>84487.5</v>
      </c>
      <c r="AZ12" s="23"/>
      <c r="BA12" s="178">
        <v>42559</v>
      </c>
      <c r="BB12" s="39">
        <v>200</v>
      </c>
      <c r="BC12" s="33"/>
      <c r="BD12" s="34" t="s">
        <v>740</v>
      </c>
      <c r="BE12" s="30">
        <v>0</v>
      </c>
      <c r="BF12" s="26" t="s">
        <v>746</v>
      </c>
      <c r="BG12" s="27">
        <v>0</v>
      </c>
      <c r="BH12" s="28"/>
    </row>
    <row r="13" spans="1:60" ht="15.75" thickBot="1" x14ac:dyDescent="0.3">
      <c r="A13" s="18"/>
      <c r="B13" s="19">
        <v>42560</v>
      </c>
      <c r="C13" s="170">
        <v>107401</v>
      </c>
      <c r="D13" s="220" t="s">
        <v>747</v>
      </c>
      <c r="E13" s="21">
        <v>42560</v>
      </c>
      <c r="F13" s="22">
        <v>108590</v>
      </c>
      <c r="G13" s="23"/>
      <c r="H13" s="178">
        <v>42560</v>
      </c>
      <c r="I13" s="39">
        <v>200</v>
      </c>
      <c r="J13" s="33"/>
      <c r="K13" s="40" t="s">
        <v>873</v>
      </c>
      <c r="L13" s="35">
        <v>0</v>
      </c>
      <c r="M13" s="26" t="s">
        <v>748</v>
      </c>
      <c r="N13" s="27">
        <v>0</v>
      </c>
      <c r="O13" s="28"/>
      <c r="P13" s="18"/>
      <c r="Q13" s="19">
        <v>42560</v>
      </c>
      <c r="R13" s="170">
        <v>107401</v>
      </c>
      <c r="S13" s="220" t="s">
        <v>747</v>
      </c>
      <c r="T13" s="21">
        <v>42560</v>
      </c>
      <c r="U13" s="22">
        <v>108590</v>
      </c>
      <c r="V13" s="23"/>
      <c r="W13" s="178">
        <v>42560</v>
      </c>
      <c r="X13" s="39">
        <v>200</v>
      </c>
      <c r="Y13" s="33"/>
      <c r="Z13" s="40"/>
      <c r="AA13" s="35">
        <v>0</v>
      </c>
      <c r="AB13" s="26" t="s">
        <v>748</v>
      </c>
      <c r="AC13" s="27">
        <v>0</v>
      </c>
      <c r="AD13" s="28"/>
      <c r="AE13" s="18"/>
      <c r="AF13" s="19">
        <v>42560</v>
      </c>
      <c r="AG13" s="170">
        <v>107401</v>
      </c>
      <c r="AH13" s="220" t="s">
        <v>747</v>
      </c>
      <c r="AI13" s="21">
        <v>42560</v>
      </c>
      <c r="AJ13" s="22">
        <v>108590</v>
      </c>
      <c r="AK13" s="23"/>
      <c r="AL13" s="178">
        <v>42560</v>
      </c>
      <c r="AM13" s="39">
        <v>200</v>
      </c>
      <c r="AN13" s="33"/>
      <c r="AO13" s="40"/>
      <c r="AP13" s="35">
        <v>0</v>
      </c>
      <c r="AQ13" s="26" t="s">
        <v>748</v>
      </c>
      <c r="AR13" s="27">
        <v>0</v>
      </c>
      <c r="AS13" s="28"/>
      <c r="AT13" s="18"/>
      <c r="AU13" s="19">
        <v>42560</v>
      </c>
      <c r="AV13" s="170">
        <v>107401</v>
      </c>
      <c r="AW13" s="220" t="s">
        <v>747</v>
      </c>
      <c r="AX13" s="21">
        <v>42560</v>
      </c>
      <c r="AY13" s="22">
        <v>108590</v>
      </c>
      <c r="AZ13" s="23"/>
      <c r="BA13" s="178">
        <v>42560</v>
      </c>
      <c r="BB13" s="39">
        <v>200</v>
      </c>
      <c r="BC13" s="33"/>
      <c r="BD13" s="40"/>
      <c r="BE13" s="35">
        <v>0</v>
      </c>
      <c r="BF13" s="26" t="s">
        <v>748</v>
      </c>
      <c r="BG13" s="27">
        <v>0</v>
      </c>
      <c r="BH13" s="28"/>
    </row>
    <row r="14" spans="1:60" ht="15.75" thickBot="1" x14ac:dyDescent="0.3">
      <c r="A14" s="18"/>
      <c r="B14" s="19">
        <v>42561</v>
      </c>
      <c r="C14" s="170">
        <v>83519</v>
      </c>
      <c r="D14" s="219" t="s">
        <v>756</v>
      </c>
      <c r="E14" s="21">
        <v>42561</v>
      </c>
      <c r="F14" s="22">
        <v>83338.5</v>
      </c>
      <c r="G14" s="23"/>
      <c r="H14" s="178">
        <v>42561</v>
      </c>
      <c r="I14" s="39">
        <v>200</v>
      </c>
      <c r="J14" s="33"/>
      <c r="K14" s="41"/>
      <c r="L14" s="35">
        <v>0</v>
      </c>
      <c r="M14" s="26" t="s">
        <v>757</v>
      </c>
      <c r="N14" s="27">
        <v>0</v>
      </c>
      <c r="O14" s="28"/>
      <c r="P14" s="18"/>
      <c r="Q14" s="19">
        <v>42561</v>
      </c>
      <c r="R14" s="170">
        <v>83519</v>
      </c>
      <c r="S14" s="219" t="s">
        <v>756</v>
      </c>
      <c r="T14" s="21">
        <v>42561</v>
      </c>
      <c r="U14" s="22">
        <v>83338.5</v>
      </c>
      <c r="V14" s="23"/>
      <c r="W14" s="178">
        <v>42561</v>
      </c>
      <c r="X14" s="39">
        <v>200</v>
      </c>
      <c r="Y14" s="33"/>
      <c r="Z14" s="41"/>
      <c r="AA14" s="35">
        <v>0</v>
      </c>
      <c r="AB14" s="26" t="s">
        <v>757</v>
      </c>
      <c r="AC14" s="27">
        <v>0</v>
      </c>
      <c r="AD14" s="28"/>
      <c r="AE14" s="18"/>
      <c r="AF14" s="19">
        <v>42561</v>
      </c>
      <c r="AG14" s="170">
        <v>83519</v>
      </c>
      <c r="AH14" s="219" t="s">
        <v>756</v>
      </c>
      <c r="AI14" s="21">
        <v>42561</v>
      </c>
      <c r="AJ14" s="22">
        <v>83338.5</v>
      </c>
      <c r="AK14" s="23"/>
      <c r="AL14" s="178">
        <v>42561</v>
      </c>
      <c r="AM14" s="39">
        <v>200</v>
      </c>
      <c r="AN14" s="33"/>
      <c r="AO14" s="41"/>
      <c r="AP14" s="35">
        <v>0</v>
      </c>
      <c r="AQ14" s="26" t="s">
        <v>757</v>
      </c>
      <c r="AR14" s="27">
        <v>0</v>
      </c>
      <c r="AS14" s="28"/>
      <c r="AT14" s="18"/>
      <c r="AU14" s="19">
        <v>42561</v>
      </c>
      <c r="AV14" s="170">
        <v>83519</v>
      </c>
      <c r="AW14" s="219" t="s">
        <v>756</v>
      </c>
      <c r="AX14" s="21">
        <v>42561</v>
      </c>
      <c r="AY14" s="22">
        <v>83338.5</v>
      </c>
      <c r="AZ14" s="23"/>
      <c r="BA14" s="178">
        <v>42561</v>
      </c>
      <c r="BB14" s="39">
        <v>200</v>
      </c>
      <c r="BC14" s="33"/>
      <c r="BD14" s="41"/>
      <c r="BE14" s="35">
        <v>0</v>
      </c>
      <c r="BF14" s="26" t="s">
        <v>757</v>
      </c>
      <c r="BG14" s="27">
        <v>0</v>
      </c>
      <c r="BH14" s="28"/>
    </row>
    <row r="15" spans="1:60" ht="15.75" thickBot="1" x14ac:dyDescent="0.3">
      <c r="A15" s="18"/>
      <c r="B15" s="19">
        <v>42562</v>
      </c>
      <c r="C15" s="170">
        <v>97488.5</v>
      </c>
      <c r="D15" s="219" t="s">
        <v>758</v>
      </c>
      <c r="E15" s="21">
        <v>42562</v>
      </c>
      <c r="F15" s="22">
        <v>106109</v>
      </c>
      <c r="G15" s="23"/>
      <c r="H15" s="178">
        <v>42562</v>
      </c>
      <c r="I15" s="39">
        <v>200</v>
      </c>
      <c r="J15" s="33"/>
      <c r="K15" s="40" t="s">
        <v>12</v>
      </c>
      <c r="L15" s="35">
        <v>0</v>
      </c>
      <c r="M15" s="26" t="s">
        <v>759</v>
      </c>
      <c r="N15" s="27">
        <v>0</v>
      </c>
      <c r="O15" s="28"/>
      <c r="P15" s="18"/>
      <c r="Q15" s="19">
        <v>42562</v>
      </c>
      <c r="R15" s="170">
        <v>97488.5</v>
      </c>
      <c r="S15" s="219" t="s">
        <v>758</v>
      </c>
      <c r="T15" s="21">
        <v>42562</v>
      </c>
      <c r="U15" s="22">
        <v>106109</v>
      </c>
      <c r="V15" s="23"/>
      <c r="W15" s="178">
        <v>42562</v>
      </c>
      <c r="X15" s="39">
        <v>200</v>
      </c>
      <c r="Y15" s="33"/>
      <c r="Z15" s="40" t="s">
        <v>12</v>
      </c>
      <c r="AA15" s="35">
        <v>0</v>
      </c>
      <c r="AB15" s="26" t="s">
        <v>759</v>
      </c>
      <c r="AC15" s="27">
        <v>0</v>
      </c>
      <c r="AD15" s="28"/>
      <c r="AE15" s="18"/>
      <c r="AF15" s="19">
        <v>42562</v>
      </c>
      <c r="AG15" s="170">
        <v>97488.5</v>
      </c>
      <c r="AH15" s="219" t="s">
        <v>758</v>
      </c>
      <c r="AI15" s="21">
        <v>42562</v>
      </c>
      <c r="AJ15" s="22">
        <v>106109</v>
      </c>
      <c r="AK15" s="23"/>
      <c r="AL15" s="178">
        <v>42562</v>
      </c>
      <c r="AM15" s="39">
        <v>200</v>
      </c>
      <c r="AN15" s="33"/>
      <c r="AO15" s="40" t="s">
        <v>12</v>
      </c>
      <c r="AP15" s="35">
        <v>0</v>
      </c>
      <c r="AQ15" s="26" t="s">
        <v>759</v>
      </c>
      <c r="AR15" s="27">
        <v>0</v>
      </c>
      <c r="AS15" s="28"/>
      <c r="AT15" s="18"/>
      <c r="AU15" s="19">
        <v>42562</v>
      </c>
      <c r="AV15" s="170">
        <v>97488.5</v>
      </c>
      <c r="AW15" s="219" t="s">
        <v>758</v>
      </c>
      <c r="AX15" s="21">
        <v>42562</v>
      </c>
      <c r="AY15" s="233">
        <v>106109</v>
      </c>
      <c r="AZ15" s="23"/>
      <c r="BA15" s="178">
        <v>42562</v>
      </c>
      <c r="BB15" s="234">
        <v>200</v>
      </c>
      <c r="BC15" s="33"/>
      <c r="BD15" s="40" t="s">
        <v>12</v>
      </c>
      <c r="BE15" s="35">
        <v>0</v>
      </c>
      <c r="BF15" s="26" t="s">
        <v>759</v>
      </c>
      <c r="BG15" s="27">
        <v>0</v>
      </c>
      <c r="BH15" s="28"/>
    </row>
    <row r="16" spans="1:60" ht="15.75" thickBot="1" x14ac:dyDescent="0.3">
      <c r="A16" s="18"/>
      <c r="B16" s="19">
        <v>42563</v>
      </c>
      <c r="C16" s="170">
        <v>34241</v>
      </c>
      <c r="D16" s="219" t="s">
        <v>767</v>
      </c>
      <c r="E16" s="21">
        <v>42563</v>
      </c>
      <c r="F16" s="22">
        <v>34441</v>
      </c>
      <c r="G16" s="23"/>
      <c r="H16" s="178">
        <v>42563</v>
      </c>
      <c r="I16" s="39">
        <v>200</v>
      </c>
      <c r="J16" s="33"/>
      <c r="K16" s="42" t="s">
        <v>13</v>
      </c>
      <c r="L16" s="43">
        <v>0</v>
      </c>
      <c r="M16" s="26" t="s">
        <v>766</v>
      </c>
      <c r="N16" s="27">
        <v>0</v>
      </c>
      <c r="O16" s="28"/>
      <c r="P16" s="18"/>
      <c r="Q16" s="19">
        <v>42563</v>
      </c>
      <c r="R16" s="170">
        <v>34241</v>
      </c>
      <c r="S16" s="219" t="s">
        <v>767</v>
      </c>
      <c r="T16" s="21">
        <v>42563</v>
      </c>
      <c r="U16" s="22">
        <v>34441</v>
      </c>
      <c r="V16" s="23"/>
      <c r="W16" s="178">
        <v>42563</v>
      </c>
      <c r="X16" s="39">
        <v>200</v>
      </c>
      <c r="Y16" s="33"/>
      <c r="Z16" s="42" t="s">
        <v>13</v>
      </c>
      <c r="AA16" s="43">
        <v>0</v>
      </c>
      <c r="AB16" s="26" t="s">
        <v>766</v>
      </c>
      <c r="AC16" s="27">
        <v>0</v>
      </c>
      <c r="AD16" s="28"/>
      <c r="AE16" s="18"/>
      <c r="AF16" s="19">
        <v>42563</v>
      </c>
      <c r="AG16" s="170">
        <v>34241</v>
      </c>
      <c r="AH16" s="219" t="s">
        <v>767</v>
      </c>
      <c r="AI16" s="21">
        <v>42563</v>
      </c>
      <c r="AJ16" s="22">
        <v>34441</v>
      </c>
      <c r="AK16" s="23"/>
      <c r="AL16" s="178">
        <v>42563</v>
      </c>
      <c r="AM16" s="39">
        <v>200</v>
      </c>
      <c r="AN16" s="33"/>
      <c r="AO16" s="42" t="s">
        <v>13</v>
      </c>
      <c r="AP16" s="43">
        <v>0</v>
      </c>
      <c r="AQ16" s="26" t="s">
        <v>766</v>
      </c>
      <c r="AR16" s="27">
        <v>0</v>
      </c>
      <c r="AS16" s="28"/>
      <c r="AT16" s="18"/>
      <c r="AU16" s="19">
        <v>42563</v>
      </c>
      <c r="AV16" s="170"/>
      <c r="AW16" s="219"/>
      <c r="AX16" s="21">
        <v>42563</v>
      </c>
      <c r="AY16" s="22"/>
      <c r="AZ16" s="23"/>
      <c r="BA16" s="178">
        <v>42563</v>
      </c>
      <c r="BB16" s="39"/>
      <c r="BC16" s="33"/>
      <c r="BD16" s="42" t="s">
        <v>13</v>
      </c>
      <c r="BE16" s="43">
        <v>0</v>
      </c>
      <c r="BF16" s="26"/>
      <c r="BG16" s="27"/>
      <c r="BH16" s="28"/>
    </row>
    <row r="17" spans="1:60" ht="15.75" thickBot="1" x14ac:dyDescent="0.3">
      <c r="A17" s="18"/>
      <c r="B17" s="19">
        <v>42564</v>
      </c>
      <c r="C17" s="170">
        <v>51800.5</v>
      </c>
      <c r="D17" s="219" t="s">
        <v>769</v>
      </c>
      <c r="E17" s="21">
        <v>42564</v>
      </c>
      <c r="F17" s="22">
        <v>52000.5</v>
      </c>
      <c r="G17" s="23"/>
      <c r="H17" s="178">
        <v>42564</v>
      </c>
      <c r="I17" s="39">
        <v>200</v>
      </c>
      <c r="J17" s="33"/>
      <c r="K17" s="40" t="s">
        <v>14</v>
      </c>
      <c r="L17" s="43">
        <v>0</v>
      </c>
      <c r="M17" s="26" t="s">
        <v>768</v>
      </c>
      <c r="N17" s="27">
        <v>0</v>
      </c>
      <c r="O17" s="28"/>
      <c r="P17" s="18"/>
      <c r="Q17" s="19">
        <v>42564</v>
      </c>
      <c r="R17" s="170">
        <v>51800.5</v>
      </c>
      <c r="S17" s="219" t="s">
        <v>769</v>
      </c>
      <c r="T17" s="21">
        <v>42564</v>
      </c>
      <c r="U17" s="22">
        <v>52000.5</v>
      </c>
      <c r="V17" s="23"/>
      <c r="W17" s="178">
        <v>42564</v>
      </c>
      <c r="X17" s="39">
        <v>200</v>
      </c>
      <c r="Y17" s="33"/>
      <c r="Z17" s="40" t="s">
        <v>14</v>
      </c>
      <c r="AA17" s="43">
        <v>0</v>
      </c>
      <c r="AB17" s="26" t="s">
        <v>768</v>
      </c>
      <c r="AC17" s="27">
        <v>0</v>
      </c>
      <c r="AD17" s="28"/>
      <c r="AE17" s="18"/>
      <c r="AF17" s="19">
        <v>42564</v>
      </c>
      <c r="AG17" s="170">
        <v>51800.5</v>
      </c>
      <c r="AH17" s="219" t="s">
        <v>769</v>
      </c>
      <c r="AI17" s="21">
        <v>42564</v>
      </c>
      <c r="AJ17" s="22">
        <v>52000.5</v>
      </c>
      <c r="AK17" s="23"/>
      <c r="AL17" s="178">
        <v>42564</v>
      </c>
      <c r="AM17" s="39">
        <v>200</v>
      </c>
      <c r="AN17" s="33"/>
      <c r="AO17" s="40" t="s">
        <v>14</v>
      </c>
      <c r="AP17" s="43">
        <v>0</v>
      </c>
      <c r="AQ17" s="26" t="s">
        <v>768</v>
      </c>
      <c r="AR17" s="27">
        <v>0</v>
      </c>
      <c r="AS17" s="28"/>
      <c r="AT17" s="18"/>
      <c r="AU17" s="19">
        <v>42564</v>
      </c>
      <c r="AV17" s="170"/>
      <c r="AW17" s="219"/>
      <c r="AX17" s="21">
        <v>42564</v>
      </c>
      <c r="AY17" s="22"/>
      <c r="AZ17" s="23"/>
      <c r="BA17" s="178">
        <v>42564</v>
      </c>
      <c r="BB17" s="39"/>
      <c r="BC17" s="33"/>
      <c r="BD17" s="40" t="s">
        <v>14</v>
      </c>
      <c r="BE17" s="43">
        <v>0</v>
      </c>
      <c r="BF17" s="26"/>
      <c r="BG17" s="27"/>
      <c r="BH17" s="28"/>
    </row>
    <row r="18" spans="1:60" ht="15.75" thickBot="1" x14ac:dyDescent="0.3">
      <c r="A18" s="18"/>
      <c r="B18" s="19">
        <v>42565</v>
      </c>
      <c r="C18" s="170">
        <v>79946.5</v>
      </c>
      <c r="D18" s="220" t="s">
        <v>770</v>
      </c>
      <c r="E18" s="21">
        <v>42565</v>
      </c>
      <c r="F18" s="22">
        <v>67542</v>
      </c>
      <c r="G18" s="23"/>
      <c r="H18" s="178">
        <v>42565</v>
      </c>
      <c r="I18" s="39">
        <v>200</v>
      </c>
      <c r="J18" s="44"/>
      <c r="K18" s="40" t="s">
        <v>15</v>
      </c>
      <c r="L18" s="27">
        <v>0</v>
      </c>
      <c r="M18" s="26" t="s">
        <v>771</v>
      </c>
      <c r="N18" s="27">
        <v>0</v>
      </c>
      <c r="O18" s="28"/>
      <c r="P18" s="18"/>
      <c r="Q18" s="19">
        <v>42565</v>
      </c>
      <c r="R18" s="170">
        <v>79946.5</v>
      </c>
      <c r="S18" s="220" t="s">
        <v>770</v>
      </c>
      <c r="T18" s="21">
        <v>42565</v>
      </c>
      <c r="U18" s="22">
        <v>67542</v>
      </c>
      <c r="V18" s="23"/>
      <c r="W18" s="178">
        <v>42565</v>
      </c>
      <c r="X18" s="39">
        <v>200</v>
      </c>
      <c r="Y18" s="44"/>
      <c r="Z18" s="40" t="s">
        <v>15</v>
      </c>
      <c r="AA18" s="27">
        <v>0</v>
      </c>
      <c r="AB18" s="26" t="s">
        <v>771</v>
      </c>
      <c r="AC18" s="27">
        <v>0</v>
      </c>
      <c r="AD18" s="28"/>
      <c r="AE18" s="18"/>
      <c r="AF18" s="19">
        <v>42565</v>
      </c>
      <c r="AG18" s="170">
        <v>79946.5</v>
      </c>
      <c r="AH18" s="220" t="s">
        <v>770</v>
      </c>
      <c r="AI18" s="21">
        <v>42565</v>
      </c>
      <c r="AJ18" s="22">
        <v>67542</v>
      </c>
      <c r="AK18" s="23"/>
      <c r="AL18" s="178">
        <v>42565</v>
      </c>
      <c r="AM18" s="39">
        <v>200</v>
      </c>
      <c r="AN18" s="44"/>
      <c r="AO18" s="40" t="s">
        <v>15</v>
      </c>
      <c r="AP18" s="27">
        <v>0</v>
      </c>
      <c r="AQ18" s="26" t="s">
        <v>771</v>
      </c>
      <c r="AR18" s="27">
        <v>0</v>
      </c>
      <c r="AS18" s="28"/>
      <c r="AT18" s="18"/>
      <c r="AU18" s="19">
        <v>42565</v>
      </c>
      <c r="AV18" s="170"/>
      <c r="AW18" s="220"/>
      <c r="AX18" s="21">
        <v>42565</v>
      </c>
      <c r="AY18" s="22"/>
      <c r="AZ18" s="23"/>
      <c r="BA18" s="178">
        <v>42565</v>
      </c>
      <c r="BB18" s="39"/>
      <c r="BC18" s="44"/>
      <c r="BD18" s="40" t="s">
        <v>15</v>
      </c>
      <c r="BE18" s="27">
        <v>0</v>
      </c>
      <c r="BF18" s="26"/>
      <c r="BG18" s="27"/>
      <c r="BH18" s="28"/>
    </row>
    <row r="19" spans="1:60" ht="15.75" thickBot="1" x14ac:dyDescent="0.3">
      <c r="A19" s="18"/>
      <c r="B19" s="19">
        <v>42566</v>
      </c>
      <c r="C19" s="170">
        <v>81860.5</v>
      </c>
      <c r="D19" s="219" t="s">
        <v>772</v>
      </c>
      <c r="E19" s="21">
        <v>42566</v>
      </c>
      <c r="F19" s="22">
        <v>87818</v>
      </c>
      <c r="G19" s="23"/>
      <c r="H19" s="178">
        <v>42566</v>
      </c>
      <c r="I19" s="39">
        <v>200</v>
      </c>
      <c r="J19" s="33"/>
      <c r="K19" s="40" t="s">
        <v>16</v>
      </c>
      <c r="L19" s="27">
        <v>0</v>
      </c>
      <c r="M19" s="26" t="s">
        <v>773</v>
      </c>
      <c r="N19" s="27">
        <v>0</v>
      </c>
      <c r="O19" s="51"/>
      <c r="P19" s="18"/>
      <c r="Q19" s="19">
        <v>42566</v>
      </c>
      <c r="R19" s="170">
        <v>81860.5</v>
      </c>
      <c r="S19" s="219" t="s">
        <v>772</v>
      </c>
      <c r="T19" s="21">
        <v>42566</v>
      </c>
      <c r="U19" s="22">
        <v>87818</v>
      </c>
      <c r="V19" s="23"/>
      <c r="W19" s="178">
        <v>42566</v>
      </c>
      <c r="X19" s="39">
        <v>200</v>
      </c>
      <c r="Y19" s="33"/>
      <c r="Z19" s="40" t="s">
        <v>16</v>
      </c>
      <c r="AA19" s="27">
        <v>0</v>
      </c>
      <c r="AB19" s="26" t="s">
        <v>773</v>
      </c>
      <c r="AC19" s="27">
        <v>0</v>
      </c>
      <c r="AD19" s="51"/>
      <c r="AE19" s="18"/>
      <c r="AF19" s="19">
        <v>42566</v>
      </c>
      <c r="AG19" s="170">
        <v>81860.5</v>
      </c>
      <c r="AH19" s="219" t="s">
        <v>772</v>
      </c>
      <c r="AI19" s="21">
        <v>42566</v>
      </c>
      <c r="AJ19" s="22">
        <v>87818</v>
      </c>
      <c r="AK19" s="23"/>
      <c r="AL19" s="178">
        <v>42566</v>
      </c>
      <c r="AM19" s="39">
        <v>200</v>
      </c>
      <c r="AN19" s="33"/>
      <c r="AO19" s="40" t="s">
        <v>16</v>
      </c>
      <c r="AP19" s="27">
        <v>0</v>
      </c>
      <c r="AQ19" s="26" t="s">
        <v>773</v>
      </c>
      <c r="AR19" s="27">
        <v>0</v>
      </c>
      <c r="AS19" s="51"/>
      <c r="AT19" s="18"/>
      <c r="AU19" s="19">
        <v>42566</v>
      </c>
      <c r="AV19" s="170"/>
      <c r="AW19" s="219"/>
      <c r="AX19" s="21">
        <v>42566</v>
      </c>
      <c r="AY19" s="22"/>
      <c r="AZ19" s="23"/>
      <c r="BA19" s="178">
        <v>42566</v>
      </c>
      <c r="BB19" s="39"/>
      <c r="BC19" s="33"/>
      <c r="BD19" s="40" t="s">
        <v>16</v>
      </c>
      <c r="BE19" s="27">
        <v>0</v>
      </c>
      <c r="BF19" s="26"/>
      <c r="BG19" s="27"/>
      <c r="BH19" s="51"/>
    </row>
    <row r="20" spans="1:60" ht="15.75" thickBot="1" x14ac:dyDescent="0.3">
      <c r="A20" s="18"/>
      <c r="B20" s="19">
        <v>42567</v>
      </c>
      <c r="C20" s="170">
        <v>116808</v>
      </c>
      <c r="D20" s="221" t="s">
        <v>778</v>
      </c>
      <c r="E20" s="21">
        <v>42567</v>
      </c>
      <c r="F20" s="22">
        <v>125186</v>
      </c>
      <c r="G20" s="23"/>
      <c r="H20" s="178">
        <v>42567</v>
      </c>
      <c r="I20" s="39">
        <v>200</v>
      </c>
      <c r="J20" s="45"/>
      <c r="K20" s="46" t="s">
        <v>17</v>
      </c>
      <c r="L20" s="47">
        <v>0</v>
      </c>
      <c r="M20" s="26" t="s">
        <v>779</v>
      </c>
      <c r="N20" s="27">
        <v>0</v>
      </c>
      <c r="O20" s="51"/>
      <c r="P20" s="18"/>
      <c r="Q20" s="19">
        <v>42567</v>
      </c>
      <c r="R20" s="170">
        <v>116808</v>
      </c>
      <c r="S20" s="221" t="s">
        <v>778</v>
      </c>
      <c r="T20" s="21">
        <v>42567</v>
      </c>
      <c r="U20" s="22">
        <v>125186</v>
      </c>
      <c r="V20" s="23"/>
      <c r="W20" s="178">
        <v>42567</v>
      </c>
      <c r="X20" s="39">
        <v>200</v>
      </c>
      <c r="Y20" s="45"/>
      <c r="Z20" s="46" t="s">
        <v>17</v>
      </c>
      <c r="AA20" s="47">
        <v>0</v>
      </c>
      <c r="AB20" s="26" t="s">
        <v>779</v>
      </c>
      <c r="AC20" s="27">
        <v>0</v>
      </c>
      <c r="AD20" s="51"/>
      <c r="AE20" s="18"/>
      <c r="AF20" s="19">
        <v>42567</v>
      </c>
      <c r="AG20" s="170">
        <v>116808</v>
      </c>
      <c r="AH20" s="221" t="s">
        <v>778</v>
      </c>
      <c r="AI20" s="21">
        <v>42567</v>
      </c>
      <c r="AJ20" s="22">
        <v>125186</v>
      </c>
      <c r="AK20" s="23"/>
      <c r="AL20" s="178">
        <v>42567</v>
      </c>
      <c r="AM20" s="39">
        <v>200</v>
      </c>
      <c r="AN20" s="45"/>
      <c r="AO20" s="46" t="s">
        <v>17</v>
      </c>
      <c r="AP20" s="47">
        <v>0</v>
      </c>
      <c r="AQ20" s="26" t="s">
        <v>779</v>
      </c>
      <c r="AR20" s="27">
        <v>0</v>
      </c>
      <c r="AS20" s="51"/>
      <c r="AT20" s="18"/>
      <c r="AU20" s="19">
        <v>42567</v>
      </c>
      <c r="AV20" s="170"/>
      <c r="AW20" s="221"/>
      <c r="AX20" s="21">
        <v>42567</v>
      </c>
      <c r="AY20" s="22"/>
      <c r="AZ20" s="23"/>
      <c r="BA20" s="178">
        <v>42567</v>
      </c>
      <c r="BB20" s="39"/>
      <c r="BC20" s="45"/>
      <c r="BD20" s="46" t="s">
        <v>17</v>
      </c>
      <c r="BE20" s="47">
        <v>0</v>
      </c>
      <c r="BF20" s="26"/>
      <c r="BG20" s="27"/>
      <c r="BH20" s="51"/>
    </row>
    <row r="21" spans="1:60" ht="15.75" thickBot="1" x14ac:dyDescent="0.3">
      <c r="A21" s="18"/>
      <c r="B21" s="19">
        <v>42568</v>
      </c>
      <c r="C21" s="170">
        <v>130429</v>
      </c>
      <c r="D21" s="221" t="s">
        <v>774</v>
      </c>
      <c r="E21" s="21">
        <v>42568</v>
      </c>
      <c r="F21" s="22">
        <v>108938.5</v>
      </c>
      <c r="G21" s="23"/>
      <c r="H21" s="178">
        <v>42568</v>
      </c>
      <c r="I21" s="39">
        <v>337</v>
      </c>
      <c r="J21" s="33"/>
      <c r="K21" s="237"/>
      <c r="L21" s="47">
        <v>0</v>
      </c>
      <c r="M21" s="26" t="s">
        <v>775</v>
      </c>
      <c r="N21" s="27">
        <v>0</v>
      </c>
      <c r="O21" s="51"/>
      <c r="P21" s="18"/>
      <c r="Q21" s="19">
        <v>42568</v>
      </c>
      <c r="R21" s="170">
        <v>130429</v>
      </c>
      <c r="S21" s="221" t="s">
        <v>774</v>
      </c>
      <c r="T21" s="21">
        <v>42568</v>
      </c>
      <c r="U21" s="22">
        <v>108938.5</v>
      </c>
      <c r="V21" s="23"/>
      <c r="W21" s="178">
        <v>42568</v>
      </c>
      <c r="X21" s="39">
        <v>337</v>
      </c>
      <c r="Y21" s="33"/>
      <c r="Z21" s="237"/>
      <c r="AA21" s="47">
        <v>0</v>
      </c>
      <c r="AB21" s="26" t="s">
        <v>775</v>
      </c>
      <c r="AC21" s="27">
        <v>0</v>
      </c>
      <c r="AD21" s="51"/>
      <c r="AE21" s="18"/>
      <c r="AF21" s="19">
        <v>42568</v>
      </c>
      <c r="AG21" s="170">
        <v>130429</v>
      </c>
      <c r="AH21" s="221" t="s">
        <v>774</v>
      </c>
      <c r="AI21" s="21">
        <v>42568</v>
      </c>
      <c r="AJ21" s="22">
        <v>108938.5</v>
      </c>
      <c r="AK21" s="23"/>
      <c r="AL21" s="178">
        <v>42568</v>
      </c>
      <c r="AM21" s="39">
        <v>337</v>
      </c>
      <c r="AN21" s="33"/>
      <c r="AO21" s="237"/>
      <c r="AP21" s="47">
        <v>0</v>
      </c>
      <c r="AQ21" s="26" t="s">
        <v>775</v>
      </c>
      <c r="AR21" s="27">
        <v>0</v>
      </c>
      <c r="AS21" s="51"/>
      <c r="AT21" s="18"/>
      <c r="AU21" s="19">
        <v>42568</v>
      </c>
      <c r="AV21" s="170"/>
      <c r="AW21" s="221"/>
      <c r="AX21" s="21">
        <v>42568</v>
      </c>
      <c r="AY21" s="22"/>
      <c r="AZ21" s="23"/>
      <c r="BA21" s="178">
        <v>42568</v>
      </c>
      <c r="BB21" s="39"/>
      <c r="BC21" s="33"/>
      <c r="BD21" s="237"/>
      <c r="BE21" s="47">
        <v>0</v>
      </c>
      <c r="BF21" s="26"/>
      <c r="BG21" s="27"/>
      <c r="BH21" s="51"/>
    </row>
    <row r="22" spans="1:60" ht="15.75" thickBot="1" x14ac:dyDescent="0.3">
      <c r="A22" s="18"/>
      <c r="B22" s="19">
        <v>42569</v>
      </c>
      <c r="C22" s="170">
        <v>76591.5</v>
      </c>
      <c r="D22" s="219" t="s">
        <v>780</v>
      </c>
      <c r="E22" s="21">
        <v>42569</v>
      </c>
      <c r="F22" s="22">
        <v>86237</v>
      </c>
      <c r="G22" s="23"/>
      <c r="H22" s="178">
        <v>42569</v>
      </c>
      <c r="I22" s="39">
        <v>200</v>
      </c>
      <c r="J22" s="45"/>
      <c r="K22" s="49"/>
      <c r="L22" s="47">
        <v>0</v>
      </c>
      <c r="M22" s="26" t="s">
        <v>781</v>
      </c>
      <c r="N22" s="27">
        <v>0</v>
      </c>
      <c r="O22" s="51"/>
      <c r="P22" s="18"/>
      <c r="Q22" s="19">
        <v>42569</v>
      </c>
      <c r="R22" s="170">
        <v>76591.5</v>
      </c>
      <c r="S22" s="219" t="s">
        <v>780</v>
      </c>
      <c r="T22" s="21">
        <v>42569</v>
      </c>
      <c r="U22" s="22">
        <v>86237</v>
      </c>
      <c r="V22" s="23"/>
      <c r="W22" s="178">
        <v>42569</v>
      </c>
      <c r="X22" s="39">
        <v>200</v>
      </c>
      <c r="Y22" s="45"/>
      <c r="Z22" s="49"/>
      <c r="AA22" s="47">
        <v>0</v>
      </c>
      <c r="AB22" s="26" t="s">
        <v>781</v>
      </c>
      <c r="AC22" s="27">
        <v>0</v>
      </c>
      <c r="AD22" s="51"/>
      <c r="AE22" s="18"/>
      <c r="AF22" s="19">
        <v>42569</v>
      </c>
      <c r="AG22" s="170">
        <v>76591.5</v>
      </c>
      <c r="AH22" s="219" t="s">
        <v>780</v>
      </c>
      <c r="AI22" s="21">
        <v>42569</v>
      </c>
      <c r="AJ22" s="233">
        <v>86237</v>
      </c>
      <c r="AK22" s="23"/>
      <c r="AL22" s="178">
        <v>42569</v>
      </c>
      <c r="AM22" s="234">
        <v>200</v>
      </c>
      <c r="AN22" s="45"/>
      <c r="AO22" s="49"/>
      <c r="AP22" s="47">
        <v>0</v>
      </c>
      <c r="AQ22" s="26" t="s">
        <v>781</v>
      </c>
      <c r="AR22" s="27">
        <v>0</v>
      </c>
      <c r="AS22" s="51"/>
      <c r="AT22" s="18"/>
      <c r="AU22" s="19">
        <v>42569</v>
      </c>
      <c r="AV22" s="170"/>
      <c r="AW22" s="219"/>
      <c r="AX22" s="21">
        <v>42569</v>
      </c>
      <c r="AY22" s="22"/>
      <c r="AZ22" s="23"/>
      <c r="BA22" s="178">
        <v>42569</v>
      </c>
      <c r="BB22" s="39"/>
      <c r="BC22" s="45"/>
      <c r="BD22" s="49"/>
      <c r="BE22" s="47">
        <v>0</v>
      </c>
      <c r="BF22" s="26"/>
      <c r="BG22" s="27"/>
      <c r="BH22" s="51"/>
    </row>
    <row r="23" spans="1:60" ht="15.75" thickBot="1" x14ac:dyDescent="0.3">
      <c r="A23" s="18"/>
      <c r="B23" s="19">
        <v>42570</v>
      </c>
      <c r="C23" s="170">
        <v>43888.5</v>
      </c>
      <c r="D23" s="219" t="s">
        <v>782</v>
      </c>
      <c r="E23" s="21">
        <v>42570</v>
      </c>
      <c r="F23" s="22">
        <v>44088.5</v>
      </c>
      <c r="G23" s="23"/>
      <c r="H23" s="178">
        <v>42570</v>
      </c>
      <c r="I23" s="39">
        <v>200</v>
      </c>
      <c r="J23" s="33"/>
      <c r="K23" s="50"/>
      <c r="L23" s="47" t="s">
        <v>23</v>
      </c>
      <c r="M23" s="26" t="s">
        <v>783</v>
      </c>
      <c r="N23" s="27">
        <v>0</v>
      </c>
      <c r="O23" s="51"/>
      <c r="P23" s="18"/>
      <c r="Q23" s="19">
        <v>42570</v>
      </c>
      <c r="R23" s="170">
        <v>43888.5</v>
      </c>
      <c r="S23" s="219" t="s">
        <v>782</v>
      </c>
      <c r="T23" s="21">
        <v>42570</v>
      </c>
      <c r="U23" s="22">
        <v>44088.5</v>
      </c>
      <c r="V23" s="23"/>
      <c r="W23" s="178">
        <v>42570</v>
      </c>
      <c r="X23" s="39">
        <v>200</v>
      </c>
      <c r="Y23" s="33"/>
      <c r="Z23" s="50"/>
      <c r="AA23" s="47" t="s">
        <v>23</v>
      </c>
      <c r="AB23" s="26" t="s">
        <v>783</v>
      </c>
      <c r="AC23" s="27">
        <v>0</v>
      </c>
      <c r="AD23" s="51"/>
      <c r="AE23" s="18"/>
      <c r="AF23" s="19">
        <v>42570</v>
      </c>
      <c r="AG23" s="170"/>
      <c r="AH23" s="219"/>
      <c r="AI23" s="21">
        <v>42570</v>
      </c>
      <c r="AJ23" s="22"/>
      <c r="AK23" s="23"/>
      <c r="AL23" s="178">
        <v>42570</v>
      </c>
      <c r="AM23" s="39"/>
      <c r="AN23" s="33"/>
      <c r="AO23" s="50"/>
      <c r="AP23" s="47" t="s">
        <v>23</v>
      </c>
      <c r="AQ23" s="26"/>
      <c r="AR23" s="27"/>
      <c r="AS23" s="51"/>
      <c r="AT23" s="18"/>
      <c r="AU23" s="19">
        <v>42570</v>
      </c>
      <c r="AV23" s="170"/>
      <c r="AW23" s="219"/>
      <c r="AX23" s="21">
        <v>42570</v>
      </c>
      <c r="AY23" s="22"/>
      <c r="AZ23" s="23"/>
      <c r="BA23" s="178">
        <v>42570</v>
      </c>
      <c r="BB23" s="39"/>
      <c r="BC23" s="33"/>
      <c r="BD23" s="50"/>
      <c r="BE23" s="47" t="s">
        <v>23</v>
      </c>
      <c r="BF23" s="26"/>
      <c r="BG23" s="27"/>
      <c r="BH23" s="51"/>
    </row>
    <row r="24" spans="1:60" ht="15.75" thickBot="1" x14ac:dyDescent="0.3">
      <c r="A24" s="18"/>
      <c r="B24" s="19">
        <v>42571</v>
      </c>
      <c r="C24" s="170">
        <v>51210</v>
      </c>
      <c r="D24" s="219" t="s">
        <v>782</v>
      </c>
      <c r="E24" s="21">
        <v>42571</v>
      </c>
      <c r="F24" s="22">
        <v>62369.5</v>
      </c>
      <c r="G24" s="23"/>
      <c r="H24" s="178">
        <v>42571</v>
      </c>
      <c r="I24" s="39">
        <v>40</v>
      </c>
      <c r="J24" s="33"/>
      <c r="K24" s="52" t="s">
        <v>19</v>
      </c>
      <c r="L24" s="47">
        <v>800</v>
      </c>
      <c r="M24" s="26" t="s">
        <v>784</v>
      </c>
      <c r="N24" s="27">
        <v>0</v>
      </c>
      <c r="O24" s="51"/>
      <c r="P24" s="18"/>
      <c r="Q24" s="19">
        <v>42571</v>
      </c>
      <c r="R24" s="170">
        <v>51210</v>
      </c>
      <c r="S24" s="219" t="s">
        <v>782</v>
      </c>
      <c r="T24" s="21">
        <v>42571</v>
      </c>
      <c r="U24" s="22">
        <v>62369.5</v>
      </c>
      <c r="V24" s="23"/>
      <c r="W24" s="178">
        <v>42571</v>
      </c>
      <c r="X24" s="39">
        <v>40</v>
      </c>
      <c r="Y24" s="33"/>
      <c r="Z24" s="52" t="s">
        <v>19</v>
      </c>
      <c r="AA24" s="47">
        <v>800</v>
      </c>
      <c r="AB24" s="26" t="s">
        <v>784</v>
      </c>
      <c r="AC24" s="27">
        <v>0</v>
      </c>
      <c r="AD24" s="51"/>
      <c r="AE24" s="18"/>
      <c r="AF24" s="19">
        <v>42571</v>
      </c>
      <c r="AG24" s="170"/>
      <c r="AH24" s="236"/>
      <c r="AI24" s="21">
        <v>42571</v>
      </c>
      <c r="AJ24" s="22"/>
      <c r="AK24" s="23"/>
      <c r="AL24" s="178">
        <v>42571</v>
      </c>
      <c r="AM24" s="39"/>
      <c r="AN24" s="33"/>
      <c r="AO24" s="52" t="s">
        <v>19</v>
      </c>
      <c r="AP24" s="47">
        <v>800</v>
      </c>
      <c r="AQ24" s="26"/>
      <c r="AR24" s="27"/>
      <c r="AS24" s="51"/>
      <c r="AT24" s="18"/>
      <c r="AU24" s="19">
        <v>42571</v>
      </c>
      <c r="AV24" s="170"/>
      <c r="AW24" s="236"/>
      <c r="AX24" s="21">
        <v>42571</v>
      </c>
      <c r="AY24" s="22"/>
      <c r="AZ24" s="23"/>
      <c r="BA24" s="178">
        <v>42571</v>
      </c>
      <c r="BB24" s="39"/>
      <c r="BC24" s="33"/>
      <c r="BD24" s="52" t="s">
        <v>19</v>
      </c>
      <c r="BE24" s="47">
        <v>800</v>
      </c>
      <c r="BF24" s="26"/>
      <c r="BG24" s="27"/>
      <c r="BH24" s="51"/>
    </row>
    <row r="25" spans="1:60" ht="15.75" thickBot="1" x14ac:dyDescent="0.3">
      <c r="A25" s="18"/>
      <c r="B25" s="19">
        <v>42572</v>
      </c>
      <c r="C25" s="170">
        <v>55794.5</v>
      </c>
      <c r="D25" s="235" t="s">
        <v>799</v>
      </c>
      <c r="E25" s="21">
        <v>42572</v>
      </c>
      <c r="F25" s="22">
        <v>54306</v>
      </c>
      <c r="G25" s="23"/>
      <c r="H25" s="178">
        <v>42572</v>
      </c>
      <c r="I25" s="39">
        <v>0</v>
      </c>
      <c r="J25" s="33"/>
      <c r="K25" s="266">
        <v>42556</v>
      </c>
      <c r="L25" s="47"/>
      <c r="M25" s="26" t="s">
        <v>801</v>
      </c>
      <c r="N25" s="27">
        <v>0</v>
      </c>
      <c r="O25" s="51"/>
      <c r="P25" s="18"/>
      <c r="Q25" s="19">
        <v>42572</v>
      </c>
      <c r="R25" s="170">
        <v>55794.5</v>
      </c>
      <c r="S25" s="235" t="s">
        <v>799</v>
      </c>
      <c r="T25" s="21">
        <v>42572</v>
      </c>
      <c r="U25" s="22">
        <v>54306</v>
      </c>
      <c r="V25" s="23"/>
      <c r="W25" s="178">
        <v>42572</v>
      </c>
      <c r="X25" s="39">
        <v>0</v>
      </c>
      <c r="Y25" s="33"/>
      <c r="Z25" s="266">
        <v>42556</v>
      </c>
      <c r="AA25" s="47"/>
      <c r="AB25" s="26" t="s">
        <v>801</v>
      </c>
      <c r="AC25" s="27">
        <v>0</v>
      </c>
      <c r="AD25" s="51"/>
      <c r="AE25" s="18"/>
      <c r="AF25" s="19">
        <v>42572</v>
      </c>
      <c r="AG25" s="170"/>
      <c r="AH25" s="235"/>
      <c r="AI25" s="21">
        <v>42572</v>
      </c>
      <c r="AJ25" s="22"/>
      <c r="AK25" s="23"/>
      <c r="AL25" s="178">
        <v>42572</v>
      </c>
      <c r="AM25" s="39"/>
      <c r="AN25" s="33"/>
      <c r="AO25" s="266">
        <v>42556</v>
      </c>
      <c r="AP25" s="47"/>
      <c r="AQ25" s="26"/>
      <c r="AR25" s="27"/>
      <c r="AS25" s="51"/>
      <c r="AT25" s="18"/>
      <c r="AU25" s="19">
        <v>42572</v>
      </c>
      <c r="AV25" s="170"/>
      <c r="AW25" s="235"/>
      <c r="AX25" s="21">
        <v>42572</v>
      </c>
      <c r="AY25" s="22"/>
      <c r="AZ25" s="23"/>
      <c r="BA25" s="178">
        <v>42572</v>
      </c>
      <c r="BB25" s="39"/>
      <c r="BC25" s="33"/>
      <c r="BD25" s="266">
        <v>42556</v>
      </c>
      <c r="BE25" s="47"/>
      <c r="BF25" s="26"/>
      <c r="BG25" s="27"/>
      <c r="BH25" s="51"/>
    </row>
    <row r="26" spans="1:60" ht="15.75" thickBot="1" x14ac:dyDescent="0.3">
      <c r="A26" s="18"/>
      <c r="B26" s="19">
        <v>42573</v>
      </c>
      <c r="C26" s="170">
        <v>62867</v>
      </c>
      <c r="D26" s="219" t="s">
        <v>800</v>
      </c>
      <c r="E26" s="21">
        <v>42573</v>
      </c>
      <c r="F26" s="22">
        <v>66233</v>
      </c>
      <c r="G26" s="23"/>
      <c r="H26" s="178">
        <v>42573</v>
      </c>
      <c r="I26" s="39">
        <v>0</v>
      </c>
      <c r="J26" s="33"/>
      <c r="K26" s="53" t="s">
        <v>18</v>
      </c>
      <c r="L26" s="47">
        <v>900</v>
      </c>
      <c r="M26" s="26" t="s">
        <v>802</v>
      </c>
      <c r="N26" s="27">
        <v>0</v>
      </c>
      <c r="O26" s="51"/>
      <c r="P26" s="18"/>
      <c r="Q26" s="19">
        <v>42573</v>
      </c>
      <c r="R26" s="170">
        <v>62867</v>
      </c>
      <c r="S26" s="219" t="s">
        <v>800</v>
      </c>
      <c r="T26" s="21">
        <v>42573</v>
      </c>
      <c r="U26" s="22">
        <v>66233</v>
      </c>
      <c r="V26" s="23"/>
      <c r="W26" s="178">
        <v>42573</v>
      </c>
      <c r="X26" s="39">
        <v>0</v>
      </c>
      <c r="Y26" s="33"/>
      <c r="Z26" s="53" t="s">
        <v>18</v>
      </c>
      <c r="AA26" s="47">
        <v>900</v>
      </c>
      <c r="AB26" s="26" t="s">
        <v>802</v>
      </c>
      <c r="AC26" s="27">
        <v>0</v>
      </c>
      <c r="AD26" s="51"/>
      <c r="AE26" s="18"/>
      <c r="AF26" s="19">
        <v>42573</v>
      </c>
      <c r="AG26" s="170"/>
      <c r="AH26" s="219"/>
      <c r="AI26" s="21">
        <v>42573</v>
      </c>
      <c r="AJ26" s="22"/>
      <c r="AK26" s="23"/>
      <c r="AL26" s="178">
        <v>42573</v>
      </c>
      <c r="AM26" s="39"/>
      <c r="AN26" s="33"/>
      <c r="AO26" s="53" t="s">
        <v>18</v>
      </c>
      <c r="AP26" s="47">
        <v>900</v>
      </c>
      <c r="AQ26" s="26"/>
      <c r="AR26" s="27"/>
      <c r="AS26" s="51"/>
      <c r="AT26" s="18"/>
      <c r="AU26" s="19">
        <v>42573</v>
      </c>
      <c r="AV26" s="170"/>
      <c r="AW26" s="219"/>
      <c r="AX26" s="21">
        <v>42573</v>
      </c>
      <c r="AY26" s="22"/>
      <c r="AZ26" s="23"/>
      <c r="BA26" s="178">
        <v>42573</v>
      </c>
      <c r="BB26" s="39"/>
      <c r="BC26" s="33"/>
      <c r="BD26" s="53" t="s">
        <v>18</v>
      </c>
      <c r="BE26" s="47">
        <v>900</v>
      </c>
      <c r="BF26" s="26"/>
      <c r="BG26" s="27"/>
      <c r="BH26" s="51"/>
    </row>
    <row r="27" spans="1:60" ht="15.75" thickBot="1" x14ac:dyDescent="0.3">
      <c r="A27" s="18"/>
      <c r="B27" s="19">
        <v>42574</v>
      </c>
      <c r="C27" s="170">
        <v>97474.5</v>
      </c>
      <c r="D27" s="219" t="s">
        <v>803</v>
      </c>
      <c r="E27" s="21">
        <v>42574</v>
      </c>
      <c r="F27" s="22">
        <v>106864.5</v>
      </c>
      <c r="G27" s="23"/>
      <c r="H27" s="178">
        <v>42574</v>
      </c>
      <c r="I27" s="39">
        <v>0</v>
      </c>
      <c r="J27" s="33"/>
      <c r="K27" s="175">
        <v>42559</v>
      </c>
      <c r="L27" s="47"/>
      <c r="M27" s="26" t="s">
        <v>804</v>
      </c>
      <c r="N27" s="27">
        <v>0</v>
      </c>
      <c r="O27" s="51"/>
      <c r="P27" s="18"/>
      <c r="Q27" s="19">
        <v>42574</v>
      </c>
      <c r="R27" s="170">
        <v>97474.5</v>
      </c>
      <c r="S27" s="219" t="s">
        <v>803</v>
      </c>
      <c r="T27" s="21">
        <v>42574</v>
      </c>
      <c r="U27" s="22">
        <v>106864.5</v>
      </c>
      <c r="V27" s="23"/>
      <c r="W27" s="178">
        <v>42574</v>
      </c>
      <c r="X27" s="39">
        <v>0</v>
      </c>
      <c r="Y27" s="33"/>
      <c r="Z27" s="175">
        <v>42559</v>
      </c>
      <c r="AA27" s="47"/>
      <c r="AB27" s="26" t="s">
        <v>804</v>
      </c>
      <c r="AC27" s="27">
        <v>0</v>
      </c>
      <c r="AD27" s="51"/>
      <c r="AE27" s="18"/>
      <c r="AF27" s="19">
        <v>42574</v>
      </c>
      <c r="AG27" s="170"/>
      <c r="AH27" s="219"/>
      <c r="AI27" s="21">
        <v>42574</v>
      </c>
      <c r="AJ27" s="22"/>
      <c r="AK27" s="23"/>
      <c r="AL27" s="178">
        <v>42574</v>
      </c>
      <c r="AM27" s="39"/>
      <c r="AN27" s="33"/>
      <c r="AO27" s="175">
        <v>42559</v>
      </c>
      <c r="AP27" s="47"/>
      <c r="AQ27" s="26"/>
      <c r="AR27" s="27"/>
      <c r="AS27" s="51"/>
      <c r="AT27" s="18"/>
      <c r="AU27" s="19">
        <v>42574</v>
      </c>
      <c r="AV27" s="170"/>
      <c r="AW27" s="219"/>
      <c r="AX27" s="21">
        <v>42574</v>
      </c>
      <c r="AY27" s="22"/>
      <c r="AZ27" s="23"/>
      <c r="BA27" s="178">
        <v>42574</v>
      </c>
      <c r="BB27" s="39"/>
      <c r="BC27" s="33"/>
      <c r="BD27" s="175">
        <v>42559</v>
      </c>
      <c r="BE27" s="47"/>
      <c r="BF27" s="26"/>
      <c r="BG27" s="27"/>
      <c r="BH27" s="51"/>
    </row>
    <row r="28" spans="1:60" ht="15.75" thickBot="1" x14ac:dyDescent="0.3">
      <c r="A28" s="18"/>
      <c r="B28" s="19">
        <v>42575</v>
      </c>
      <c r="C28" s="170">
        <v>108885</v>
      </c>
      <c r="D28" s="219" t="s">
        <v>805</v>
      </c>
      <c r="E28" s="21">
        <v>42575</v>
      </c>
      <c r="F28" s="22">
        <v>100198</v>
      </c>
      <c r="G28" s="23"/>
      <c r="H28" s="178">
        <v>42575</v>
      </c>
      <c r="I28" s="39">
        <v>0</v>
      </c>
      <c r="J28" s="33"/>
      <c r="K28" s="53" t="s">
        <v>411</v>
      </c>
      <c r="L28" s="47">
        <v>0</v>
      </c>
      <c r="M28" s="37" t="s">
        <v>806</v>
      </c>
      <c r="N28" s="27">
        <v>0</v>
      </c>
      <c r="O28" s="51"/>
      <c r="P28" s="18"/>
      <c r="Q28" s="19">
        <v>42575</v>
      </c>
      <c r="R28" s="170">
        <v>108885</v>
      </c>
      <c r="S28" s="219" t="s">
        <v>805</v>
      </c>
      <c r="T28" s="21">
        <v>42575</v>
      </c>
      <c r="U28" s="22">
        <v>100198</v>
      </c>
      <c r="V28" s="23"/>
      <c r="W28" s="178">
        <v>42575</v>
      </c>
      <c r="X28" s="39">
        <v>0</v>
      </c>
      <c r="Y28" s="33"/>
      <c r="Z28" s="53" t="s">
        <v>411</v>
      </c>
      <c r="AA28" s="47">
        <v>0</v>
      </c>
      <c r="AB28" s="37" t="s">
        <v>806</v>
      </c>
      <c r="AC28" s="27">
        <v>0</v>
      </c>
      <c r="AD28" s="51"/>
      <c r="AE28" s="18"/>
      <c r="AF28" s="19">
        <v>42575</v>
      </c>
      <c r="AG28" s="170"/>
      <c r="AH28" s="219"/>
      <c r="AI28" s="21">
        <v>42575</v>
      </c>
      <c r="AJ28" s="22"/>
      <c r="AK28" s="23"/>
      <c r="AL28" s="178">
        <v>42575</v>
      </c>
      <c r="AM28" s="39"/>
      <c r="AN28" s="33"/>
      <c r="AO28" s="53" t="s">
        <v>411</v>
      </c>
      <c r="AP28" s="47">
        <v>0</v>
      </c>
      <c r="AQ28" s="37"/>
      <c r="AR28" s="27"/>
      <c r="AS28" s="51"/>
      <c r="AT28" s="18"/>
      <c r="AU28" s="19">
        <v>42575</v>
      </c>
      <c r="AV28" s="170"/>
      <c r="AW28" s="219"/>
      <c r="AX28" s="21">
        <v>42575</v>
      </c>
      <c r="AY28" s="22"/>
      <c r="AZ28" s="23"/>
      <c r="BA28" s="178">
        <v>42575</v>
      </c>
      <c r="BB28" s="39"/>
      <c r="BC28" s="33"/>
      <c r="BD28" s="53" t="s">
        <v>411</v>
      </c>
      <c r="BE28" s="47">
        <v>0</v>
      </c>
      <c r="BF28" s="37"/>
      <c r="BG28" s="27"/>
      <c r="BH28" s="51"/>
    </row>
    <row r="29" spans="1:60" ht="15.75" thickBot="1" x14ac:dyDescent="0.3">
      <c r="A29" s="18"/>
      <c r="B29" s="19">
        <v>42576</v>
      </c>
      <c r="C29" s="170">
        <v>86469.5</v>
      </c>
      <c r="D29" s="219" t="s">
        <v>807</v>
      </c>
      <c r="E29" s="21">
        <v>42576</v>
      </c>
      <c r="F29" s="22">
        <v>81302</v>
      </c>
      <c r="G29" s="23"/>
      <c r="H29" s="178">
        <v>42576</v>
      </c>
      <c r="I29" s="39">
        <v>0</v>
      </c>
      <c r="J29" s="33"/>
      <c r="K29" s="266"/>
      <c r="L29" s="35"/>
      <c r="M29" s="26" t="s">
        <v>808</v>
      </c>
      <c r="N29" s="27">
        <v>0</v>
      </c>
      <c r="O29" s="51"/>
      <c r="P29" s="18"/>
      <c r="Q29" s="19">
        <v>42576</v>
      </c>
      <c r="R29" s="170">
        <v>86469.5</v>
      </c>
      <c r="S29" s="219" t="s">
        <v>807</v>
      </c>
      <c r="T29" s="21">
        <v>42576</v>
      </c>
      <c r="U29" s="233">
        <v>81302</v>
      </c>
      <c r="V29" s="23"/>
      <c r="W29" s="178">
        <v>42576</v>
      </c>
      <c r="X29" s="234">
        <v>0</v>
      </c>
      <c r="Y29" s="33"/>
      <c r="Z29" s="266"/>
      <c r="AA29" s="35"/>
      <c r="AB29" s="26" t="s">
        <v>808</v>
      </c>
      <c r="AC29" s="27">
        <v>0</v>
      </c>
      <c r="AD29" s="51"/>
      <c r="AE29" s="18"/>
      <c r="AF29" s="19">
        <v>42576</v>
      </c>
      <c r="AG29" s="170"/>
      <c r="AH29" s="219"/>
      <c r="AI29" s="21">
        <v>42576</v>
      </c>
      <c r="AJ29" s="22"/>
      <c r="AK29" s="23"/>
      <c r="AL29" s="178">
        <v>42576</v>
      </c>
      <c r="AM29" s="39"/>
      <c r="AN29" s="33"/>
      <c r="AO29" s="266"/>
      <c r="AP29" s="35"/>
      <c r="AQ29" s="26"/>
      <c r="AR29" s="27"/>
      <c r="AS29" s="51"/>
      <c r="AT29" s="18"/>
      <c r="AU29" s="19">
        <v>42576</v>
      </c>
      <c r="AV29" s="170"/>
      <c r="AW29" s="219"/>
      <c r="AX29" s="21">
        <v>42576</v>
      </c>
      <c r="AY29" s="22"/>
      <c r="AZ29" s="23"/>
      <c r="BA29" s="178">
        <v>42576</v>
      </c>
      <c r="BB29" s="39"/>
      <c r="BC29" s="33"/>
      <c r="BD29" s="266"/>
      <c r="BE29" s="35"/>
      <c r="BF29" s="26"/>
      <c r="BG29" s="27"/>
      <c r="BH29" s="51"/>
    </row>
    <row r="30" spans="1:60" ht="15.75" thickBot="1" x14ac:dyDescent="0.3">
      <c r="A30" s="18"/>
      <c r="B30" s="19">
        <v>42577</v>
      </c>
      <c r="C30" s="170">
        <v>56606.5</v>
      </c>
      <c r="D30" s="218" t="s">
        <v>816</v>
      </c>
      <c r="E30" s="21">
        <v>42577</v>
      </c>
      <c r="F30" s="22">
        <v>55610</v>
      </c>
      <c r="G30" s="23"/>
      <c r="H30" s="178">
        <v>42577</v>
      </c>
      <c r="I30" s="39"/>
      <c r="J30" s="33"/>
      <c r="K30" s="54" t="s">
        <v>164</v>
      </c>
      <c r="L30" s="35">
        <v>0</v>
      </c>
      <c r="M30" s="37" t="s">
        <v>817</v>
      </c>
      <c r="N30" s="27">
        <v>0</v>
      </c>
      <c r="O30" s="51"/>
      <c r="P30" s="18"/>
      <c r="Q30" s="19">
        <v>42577</v>
      </c>
      <c r="R30" s="170"/>
      <c r="S30" s="218"/>
      <c r="T30" s="21">
        <v>42577</v>
      </c>
      <c r="U30" s="22"/>
      <c r="V30" s="23"/>
      <c r="W30" s="178">
        <v>42577</v>
      </c>
      <c r="X30" s="39"/>
      <c r="Y30" s="33"/>
      <c r="Z30" s="54" t="s">
        <v>164</v>
      </c>
      <c r="AA30" s="35">
        <v>0</v>
      </c>
      <c r="AB30" s="37"/>
      <c r="AC30" s="27"/>
      <c r="AD30" s="51"/>
      <c r="AE30" s="18"/>
      <c r="AF30" s="19">
        <v>42577</v>
      </c>
      <c r="AG30" s="170"/>
      <c r="AH30" s="218"/>
      <c r="AI30" s="21">
        <v>42577</v>
      </c>
      <c r="AJ30" s="22"/>
      <c r="AK30" s="23"/>
      <c r="AL30" s="178">
        <v>42577</v>
      </c>
      <c r="AM30" s="39"/>
      <c r="AN30" s="33"/>
      <c r="AO30" s="54" t="s">
        <v>164</v>
      </c>
      <c r="AP30" s="35">
        <v>0</v>
      </c>
      <c r="AQ30" s="37"/>
      <c r="AR30" s="27"/>
      <c r="AS30" s="51"/>
      <c r="AT30" s="18"/>
      <c r="AU30" s="19">
        <v>42577</v>
      </c>
      <c r="AV30" s="170"/>
      <c r="AW30" s="218"/>
      <c r="AX30" s="21">
        <v>42577</v>
      </c>
      <c r="AY30" s="22"/>
      <c r="AZ30" s="23"/>
      <c r="BA30" s="178">
        <v>42577</v>
      </c>
      <c r="BB30" s="39"/>
      <c r="BC30" s="33"/>
      <c r="BD30" s="54" t="s">
        <v>164</v>
      </c>
      <c r="BE30" s="35">
        <v>0</v>
      </c>
      <c r="BF30" s="37"/>
      <c r="BG30" s="27"/>
      <c r="BH30" s="51"/>
    </row>
    <row r="31" spans="1:60" ht="15.75" thickBot="1" x14ac:dyDescent="0.3">
      <c r="A31" s="18"/>
      <c r="B31" s="19">
        <v>42578</v>
      </c>
      <c r="C31" s="170">
        <v>41367</v>
      </c>
      <c r="D31" s="218" t="s">
        <v>819</v>
      </c>
      <c r="E31" s="21">
        <v>42578</v>
      </c>
      <c r="F31" s="22">
        <v>53154</v>
      </c>
      <c r="G31" s="23"/>
      <c r="H31" s="178">
        <v>42578</v>
      </c>
      <c r="I31" s="39">
        <v>0</v>
      </c>
      <c r="J31" s="33"/>
      <c r="K31" s="48"/>
      <c r="L31" s="35"/>
      <c r="M31" s="37" t="s">
        <v>818</v>
      </c>
      <c r="N31" s="27">
        <v>0</v>
      </c>
      <c r="O31" s="51"/>
      <c r="P31" s="18"/>
      <c r="Q31" s="19">
        <v>42578</v>
      </c>
      <c r="R31" s="170"/>
      <c r="S31" s="218"/>
      <c r="T31" s="21">
        <v>42578</v>
      </c>
      <c r="U31" s="22"/>
      <c r="V31" s="23"/>
      <c r="W31" s="178">
        <v>42578</v>
      </c>
      <c r="X31" s="39"/>
      <c r="Y31" s="33"/>
      <c r="Z31" s="48"/>
      <c r="AA31" s="35"/>
      <c r="AB31" s="37"/>
      <c r="AC31" s="27"/>
      <c r="AD31" s="51"/>
      <c r="AE31" s="18"/>
      <c r="AF31" s="19">
        <v>42578</v>
      </c>
      <c r="AG31" s="170"/>
      <c r="AH31" s="218"/>
      <c r="AI31" s="21">
        <v>42578</v>
      </c>
      <c r="AJ31" s="22"/>
      <c r="AK31" s="23"/>
      <c r="AL31" s="178">
        <v>42578</v>
      </c>
      <c r="AM31" s="39"/>
      <c r="AN31" s="33"/>
      <c r="AO31" s="48"/>
      <c r="AP31" s="35"/>
      <c r="AQ31" s="37"/>
      <c r="AR31" s="27"/>
      <c r="AS31" s="51"/>
      <c r="AT31" s="18"/>
      <c r="AU31" s="19">
        <v>42578</v>
      </c>
      <c r="AV31" s="170"/>
      <c r="AW31" s="218"/>
      <c r="AX31" s="21">
        <v>42578</v>
      </c>
      <c r="AY31" s="22"/>
      <c r="AZ31" s="23"/>
      <c r="BA31" s="178">
        <v>42578</v>
      </c>
      <c r="BB31" s="39"/>
      <c r="BC31" s="33"/>
      <c r="BD31" s="48"/>
      <c r="BE31" s="35"/>
      <c r="BF31" s="37"/>
      <c r="BG31" s="27"/>
      <c r="BH31" s="51"/>
    </row>
    <row r="32" spans="1:60" ht="15.75" thickBot="1" x14ac:dyDescent="0.3">
      <c r="A32" s="18"/>
      <c r="B32" s="19">
        <v>42579</v>
      </c>
      <c r="C32" s="170">
        <v>66592.5</v>
      </c>
      <c r="D32" s="218" t="s">
        <v>820</v>
      </c>
      <c r="E32" s="21">
        <v>42579</v>
      </c>
      <c r="F32" s="22">
        <v>66492</v>
      </c>
      <c r="G32" s="23"/>
      <c r="H32" s="178">
        <v>42579</v>
      </c>
      <c r="I32" s="39">
        <v>0</v>
      </c>
      <c r="J32" s="33"/>
      <c r="K32" s="54"/>
      <c r="L32" s="35"/>
      <c r="M32" s="26" t="s">
        <v>821</v>
      </c>
      <c r="N32" s="27">
        <v>0</v>
      </c>
      <c r="O32" s="51"/>
      <c r="P32" s="18"/>
      <c r="Q32" s="19">
        <v>42579</v>
      </c>
      <c r="R32" s="170"/>
      <c r="S32" s="218"/>
      <c r="T32" s="21">
        <v>42579</v>
      </c>
      <c r="U32" s="22"/>
      <c r="V32" s="23"/>
      <c r="W32" s="178">
        <v>42579</v>
      </c>
      <c r="X32" s="39"/>
      <c r="Y32" s="33"/>
      <c r="Z32" s="54"/>
      <c r="AA32" s="35"/>
      <c r="AB32" s="26"/>
      <c r="AC32" s="27"/>
      <c r="AD32" s="51"/>
      <c r="AE32" s="18"/>
      <c r="AF32" s="19">
        <v>42579</v>
      </c>
      <c r="AG32" s="170"/>
      <c r="AH32" s="218"/>
      <c r="AI32" s="21">
        <v>42579</v>
      </c>
      <c r="AJ32" s="22"/>
      <c r="AK32" s="23"/>
      <c r="AL32" s="178">
        <v>42579</v>
      </c>
      <c r="AM32" s="39"/>
      <c r="AN32" s="33"/>
      <c r="AO32" s="54"/>
      <c r="AP32" s="35"/>
      <c r="AQ32" s="26"/>
      <c r="AR32" s="27"/>
      <c r="AS32" s="51"/>
      <c r="AT32" s="18"/>
      <c r="AU32" s="19">
        <v>42579</v>
      </c>
      <c r="AV32" s="170"/>
      <c r="AW32" s="218"/>
      <c r="AX32" s="21">
        <v>42579</v>
      </c>
      <c r="AY32" s="22"/>
      <c r="AZ32" s="23"/>
      <c r="BA32" s="178">
        <v>42579</v>
      </c>
      <c r="BB32" s="39"/>
      <c r="BC32" s="33"/>
      <c r="BD32" s="54"/>
      <c r="BE32" s="35"/>
      <c r="BF32" s="26"/>
      <c r="BG32" s="27"/>
      <c r="BH32" s="51"/>
    </row>
    <row r="33" spans="1:60" ht="15.75" thickBot="1" x14ac:dyDescent="0.3">
      <c r="A33" s="18"/>
      <c r="B33" s="19">
        <v>42580</v>
      </c>
      <c r="C33" s="170">
        <v>83873</v>
      </c>
      <c r="D33" s="220" t="s">
        <v>850</v>
      </c>
      <c r="E33" s="21">
        <v>42580</v>
      </c>
      <c r="F33" s="22">
        <v>75953.5</v>
      </c>
      <c r="G33" s="23"/>
      <c r="H33" s="178">
        <v>42580</v>
      </c>
      <c r="I33" s="39">
        <v>0</v>
      </c>
      <c r="J33" s="33"/>
      <c r="K33" s="54"/>
      <c r="L33" s="35"/>
      <c r="M33" s="26" t="s">
        <v>851</v>
      </c>
      <c r="N33" s="27">
        <v>0</v>
      </c>
      <c r="O33" s="51"/>
      <c r="P33" s="18"/>
      <c r="Q33" s="19">
        <v>42580</v>
      </c>
      <c r="R33" s="170"/>
      <c r="S33" s="220"/>
      <c r="T33" s="21">
        <v>42580</v>
      </c>
      <c r="U33" s="22"/>
      <c r="V33" s="23"/>
      <c r="W33" s="178">
        <v>42580</v>
      </c>
      <c r="X33" s="39"/>
      <c r="Y33" s="33"/>
      <c r="Z33" s="54"/>
      <c r="AA33" s="35"/>
      <c r="AB33" s="26"/>
      <c r="AC33" s="27"/>
      <c r="AD33" s="51"/>
      <c r="AE33" s="18"/>
      <c r="AF33" s="19">
        <v>42580</v>
      </c>
      <c r="AG33" s="170"/>
      <c r="AH33" s="220"/>
      <c r="AI33" s="21">
        <v>42580</v>
      </c>
      <c r="AJ33" s="22"/>
      <c r="AK33" s="23"/>
      <c r="AL33" s="178">
        <v>42580</v>
      </c>
      <c r="AM33" s="39"/>
      <c r="AN33" s="33"/>
      <c r="AO33" s="54"/>
      <c r="AP33" s="35"/>
      <c r="AQ33" s="26"/>
      <c r="AR33" s="27"/>
      <c r="AS33" s="51"/>
      <c r="AT33" s="18"/>
      <c r="AU33" s="19">
        <v>42580</v>
      </c>
      <c r="AV33" s="170"/>
      <c r="AW33" s="220"/>
      <c r="AX33" s="21">
        <v>42580</v>
      </c>
      <c r="AY33" s="22"/>
      <c r="AZ33" s="23"/>
      <c r="BA33" s="178">
        <v>42580</v>
      </c>
      <c r="BB33" s="39"/>
      <c r="BC33" s="33"/>
      <c r="BD33" s="54"/>
      <c r="BE33" s="35"/>
      <c r="BF33" s="26"/>
      <c r="BG33" s="27"/>
      <c r="BH33" s="51"/>
    </row>
    <row r="34" spans="1:60" ht="15.75" thickBot="1" x14ac:dyDescent="0.3">
      <c r="A34" s="18"/>
      <c r="B34" s="19">
        <v>42581</v>
      </c>
      <c r="C34" s="170">
        <v>123964.5</v>
      </c>
      <c r="D34" s="221" t="s">
        <v>852</v>
      </c>
      <c r="E34" s="21">
        <v>42581</v>
      </c>
      <c r="F34" s="22">
        <v>117928.5</v>
      </c>
      <c r="G34" s="23"/>
      <c r="H34" s="178">
        <v>42581</v>
      </c>
      <c r="I34" s="39">
        <v>32</v>
      </c>
      <c r="J34" s="33"/>
      <c r="K34" s="54"/>
      <c r="L34" s="35"/>
      <c r="M34" s="56" t="s">
        <v>853</v>
      </c>
      <c r="N34" s="27">
        <v>0</v>
      </c>
      <c r="O34" s="51"/>
      <c r="P34" s="18"/>
      <c r="Q34" s="19">
        <v>42581</v>
      </c>
      <c r="R34" s="170"/>
      <c r="S34" s="221"/>
      <c r="T34" s="21">
        <v>42581</v>
      </c>
      <c r="U34" s="22"/>
      <c r="V34" s="23"/>
      <c r="W34" s="178">
        <v>42581</v>
      </c>
      <c r="X34" s="39"/>
      <c r="Y34" s="33"/>
      <c r="Z34" s="54"/>
      <c r="AA34" s="35"/>
      <c r="AB34" s="56"/>
      <c r="AC34" s="27">
        <v>0</v>
      </c>
      <c r="AD34" s="51"/>
      <c r="AE34" s="18"/>
      <c r="AF34" s="19">
        <v>42581</v>
      </c>
      <c r="AG34" s="170"/>
      <c r="AH34" s="221"/>
      <c r="AI34" s="21">
        <v>42581</v>
      </c>
      <c r="AJ34" s="22"/>
      <c r="AK34" s="23"/>
      <c r="AL34" s="178">
        <v>42581</v>
      </c>
      <c r="AM34" s="39"/>
      <c r="AN34" s="33"/>
      <c r="AO34" s="54"/>
      <c r="AP34" s="35"/>
      <c r="AQ34" s="56"/>
      <c r="AR34" s="27">
        <v>0</v>
      </c>
      <c r="AS34" s="51"/>
      <c r="AT34" s="18"/>
      <c r="AU34" s="19">
        <v>42581</v>
      </c>
      <c r="AV34" s="170"/>
      <c r="AW34" s="221"/>
      <c r="AX34" s="21">
        <v>42581</v>
      </c>
      <c r="AY34" s="22"/>
      <c r="AZ34" s="23"/>
      <c r="BA34" s="178">
        <v>42581</v>
      </c>
      <c r="BB34" s="39"/>
      <c r="BC34" s="33"/>
      <c r="BD34" s="54"/>
      <c r="BE34" s="35"/>
      <c r="BF34" s="56"/>
      <c r="BG34" s="27">
        <v>0</v>
      </c>
      <c r="BH34" s="51"/>
    </row>
    <row r="35" spans="1:60" ht="15.75" thickBot="1" x14ac:dyDescent="0.3">
      <c r="A35" s="18"/>
      <c r="B35" s="19">
        <v>42582</v>
      </c>
      <c r="C35" s="170">
        <v>110650</v>
      </c>
      <c r="D35" s="218" t="s">
        <v>854</v>
      </c>
      <c r="E35" s="21">
        <v>42582</v>
      </c>
      <c r="F35" s="22">
        <v>111037</v>
      </c>
      <c r="G35" s="23"/>
      <c r="H35" s="178">
        <v>42582</v>
      </c>
      <c r="I35" s="39">
        <v>0</v>
      </c>
      <c r="J35" s="33"/>
      <c r="K35" s="54"/>
      <c r="L35" s="35"/>
      <c r="M35" s="57" t="s">
        <v>855</v>
      </c>
      <c r="N35" s="27">
        <v>0</v>
      </c>
      <c r="O35" s="51"/>
      <c r="P35" s="18"/>
      <c r="Q35" s="19">
        <v>42582</v>
      </c>
      <c r="R35" s="170"/>
      <c r="S35" s="218"/>
      <c r="T35" s="21">
        <v>42582</v>
      </c>
      <c r="U35" s="22"/>
      <c r="V35" s="23"/>
      <c r="W35" s="178">
        <v>42582</v>
      </c>
      <c r="X35" s="39"/>
      <c r="Y35" s="33"/>
      <c r="Z35" s="54"/>
      <c r="AA35" s="35"/>
      <c r="AB35" s="57"/>
      <c r="AC35" s="27">
        <v>0</v>
      </c>
      <c r="AD35" s="51"/>
      <c r="AE35" s="18"/>
      <c r="AF35" s="19">
        <v>42582</v>
      </c>
      <c r="AG35" s="170"/>
      <c r="AH35" s="218"/>
      <c r="AI35" s="21">
        <v>42582</v>
      </c>
      <c r="AJ35" s="22"/>
      <c r="AK35" s="23"/>
      <c r="AL35" s="178">
        <v>42582</v>
      </c>
      <c r="AM35" s="39"/>
      <c r="AN35" s="33"/>
      <c r="AO35" s="54"/>
      <c r="AP35" s="35"/>
      <c r="AQ35" s="57"/>
      <c r="AR35" s="27">
        <v>0</v>
      </c>
      <c r="AS35" s="51"/>
      <c r="AT35" s="18"/>
      <c r="AU35" s="19">
        <v>42582</v>
      </c>
      <c r="AV35" s="170"/>
      <c r="AW35" s="218"/>
      <c r="AX35" s="21">
        <v>42582</v>
      </c>
      <c r="AY35" s="22"/>
      <c r="AZ35" s="23"/>
      <c r="BA35" s="178">
        <v>42582</v>
      </c>
      <c r="BB35" s="39"/>
      <c r="BC35" s="33"/>
      <c r="BD35" s="54"/>
      <c r="BE35" s="35"/>
      <c r="BF35" s="57"/>
      <c r="BG35" s="27">
        <v>0</v>
      </c>
      <c r="BH35" s="51"/>
    </row>
    <row r="36" spans="1:60" ht="15.75" thickBot="1" x14ac:dyDescent="0.3">
      <c r="A36" s="58"/>
      <c r="B36" s="382">
        <v>42583</v>
      </c>
      <c r="C36" s="380">
        <v>80859.5</v>
      </c>
      <c r="D36" s="217" t="s">
        <v>857</v>
      </c>
      <c r="E36" s="383">
        <v>42583</v>
      </c>
      <c r="F36" s="384">
        <v>94510</v>
      </c>
      <c r="H36" s="381">
        <v>42583</v>
      </c>
      <c r="I36" s="64"/>
      <c r="J36" s="47"/>
      <c r="K36" s="54"/>
      <c r="L36" s="65"/>
      <c r="M36" s="8" t="s">
        <v>856</v>
      </c>
      <c r="N36" s="27">
        <v>0</v>
      </c>
      <c r="O36" s="51"/>
      <c r="P36" s="58"/>
      <c r="Q36" s="59"/>
      <c r="R36" s="60">
        <v>0</v>
      </c>
      <c r="S36" s="217"/>
      <c r="T36" s="61"/>
      <c r="U36" s="62">
        <v>0</v>
      </c>
      <c r="W36" s="63"/>
      <c r="X36" s="64"/>
      <c r="Y36" s="47"/>
      <c r="Z36" s="54"/>
      <c r="AA36" s="65"/>
      <c r="AB36" s="8"/>
      <c r="AC36" s="27">
        <v>0</v>
      </c>
      <c r="AD36" s="51"/>
      <c r="AE36" s="58"/>
      <c r="AF36" s="59"/>
      <c r="AG36" s="60">
        <v>0</v>
      </c>
      <c r="AH36" s="217"/>
      <c r="AI36" s="61"/>
      <c r="AJ36" s="62">
        <v>0</v>
      </c>
      <c r="AL36" s="63"/>
      <c r="AM36" s="64"/>
      <c r="AN36" s="47"/>
      <c r="AO36" s="54"/>
      <c r="AP36" s="65"/>
      <c r="AQ36" s="8"/>
      <c r="AR36" s="27">
        <v>0</v>
      </c>
      <c r="AS36" s="51"/>
      <c r="AT36" s="58"/>
      <c r="AU36" s="59"/>
      <c r="AV36" s="60">
        <v>0</v>
      </c>
      <c r="AW36" s="217"/>
      <c r="AX36" s="61"/>
      <c r="AY36" s="62">
        <v>0</v>
      </c>
      <c r="BA36" s="63"/>
      <c r="BB36" s="64"/>
      <c r="BC36" s="47"/>
      <c r="BD36" s="54"/>
      <c r="BE36" s="65"/>
      <c r="BF36" s="8"/>
      <c r="BG36" s="27">
        <v>0</v>
      </c>
      <c r="BH36" s="51"/>
    </row>
    <row r="37" spans="1:60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66"/>
      <c r="Q37" s="67"/>
      <c r="R37" s="68">
        <v>0</v>
      </c>
      <c r="S37" s="217"/>
      <c r="T37" s="69"/>
      <c r="U37" s="70">
        <v>0</v>
      </c>
      <c r="W37" s="71"/>
      <c r="X37" s="72"/>
      <c r="Y37" s="47"/>
      <c r="Z37" s="73"/>
      <c r="AA37" s="74"/>
      <c r="AB37" s="8"/>
      <c r="AC37" s="293">
        <f>SUM(AC5:AC36)</f>
        <v>0</v>
      </c>
      <c r="AD37" s="51"/>
      <c r="AE37" s="66"/>
      <c r="AF37" s="67"/>
      <c r="AG37" s="68">
        <v>0</v>
      </c>
      <c r="AH37" s="217"/>
      <c r="AI37" s="69"/>
      <c r="AJ37" s="70">
        <v>0</v>
      </c>
      <c r="AL37" s="71"/>
      <c r="AM37" s="72"/>
      <c r="AN37" s="47"/>
      <c r="AO37" s="73"/>
      <c r="AP37" s="74"/>
      <c r="AQ37" s="8"/>
      <c r="AR37" s="293">
        <f>SUM(AR5:AR36)</f>
        <v>0</v>
      </c>
      <c r="AS37" s="51"/>
      <c r="AT37" s="66"/>
      <c r="AU37" s="67"/>
      <c r="AV37" s="68">
        <v>0</v>
      </c>
      <c r="AW37" s="217"/>
      <c r="AX37" s="69"/>
      <c r="AY37" s="70">
        <v>0</v>
      </c>
      <c r="BA37" s="71"/>
      <c r="BB37" s="72"/>
      <c r="BC37" s="47"/>
      <c r="BD37" s="73"/>
      <c r="BE37" s="74"/>
      <c r="BF37" s="8"/>
      <c r="BG37" s="293">
        <f>SUM(BG5:BG36)</f>
        <v>0</v>
      </c>
      <c r="BH37" s="51"/>
    </row>
    <row r="38" spans="1:60" x14ac:dyDescent="0.25">
      <c r="B38" s="76" t="s">
        <v>20</v>
      </c>
      <c r="C38" s="77">
        <f>SUM(C5:C37)</f>
        <v>2539842.5</v>
      </c>
      <c r="E38" s="78" t="s">
        <v>20</v>
      </c>
      <c r="F38" s="79">
        <f>SUM(F5:F37)</f>
        <v>2553706</v>
      </c>
      <c r="H38" s="353" t="s">
        <v>20</v>
      </c>
      <c r="I38" s="4">
        <f>SUM(I5:I37)</f>
        <v>4041</v>
      </c>
      <c r="J38" s="4"/>
      <c r="K38" s="80" t="s">
        <v>20</v>
      </c>
      <c r="L38" s="81">
        <f t="shared" ref="L38" si="0">SUM(L5:L37)</f>
        <v>62278.64</v>
      </c>
      <c r="M38" s="8"/>
      <c r="N38" s="3"/>
      <c r="O38" s="51"/>
      <c r="Q38" s="76" t="s">
        <v>20</v>
      </c>
      <c r="R38" s="77">
        <f>SUM(R5:R37)</f>
        <v>1975929.5</v>
      </c>
      <c r="T38" s="78" t="s">
        <v>20</v>
      </c>
      <c r="U38" s="79">
        <f>SUM(U5:U37)</f>
        <v>1979021</v>
      </c>
      <c r="W38" s="348" t="s">
        <v>20</v>
      </c>
      <c r="X38" s="4">
        <f>SUM(X5:X37)</f>
        <v>4009</v>
      </c>
      <c r="Y38" s="4"/>
      <c r="Z38" s="80" t="s">
        <v>20</v>
      </c>
      <c r="AA38" s="81">
        <f t="shared" ref="AA38" si="1">SUM(AA5:AA37)</f>
        <v>47818.5</v>
      </c>
      <c r="AB38" s="8"/>
      <c r="AC38" s="3"/>
      <c r="AD38" s="51"/>
      <c r="AF38" s="76" t="s">
        <v>20</v>
      </c>
      <c r="AG38" s="77">
        <f>SUM(AG5:AG37)</f>
        <v>1469340.5</v>
      </c>
      <c r="AI38" s="78" t="s">
        <v>20</v>
      </c>
      <c r="AJ38" s="79">
        <f>SUM(AJ5:AJ37)</f>
        <v>1463659.5</v>
      </c>
      <c r="AL38" s="345" t="s">
        <v>20</v>
      </c>
      <c r="AM38" s="4">
        <f>SUM(AM5:AM37)</f>
        <v>3769</v>
      </c>
      <c r="AN38" s="4"/>
      <c r="AO38" s="80" t="s">
        <v>20</v>
      </c>
      <c r="AP38" s="81">
        <f t="shared" ref="AP38" si="2">SUM(AP5:AP37)</f>
        <v>40631</v>
      </c>
      <c r="AQ38" s="8"/>
      <c r="AR38" s="3"/>
      <c r="AS38" s="51"/>
      <c r="AU38" s="76" t="s">
        <v>20</v>
      </c>
      <c r="AV38" s="77">
        <f>SUM(AV5:AV37)</f>
        <v>897663.5</v>
      </c>
      <c r="AX38" s="78" t="s">
        <v>20</v>
      </c>
      <c r="AY38" s="79">
        <f>SUM(AY5:AY37)</f>
        <v>901496.5</v>
      </c>
      <c r="BA38" s="335" t="s">
        <v>20</v>
      </c>
      <c r="BB38" s="4">
        <f>SUM(BB5:BB37)</f>
        <v>2232</v>
      </c>
      <c r="BC38" s="4"/>
      <c r="BD38" s="80" t="s">
        <v>20</v>
      </c>
      <c r="BE38" s="81">
        <f t="shared" ref="BE38" si="3">SUM(BE5:BE37)</f>
        <v>24910.55</v>
      </c>
      <c r="BF38" s="8"/>
      <c r="BG38" s="3"/>
      <c r="BH38" s="51"/>
    </row>
    <row r="39" spans="1:60" x14ac:dyDescent="0.25">
      <c r="B39" s="1"/>
      <c r="C39" s="5"/>
      <c r="F39" s="5"/>
      <c r="I39" s="5"/>
      <c r="J39" s="5"/>
      <c r="M39" s="8"/>
      <c r="N39" s="3"/>
      <c r="O39" s="51"/>
      <c r="Q39" s="1"/>
      <c r="R39" s="5"/>
      <c r="U39" s="5"/>
      <c r="X39" s="5"/>
      <c r="Y39" s="5"/>
      <c r="AB39" s="8"/>
      <c r="AC39" s="3"/>
      <c r="AD39" s="51"/>
      <c r="AF39" s="1"/>
      <c r="AG39" s="5"/>
      <c r="AJ39" s="5"/>
      <c r="AM39" s="5"/>
      <c r="AN39" s="5"/>
      <c r="AQ39" s="8"/>
      <c r="AR39" s="3"/>
      <c r="AS39" s="51"/>
      <c r="AU39" s="1"/>
      <c r="AV39" s="5"/>
      <c r="AY39" s="5"/>
      <c r="BB39" s="5"/>
      <c r="BC39" s="5"/>
      <c r="BF39" s="8"/>
      <c r="BG39" s="3"/>
      <c r="BH39" s="51"/>
    </row>
    <row r="40" spans="1:60" ht="15.75" customHeight="1" x14ac:dyDescent="0.25">
      <c r="A40" s="83"/>
      <c r="B40" s="1"/>
      <c r="C40" s="84">
        <v>0</v>
      </c>
      <c r="D40" s="222"/>
      <c r="E40" s="34"/>
      <c r="F40" s="47"/>
      <c r="H40" s="420" t="s">
        <v>21</v>
      </c>
      <c r="I40" s="421"/>
      <c r="J40" s="354"/>
      <c r="K40" s="422">
        <f>I38+L38</f>
        <v>66319.64</v>
      </c>
      <c r="L40" s="423"/>
      <c r="M40" s="8"/>
      <c r="N40" s="51"/>
      <c r="O40" s="51"/>
      <c r="P40" s="83"/>
      <c r="Q40" s="1"/>
      <c r="R40" s="84">
        <v>0</v>
      </c>
      <c r="S40" s="222"/>
      <c r="T40" s="34"/>
      <c r="U40" s="47"/>
      <c r="W40" s="420" t="s">
        <v>21</v>
      </c>
      <c r="X40" s="421"/>
      <c r="Y40" s="349"/>
      <c r="Z40" s="422">
        <f>X38+AA38</f>
        <v>51827.5</v>
      </c>
      <c r="AA40" s="423"/>
      <c r="AB40" s="8"/>
      <c r="AC40" s="51"/>
      <c r="AD40" s="51"/>
      <c r="AE40" s="83"/>
      <c r="AF40" s="1"/>
      <c r="AG40" s="84">
        <v>0</v>
      </c>
      <c r="AH40" s="222"/>
      <c r="AI40" s="34"/>
      <c r="AJ40" s="47"/>
      <c r="AL40" s="420" t="s">
        <v>21</v>
      </c>
      <c r="AM40" s="421"/>
      <c r="AN40" s="346"/>
      <c r="AO40" s="422">
        <f>AM38+AP38</f>
        <v>44400</v>
      </c>
      <c r="AP40" s="423"/>
      <c r="AQ40" s="8"/>
      <c r="AR40" s="51"/>
      <c r="AS40" s="51"/>
      <c r="AT40" s="83"/>
      <c r="AU40" s="1"/>
      <c r="AV40" s="84">
        <v>0</v>
      </c>
      <c r="AW40" s="222"/>
      <c r="AX40" s="34"/>
      <c r="AY40" s="47"/>
      <c r="BA40" s="420" t="s">
        <v>21</v>
      </c>
      <c r="BB40" s="421"/>
      <c r="BC40" s="336"/>
      <c r="BD40" s="422">
        <f>BB38+BE38</f>
        <v>27142.55</v>
      </c>
      <c r="BE40" s="423"/>
      <c r="BF40" s="8"/>
      <c r="BG40" s="51"/>
      <c r="BH40" s="51"/>
    </row>
    <row r="41" spans="1:60" ht="15.75" customHeight="1" x14ac:dyDescent="0.25">
      <c r="B41" s="1"/>
      <c r="C41" s="5"/>
      <c r="D41" s="419" t="s">
        <v>22</v>
      </c>
      <c r="E41" s="419"/>
      <c r="F41" s="86">
        <f>F38-K40</f>
        <v>2487386.36</v>
      </c>
      <c r="I41" s="87"/>
      <c r="J41" s="87"/>
      <c r="M41" s="8"/>
      <c r="N41" s="51"/>
      <c r="O41" s="51"/>
      <c r="Q41" s="1"/>
      <c r="R41" s="5"/>
      <c r="S41" s="419" t="s">
        <v>22</v>
      </c>
      <c r="T41" s="419"/>
      <c r="U41" s="86">
        <f>U38-Z40</f>
        <v>1927193.5</v>
      </c>
      <c r="X41" s="87"/>
      <c r="Y41" s="87"/>
      <c r="AB41" s="8"/>
      <c r="AC41" s="51"/>
      <c r="AD41" s="51"/>
      <c r="AF41" s="1"/>
      <c r="AG41" s="5"/>
      <c r="AH41" s="419" t="s">
        <v>22</v>
      </c>
      <c r="AI41" s="419"/>
      <c r="AJ41" s="86">
        <f>AJ38-AO40</f>
        <v>1419259.5</v>
      </c>
      <c r="AM41" s="87"/>
      <c r="AN41" s="87"/>
      <c r="AQ41" s="8"/>
      <c r="AR41" s="51"/>
      <c r="AS41" s="51"/>
      <c r="AU41" s="1"/>
      <c r="AV41" s="5"/>
      <c r="AW41" s="419" t="s">
        <v>22</v>
      </c>
      <c r="AX41" s="419"/>
      <c r="AY41" s="86">
        <f>AY38-BD40</f>
        <v>874353.95</v>
      </c>
      <c r="BB41" s="87"/>
      <c r="BC41" s="87"/>
      <c r="BF41" s="8"/>
      <c r="BG41" s="51"/>
      <c r="BH41" s="51"/>
    </row>
    <row r="42" spans="1:60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Q42" s="1"/>
      <c r="R42" s="5"/>
      <c r="S42" s="222"/>
      <c r="T42" s="34"/>
      <c r="U42" s="86"/>
      <c r="X42" s="5"/>
      <c r="Y42" s="5"/>
      <c r="AB42" s="8"/>
      <c r="AC42" s="51"/>
      <c r="AD42" s="51"/>
      <c r="AF42" s="1"/>
      <c r="AG42" s="5"/>
      <c r="AH42" s="222"/>
      <c r="AI42" s="34"/>
      <c r="AJ42" s="86"/>
      <c r="AM42" s="5"/>
      <c r="AN42" s="5"/>
      <c r="AQ42" s="8"/>
      <c r="AR42" s="51"/>
      <c r="AS42" s="51"/>
      <c r="AU42" s="1"/>
      <c r="AV42" s="5"/>
      <c r="AW42" s="222"/>
      <c r="AX42" s="34"/>
      <c r="AY42" s="86"/>
      <c r="BB42" s="5"/>
      <c r="BC42" s="5"/>
      <c r="BF42" s="8"/>
      <c r="BG42" s="51"/>
      <c r="BH42" s="51"/>
    </row>
    <row r="43" spans="1:60" ht="15.75" thickBot="1" x14ac:dyDescent="0.3">
      <c r="B43" s="1"/>
      <c r="C43" s="5" t="s">
        <v>23</v>
      </c>
      <c r="D43" s="91" t="s">
        <v>24</v>
      </c>
      <c r="F43" s="350">
        <v>-2533791.4900000002</v>
      </c>
      <c r="I43" s="403"/>
      <c r="J43" s="403"/>
      <c r="K43" s="403"/>
      <c r="L43" s="14"/>
      <c r="M43" s="8"/>
      <c r="N43" s="51"/>
      <c r="O43" s="51"/>
      <c r="Q43" s="1"/>
      <c r="R43" s="5" t="s">
        <v>23</v>
      </c>
      <c r="S43" s="91" t="s">
        <v>24</v>
      </c>
      <c r="U43" s="350">
        <v>-1985485.92</v>
      </c>
      <c r="X43" s="403"/>
      <c r="Y43" s="403"/>
      <c r="Z43" s="403"/>
      <c r="AA43" s="14"/>
      <c r="AB43" s="8"/>
      <c r="AC43" s="51"/>
      <c r="AD43" s="51"/>
      <c r="AF43" s="1"/>
      <c r="AG43" s="5" t="s">
        <v>23</v>
      </c>
      <c r="AH43" s="91" t="s">
        <v>24</v>
      </c>
      <c r="AJ43" s="350">
        <v>-1458588.42</v>
      </c>
      <c r="AM43" s="403"/>
      <c r="AN43" s="403"/>
      <c r="AO43" s="403"/>
      <c r="AP43" s="14"/>
      <c r="AQ43" s="8"/>
      <c r="AR43" s="51"/>
      <c r="AS43" s="51"/>
      <c r="AU43" s="1"/>
      <c r="AV43" s="5" t="s">
        <v>23</v>
      </c>
      <c r="AW43" s="91" t="s">
        <v>24</v>
      </c>
      <c r="AY43" s="89">
        <v>-880072.96</v>
      </c>
      <c r="BB43" s="403"/>
      <c r="BC43" s="403"/>
      <c r="BD43" s="403"/>
      <c r="BE43" s="14"/>
      <c r="BF43" s="8"/>
      <c r="BG43" s="51"/>
      <c r="BH43" s="51"/>
    </row>
    <row r="44" spans="1:60" ht="16.5" thickTop="1" x14ac:dyDescent="0.25">
      <c r="B44" s="1"/>
      <c r="C44" s="5"/>
      <c r="E44" s="83" t="s">
        <v>25</v>
      </c>
      <c r="F44" s="4">
        <f>SUM(F41:F43)</f>
        <v>-46405.130000000354</v>
      </c>
      <c r="I44" s="416" t="s">
        <v>26</v>
      </c>
      <c r="J44" s="416"/>
      <c r="K44" s="417">
        <f>F46</f>
        <v>120620.10999999964</v>
      </c>
      <c r="L44" s="418"/>
      <c r="M44" s="8"/>
      <c r="N44" s="51"/>
      <c r="O44" s="51"/>
      <c r="Q44" s="1"/>
      <c r="R44" s="5"/>
      <c r="T44" s="83" t="s">
        <v>25</v>
      </c>
      <c r="U44" s="4">
        <f>SUM(U41:U43)</f>
        <v>-58292.419999999925</v>
      </c>
      <c r="X44" s="416" t="s">
        <v>26</v>
      </c>
      <c r="Y44" s="416"/>
      <c r="Z44" s="417">
        <f>U46</f>
        <v>130364.94000000006</v>
      </c>
      <c r="AA44" s="418"/>
      <c r="AB44" s="8"/>
      <c r="AC44" s="51"/>
      <c r="AD44" s="51"/>
      <c r="AF44" s="1"/>
      <c r="AG44" s="5"/>
      <c r="AI44" s="83" t="s">
        <v>25</v>
      </c>
      <c r="AJ44" s="4">
        <f>SUM(AJ41:AJ43)</f>
        <v>-39328.919999999925</v>
      </c>
      <c r="AM44" s="416" t="s">
        <v>26</v>
      </c>
      <c r="AN44" s="416"/>
      <c r="AO44" s="417">
        <f>AJ46</f>
        <v>142545.70000000007</v>
      </c>
      <c r="AP44" s="418"/>
      <c r="AQ44" s="8"/>
      <c r="AR44" s="51"/>
      <c r="AS44" s="51"/>
      <c r="AU44" s="1"/>
      <c r="AV44" s="5"/>
      <c r="AX44" s="83" t="s">
        <v>25</v>
      </c>
      <c r="AY44" s="4">
        <f>SUM(AY41:AY43)</f>
        <v>-5719.0100000000093</v>
      </c>
      <c r="BB44" s="416" t="s">
        <v>26</v>
      </c>
      <c r="BC44" s="416"/>
      <c r="BD44" s="417">
        <f>AY46</f>
        <v>159662.56</v>
      </c>
      <c r="BE44" s="418"/>
      <c r="BF44" s="8"/>
      <c r="BG44" s="51"/>
      <c r="BH44" s="51"/>
    </row>
    <row r="45" spans="1:60" ht="16.5" thickBot="1" x14ac:dyDescent="0.3">
      <c r="B45" s="1"/>
      <c r="C45" s="5"/>
      <c r="D45" s="216" t="s">
        <v>27</v>
      </c>
      <c r="E45" s="78"/>
      <c r="F45" s="90">
        <v>167025.24</v>
      </c>
      <c r="I45" s="409" t="s">
        <v>2</v>
      </c>
      <c r="J45" s="409"/>
      <c r="K45" s="410">
        <f>-C4</f>
        <v>-157414.39999999999</v>
      </c>
      <c r="L45" s="410"/>
      <c r="M45" s="8"/>
      <c r="N45" s="51"/>
      <c r="O45" s="51"/>
      <c r="Q45" s="1"/>
      <c r="R45" s="5"/>
      <c r="S45" s="216" t="s">
        <v>27</v>
      </c>
      <c r="T45" s="78"/>
      <c r="U45" s="90">
        <v>188657.36</v>
      </c>
      <c r="X45" s="409" t="s">
        <v>2</v>
      </c>
      <c r="Y45" s="409"/>
      <c r="Z45" s="410">
        <f>-R4</f>
        <v>-157414.39999999999</v>
      </c>
      <c r="AA45" s="410"/>
      <c r="AB45" s="8"/>
      <c r="AC45" s="51"/>
      <c r="AD45" s="51"/>
      <c r="AF45" s="1"/>
      <c r="AG45" s="5"/>
      <c r="AH45" s="216" t="s">
        <v>27</v>
      </c>
      <c r="AI45" s="78"/>
      <c r="AJ45" s="90">
        <v>181874.62</v>
      </c>
      <c r="AM45" s="409" t="s">
        <v>2</v>
      </c>
      <c r="AN45" s="409"/>
      <c r="AO45" s="410">
        <f>-AG4</f>
        <v>-157414.39999999999</v>
      </c>
      <c r="AP45" s="410"/>
      <c r="AQ45" s="8"/>
      <c r="AR45" s="51"/>
      <c r="AS45" s="51"/>
      <c r="AU45" s="1"/>
      <c r="AV45" s="5"/>
      <c r="AW45" s="216" t="s">
        <v>27</v>
      </c>
      <c r="AX45" s="78"/>
      <c r="AY45" s="90">
        <v>165381.57</v>
      </c>
      <c r="BB45" s="409" t="s">
        <v>2</v>
      </c>
      <c r="BC45" s="409"/>
      <c r="BD45" s="410">
        <f>-AV4</f>
        <v>-157414.39999999999</v>
      </c>
      <c r="BE45" s="410"/>
      <c r="BF45" s="8"/>
      <c r="BG45" s="51"/>
      <c r="BH45" s="51"/>
    </row>
    <row r="46" spans="1:60" ht="19.5" thickBot="1" x14ac:dyDescent="0.3">
      <c r="B46" s="1"/>
      <c r="C46" s="5"/>
      <c r="E46" s="91" t="s">
        <v>28</v>
      </c>
      <c r="F46" s="77">
        <f>F45+F44</f>
        <v>120620.10999999964</v>
      </c>
      <c r="J46" s="92"/>
      <c r="K46" s="404">
        <v>0</v>
      </c>
      <c r="L46" s="404"/>
      <c r="M46" s="8"/>
      <c r="N46" s="51"/>
      <c r="O46" s="51"/>
      <c r="Q46" s="1"/>
      <c r="R46" s="5"/>
      <c r="T46" s="91" t="s">
        <v>28</v>
      </c>
      <c r="U46" s="77">
        <f>U45+U44</f>
        <v>130364.94000000006</v>
      </c>
      <c r="Y46" s="92"/>
      <c r="Z46" s="404">
        <v>0</v>
      </c>
      <c r="AA46" s="404"/>
      <c r="AB46" s="8"/>
      <c r="AC46" s="51"/>
      <c r="AD46" s="51"/>
      <c r="AF46" s="1"/>
      <c r="AG46" s="5"/>
      <c r="AI46" s="91" t="s">
        <v>28</v>
      </c>
      <c r="AJ46" s="77">
        <f>AJ45+AJ44</f>
        <v>142545.70000000007</v>
      </c>
      <c r="AN46" s="92"/>
      <c r="AO46" s="404">
        <v>0</v>
      </c>
      <c r="AP46" s="404"/>
      <c r="AQ46" s="8"/>
      <c r="AR46" s="51"/>
      <c r="AS46" s="51"/>
      <c r="AU46" s="1"/>
      <c r="AV46" s="5"/>
      <c r="AX46" s="91" t="s">
        <v>28</v>
      </c>
      <c r="AY46" s="77">
        <f>AY45+AY44</f>
        <v>159662.56</v>
      </c>
      <c r="BC46" s="92"/>
      <c r="BD46" s="404">
        <v>0</v>
      </c>
      <c r="BE46" s="404"/>
      <c r="BF46" s="8"/>
      <c r="BG46" s="51"/>
      <c r="BH46" s="51"/>
    </row>
    <row r="47" spans="1:60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-36794.290000000357</v>
      </c>
      <c r="L47" s="427"/>
      <c r="M47" s="8"/>
      <c r="N47" s="51"/>
      <c r="O47" s="51"/>
      <c r="Q47" s="1"/>
      <c r="R47" s="5"/>
      <c r="T47" s="83"/>
      <c r="U47" s="86"/>
      <c r="X47" s="424" t="s">
        <v>29</v>
      </c>
      <c r="Y47" s="425"/>
      <c r="Z47" s="426">
        <f>SUM(Z44:AA46)</f>
        <v>-27049.459999999934</v>
      </c>
      <c r="AA47" s="427"/>
      <c r="AB47" s="8"/>
      <c r="AC47" s="51"/>
      <c r="AD47" s="51"/>
      <c r="AF47" s="1"/>
      <c r="AG47" s="5"/>
      <c r="AI47" s="83"/>
      <c r="AJ47" s="86"/>
      <c r="AM47" s="424" t="s">
        <v>29</v>
      </c>
      <c r="AN47" s="425"/>
      <c r="AO47" s="426">
        <f>SUM(AO44:AP46)</f>
        <v>-14868.699999999924</v>
      </c>
      <c r="AP47" s="427"/>
      <c r="AQ47" s="8"/>
      <c r="AR47" s="51"/>
      <c r="AS47" s="51"/>
      <c r="AU47" s="1"/>
      <c r="AV47" s="5"/>
      <c r="AX47" s="83"/>
      <c r="AY47" s="86"/>
      <c r="BB47" s="424" t="s">
        <v>760</v>
      </c>
      <c r="BC47" s="425"/>
      <c r="BD47" s="426">
        <f>SUM(BD44:BE46)</f>
        <v>2248.1600000000035</v>
      </c>
      <c r="BE47" s="427"/>
      <c r="BF47" s="8"/>
      <c r="BG47" s="51"/>
      <c r="BH47" s="51"/>
    </row>
    <row r="48" spans="1:60" x14ac:dyDescent="0.25">
      <c r="B48" s="1"/>
      <c r="C48" s="5"/>
      <c r="D48" s="403"/>
      <c r="E48" s="403"/>
      <c r="F48" s="4"/>
      <c r="I48" s="5"/>
      <c r="J48" s="5"/>
      <c r="M48" s="8"/>
      <c r="N48" s="51"/>
      <c r="O48" s="86"/>
      <c r="Q48" s="1"/>
      <c r="R48" s="5"/>
      <c r="S48" s="403"/>
      <c r="T48" s="403"/>
      <c r="U48" s="4"/>
      <c r="X48" s="5"/>
      <c r="Y48" s="5"/>
      <c r="AB48" s="8"/>
      <c r="AC48" s="51"/>
      <c r="AD48" s="86"/>
      <c r="AF48" s="1"/>
      <c r="AG48" s="5"/>
      <c r="AH48" s="403"/>
      <c r="AI48" s="403"/>
      <c r="AJ48" s="4"/>
      <c r="AM48" s="5"/>
      <c r="AN48" s="5"/>
      <c r="AQ48" s="8"/>
      <c r="AR48" s="51"/>
      <c r="AS48" s="86"/>
      <c r="AU48" s="1"/>
      <c r="AV48" s="5"/>
      <c r="AW48" s="403"/>
      <c r="AX48" s="403"/>
      <c r="AY48" s="4"/>
      <c r="BB48" s="5"/>
      <c r="BC48" s="5"/>
      <c r="BF48" s="8"/>
      <c r="BG48" s="51"/>
      <c r="BH48" s="86"/>
    </row>
    <row r="49" spans="4:60" x14ac:dyDescent="0.25">
      <c r="D49"/>
      <c r="O49" s="4"/>
      <c r="S49"/>
      <c r="AD49" s="4"/>
      <c r="AH49"/>
      <c r="AS49" s="4"/>
      <c r="AW49"/>
      <c r="BH49" s="4"/>
    </row>
  </sheetData>
  <mergeCells count="60">
    <mergeCell ref="AO46:AP46"/>
    <mergeCell ref="AM47:AN47"/>
    <mergeCell ref="AO47:AP47"/>
    <mergeCell ref="AH48:AI48"/>
    <mergeCell ref="AH41:AI41"/>
    <mergeCell ref="AM43:AO43"/>
    <mergeCell ref="AM44:AN44"/>
    <mergeCell ref="AO44:AP44"/>
    <mergeCell ref="AM45:AN45"/>
    <mergeCell ref="AO45:AP45"/>
    <mergeCell ref="AG1:AO1"/>
    <mergeCell ref="AI4:AJ4"/>
    <mergeCell ref="AM4:AP4"/>
    <mergeCell ref="AL40:AM40"/>
    <mergeCell ref="AO40:AP40"/>
    <mergeCell ref="AV1:BD1"/>
    <mergeCell ref="AX4:AY4"/>
    <mergeCell ref="BB4:BE4"/>
    <mergeCell ref="BB44:BC44"/>
    <mergeCell ref="BD44:BE44"/>
    <mergeCell ref="AW41:AX41"/>
    <mergeCell ref="BB43:BD43"/>
    <mergeCell ref="BA40:BB40"/>
    <mergeCell ref="BD40:BE40"/>
    <mergeCell ref="AW48:AX48"/>
    <mergeCell ref="BB47:BC47"/>
    <mergeCell ref="BD47:BE47"/>
    <mergeCell ref="BD46:BE46"/>
    <mergeCell ref="BB45:BC45"/>
    <mergeCell ref="BD45:BE45"/>
    <mergeCell ref="R1:Z1"/>
    <mergeCell ref="T4:U4"/>
    <mergeCell ref="X4:AA4"/>
    <mergeCell ref="W40:X40"/>
    <mergeCell ref="Z40:AA40"/>
    <mergeCell ref="Z46:AA46"/>
    <mergeCell ref="X47:Y47"/>
    <mergeCell ref="Z47:AA47"/>
    <mergeCell ref="S48:T48"/>
    <mergeCell ref="S41:T41"/>
    <mergeCell ref="X43:Z43"/>
    <mergeCell ref="X44:Y44"/>
    <mergeCell ref="Z44:AA44"/>
    <mergeCell ref="X45:Y45"/>
    <mergeCell ref="Z45:AA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74"/>
  <sheetViews>
    <sheetView topLeftCell="A34" workbookViewId="0">
      <selection activeCell="C61" sqref="C6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0" max="10" width="14.140625" bestFit="1" customWidth="1"/>
    <col min="12" max="12" width="14.140625" bestFit="1" customWidth="1"/>
    <col min="15" max="15" width="14.140625" bestFit="1" customWidth="1"/>
    <col min="17" max="17" width="12.5703125" bestFit="1" customWidth="1"/>
    <col min="20" max="20" width="11.42578125" style="5"/>
    <col min="21" max="21" width="17.85546875" bestFit="1" customWidth="1"/>
    <col min="23" max="23" width="12.5703125" bestFit="1" customWidth="1"/>
    <col min="26" max="26" width="12.5703125" bestFit="1" customWidth="1"/>
    <col min="30" max="30" width="11.42578125" style="5"/>
  </cols>
  <sheetData>
    <row r="1" spans="1:27" ht="15.75" x14ac:dyDescent="0.25">
      <c r="U1" s="5"/>
      <c r="V1" s="104"/>
      <c r="W1" s="338">
        <v>42578</v>
      </c>
      <c r="X1" s="124"/>
      <c r="Y1" s="125" t="s">
        <v>56</v>
      </c>
      <c r="Z1" s="33"/>
    </row>
    <row r="2" spans="1:27" ht="16.5" thickBot="1" x14ac:dyDescent="0.3">
      <c r="J2" s="5"/>
      <c r="K2" s="104"/>
      <c r="L2" s="338">
        <v>42565</v>
      </c>
      <c r="M2" s="124"/>
      <c r="N2" s="125" t="s">
        <v>56</v>
      </c>
      <c r="O2" s="33"/>
      <c r="U2" s="96"/>
      <c r="V2" s="337"/>
      <c r="W2" s="127"/>
      <c r="X2" s="127"/>
      <c r="Y2" s="127"/>
      <c r="Z2" s="128"/>
      <c r="AA2" s="129"/>
    </row>
    <row r="3" spans="1:27" ht="17.25" thickTop="1" thickBot="1" x14ac:dyDescent="0.3">
      <c r="C3" s="428" t="s">
        <v>30</v>
      </c>
      <c r="D3" s="429"/>
      <c r="E3" s="430"/>
      <c r="J3" s="96"/>
      <c r="K3" s="337"/>
      <c r="L3" s="127"/>
      <c r="M3" s="127"/>
      <c r="N3" s="127"/>
      <c r="O3" s="128"/>
      <c r="P3" s="129"/>
      <c r="U3" s="96">
        <f>23084+8820+11745.5+8447</f>
        <v>52096.5</v>
      </c>
      <c r="V3" s="107" t="s">
        <v>765</v>
      </c>
      <c r="W3" s="108">
        <v>44387.23</v>
      </c>
      <c r="X3" s="259" t="s">
        <v>63</v>
      </c>
      <c r="Y3" s="131" t="s">
        <v>57</v>
      </c>
      <c r="Z3" s="132">
        <v>43650</v>
      </c>
      <c r="AA3" s="133">
        <v>42572</v>
      </c>
    </row>
    <row r="4" spans="1:27" ht="17.25" thickTop="1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J4" s="96">
        <v>910.5</v>
      </c>
      <c r="K4" s="107" t="s">
        <v>679</v>
      </c>
      <c r="L4" s="108">
        <v>910.2</v>
      </c>
      <c r="M4" s="259" t="s">
        <v>63</v>
      </c>
      <c r="N4" s="131" t="s">
        <v>57</v>
      </c>
      <c r="O4" s="132">
        <v>35669</v>
      </c>
      <c r="P4" s="133">
        <v>42550</v>
      </c>
      <c r="U4" s="28">
        <f>12145+27781+4706.5</f>
        <v>44632.5</v>
      </c>
      <c r="V4" s="107" t="s">
        <v>786</v>
      </c>
      <c r="W4" s="108">
        <v>44662.64</v>
      </c>
      <c r="X4" s="259"/>
      <c r="Y4" s="131" t="s">
        <v>57</v>
      </c>
      <c r="Z4" s="132">
        <v>12145</v>
      </c>
      <c r="AA4" s="133">
        <v>42574</v>
      </c>
    </row>
    <row r="5" spans="1:27" ht="15.75" x14ac:dyDescent="0.25">
      <c r="A5" s="101">
        <v>42552</v>
      </c>
      <c r="B5" s="102" t="s">
        <v>692</v>
      </c>
      <c r="C5" s="103">
        <v>6956.4</v>
      </c>
      <c r="D5" s="104">
        <v>42565</v>
      </c>
      <c r="E5" s="103">
        <v>6956.4</v>
      </c>
      <c r="F5" s="105">
        <f t="shared" ref="F5:F56" si="0">C5-E5</f>
        <v>0</v>
      </c>
      <c r="G5" s="88"/>
      <c r="J5" s="28">
        <v>8506</v>
      </c>
      <c r="K5" s="107" t="s">
        <v>681</v>
      </c>
      <c r="L5" s="108">
        <v>8470.14</v>
      </c>
      <c r="M5" s="259" t="s">
        <v>63</v>
      </c>
      <c r="N5" s="131" t="s">
        <v>57</v>
      </c>
      <c r="O5" s="132">
        <v>17500</v>
      </c>
      <c r="P5" s="133">
        <v>42550</v>
      </c>
      <c r="U5" s="96">
        <f>19077+7562+14807.5</f>
        <v>41446.5</v>
      </c>
      <c r="V5" s="107" t="s">
        <v>787</v>
      </c>
      <c r="W5" s="108">
        <v>41446.44</v>
      </c>
      <c r="X5" s="130"/>
      <c r="Y5" s="131" t="s">
        <v>57</v>
      </c>
      <c r="Z5" s="132">
        <v>55305</v>
      </c>
      <c r="AA5" s="133">
        <v>42574</v>
      </c>
    </row>
    <row r="6" spans="1:27" ht="15.75" x14ac:dyDescent="0.25">
      <c r="A6" s="106">
        <v>42552</v>
      </c>
      <c r="B6" s="107" t="s">
        <v>693</v>
      </c>
      <c r="C6" s="108">
        <v>38178</v>
      </c>
      <c r="D6" s="104">
        <v>42565</v>
      </c>
      <c r="E6" s="108">
        <v>38178</v>
      </c>
      <c r="F6" s="109">
        <f t="shared" si="0"/>
        <v>0</v>
      </c>
      <c r="G6" s="88"/>
      <c r="J6" s="96">
        <f>17500+24689</f>
        <v>42189</v>
      </c>
      <c r="K6" s="107" t="s">
        <v>682</v>
      </c>
      <c r="L6" s="108">
        <v>42189</v>
      </c>
      <c r="M6" s="130"/>
      <c r="N6" s="278" t="s">
        <v>65</v>
      </c>
      <c r="O6" s="132">
        <v>6564</v>
      </c>
      <c r="P6" s="133">
        <v>42551</v>
      </c>
      <c r="U6" s="96">
        <f>42931+22443+5100+7486.5+2853.5</f>
        <v>80814</v>
      </c>
      <c r="V6" s="107" t="s">
        <v>788</v>
      </c>
      <c r="W6" s="108">
        <v>80813.8</v>
      </c>
      <c r="X6" s="130"/>
      <c r="Y6" s="131" t="s">
        <v>57</v>
      </c>
      <c r="Z6" s="132">
        <v>7562</v>
      </c>
      <c r="AA6" s="133">
        <v>42574</v>
      </c>
    </row>
    <row r="7" spans="1:27" ht="15.75" x14ac:dyDescent="0.25">
      <c r="A7" s="106">
        <v>42552</v>
      </c>
      <c r="B7" s="107" t="s">
        <v>694</v>
      </c>
      <c r="C7" s="108">
        <v>38253.599999999999</v>
      </c>
      <c r="D7" s="104">
        <v>42565</v>
      </c>
      <c r="E7" s="108">
        <v>38253.599999999999</v>
      </c>
      <c r="F7" s="109">
        <f t="shared" si="0"/>
        <v>0</v>
      </c>
      <c r="G7" s="88"/>
      <c r="J7" s="96">
        <f>2474+6564+42525.5+2744+19215</f>
        <v>73522.5</v>
      </c>
      <c r="K7" s="107" t="s">
        <v>683</v>
      </c>
      <c r="L7" s="108">
        <v>73558.509999999995</v>
      </c>
      <c r="M7" s="130"/>
      <c r="N7" s="131" t="s">
        <v>65</v>
      </c>
      <c r="O7" s="132">
        <v>43436</v>
      </c>
      <c r="P7" s="133">
        <v>42551</v>
      </c>
      <c r="Q7" s="132"/>
      <c r="U7" s="96">
        <v>43723</v>
      </c>
      <c r="V7" s="107" t="s">
        <v>789</v>
      </c>
      <c r="W7" s="108">
        <v>43723.28</v>
      </c>
      <c r="X7" s="194"/>
      <c r="Y7" s="131" t="s">
        <v>57</v>
      </c>
      <c r="Z7" s="132">
        <v>5100</v>
      </c>
      <c r="AA7" s="133">
        <v>42576</v>
      </c>
    </row>
    <row r="8" spans="1:27" ht="15.75" x14ac:dyDescent="0.25">
      <c r="A8" s="106">
        <v>42552</v>
      </c>
      <c r="B8" s="107" t="s">
        <v>696</v>
      </c>
      <c r="C8" s="108">
        <v>38046.83</v>
      </c>
      <c r="D8" s="104">
        <v>42565</v>
      </c>
      <c r="E8" s="108">
        <v>38046.83</v>
      </c>
      <c r="F8" s="110">
        <f t="shared" si="0"/>
        <v>0</v>
      </c>
      <c r="G8" s="111"/>
      <c r="J8" s="96">
        <v>1200</v>
      </c>
      <c r="K8" s="107" t="s">
        <v>684</v>
      </c>
      <c r="L8" s="108">
        <v>1200</v>
      </c>
      <c r="M8" s="194"/>
      <c r="N8" s="131" t="s">
        <v>57</v>
      </c>
      <c r="O8" s="132">
        <v>13597</v>
      </c>
      <c r="P8" s="133">
        <v>42552</v>
      </c>
      <c r="Q8" s="132"/>
      <c r="U8" s="96">
        <f>22854.5+7621+6712</f>
        <v>37187.5</v>
      </c>
      <c r="V8" s="107" t="s">
        <v>790</v>
      </c>
      <c r="W8" s="108">
        <v>37188.230000000003</v>
      </c>
      <c r="X8" s="194"/>
      <c r="Y8" s="131" t="s">
        <v>57</v>
      </c>
      <c r="Z8" s="132">
        <v>84888</v>
      </c>
      <c r="AA8" s="133">
        <v>42574</v>
      </c>
    </row>
    <row r="9" spans="1:27" ht="15.75" x14ac:dyDescent="0.25">
      <c r="A9" s="106">
        <v>42552</v>
      </c>
      <c r="B9" s="107" t="s">
        <v>695</v>
      </c>
      <c r="C9" s="108">
        <v>39633.1</v>
      </c>
      <c r="D9" s="104">
        <v>42565</v>
      </c>
      <c r="E9" s="108">
        <v>39633.1</v>
      </c>
      <c r="F9" s="110">
        <f t="shared" si="0"/>
        <v>0</v>
      </c>
      <c r="I9" s="51"/>
      <c r="J9" s="96">
        <f>2441+13597+14277+11538</f>
        <v>41853</v>
      </c>
      <c r="K9" s="107" t="s">
        <v>686</v>
      </c>
      <c r="L9" s="108">
        <v>41852.79</v>
      </c>
      <c r="M9" s="194"/>
      <c r="N9" s="131" t="s">
        <v>57</v>
      </c>
      <c r="O9" s="132">
        <v>25600</v>
      </c>
      <c r="P9" s="133">
        <v>42551</v>
      </c>
      <c r="Q9" s="132"/>
      <c r="T9" s="5">
        <v>18794.5</v>
      </c>
      <c r="U9" s="96">
        <f>22109+5591.5+7541.5</f>
        <v>35242</v>
      </c>
      <c r="V9" s="107" t="s">
        <v>792</v>
      </c>
      <c r="W9" s="108">
        <v>35242</v>
      </c>
      <c r="X9" s="298" t="s">
        <v>110</v>
      </c>
      <c r="Y9" s="131" t="s">
        <v>57</v>
      </c>
      <c r="Z9" s="132">
        <v>7486</v>
      </c>
      <c r="AA9" s="133">
        <v>42576</v>
      </c>
    </row>
    <row r="10" spans="1:27" ht="15.75" x14ac:dyDescent="0.25">
      <c r="A10" s="106">
        <v>42552</v>
      </c>
      <c r="B10" s="107" t="s">
        <v>736</v>
      </c>
      <c r="C10" s="108">
        <v>40217.9</v>
      </c>
      <c r="D10" s="104">
        <v>42565</v>
      </c>
      <c r="E10" s="108">
        <v>40217.9</v>
      </c>
      <c r="F10" s="110">
        <f t="shared" si="0"/>
        <v>0</v>
      </c>
      <c r="G10" s="111"/>
      <c r="I10" s="51"/>
      <c r="J10" s="96">
        <f>8588+29300+1627.5</f>
        <v>39515.5</v>
      </c>
      <c r="K10" s="107" t="s">
        <v>687</v>
      </c>
      <c r="L10" s="108">
        <v>39515.67</v>
      </c>
      <c r="M10" s="298"/>
      <c r="N10" s="131" t="s">
        <v>57</v>
      </c>
      <c r="O10" s="132">
        <v>34403</v>
      </c>
      <c r="P10" s="133">
        <v>42552</v>
      </c>
      <c r="Q10" s="132"/>
      <c r="U10" s="28">
        <f>19920+19458.5</f>
        <v>39378.5</v>
      </c>
      <c r="V10" s="107" t="s">
        <v>797</v>
      </c>
      <c r="W10" s="108">
        <v>39378.94</v>
      </c>
      <c r="X10" s="134"/>
      <c r="Y10" s="131" t="s">
        <v>57</v>
      </c>
      <c r="Z10" s="135">
        <v>101264</v>
      </c>
      <c r="AA10" s="136">
        <v>42576</v>
      </c>
    </row>
    <row r="11" spans="1:27" ht="15.75" x14ac:dyDescent="0.25">
      <c r="A11" s="106">
        <v>42553</v>
      </c>
      <c r="B11" s="107" t="s">
        <v>700</v>
      </c>
      <c r="C11" s="108">
        <v>40581.68</v>
      </c>
      <c r="D11" s="104">
        <v>42565</v>
      </c>
      <c r="E11" s="108">
        <v>40581.68</v>
      </c>
      <c r="F11" s="110">
        <f t="shared" si="0"/>
        <v>0</v>
      </c>
      <c r="G11" s="111"/>
      <c r="I11" s="51"/>
      <c r="J11" s="96">
        <f>6245.5+19959+18024</f>
        <v>44228.5</v>
      </c>
      <c r="K11" s="107" t="s">
        <v>691</v>
      </c>
      <c r="L11" s="108">
        <v>44228.3</v>
      </c>
      <c r="M11" s="134"/>
      <c r="N11" s="131" t="s">
        <v>57</v>
      </c>
      <c r="O11" s="135">
        <v>29300</v>
      </c>
      <c r="P11" s="136">
        <v>42552</v>
      </c>
      <c r="Q11" s="135"/>
      <c r="U11" s="28">
        <f>31833+5137</f>
        <v>36970</v>
      </c>
      <c r="V11" s="107" t="s">
        <v>793</v>
      </c>
      <c r="W11" s="108">
        <v>36969.699999999997</v>
      </c>
      <c r="X11" s="194"/>
      <c r="Y11" s="131" t="s">
        <v>57</v>
      </c>
      <c r="Z11" s="114">
        <v>7621</v>
      </c>
      <c r="AA11" s="136">
        <v>42576</v>
      </c>
    </row>
    <row r="12" spans="1:27" ht="15.75" x14ac:dyDescent="0.25">
      <c r="A12" s="106">
        <v>42554</v>
      </c>
      <c r="B12" s="107" t="s">
        <v>697</v>
      </c>
      <c r="C12" s="108">
        <v>52478.17</v>
      </c>
      <c r="D12" s="104">
        <v>42565</v>
      </c>
      <c r="E12" s="108">
        <v>52478.17</v>
      </c>
      <c r="F12" s="110">
        <f t="shared" si="0"/>
        <v>0</v>
      </c>
      <c r="I12" s="51"/>
      <c r="J12" s="28">
        <f>7889.5+29117</f>
        <v>37006.5</v>
      </c>
      <c r="K12" s="107" t="s">
        <v>688</v>
      </c>
      <c r="L12" s="108">
        <v>37006.6</v>
      </c>
      <c r="M12" s="194"/>
      <c r="N12" s="131" t="s">
        <v>57</v>
      </c>
      <c r="O12" s="114">
        <v>6245.5</v>
      </c>
      <c r="P12" s="136">
        <v>42553</v>
      </c>
      <c r="Q12" s="114"/>
      <c r="S12">
        <v>235</v>
      </c>
      <c r="T12" s="5">
        <f>18862+8552</f>
        <v>27414</v>
      </c>
      <c r="U12" s="28">
        <v>0</v>
      </c>
      <c r="V12" s="107" t="s">
        <v>791</v>
      </c>
      <c r="W12" s="108">
        <v>7679.24</v>
      </c>
      <c r="X12" s="351" t="s">
        <v>110</v>
      </c>
      <c r="Y12" s="131" t="s">
        <v>57</v>
      </c>
      <c r="Z12" s="132">
        <v>25050</v>
      </c>
      <c r="AA12" s="133">
        <v>42577</v>
      </c>
    </row>
    <row r="13" spans="1:27" ht="15.75" x14ac:dyDescent="0.25">
      <c r="A13" s="106">
        <v>42555</v>
      </c>
      <c r="B13" s="107" t="s">
        <v>698</v>
      </c>
      <c r="C13" s="108">
        <v>50857.2</v>
      </c>
      <c r="D13" s="104">
        <v>42565</v>
      </c>
      <c r="E13" s="108">
        <v>50857.2</v>
      </c>
      <c r="F13" s="110">
        <f t="shared" si="0"/>
        <v>0</v>
      </c>
      <c r="I13" s="51"/>
      <c r="J13" s="28">
        <f>19637.5+7700+6384.5+4457+9956.5</f>
        <v>48135.5</v>
      </c>
      <c r="K13" s="107" t="s">
        <v>689</v>
      </c>
      <c r="L13" s="108">
        <v>48135.74</v>
      </c>
      <c r="M13" s="318"/>
      <c r="N13" s="131" t="s">
        <v>57</v>
      </c>
      <c r="O13" s="132">
        <v>7700</v>
      </c>
      <c r="P13" s="133">
        <v>42555</v>
      </c>
      <c r="Q13" s="319"/>
      <c r="U13" s="28"/>
      <c r="V13" s="107"/>
      <c r="W13" s="108">
        <v>0</v>
      </c>
      <c r="X13" s="318"/>
      <c r="Y13" s="131" t="s">
        <v>57</v>
      </c>
      <c r="Z13" s="135">
        <v>7541.5</v>
      </c>
      <c r="AA13" s="136">
        <v>42577</v>
      </c>
    </row>
    <row r="14" spans="1:27" ht="16.5" thickBot="1" x14ac:dyDescent="0.3">
      <c r="A14" s="106">
        <v>42553</v>
      </c>
      <c r="B14" s="107" t="s">
        <v>699</v>
      </c>
      <c r="C14" s="108">
        <v>91379.199999999997</v>
      </c>
      <c r="D14" s="104">
        <v>42565</v>
      </c>
      <c r="E14" s="108">
        <v>91379.199999999997</v>
      </c>
      <c r="F14" s="110">
        <f t="shared" si="0"/>
        <v>0</v>
      </c>
      <c r="I14" s="51"/>
      <c r="J14" s="28">
        <v>6956.5</v>
      </c>
      <c r="K14" s="102" t="s">
        <v>692</v>
      </c>
      <c r="L14" s="103">
        <v>6956.4</v>
      </c>
      <c r="M14" s="318"/>
      <c r="N14" s="131" t="s">
        <v>57</v>
      </c>
      <c r="O14" s="135">
        <v>6384.5</v>
      </c>
      <c r="P14" s="136">
        <v>42555</v>
      </c>
      <c r="Q14" s="319"/>
      <c r="U14" s="352"/>
      <c r="V14" s="189"/>
      <c r="W14" s="207">
        <v>0</v>
      </c>
      <c r="X14" s="341"/>
      <c r="Y14" s="342" t="s">
        <v>57</v>
      </c>
      <c r="Z14" s="191">
        <v>53879</v>
      </c>
      <c r="AA14" s="209">
        <v>42576</v>
      </c>
    </row>
    <row r="15" spans="1:27" ht="16.5" thickTop="1" x14ac:dyDescent="0.25">
      <c r="A15" s="106">
        <v>42556</v>
      </c>
      <c r="B15" s="107" t="s">
        <v>702</v>
      </c>
      <c r="C15" s="108">
        <v>49585</v>
      </c>
      <c r="D15" s="104">
        <v>42565</v>
      </c>
      <c r="E15" s="108">
        <v>49585</v>
      </c>
      <c r="F15" s="110">
        <f t="shared" si="0"/>
        <v>0</v>
      </c>
      <c r="I15" s="51"/>
      <c r="J15" s="28">
        <v>38178</v>
      </c>
      <c r="K15" s="107" t="s">
        <v>693</v>
      </c>
      <c r="L15" s="108">
        <v>38178</v>
      </c>
      <c r="M15" s="318"/>
      <c r="N15" s="131" t="s">
        <v>57</v>
      </c>
      <c r="O15" s="114">
        <v>47500</v>
      </c>
      <c r="P15" s="136">
        <v>42553</v>
      </c>
      <c r="Q15" s="319"/>
      <c r="T15" s="47"/>
      <c r="U15" s="33">
        <f>SUM(U3:U14)</f>
        <v>411490.5</v>
      </c>
      <c r="V15" s="88"/>
      <c r="W15" s="51">
        <f>SUM(W3:W14)</f>
        <v>411491.5</v>
      </c>
      <c r="X15" s="326"/>
      <c r="Y15" s="148"/>
      <c r="Z15" s="33">
        <f>SUM(Z3:Z14)</f>
        <v>411491.5</v>
      </c>
      <c r="AA15" s="104"/>
    </row>
    <row r="16" spans="1:27" ht="15.75" x14ac:dyDescent="0.25">
      <c r="A16" s="106">
        <v>42558</v>
      </c>
      <c r="B16" s="107" t="s">
        <v>701</v>
      </c>
      <c r="C16" s="108">
        <v>43089.2</v>
      </c>
      <c r="D16" s="104">
        <v>42565</v>
      </c>
      <c r="E16" s="108">
        <v>43089.2</v>
      </c>
      <c r="F16" s="110">
        <f t="shared" si="0"/>
        <v>0</v>
      </c>
      <c r="I16" s="51"/>
      <c r="J16" s="28">
        <v>38253.5</v>
      </c>
      <c r="K16" s="107" t="s">
        <v>694</v>
      </c>
      <c r="L16" s="108">
        <v>38253.599999999999</v>
      </c>
      <c r="M16" s="318"/>
      <c r="N16" s="131" t="s">
        <v>57</v>
      </c>
      <c r="O16" s="319">
        <v>48754.5</v>
      </c>
      <c r="P16" s="320">
        <v>42553</v>
      </c>
      <c r="Q16" s="319"/>
      <c r="T16" s="47"/>
      <c r="U16" s="33"/>
      <c r="V16" s="88"/>
      <c r="W16" s="51"/>
      <c r="X16" s="326"/>
      <c r="Y16" s="148"/>
      <c r="Z16" s="33"/>
      <c r="AA16" s="104"/>
    </row>
    <row r="17" spans="1:27" ht="15.75" x14ac:dyDescent="0.25">
      <c r="A17" s="106">
        <v>42558</v>
      </c>
      <c r="B17" s="107" t="s">
        <v>703</v>
      </c>
      <c r="C17" s="108">
        <v>42798</v>
      </c>
      <c r="D17" s="104">
        <v>42565</v>
      </c>
      <c r="E17" s="108">
        <v>42798</v>
      </c>
      <c r="F17" s="110">
        <f t="shared" si="0"/>
        <v>0</v>
      </c>
      <c r="I17" s="51"/>
      <c r="J17" s="28">
        <f>25974+10505.5+1567.5</f>
        <v>38047</v>
      </c>
      <c r="K17" s="107" t="s">
        <v>696</v>
      </c>
      <c r="L17" s="108">
        <v>38046.83</v>
      </c>
      <c r="M17" s="318"/>
      <c r="N17" s="131" t="s">
        <v>57</v>
      </c>
      <c r="O17" s="319">
        <v>123775.5</v>
      </c>
      <c r="P17" s="320">
        <v>42555</v>
      </c>
      <c r="Q17" s="319"/>
      <c r="T17" s="47"/>
      <c r="U17" s="33"/>
      <c r="V17" s="88"/>
      <c r="W17" s="51"/>
      <c r="X17" s="326"/>
      <c r="Y17" s="148"/>
      <c r="Z17" s="33"/>
      <c r="AA17" s="104"/>
    </row>
    <row r="18" spans="1:27" ht="15.75" x14ac:dyDescent="0.25">
      <c r="A18" s="106">
        <v>42558</v>
      </c>
      <c r="B18" s="107" t="s">
        <v>704</v>
      </c>
      <c r="C18" s="108">
        <v>51308.7</v>
      </c>
      <c r="D18" s="104">
        <v>42565</v>
      </c>
      <c r="E18" s="108">
        <v>51308.7</v>
      </c>
      <c r="F18" s="110">
        <f t="shared" si="0"/>
        <v>0</v>
      </c>
      <c r="I18" s="51"/>
      <c r="J18" s="28">
        <f>20977+3510+9677+5380+89</f>
        <v>39633</v>
      </c>
      <c r="K18" s="107" t="s">
        <v>695</v>
      </c>
      <c r="L18" s="108">
        <v>39633.1</v>
      </c>
      <c r="M18" s="318"/>
      <c r="N18" s="131" t="s">
        <v>57</v>
      </c>
      <c r="O18" s="319">
        <v>10505.5</v>
      </c>
      <c r="P18" s="320">
        <v>42555</v>
      </c>
      <c r="Q18" s="319"/>
      <c r="T18" s="47"/>
      <c r="U18" s="33"/>
      <c r="V18" s="88"/>
      <c r="W18" s="51"/>
      <c r="X18" s="326"/>
      <c r="Y18" s="148"/>
      <c r="Z18" s="33"/>
      <c r="AA18" s="104"/>
    </row>
    <row r="19" spans="1:27" ht="15.75" x14ac:dyDescent="0.25">
      <c r="A19" s="106">
        <v>42559</v>
      </c>
      <c r="B19" s="107" t="s">
        <v>749</v>
      </c>
      <c r="C19" s="108">
        <v>78057</v>
      </c>
      <c r="D19" s="104" t="s">
        <v>785</v>
      </c>
      <c r="E19" s="108">
        <f>68017+10040</f>
        <v>78057</v>
      </c>
      <c r="F19" s="110">
        <f t="shared" si="0"/>
        <v>0</v>
      </c>
      <c r="I19" s="51"/>
      <c r="J19" s="28">
        <f>8611+3750+9043+11223+7590.5</f>
        <v>40217.5</v>
      </c>
      <c r="K19" s="107" t="s">
        <v>736</v>
      </c>
      <c r="L19" s="108">
        <v>40217.9</v>
      </c>
      <c r="M19" s="318"/>
      <c r="N19" s="131" t="s">
        <v>57</v>
      </c>
      <c r="O19" s="319">
        <v>9677</v>
      </c>
      <c r="P19" s="320">
        <v>42556</v>
      </c>
      <c r="Q19" s="319"/>
      <c r="T19" s="47"/>
      <c r="U19" s="84"/>
      <c r="V19" s="104"/>
      <c r="W19" s="370"/>
      <c r="X19" s="124"/>
      <c r="Y19" s="125"/>
      <c r="Z19" s="33"/>
      <c r="AA19" s="40"/>
    </row>
    <row r="20" spans="1:27" ht="15.75" x14ac:dyDescent="0.25">
      <c r="A20" s="106">
        <v>42559</v>
      </c>
      <c r="B20" s="107" t="s">
        <v>750</v>
      </c>
      <c r="C20" s="108">
        <v>50446.32</v>
      </c>
      <c r="D20" s="104" t="s">
        <v>785</v>
      </c>
      <c r="E20" s="108">
        <f>11382.57+39063.75</f>
        <v>50446.32</v>
      </c>
      <c r="F20" s="110">
        <f t="shared" si="0"/>
        <v>0</v>
      </c>
      <c r="I20" s="51"/>
      <c r="J20" s="28">
        <f>16393.5+19730+4458</f>
        <v>40581.5</v>
      </c>
      <c r="K20" s="107" t="s">
        <v>700</v>
      </c>
      <c r="L20" s="108">
        <v>40581.68</v>
      </c>
      <c r="M20" s="318"/>
      <c r="N20" s="131" t="s">
        <v>57</v>
      </c>
      <c r="O20" s="319">
        <v>22544.5</v>
      </c>
      <c r="P20" s="320">
        <v>42555</v>
      </c>
      <c r="Q20" s="319"/>
      <c r="T20" s="47"/>
      <c r="U20" s="84"/>
      <c r="V20" s="368"/>
      <c r="W20" s="51"/>
      <c r="X20" s="51"/>
      <c r="Y20" s="51"/>
      <c r="Z20" s="323"/>
      <c r="AA20" s="206"/>
    </row>
    <row r="21" spans="1:27" ht="15.75" x14ac:dyDescent="0.25">
      <c r="A21" s="106">
        <v>42560</v>
      </c>
      <c r="B21" s="107" t="s">
        <v>751</v>
      </c>
      <c r="C21" s="108">
        <v>45519.86</v>
      </c>
      <c r="D21" s="104">
        <v>42573</v>
      </c>
      <c r="E21" s="108">
        <v>45519.86</v>
      </c>
      <c r="F21" s="110">
        <f t="shared" si="0"/>
        <v>0</v>
      </c>
      <c r="I21" s="51"/>
      <c r="J21" s="28">
        <f>7519+8281.5+22175+14502</f>
        <v>52477.5</v>
      </c>
      <c r="K21" s="107" t="s">
        <v>697</v>
      </c>
      <c r="L21" s="108">
        <v>52478.17</v>
      </c>
      <c r="M21" s="318"/>
      <c r="N21" s="131" t="s">
        <v>57</v>
      </c>
      <c r="O21" s="319">
        <v>3510</v>
      </c>
      <c r="P21" s="320">
        <v>42557</v>
      </c>
      <c r="Q21" s="319"/>
      <c r="T21" s="47"/>
      <c r="U21" s="40"/>
      <c r="V21" s="40"/>
      <c r="W21" s="40"/>
      <c r="X21" s="40"/>
      <c r="Y21" s="40"/>
      <c r="Z21" s="40"/>
      <c r="AA21" s="40"/>
    </row>
    <row r="22" spans="1:27" ht="15.75" x14ac:dyDescent="0.25">
      <c r="A22" s="106">
        <v>42560</v>
      </c>
      <c r="B22" s="107" t="s">
        <v>752</v>
      </c>
      <c r="C22" s="108">
        <v>38598</v>
      </c>
      <c r="D22" s="104">
        <v>42573</v>
      </c>
      <c r="E22" s="108">
        <v>38598</v>
      </c>
      <c r="F22" s="110">
        <f t="shared" si="0"/>
        <v>0</v>
      </c>
      <c r="I22" s="51"/>
      <c r="J22" s="28">
        <f>14083.5+12400+7498.5+16875</f>
        <v>50857</v>
      </c>
      <c r="K22" s="107" t="s">
        <v>698</v>
      </c>
      <c r="L22" s="108">
        <v>50857.2</v>
      </c>
      <c r="M22" s="318"/>
      <c r="N22" s="131" t="s">
        <v>57</v>
      </c>
      <c r="O22" s="319">
        <v>5380</v>
      </c>
      <c r="P22" s="320">
        <v>42556</v>
      </c>
      <c r="Q22" s="319"/>
      <c r="T22" s="47"/>
      <c r="U22" s="40"/>
      <c r="V22" s="40"/>
      <c r="W22" s="40"/>
      <c r="X22" s="40"/>
      <c r="Y22" s="40"/>
      <c r="Z22" s="40"/>
      <c r="AA22" s="40"/>
    </row>
    <row r="23" spans="1:27" ht="15.75" x14ac:dyDescent="0.25">
      <c r="A23" s="106">
        <v>42562</v>
      </c>
      <c r="B23" s="107" t="s">
        <v>753</v>
      </c>
      <c r="C23" s="108">
        <v>44088.800000000003</v>
      </c>
      <c r="D23" s="104">
        <v>42573</v>
      </c>
      <c r="E23" s="108">
        <v>44088.800000000003</v>
      </c>
      <c r="F23" s="110">
        <f t="shared" si="0"/>
        <v>0</v>
      </c>
      <c r="I23" s="51"/>
      <c r="J23" s="28">
        <f>15588+45738.5+7825.5+16117.5+6109.5</f>
        <v>91379</v>
      </c>
      <c r="K23" s="107" t="s">
        <v>699</v>
      </c>
      <c r="L23" s="108">
        <v>91379.199999999997</v>
      </c>
      <c r="M23" s="318"/>
      <c r="N23" s="131" t="s">
        <v>57</v>
      </c>
      <c r="O23" s="319">
        <v>12450</v>
      </c>
      <c r="P23" s="320">
        <v>42557</v>
      </c>
      <c r="Q23" s="319"/>
      <c r="T23" s="47"/>
      <c r="U23" s="40"/>
      <c r="V23" s="40"/>
      <c r="W23" s="40"/>
      <c r="X23" s="40"/>
      <c r="Y23" s="40"/>
      <c r="Z23" s="40"/>
      <c r="AA23" s="40"/>
    </row>
    <row r="24" spans="1:27" ht="15.75" x14ac:dyDescent="0.25">
      <c r="A24" s="106">
        <v>42563</v>
      </c>
      <c r="B24" s="107" t="s">
        <v>754</v>
      </c>
      <c r="C24" s="108">
        <v>38745.599999999999</v>
      </c>
      <c r="D24" s="104">
        <v>42573</v>
      </c>
      <c r="E24" s="108">
        <v>38745.599999999999</v>
      </c>
      <c r="F24" s="110">
        <f t="shared" si="0"/>
        <v>0</v>
      </c>
      <c r="I24" s="51"/>
      <c r="J24" s="28">
        <f>42447.5+7137.5</f>
        <v>49585</v>
      </c>
      <c r="K24" s="107" t="s">
        <v>702</v>
      </c>
      <c r="L24" s="108">
        <v>49585</v>
      </c>
      <c r="M24" s="318"/>
      <c r="N24" s="131" t="s">
        <v>57</v>
      </c>
      <c r="O24" s="319">
        <v>9043</v>
      </c>
      <c r="P24" s="320">
        <v>42557</v>
      </c>
      <c r="Q24" s="319"/>
      <c r="T24" s="47"/>
      <c r="U24" s="40"/>
      <c r="V24" s="40"/>
      <c r="W24" s="40"/>
      <c r="X24" s="40"/>
      <c r="Y24" s="40"/>
      <c r="Z24" s="40"/>
      <c r="AA24" s="40"/>
    </row>
    <row r="25" spans="1:27" ht="15.75" x14ac:dyDescent="0.25">
      <c r="A25" s="106">
        <v>42563</v>
      </c>
      <c r="B25" s="107" t="s">
        <v>755</v>
      </c>
      <c r="C25" s="108">
        <v>35872.199999999997</v>
      </c>
      <c r="D25" s="104">
        <v>42573</v>
      </c>
      <c r="E25" s="108">
        <v>35872.199999999997</v>
      </c>
      <c r="F25" s="110">
        <f t="shared" si="0"/>
        <v>0</v>
      </c>
      <c r="I25" s="82"/>
      <c r="J25" s="28">
        <f>24662.5+10926.5+3546+3954</f>
        <v>43089</v>
      </c>
      <c r="K25" s="107" t="s">
        <v>701</v>
      </c>
      <c r="L25" s="108">
        <v>43089.2</v>
      </c>
      <c r="M25" s="318"/>
      <c r="N25" s="131" t="s">
        <v>57</v>
      </c>
      <c r="O25" s="319">
        <v>8281.5</v>
      </c>
      <c r="P25" s="320">
        <v>42558</v>
      </c>
      <c r="Q25" s="319"/>
      <c r="T25" s="47"/>
      <c r="U25" s="40"/>
      <c r="V25" s="40"/>
      <c r="W25" s="40"/>
      <c r="X25" s="40"/>
      <c r="Y25" s="40"/>
      <c r="Z25" s="40"/>
      <c r="AA25" s="40"/>
    </row>
    <row r="26" spans="1:27" ht="15.75" x14ac:dyDescent="0.25">
      <c r="A26" s="106">
        <v>42564</v>
      </c>
      <c r="B26" s="107" t="s">
        <v>763</v>
      </c>
      <c r="C26" s="108">
        <v>37623.599999999999</v>
      </c>
      <c r="D26" s="104">
        <v>42573</v>
      </c>
      <c r="E26" s="108">
        <v>37623.599999999999</v>
      </c>
      <c r="F26" s="110">
        <f t="shared" si="0"/>
        <v>0</v>
      </c>
      <c r="I26" s="34"/>
      <c r="J26" s="28">
        <f>42798</f>
        <v>42798</v>
      </c>
      <c r="K26" s="107" t="s">
        <v>703</v>
      </c>
      <c r="L26" s="108">
        <v>42798</v>
      </c>
      <c r="M26" s="318"/>
      <c r="N26" s="131" t="s">
        <v>57</v>
      </c>
      <c r="O26" s="319">
        <v>19730</v>
      </c>
      <c r="P26" s="320">
        <v>42557</v>
      </c>
      <c r="Q26" s="319"/>
      <c r="T26" s="47"/>
      <c r="U26" s="40"/>
      <c r="V26" s="40"/>
      <c r="W26" s="40"/>
      <c r="X26" s="40"/>
      <c r="Y26" s="40"/>
      <c r="Z26" s="40"/>
      <c r="AA26" s="40"/>
    </row>
    <row r="27" spans="1:27" ht="15.75" x14ac:dyDescent="0.25">
      <c r="A27" s="106">
        <v>42565</v>
      </c>
      <c r="B27" s="107" t="s">
        <v>762</v>
      </c>
      <c r="C27" s="108">
        <v>124463.8</v>
      </c>
      <c r="D27" s="104">
        <v>42573</v>
      </c>
      <c r="E27" s="108">
        <v>124463.8</v>
      </c>
      <c r="F27" s="110">
        <f t="shared" si="0"/>
        <v>0</v>
      </c>
      <c r="J27" s="28">
        <f>25875.5+7345.5+13560.5+4527</f>
        <v>51308.5</v>
      </c>
      <c r="K27" s="107" t="s">
        <v>704</v>
      </c>
      <c r="L27" s="108">
        <v>51308.7</v>
      </c>
      <c r="M27" s="318"/>
      <c r="N27" s="131" t="s">
        <v>57</v>
      </c>
      <c r="O27" s="319">
        <v>35207</v>
      </c>
      <c r="P27" s="320">
        <v>42557</v>
      </c>
      <c r="Q27" s="319"/>
      <c r="U27" s="40"/>
      <c r="V27" s="40"/>
      <c r="W27" s="40"/>
      <c r="X27" s="40"/>
      <c r="Y27" s="40"/>
      <c r="Z27" s="40"/>
      <c r="AA27" s="40"/>
    </row>
    <row r="28" spans="1:27" ht="15.75" x14ac:dyDescent="0.25">
      <c r="A28" s="106">
        <v>42566</v>
      </c>
      <c r="B28" s="107" t="s">
        <v>764</v>
      </c>
      <c r="C28" s="108">
        <v>2465.1</v>
      </c>
      <c r="D28" s="104">
        <v>42573</v>
      </c>
      <c r="E28" s="108">
        <v>2465.1</v>
      </c>
      <c r="F28" s="110">
        <f t="shared" si="0"/>
        <v>0</v>
      </c>
      <c r="J28" s="28">
        <f>40567+27450</f>
        <v>68017</v>
      </c>
      <c r="K28" s="107" t="s">
        <v>749</v>
      </c>
      <c r="L28" s="108">
        <v>68017</v>
      </c>
      <c r="M28" s="318" t="s">
        <v>110</v>
      </c>
      <c r="N28" s="131" t="s">
        <v>65</v>
      </c>
      <c r="O28" s="319">
        <v>1781</v>
      </c>
      <c r="P28" s="320">
        <v>42541</v>
      </c>
      <c r="Q28" s="319"/>
      <c r="U28" s="40"/>
      <c r="V28" s="40"/>
      <c r="W28" s="40"/>
      <c r="X28" s="40"/>
      <c r="Y28" s="40"/>
      <c r="Z28" s="40"/>
      <c r="AA28" s="40"/>
    </row>
    <row r="29" spans="1:27" ht="15.75" x14ac:dyDescent="0.25">
      <c r="A29" s="106">
        <v>42566</v>
      </c>
      <c r="B29" s="107" t="s">
        <v>776</v>
      </c>
      <c r="C29" s="108">
        <v>132919</v>
      </c>
      <c r="D29" s="104">
        <v>42573</v>
      </c>
      <c r="E29" s="108">
        <v>132919</v>
      </c>
      <c r="F29" s="110">
        <f t="shared" si="0"/>
        <v>0</v>
      </c>
      <c r="J29" s="28">
        <f>11384</f>
        <v>11384</v>
      </c>
      <c r="K29" s="107" t="s">
        <v>750</v>
      </c>
      <c r="L29" s="108">
        <v>11382.57</v>
      </c>
      <c r="M29" s="318" t="s">
        <v>110</v>
      </c>
      <c r="N29" s="131" t="s">
        <v>65</v>
      </c>
      <c r="O29" s="319">
        <v>1540</v>
      </c>
      <c r="P29" s="320">
        <v>42545</v>
      </c>
      <c r="Q29" s="319"/>
      <c r="U29" s="33"/>
      <c r="V29" s="88"/>
      <c r="W29" s="51"/>
      <c r="X29" s="326"/>
      <c r="Y29" s="148"/>
      <c r="Z29" s="33"/>
      <c r="AA29" s="104"/>
    </row>
    <row r="30" spans="1:27" ht="15.75" x14ac:dyDescent="0.25">
      <c r="A30" s="106">
        <v>42567</v>
      </c>
      <c r="B30" s="107" t="s">
        <v>777</v>
      </c>
      <c r="C30" s="108">
        <v>1589.52</v>
      </c>
      <c r="D30" s="104">
        <v>42573</v>
      </c>
      <c r="E30" s="108">
        <v>1589.52</v>
      </c>
      <c r="F30" s="110">
        <f t="shared" si="0"/>
        <v>0</v>
      </c>
      <c r="J30" s="28"/>
      <c r="K30" s="107"/>
      <c r="L30" s="108"/>
      <c r="M30" s="318"/>
      <c r="N30" s="131" t="s">
        <v>65</v>
      </c>
      <c r="O30" s="319">
        <v>4198.5</v>
      </c>
      <c r="P30" s="320">
        <v>42535</v>
      </c>
      <c r="Q30" s="319"/>
      <c r="U30" s="33"/>
      <c r="V30" s="88"/>
      <c r="W30" s="51"/>
      <c r="X30" s="369"/>
      <c r="Y30" s="148"/>
      <c r="Z30" s="33"/>
      <c r="AA30" s="104"/>
    </row>
    <row r="31" spans="1:27" ht="15.75" x14ac:dyDescent="0.25">
      <c r="A31" s="106">
        <v>42567</v>
      </c>
      <c r="B31" s="107" t="s">
        <v>765</v>
      </c>
      <c r="C31" s="108">
        <v>160174</v>
      </c>
      <c r="D31" s="104" t="s">
        <v>809</v>
      </c>
      <c r="E31" s="108">
        <f>115786.77+44387.23</f>
        <v>160174</v>
      </c>
      <c r="F31" s="110">
        <f t="shared" si="0"/>
        <v>0</v>
      </c>
      <c r="J31" s="28"/>
      <c r="K31" s="107"/>
      <c r="L31" s="108"/>
      <c r="M31" s="318"/>
      <c r="N31" s="131" t="s">
        <v>57</v>
      </c>
      <c r="O31" s="319">
        <v>12400</v>
      </c>
      <c r="P31" s="320">
        <v>42558</v>
      </c>
      <c r="Q31" s="319"/>
      <c r="U31" s="33"/>
      <c r="V31" s="88"/>
      <c r="W31" s="51"/>
      <c r="X31" s="326"/>
      <c r="Y31" s="148"/>
      <c r="Z31" s="323"/>
      <c r="AA31" s="104"/>
    </row>
    <row r="32" spans="1:27" ht="15.75" x14ac:dyDescent="0.25">
      <c r="A32" s="106">
        <v>42569</v>
      </c>
      <c r="B32" s="107" t="s">
        <v>786</v>
      </c>
      <c r="C32" s="108">
        <v>44662.64</v>
      </c>
      <c r="D32" s="104">
        <v>42578</v>
      </c>
      <c r="E32" s="108">
        <v>44662.64</v>
      </c>
      <c r="F32" s="110">
        <f t="shared" si="0"/>
        <v>0</v>
      </c>
      <c r="J32" s="28"/>
      <c r="K32" s="107"/>
      <c r="L32" s="108"/>
      <c r="M32" s="318"/>
      <c r="N32" s="131" t="s">
        <v>57</v>
      </c>
      <c r="O32" s="319">
        <v>7498.5</v>
      </c>
      <c r="P32" s="320">
        <v>42559</v>
      </c>
      <c r="Q32" s="319"/>
      <c r="U32" s="33"/>
      <c r="V32" s="88"/>
      <c r="W32" s="51"/>
      <c r="X32" s="326"/>
      <c r="Y32" s="148"/>
      <c r="Z32" s="33"/>
      <c r="AA32" s="104"/>
    </row>
    <row r="33" spans="1:27" ht="15.75" x14ac:dyDescent="0.25">
      <c r="A33" s="106">
        <v>42570</v>
      </c>
      <c r="B33" s="107" t="s">
        <v>787</v>
      </c>
      <c r="C33" s="108">
        <v>41446.44</v>
      </c>
      <c r="D33" s="104">
        <v>42578</v>
      </c>
      <c r="E33" s="108">
        <v>41446.44</v>
      </c>
      <c r="F33" s="110">
        <f t="shared" si="0"/>
        <v>0</v>
      </c>
      <c r="J33" s="28"/>
      <c r="K33" s="107"/>
      <c r="L33" s="108"/>
      <c r="M33" s="318"/>
      <c r="N33" s="131" t="s">
        <v>57</v>
      </c>
      <c r="O33" s="319">
        <v>55218.5</v>
      </c>
      <c r="P33" s="320">
        <v>42558</v>
      </c>
      <c r="Q33" s="319"/>
      <c r="U33" s="33"/>
      <c r="V33" s="88"/>
      <c r="W33" s="51"/>
      <c r="X33" s="326"/>
      <c r="Y33" s="148"/>
      <c r="Z33" s="33"/>
      <c r="AA33" s="104"/>
    </row>
    <row r="34" spans="1:27" ht="15.75" x14ac:dyDescent="0.25">
      <c r="A34" s="106">
        <v>42571</v>
      </c>
      <c r="B34" s="107" t="s">
        <v>788</v>
      </c>
      <c r="C34" s="108">
        <v>80813.8</v>
      </c>
      <c r="D34" s="104">
        <v>42578</v>
      </c>
      <c r="E34" s="108">
        <v>80813.8</v>
      </c>
      <c r="F34" s="110">
        <f t="shared" si="0"/>
        <v>0</v>
      </c>
      <c r="J34" s="28"/>
      <c r="K34" s="107"/>
      <c r="L34" s="108"/>
      <c r="M34" s="318"/>
      <c r="N34" s="131" t="s">
        <v>57</v>
      </c>
      <c r="O34" s="319">
        <v>7825.5</v>
      </c>
      <c r="P34" s="320">
        <v>42560</v>
      </c>
      <c r="Q34" s="319"/>
      <c r="U34" s="33"/>
      <c r="V34" s="88"/>
      <c r="W34" s="51"/>
      <c r="X34" s="326"/>
      <c r="Y34" s="148"/>
      <c r="Z34" s="33"/>
      <c r="AA34" s="104"/>
    </row>
    <row r="35" spans="1:27" ht="15.75" x14ac:dyDescent="0.25">
      <c r="A35" s="106">
        <v>42572</v>
      </c>
      <c r="B35" s="107" t="s">
        <v>789</v>
      </c>
      <c r="C35" s="108">
        <v>43723.28</v>
      </c>
      <c r="D35" s="104">
        <v>42578</v>
      </c>
      <c r="E35" s="108">
        <v>43723.28</v>
      </c>
      <c r="F35" s="110">
        <f t="shared" si="0"/>
        <v>0</v>
      </c>
      <c r="J35" s="28">
        <v>0</v>
      </c>
      <c r="K35" s="107"/>
      <c r="L35" s="108">
        <v>0</v>
      </c>
      <c r="M35" s="318"/>
      <c r="N35" s="131" t="s">
        <v>57</v>
      </c>
      <c r="O35" s="319">
        <v>78201.5</v>
      </c>
      <c r="P35" s="320">
        <v>42559</v>
      </c>
      <c r="Q35" s="319"/>
    </row>
    <row r="36" spans="1:27" ht="15.75" x14ac:dyDescent="0.25">
      <c r="A36" s="106">
        <v>42572</v>
      </c>
      <c r="B36" s="107" t="s">
        <v>790</v>
      </c>
      <c r="C36" s="108">
        <v>37188.230000000003</v>
      </c>
      <c r="D36" s="104">
        <v>42578</v>
      </c>
      <c r="E36" s="108">
        <v>37188.230000000003</v>
      </c>
      <c r="F36" s="110">
        <f t="shared" si="0"/>
        <v>0</v>
      </c>
      <c r="J36" s="28"/>
      <c r="K36" s="153"/>
      <c r="L36" s="154"/>
      <c r="M36" s="318"/>
      <c r="N36" s="131" t="s">
        <v>57</v>
      </c>
      <c r="O36" s="319">
        <v>31800</v>
      </c>
      <c r="P36" s="320">
        <v>42560</v>
      </c>
      <c r="Q36" s="319"/>
    </row>
    <row r="37" spans="1:27" ht="15.75" x14ac:dyDescent="0.25">
      <c r="A37" s="106">
        <v>42572</v>
      </c>
      <c r="B37" s="107" t="s">
        <v>791</v>
      </c>
      <c r="C37" s="108">
        <v>36369.870000000003</v>
      </c>
      <c r="D37" s="104" t="s">
        <v>837</v>
      </c>
      <c r="E37" s="108">
        <f>7679.24+28690.63</f>
        <v>36369.870000000003</v>
      </c>
      <c r="F37" s="110">
        <f t="shared" si="0"/>
        <v>0</v>
      </c>
      <c r="J37" s="28"/>
      <c r="K37" s="153"/>
      <c r="L37" s="154"/>
      <c r="M37" s="318"/>
      <c r="N37" s="131" t="s">
        <v>57</v>
      </c>
      <c r="O37" s="319">
        <v>64674.5</v>
      </c>
      <c r="P37" s="320">
        <v>42560</v>
      </c>
      <c r="Q37" s="319"/>
    </row>
    <row r="38" spans="1:27" ht="15.75" x14ac:dyDescent="0.25">
      <c r="A38" s="106">
        <v>42573</v>
      </c>
      <c r="B38" s="107" t="s">
        <v>792</v>
      </c>
      <c r="C38" s="108">
        <v>47531.7</v>
      </c>
      <c r="D38" s="104" t="s">
        <v>837</v>
      </c>
      <c r="E38" s="108">
        <f>35242+12289.7</f>
        <v>47531.7</v>
      </c>
      <c r="F38" s="110">
        <f t="shared" si="0"/>
        <v>0</v>
      </c>
      <c r="J38" s="28"/>
      <c r="K38" s="153"/>
      <c r="L38" s="154"/>
      <c r="M38" s="318"/>
      <c r="N38" s="131" t="s">
        <v>57</v>
      </c>
      <c r="O38" s="319">
        <v>10926.5</v>
      </c>
      <c r="P38" s="320">
        <v>42562</v>
      </c>
      <c r="Q38" s="319"/>
    </row>
    <row r="39" spans="1:27" ht="15.75" x14ac:dyDescent="0.25">
      <c r="A39" s="106">
        <v>42573</v>
      </c>
      <c r="B39" s="107" t="s">
        <v>797</v>
      </c>
      <c r="C39" s="108">
        <v>39378.94</v>
      </c>
      <c r="D39" s="104">
        <v>42578</v>
      </c>
      <c r="E39" s="108">
        <v>39378.94</v>
      </c>
      <c r="F39" s="110">
        <f t="shared" si="0"/>
        <v>0</v>
      </c>
      <c r="J39" s="28"/>
      <c r="K39" s="153"/>
      <c r="L39" s="154"/>
      <c r="M39" s="318"/>
      <c r="N39" s="131" t="s">
        <v>57</v>
      </c>
      <c r="O39" s="319">
        <v>76173.5</v>
      </c>
      <c r="P39" s="320">
        <v>42562</v>
      </c>
      <c r="Q39" s="319"/>
    </row>
    <row r="40" spans="1:27" ht="15.75" x14ac:dyDescent="0.25">
      <c r="A40" s="106">
        <v>42573</v>
      </c>
      <c r="B40" s="107" t="s">
        <v>793</v>
      </c>
      <c r="C40" s="108">
        <v>36969.699999999997</v>
      </c>
      <c r="D40" s="104">
        <v>42578</v>
      </c>
      <c r="E40" s="108">
        <v>36969.699999999997</v>
      </c>
      <c r="F40" s="110">
        <f t="shared" si="0"/>
        <v>0</v>
      </c>
      <c r="J40" s="28"/>
      <c r="K40" s="153"/>
      <c r="L40" s="154"/>
      <c r="M40" s="318"/>
      <c r="N40" s="131" t="s">
        <v>57</v>
      </c>
      <c r="O40" s="319">
        <v>7345.5</v>
      </c>
      <c r="P40" s="320">
        <v>42562</v>
      </c>
      <c r="Q40" s="319"/>
    </row>
    <row r="41" spans="1:27" ht="15.75" x14ac:dyDescent="0.25">
      <c r="A41" s="106">
        <v>42574</v>
      </c>
      <c r="B41" s="107" t="s">
        <v>798</v>
      </c>
      <c r="C41" s="108">
        <v>39109.199999999997</v>
      </c>
      <c r="D41" s="104">
        <v>42588</v>
      </c>
      <c r="E41" s="108">
        <v>39109.199999999997</v>
      </c>
      <c r="F41" s="110">
        <f t="shared" si="0"/>
        <v>0</v>
      </c>
      <c r="J41" s="28"/>
      <c r="K41" s="153"/>
      <c r="L41" s="154"/>
      <c r="M41" s="318"/>
      <c r="N41" s="131" t="s">
        <v>57</v>
      </c>
      <c r="O41" s="319">
        <v>58654.5</v>
      </c>
      <c r="P41" s="320">
        <v>42562</v>
      </c>
      <c r="Q41" s="33"/>
    </row>
    <row r="42" spans="1:27" ht="15.75" x14ac:dyDescent="0.25">
      <c r="A42" s="106">
        <v>42574</v>
      </c>
      <c r="B42" s="107" t="s">
        <v>794</v>
      </c>
      <c r="C42" s="108">
        <v>48573.64</v>
      </c>
      <c r="D42" s="104">
        <v>42588</v>
      </c>
      <c r="E42" s="108">
        <v>48573.64</v>
      </c>
      <c r="F42" s="110">
        <f t="shared" si="0"/>
        <v>0</v>
      </c>
      <c r="J42" s="28"/>
      <c r="K42" s="153"/>
      <c r="L42" s="154"/>
      <c r="M42" s="318"/>
      <c r="N42" s="131" t="s">
        <v>57</v>
      </c>
      <c r="O42" s="319">
        <v>27450</v>
      </c>
      <c r="P42" s="320">
        <v>42562</v>
      </c>
      <c r="Q42" s="33"/>
    </row>
    <row r="43" spans="1:27" ht="15.75" x14ac:dyDescent="0.25">
      <c r="A43" s="106">
        <v>42575</v>
      </c>
      <c r="B43" s="107" t="s">
        <v>795</v>
      </c>
      <c r="C43" s="108">
        <v>36244.800000000003</v>
      </c>
      <c r="D43" s="104">
        <v>42588</v>
      </c>
      <c r="E43" s="108">
        <v>36244.800000000003</v>
      </c>
      <c r="F43" s="110">
        <f t="shared" si="0"/>
        <v>0</v>
      </c>
      <c r="J43" s="28"/>
      <c r="K43" s="153"/>
      <c r="L43" s="154"/>
      <c r="M43" s="318"/>
      <c r="N43" s="131" t="s">
        <v>57</v>
      </c>
      <c r="O43" s="319">
        <v>11384</v>
      </c>
      <c r="P43" s="320">
        <v>42563</v>
      </c>
      <c r="Q43" s="33"/>
    </row>
    <row r="44" spans="1:27" ht="15.75" x14ac:dyDescent="0.25">
      <c r="A44" s="106">
        <v>42576</v>
      </c>
      <c r="B44" s="107" t="s">
        <v>796</v>
      </c>
      <c r="C44" s="108">
        <v>39547.9</v>
      </c>
      <c r="D44" s="104">
        <v>42588</v>
      </c>
      <c r="E44" s="108">
        <v>39547.9</v>
      </c>
      <c r="F44" s="110">
        <f t="shared" si="0"/>
        <v>0</v>
      </c>
      <c r="J44" s="28"/>
      <c r="K44" s="153"/>
      <c r="L44" s="154"/>
      <c r="M44" s="318"/>
      <c r="N44" s="347"/>
      <c r="O44" s="319"/>
      <c r="P44" s="320"/>
      <c r="Q44" s="33"/>
    </row>
    <row r="45" spans="1:27" ht="16.5" thickBot="1" x14ac:dyDescent="0.3">
      <c r="A45" s="106">
        <v>42577</v>
      </c>
      <c r="B45" s="107" t="s">
        <v>810</v>
      </c>
      <c r="C45" s="108">
        <v>8047.6</v>
      </c>
      <c r="D45" s="104">
        <v>42588</v>
      </c>
      <c r="E45" s="108">
        <v>8047.6</v>
      </c>
      <c r="F45" s="110">
        <f t="shared" si="0"/>
        <v>0</v>
      </c>
      <c r="J45" s="28">
        <f>SUM(J4:J40)</f>
        <v>1039829</v>
      </c>
      <c r="K45" s="189"/>
      <c r="L45" s="207">
        <v>0</v>
      </c>
      <c r="M45" s="341"/>
      <c r="N45" s="342"/>
      <c r="O45" s="191">
        <v>0</v>
      </c>
      <c r="P45" s="209"/>
    </row>
    <row r="46" spans="1:27" ht="16.5" thickTop="1" x14ac:dyDescent="0.25">
      <c r="A46" s="106">
        <v>42578</v>
      </c>
      <c r="B46" s="107" t="s">
        <v>835</v>
      </c>
      <c r="C46" s="108">
        <v>35712.400000000001</v>
      </c>
      <c r="D46" s="104">
        <v>42588</v>
      </c>
      <c r="E46" s="108">
        <v>35712.400000000001</v>
      </c>
      <c r="F46" s="110">
        <f t="shared" si="0"/>
        <v>0</v>
      </c>
      <c r="J46" s="33"/>
      <c r="K46" s="88"/>
      <c r="L46" s="51">
        <f>SUM(L4:L45)</f>
        <v>1039829.4999999998</v>
      </c>
      <c r="M46" s="326"/>
      <c r="N46" s="148"/>
      <c r="O46" s="33">
        <f>SUM(O4:O45)</f>
        <v>1039829.5</v>
      </c>
      <c r="P46" s="104"/>
    </row>
    <row r="47" spans="1:27" x14ac:dyDescent="0.25">
      <c r="A47" s="195">
        <v>42578</v>
      </c>
      <c r="B47" s="355" t="s">
        <v>836</v>
      </c>
      <c r="C47" s="314">
        <v>33936.400000000001</v>
      </c>
      <c r="D47" s="104">
        <v>42588</v>
      </c>
      <c r="E47" s="314">
        <v>33936.400000000001</v>
      </c>
      <c r="F47" s="356">
        <f t="shared" si="0"/>
        <v>0</v>
      </c>
      <c r="G47"/>
    </row>
    <row r="48" spans="1:27" x14ac:dyDescent="0.25">
      <c r="A48" s="106">
        <v>42578</v>
      </c>
      <c r="B48" s="197" t="s">
        <v>812</v>
      </c>
      <c r="C48" s="140">
        <v>42150.6</v>
      </c>
      <c r="D48" s="104">
        <v>42588</v>
      </c>
      <c r="E48" s="140">
        <v>42150.6</v>
      </c>
      <c r="F48" s="356">
        <f t="shared" si="0"/>
        <v>0</v>
      </c>
      <c r="G48"/>
    </row>
    <row r="49" spans="1:16" x14ac:dyDescent="0.25">
      <c r="A49" s="106">
        <v>42579</v>
      </c>
      <c r="B49" s="357" t="s">
        <v>813</v>
      </c>
      <c r="C49" s="140">
        <v>38745.300000000003</v>
      </c>
      <c r="D49" s="104">
        <v>42588</v>
      </c>
      <c r="E49" s="140">
        <v>38745.300000000003</v>
      </c>
      <c r="F49" s="356">
        <f t="shared" si="0"/>
        <v>0</v>
      </c>
      <c r="G49"/>
    </row>
    <row r="50" spans="1:16" ht="15.75" x14ac:dyDescent="0.25">
      <c r="A50" s="106">
        <v>42579</v>
      </c>
      <c r="B50" s="357" t="s">
        <v>814</v>
      </c>
      <c r="C50" s="359">
        <v>39016.6</v>
      </c>
      <c r="D50" s="104">
        <v>42588</v>
      </c>
      <c r="E50" s="359">
        <v>39016.6</v>
      </c>
      <c r="F50" s="356">
        <f t="shared" si="0"/>
        <v>0</v>
      </c>
      <c r="G50"/>
      <c r="J50" s="5"/>
      <c r="K50" s="104"/>
      <c r="L50" s="338">
        <v>42573</v>
      </c>
      <c r="M50" s="124"/>
      <c r="N50" s="125" t="s">
        <v>56</v>
      </c>
      <c r="O50" s="33"/>
    </row>
    <row r="51" spans="1:16" ht="15.75" thickBot="1" x14ac:dyDescent="0.3">
      <c r="A51" s="106">
        <v>42580</v>
      </c>
      <c r="B51" s="358" t="s">
        <v>815</v>
      </c>
      <c r="C51" s="359">
        <v>44682.400000000001</v>
      </c>
      <c r="D51" s="104">
        <v>42588</v>
      </c>
      <c r="E51" s="359">
        <v>44682.400000000001</v>
      </c>
      <c r="F51" s="356">
        <f t="shared" si="0"/>
        <v>0</v>
      </c>
      <c r="G51"/>
      <c r="J51" s="96"/>
      <c r="K51" s="337"/>
      <c r="L51" s="127"/>
      <c r="M51" s="127"/>
      <c r="N51" s="127"/>
      <c r="O51" s="128"/>
      <c r="P51" s="129"/>
    </row>
    <row r="52" spans="1:16" ht="16.5" thickTop="1" x14ac:dyDescent="0.25">
      <c r="A52" s="106">
        <v>42580</v>
      </c>
      <c r="B52" s="357" t="s">
        <v>822</v>
      </c>
      <c r="C52" s="359">
        <v>72965.399999999994</v>
      </c>
      <c r="D52" s="104" t="s">
        <v>849</v>
      </c>
      <c r="E52" s="374">
        <f>36306.8+36658.6</f>
        <v>72965.399999999994</v>
      </c>
      <c r="F52" s="356">
        <f t="shared" si="0"/>
        <v>0</v>
      </c>
      <c r="G52"/>
      <c r="J52" s="96">
        <v>10040</v>
      </c>
      <c r="K52" s="107" t="s">
        <v>749</v>
      </c>
      <c r="L52" s="108">
        <v>10040</v>
      </c>
      <c r="M52" s="259" t="s">
        <v>63</v>
      </c>
      <c r="N52" s="131" t="s">
        <v>57</v>
      </c>
      <c r="O52" s="132">
        <v>8625</v>
      </c>
      <c r="P52" s="133">
        <v>42564</v>
      </c>
    </row>
    <row r="53" spans="1:16" ht="15.75" x14ac:dyDescent="0.25">
      <c r="A53" s="195">
        <v>42580</v>
      </c>
      <c r="B53" s="366" t="s">
        <v>823</v>
      </c>
      <c r="C53" s="367">
        <v>41522.5</v>
      </c>
      <c r="D53" s="104" t="s">
        <v>849</v>
      </c>
      <c r="E53" s="375">
        <f>9296.5+32226</f>
        <v>41522.5</v>
      </c>
      <c r="F53" s="356">
        <f t="shared" si="0"/>
        <v>0</v>
      </c>
      <c r="G53"/>
      <c r="J53" s="28">
        <f>15576+8625+14861.5</f>
        <v>39062.5</v>
      </c>
      <c r="K53" s="107" t="s">
        <v>750</v>
      </c>
      <c r="L53" s="108">
        <v>39063.75</v>
      </c>
      <c r="M53" s="259" t="s">
        <v>63</v>
      </c>
      <c r="N53" s="131" t="s">
        <v>57</v>
      </c>
      <c r="O53" s="132">
        <v>25616</v>
      </c>
      <c r="P53" s="133">
        <v>42563</v>
      </c>
    </row>
    <row r="54" spans="1:16" ht="15.75" x14ac:dyDescent="0.25">
      <c r="A54" s="248">
        <v>42581</v>
      </c>
      <c r="B54" s="250" t="s">
        <v>824</v>
      </c>
      <c r="C54" s="367">
        <v>44270.400000000001</v>
      </c>
      <c r="D54" s="104">
        <v>42588</v>
      </c>
      <c r="E54" s="375">
        <v>44270.400000000001</v>
      </c>
      <c r="F54" s="356">
        <f t="shared" si="0"/>
        <v>0</v>
      </c>
      <c r="G54"/>
      <c r="J54" s="96">
        <f>27513.5+9425.5+8581</f>
        <v>45520</v>
      </c>
      <c r="K54" s="107" t="s">
        <v>751</v>
      </c>
      <c r="L54" s="108">
        <v>45519.86</v>
      </c>
      <c r="M54" s="130"/>
      <c r="N54" s="131" t="s">
        <v>57</v>
      </c>
      <c r="O54" s="132">
        <v>42375</v>
      </c>
      <c r="P54" s="133">
        <v>42564</v>
      </c>
    </row>
    <row r="55" spans="1:16" ht="15.75" x14ac:dyDescent="0.25">
      <c r="A55" s="248">
        <v>42582</v>
      </c>
      <c r="B55" s="250" t="s">
        <v>825</v>
      </c>
      <c r="C55" s="367">
        <v>44864</v>
      </c>
      <c r="D55" s="104">
        <v>42588</v>
      </c>
      <c r="E55" s="375">
        <v>44864</v>
      </c>
      <c r="F55" s="356">
        <f t="shared" si="0"/>
        <v>0</v>
      </c>
      <c r="G55"/>
      <c r="J55" s="96">
        <f>20511+18087</f>
        <v>38598</v>
      </c>
      <c r="K55" s="107" t="s">
        <v>752</v>
      </c>
      <c r="L55" s="108">
        <v>38598</v>
      </c>
      <c r="M55" s="130"/>
      <c r="N55" s="131" t="s">
        <v>57</v>
      </c>
      <c r="O55" s="132">
        <v>9425.5</v>
      </c>
      <c r="P55" s="133">
        <v>42565</v>
      </c>
    </row>
    <row r="56" spans="1:16" ht="15.75" x14ac:dyDescent="0.25">
      <c r="A56" s="248">
        <v>42582</v>
      </c>
      <c r="B56" s="357" t="s">
        <v>826</v>
      </c>
      <c r="C56" s="367">
        <v>69402.399999999994</v>
      </c>
      <c r="D56" s="104" t="s">
        <v>849</v>
      </c>
      <c r="E56" s="375">
        <f>43513.13+25889.27</f>
        <v>69402.399999999994</v>
      </c>
      <c r="F56" s="356">
        <f t="shared" si="0"/>
        <v>0</v>
      </c>
      <c r="G56"/>
      <c r="J56" s="96">
        <f>24745.5+8022+3415+7906.5</f>
        <v>44089</v>
      </c>
      <c r="K56" s="107" t="s">
        <v>753</v>
      </c>
      <c r="L56" s="108">
        <v>44088.800000000003</v>
      </c>
      <c r="M56" s="194"/>
      <c r="N56" s="131" t="s">
        <v>57</v>
      </c>
      <c r="O56" s="132">
        <v>71924.5</v>
      </c>
      <c r="P56" s="133">
        <v>42565</v>
      </c>
    </row>
    <row r="57" spans="1:16" ht="16.5" thickBot="1" x14ac:dyDescent="0.3">
      <c r="A57" s="249"/>
      <c r="B57" s="249"/>
      <c r="C57" s="199">
        <v>0</v>
      </c>
      <c r="D57" s="199"/>
      <c r="E57" s="198"/>
      <c r="F57" s="361">
        <f>C57-E57</f>
        <v>0</v>
      </c>
      <c r="J57" s="96">
        <v>38745.5</v>
      </c>
      <c r="K57" s="107" t="s">
        <v>754</v>
      </c>
      <c r="L57" s="108">
        <v>38745.599999999999</v>
      </c>
      <c r="M57" s="194"/>
      <c r="N57" s="131" t="s">
        <v>57</v>
      </c>
      <c r="O57" s="132">
        <v>8022</v>
      </c>
      <c r="P57" s="133">
        <v>42566</v>
      </c>
    </row>
    <row r="58" spans="1:16" ht="16.5" thickTop="1" x14ac:dyDescent="0.25">
      <c r="A58"/>
      <c r="B58"/>
      <c r="C58" s="146">
        <f>SUM(C5:C57)</f>
        <v>2500801.919999999</v>
      </c>
      <c r="D58" s="4"/>
      <c r="E58" s="360">
        <f>SUM(E5:E57)</f>
        <v>2500801.919999999</v>
      </c>
      <c r="F58" s="360">
        <f>SUM(F5:F57)</f>
        <v>0</v>
      </c>
      <c r="J58" s="96">
        <f>1411+22350+8032.5+4078.5</f>
        <v>35872</v>
      </c>
      <c r="K58" s="107" t="s">
        <v>755</v>
      </c>
      <c r="L58" s="108">
        <v>35872.199999999997</v>
      </c>
      <c r="M58" s="298"/>
      <c r="N58" s="131" t="s">
        <v>57</v>
      </c>
      <c r="O58" s="132">
        <v>22350</v>
      </c>
      <c r="P58" s="133">
        <v>42566</v>
      </c>
    </row>
    <row r="59" spans="1:16" ht="15.75" x14ac:dyDescent="0.25">
      <c r="A59"/>
      <c r="B59"/>
      <c r="C59" s="82"/>
      <c r="D59"/>
      <c r="E59" s="23"/>
      <c r="F59" s="23"/>
      <c r="J59" s="96">
        <f>13664+23959.5</f>
        <v>37623.5</v>
      </c>
      <c r="K59" s="107" t="s">
        <v>763</v>
      </c>
      <c r="L59" s="108">
        <v>37623.599999999999</v>
      </c>
      <c r="M59" s="134"/>
      <c r="N59" s="131" t="s">
        <v>57</v>
      </c>
      <c r="O59" s="135">
        <v>51478</v>
      </c>
      <c r="P59" s="136">
        <v>42566</v>
      </c>
    </row>
    <row r="60" spans="1:16" ht="15.75" x14ac:dyDescent="0.25">
      <c r="A60"/>
      <c r="B60"/>
      <c r="C60"/>
      <c r="D60"/>
      <c r="E60" s="23"/>
      <c r="F60" s="23"/>
      <c r="J60" s="28">
        <f>67365.5+7740.5+25007.5+24350.5</f>
        <v>124464</v>
      </c>
      <c r="K60" s="107" t="s">
        <v>762</v>
      </c>
      <c r="L60" s="108">
        <v>124463.8</v>
      </c>
      <c r="M60" s="194"/>
      <c r="N60" s="131" t="s">
        <v>57</v>
      </c>
      <c r="O60" s="114">
        <v>8032.5</v>
      </c>
      <c r="P60" s="136">
        <v>42567</v>
      </c>
    </row>
    <row r="61" spans="1:16" ht="15.75" x14ac:dyDescent="0.25">
      <c r="J61" s="28">
        <v>2465</v>
      </c>
      <c r="K61" s="107" t="s">
        <v>764</v>
      </c>
      <c r="L61" s="108">
        <v>2465.1</v>
      </c>
      <c r="M61" s="318"/>
      <c r="N61" s="131" t="s">
        <v>57</v>
      </c>
      <c r="O61" s="132">
        <v>109067.5</v>
      </c>
      <c r="P61" s="133">
        <v>42567</v>
      </c>
    </row>
    <row r="62" spans="1:16" ht="15.75" x14ac:dyDescent="0.25">
      <c r="A62"/>
      <c r="B62"/>
      <c r="C62"/>
      <c r="D62"/>
      <c r="E62" s="23"/>
      <c r="F62" s="23"/>
      <c r="J62" s="28">
        <f>73251.5+7819.5+47580+4268</f>
        <v>132919</v>
      </c>
      <c r="K62" s="107" t="s">
        <v>776</v>
      </c>
      <c r="L62" s="108">
        <v>132919</v>
      </c>
      <c r="M62" s="318"/>
      <c r="N62" s="131" t="s">
        <v>57</v>
      </c>
      <c r="O62" s="135">
        <v>7740.5</v>
      </c>
      <c r="P62" s="136">
        <v>42569</v>
      </c>
    </row>
    <row r="63" spans="1:16" ht="15.75" x14ac:dyDescent="0.25">
      <c r="J63" s="28">
        <f>1589.5</f>
        <v>1589.5</v>
      </c>
      <c r="K63" s="107" t="s">
        <v>777</v>
      </c>
      <c r="L63" s="108">
        <v>1589.52</v>
      </c>
      <c r="M63" s="318"/>
      <c r="N63" s="131" t="s">
        <v>57</v>
      </c>
      <c r="O63" s="114">
        <v>122609.5</v>
      </c>
      <c r="P63" s="136">
        <v>42569</v>
      </c>
    </row>
    <row r="64" spans="1:16" ht="15.75" x14ac:dyDescent="0.25">
      <c r="J64" s="28">
        <f>12587.5+8101.5+31298.5+5450+7140+34054.5+9445.5+7710</f>
        <v>115787.5</v>
      </c>
      <c r="K64" s="107" t="s">
        <v>765</v>
      </c>
      <c r="L64" s="108">
        <v>115786.77</v>
      </c>
      <c r="M64" s="318" t="s">
        <v>172</v>
      </c>
      <c r="N64" s="131" t="s">
        <v>57</v>
      </c>
      <c r="O64" s="319">
        <v>7820</v>
      </c>
      <c r="P64" s="320">
        <v>42569</v>
      </c>
    </row>
    <row r="65" spans="1:16" ht="15.75" x14ac:dyDescent="0.25">
      <c r="A65"/>
      <c r="B65"/>
      <c r="C65"/>
      <c r="D65"/>
      <c r="E65" s="23"/>
      <c r="F65" s="23"/>
      <c r="J65" s="28"/>
      <c r="K65" s="107"/>
      <c r="L65" s="108"/>
      <c r="M65" s="318"/>
      <c r="N65" s="131" t="s">
        <v>57</v>
      </c>
      <c r="O65" s="319">
        <v>47580</v>
      </c>
      <c r="P65" s="320">
        <v>42569</v>
      </c>
    </row>
    <row r="66" spans="1:16" ht="15.75" x14ac:dyDescent="0.25">
      <c r="A66"/>
      <c r="B66"/>
      <c r="C66"/>
      <c r="D66"/>
      <c r="E66" s="23"/>
      <c r="F66" s="23"/>
      <c r="J66" s="28"/>
      <c r="K66" s="107"/>
      <c r="L66" s="108"/>
      <c r="M66" s="318"/>
      <c r="N66" s="131" t="s">
        <v>57</v>
      </c>
      <c r="O66" s="319">
        <v>20910</v>
      </c>
      <c r="P66" s="320">
        <v>42570</v>
      </c>
    </row>
    <row r="67" spans="1:16" ht="15.75" x14ac:dyDescent="0.25">
      <c r="A67"/>
      <c r="B67"/>
      <c r="C67"/>
      <c r="D67"/>
      <c r="E67" s="23"/>
      <c r="F67" s="23"/>
      <c r="J67" s="28"/>
      <c r="K67" s="107"/>
      <c r="L67" s="108"/>
      <c r="M67" s="318"/>
      <c r="N67" s="131" t="s">
        <v>57</v>
      </c>
      <c r="O67" s="319">
        <v>8101.5</v>
      </c>
      <c r="P67" s="320">
        <v>42570</v>
      </c>
    </row>
    <row r="68" spans="1:16" ht="15.75" x14ac:dyDescent="0.25">
      <c r="A68"/>
      <c r="B68"/>
      <c r="C68"/>
      <c r="D68"/>
      <c r="E68" s="23"/>
      <c r="F68" s="23"/>
      <c r="J68" s="28"/>
      <c r="K68" s="107"/>
      <c r="L68" s="108"/>
      <c r="M68" s="318"/>
      <c r="N68" s="131" t="s">
        <v>57</v>
      </c>
      <c r="O68" s="319">
        <v>31298.5</v>
      </c>
      <c r="P68" s="320">
        <v>42570</v>
      </c>
    </row>
    <row r="69" spans="1:16" ht="15.75" x14ac:dyDescent="0.25">
      <c r="A69"/>
      <c r="B69"/>
      <c r="C69"/>
      <c r="D69"/>
      <c r="E69" s="23"/>
      <c r="F69" s="23"/>
      <c r="J69" s="28"/>
      <c r="K69" s="107"/>
      <c r="L69" s="108"/>
      <c r="M69" s="318"/>
      <c r="N69" s="131" t="s">
        <v>57</v>
      </c>
      <c r="O69" s="319">
        <v>7140</v>
      </c>
      <c r="P69" s="320">
        <v>42572</v>
      </c>
    </row>
    <row r="70" spans="1:16" ht="15.75" x14ac:dyDescent="0.25">
      <c r="A70"/>
      <c r="B70"/>
      <c r="C70"/>
      <c r="D70"/>
      <c r="E70" s="23"/>
      <c r="F70" s="23"/>
      <c r="J70" s="28"/>
      <c r="K70" s="107"/>
      <c r="L70" s="108"/>
      <c r="M70" s="318"/>
      <c r="N70" s="131" t="s">
        <v>57</v>
      </c>
      <c r="O70" s="319">
        <v>5450</v>
      </c>
      <c r="P70" s="320">
        <v>42572</v>
      </c>
    </row>
    <row r="71" spans="1:16" ht="15.75" x14ac:dyDescent="0.25">
      <c r="A71"/>
      <c r="B71"/>
      <c r="C71"/>
      <c r="D71"/>
      <c r="E71" s="23"/>
      <c r="F71" s="23"/>
      <c r="J71" s="28"/>
      <c r="K71" s="107"/>
      <c r="L71" s="108"/>
      <c r="M71" s="318"/>
      <c r="N71" s="131" t="s">
        <v>57</v>
      </c>
      <c r="O71" s="319">
        <v>43500</v>
      </c>
      <c r="P71" s="320">
        <v>42572</v>
      </c>
    </row>
    <row r="72" spans="1:16" ht="15.75" x14ac:dyDescent="0.25">
      <c r="A72"/>
      <c r="B72"/>
      <c r="C72"/>
      <c r="D72"/>
      <c r="E72" s="23"/>
      <c r="F72" s="23"/>
      <c r="J72" s="28"/>
      <c r="K72" s="107"/>
      <c r="L72" s="108"/>
      <c r="M72" s="318"/>
      <c r="N72" s="131" t="s">
        <v>57</v>
      </c>
      <c r="O72" s="319">
        <v>7710</v>
      </c>
      <c r="P72" s="320">
        <v>42572</v>
      </c>
    </row>
    <row r="73" spans="1:16" ht="16.5" thickBot="1" x14ac:dyDescent="0.3">
      <c r="J73" s="28">
        <f>SUM(J52:J72)</f>
        <v>666775.5</v>
      </c>
      <c r="K73" s="189"/>
      <c r="L73" s="207">
        <v>0</v>
      </c>
      <c r="M73" s="341"/>
      <c r="N73" s="342"/>
      <c r="O73" s="191">
        <v>0</v>
      </c>
      <c r="P73" s="209"/>
    </row>
    <row r="74" spans="1:16" ht="16.5" thickTop="1" x14ac:dyDescent="0.25">
      <c r="J74" s="33"/>
      <c r="K74" s="88"/>
      <c r="L74" s="51">
        <f>SUM(L52:L73)</f>
        <v>666776</v>
      </c>
      <c r="M74" s="326"/>
      <c r="N74" s="148"/>
      <c r="O74" s="33">
        <f>SUM(O52:O73)</f>
        <v>666776</v>
      </c>
      <c r="P74" s="104"/>
    </row>
  </sheetData>
  <sortState ref="A37:C44">
    <sortCondition ref="B37:B44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scale="9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K68"/>
  <sheetViews>
    <sheetView topLeftCell="A19" workbookViewId="0">
      <selection activeCell="AC9" sqref="AC9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4" width="14.1406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6" max="26" width="11.42578125" customWidth="1"/>
    <col min="27" max="27" width="8.7109375" customWidth="1"/>
    <col min="30" max="30" width="22.5703125" customWidth="1"/>
    <col min="31" max="31" width="14.140625" bestFit="1" customWidth="1"/>
    <col min="33" max="33" width="14.1406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3" max="43" width="11.42578125" customWidth="1"/>
    <col min="44" max="44" width="8.7109375" customWidth="1"/>
    <col min="47" max="47" width="22.5703125" customWidth="1"/>
    <col min="48" max="48" width="14.140625" bestFit="1" customWidth="1"/>
    <col min="50" max="50" width="5.28515625" customWidth="1"/>
    <col min="52" max="52" width="14.140625" bestFit="1" customWidth="1"/>
    <col min="53" max="53" width="11.42578125" style="91"/>
    <col min="55" max="55" width="14.140625" bestFit="1" customWidth="1"/>
    <col min="56" max="56" width="8.140625" customWidth="1"/>
    <col min="58" max="58" width="11.42578125" customWidth="1"/>
    <col min="59" max="59" width="8.7109375" customWidth="1"/>
    <col min="62" max="62" width="22.5703125" customWidth="1"/>
    <col min="63" max="63" width="14.140625" bestFit="1" customWidth="1"/>
  </cols>
  <sheetData>
    <row r="1" spans="1:63" ht="23.25" x14ac:dyDescent="0.35">
      <c r="B1" s="1"/>
      <c r="C1" s="411" t="s">
        <v>827</v>
      </c>
      <c r="D1" s="411"/>
      <c r="E1" s="411"/>
      <c r="F1" s="411"/>
      <c r="G1" s="411"/>
      <c r="H1" s="411"/>
      <c r="I1" s="411"/>
      <c r="J1" s="411"/>
      <c r="K1" s="411"/>
      <c r="M1" s="2" t="s">
        <v>153</v>
      </c>
      <c r="N1" s="3"/>
      <c r="S1" s="1"/>
      <c r="T1" s="411" t="s">
        <v>827</v>
      </c>
      <c r="U1" s="411"/>
      <c r="V1" s="411"/>
      <c r="W1" s="411"/>
      <c r="X1" s="411"/>
      <c r="Y1" s="411"/>
      <c r="Z1" s="411"/>
      <c r="AA1" s="411"/>
      <c r="AB1" s="411"/>
      <c r="AD1" s="2" t="s">
        <v>152</v>
      </c>
      <c r="AE1" s="3"/>
      <c r="AJ1" s="1"/>
      <c r="AK1" s="411" t="s">
        <v>827</v>
      </c>
      <c r="AL1" s="411"/>
      <c r="AM1" s="411"/>
      <c r="AN1" s="411"/>
      <c r="AO1" s="411"/>
      <c r="AP1" s="411"/>
      <c r="AQ1" s="411"/>
      <c r="AR1" s="411"/>
      <c r="AS1" s="411"/>
      <c r="AU1" s="2" t="s">
        <v>92</v>
      </c>
      <c r="AV1" s="3"/>
      <c r="AY1" s="1"/>
      <c r="AZ1" s="411" t="s">
        <v>827</v>
      </c>
      <c r="BA1" s="411"/>
      <c r="BB1" s="411"/>
      <c r="BC1" s="411"/>
      <c r="BD1" s="411"/>
      <c r="BE1" s="411"/>
      <c r="BF1" s="411"/>
      <c r="BG1" s="411"/>
      <c r="BH1" s="411"/>
      <c r="BJ1" s="2" t="s">
        <v>0</v>
      </c>
      <c r="BK1" s="3"/>
    </row>
    <row r="2" spans="1:63" ht="15.75" thickBot="1" x14ac:dyDescent="0.3">
      <c r="B2" s="1"/>
      <c r="C2" s="5"/>
      <c r="E2" s="401"/>
      <c r="F2" s="7"/>
      <c r="I2" s="5"/>
      <c r="J2" s="5"/>
      <c r="M2" s="8"/>
      <c r="N2" s="3"/>
      <c r="S2" s="1"/>
      <c r="T2" s="5"/>
      <c r="V2" s="387"/>
      <c r="W2" s="7"/>
      <c r="Z2" s="5"/>
      <c r="AA2" s="5"/>
      <c r="AD2" s="8"/>
      <c r="AE2" s="3"/>
      <c r="AJ2" s="1"/>
      <c r="AK2" s="5"/>
      <c r="AM2" s="378"/>
      <c r="AN2" s="7"/>
      <c r="AQ2" s="5"/>
      <c r="AR2" s="5"/>
      <c r="AU2" s="8"/>
      <c r="AV2" s="3"/>
      <c r="AY2" s="1"/>
      <c r="AZ2" s="5"/>
      <c r="BB2" s="363"/>
      <c r="BC2" s="7"/>
      <c r="BF2" s="5"/>
      <c r="BG2" s="5"/>
      <c r="BJ2" s="8"/>
      <c r="BK2" s="3"/>
    </row>
    <row r="3" spans="1:63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S3" s="1"/>
      <c r="T3" s="9" t="s">
        <v>281</v>
      </c>
      <c r="U3" s="215"/>
      <c r="W3" s="5"/>
      <c r="Z3" s="5"/>
      <c r="AA3" s="5"/>
      <c r="AD3" s="8"/>
      <c r="AE3" s="3"/>
      <c r="AJ3" s="1"/>
      <c r="AK3" s="9" t="s">
        <v>281</v>
      </c>
      <c r="AL3" s="215"/>
      <c r="AN3" s="5"/>
      <c r="AQ3" s="5"/>
      <c r="AR3" s="5"/>
      <c r="AU3" s="8"/>
      <c r="AV3" s="3"/>
      <c r="AY3" s="1"/>
      <c r="AZ3" s="9" t="s">
        <v>281</v>
      </c>
      <c r="BA3" s="215"/>
      <c r="BC3" s="5"/>
      <c r="BF3" s="5"/>
      <c r="BG3" s="5"/>
      <c r="BJ3" s="8"/>
      <c r="BK3" s="3"/>
    </row>
    <row r="4" spans="1:63" ht="20.25" thickTop="1" thickBot="1" x14ac:dyDescent="0.35">
      <c r="A4" s="11" t="s">
        <v>2</v>
      </c>
      <c r="B4" s="12"/>
      <c r="C4" s="13">
        <v>167025.24</v>
      </c>
      <c r="D4" s="217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R4" s="11" t="s">
        <v>2</v>
      </c>
      <c r="S4" s="12"/>
      <c r="T4" s="13">
        <v>167025.24</v>
      </c>
      <c r="U4" s="217"/>
      <c r="V4" s="412" t="s">
        <v>3</v>
      </c>
      <c r="W4" s="413"/>
      <c r="Z4" s="414" t="s">
        <v>4</v>
      </c>
      <c r="AA4" s="415"/>
      <c r="AB4" s="415"/>
      <c r="AC4" s="415"/>
      <c r="AD4" s="15" t="s">
        <v>5</v>
      </c>
      <c r="AE4" s="16" t="s">
        <v>6</v>
      </c>
      <c r="AI4" s="11" t="s">
        <v>2</v>
      </c>
      <c r="AJ4" s="12"/>
      <c r="AK4" s="13">
        <v>167025.24</v>
      </c>
      <c r="AL4" s="217"/>
      <c r="AM4" s="412" t="s">
        <v>3</v>
      </c>
      <c r="AN4" s="413"/>
      <c r="AQ4" s="414" t="s">
        <v>4</v>
      </c>
      <c r="AR4" s="415"/>
      <c r="AS4" s="415"/>
      <c r="AT4" s="415"/>
      <c r="AU4" s="15" t="s">
        <v>5</v>
      </c>
      <c r="AV4" s="16" t="s">
        <v>6</v>
      </c>
      <c r="AX4" s="11" t="s">
        <v>2</v>
      </c>
      <c r="AY4" s="12"/>
      <c r="AZ4" s="13">
        <v>167025.24</v>
      </c>
      <c r="BA4" s="217"/>
      <c r="BB4" s="412" t="s">
        <v>3</v>
      </c>
      <c r="BC4" s="413"/>
      <c r="BF4" s="414" t="s">
        <v>4</v>
      </c>
      <c r="BG4" s="415"/>
      <c r="BH4" s="415"/>
      <c r="BI4" s="415"/>
      <c r="BJ4" s="15" t="s">
        <v>5</v>
      </c>
      <c r="BK4" s="16" t="s">
        <v>6</v>
      </c>
    </row>
    <row r="5" spans="1:63" ht="16.5" thickTop="1" thickBot="1" x14ac:dyDescent="0.3">
      <c r="A5" s="18"/>
      <c r="B5" s="19">
        <v>42583</v>
      </c>
      <c r="C5" s="161">
        <v>0</v>
      </c>
      <c r="D5" s="218" t="s">
        <v>858</v>
      </c>
      <c r="E5" s="21">
        <v>42583</v>
      </c>
      <c r="F5" s="164">
        <v>0</v>
      </c>
      <c r="G5" s="23"/>
      <c r="H5" s="178"/>
      <c r="I5" s="167">
        <v>0</v>
      </c>
      <c r="J5" s="24"/>
      <c r="K5" s="25"/>
      <c r="L5" s="25"/>
      <c r="M5" s="385"/>
      <c r="N5" s="27">
        <v>0</v>
      </c>
      <c r="R5" s="18"/>
      <c r="S5" s="19">
        <v>42583</v>
      </c>
      <c r="T5" s="161">
        <v>0</v>
      </c>
      <c r="U5" s="218" t="s">
        <v>858</v>
      </c>
      <c r="V5" s="21">
        <v>42583</v>
      </c>
      <c r="W5" s="164">
        <v>0</v>
      </c>
      <c r="X5" s="23"/>
      <c r="Y5" s="178"/>
      <c r="Z5" s="167">
        <v>0</v>
      </c>
      <c r="AA5" s="24"/>
      <c r="AB5" s="25"/>
      <c r="AC5" s="25"/>
      <c r="AD5" s="385"/>
      <c r="AE5" s="27">
        <v>0</v>
      </c>
      <c r="AG5" s="51"/>
      <c r="AI5" s="18"/>
      <c r="AJ5" s="19">
        <v>42583</v>
      </c>
      <c r="AK5" s="161">
        <v>0</v>
      </c>
      <c r="AL5" s="218" t="s">
        <v>858</v>
      </c>
      <c r="AM5" s="21">
        <v>42583</v>
      </c>
      <c r="AN5" s="164">
        <v>0</v>
      </c>
      <c r="AO5" s="23"/>
      <c r="AP5" s="178"/>
      <c r="AQ5" s="167">
        <v>0</v>
      </c>
      <c r="AR5" s="24"/>
      <c r="AS5" s="25"/>
      <c r="AT5" s="25"/>
      <c r="AU5" s="385"/>
      <c r="AV5" s="27">
        <v>0</v>
      </c>
      <c r="AX5" s="18"/>
      <c r="AY5" s="19">
        <v>42583</v>
      </c>
      <c r="AZ5" s="161">
        <v>0</v>
      </c>
      <c r="BA5" s="218" t="s">
        <v>858</v>
      </c>
      <c r="BB5" s="21">
        <v>42583</v>
      </c>
      <c r="BC5" s="164">
        <v>0</v>
      </c>
      <c r="BD5" s="23"/>
      <c r="BE5" s="178"/>
      <c r="BF5" s="167">
        <v>0</v>
      </c>
      <c r="BG5" s="24"/>
      <c r="BH5" s="25"/>
      <c r="BI5" s="25"/>
      <c r="BJ5" s="385"/>
      <c r="BK5" s="27">
        <v>0</v>
      </c>
    </row>
    <row r="6" spans="1:63" ht="15.75" thickBot="1" x14ac:dyDescent="0.3">
      <c r="A6" s="18"/>
      <c r="B6" s="19">
        <v>42584</v>
      </c>
      <c r="C6" s="170">
        <v>38831.5</v>
      </c>
      <c r="D6" s="219" t="s">
        <v>859</v>
      </c>
      <c r="E6" s="21">
        <v>42584</v>
      </c>
      <c r="F6" s="22">
        <v>31022.5</v>
      </c>
      <c r="G6" s="30"/>
      <c r="H6" s="178"/>
      <c r="I6" s="32">
        <v>0</v>
      </c>
      <c r="J6" s="33"/>
      <c r="K6" s="34" t="s">
        <v>8</v>
      </c>
      <c r="L6" s="35">
        <v>0</v>
      </c>
      <c r="M6" s="26" t="s">
        <v>860</v>
      </c>
      <c r="N6" s="27">
        <v>0</v>
      </c>
      <c r="R6" s="18"/>
      <c r="S6" s="19">
        <v>42584</v>
      </c>
      <c r="T6" s="170">
        <v>38831.5</v>
      </c>
      <c r="U6" s="219" t="s">
        <v>859</v>
      </c>
      <c r="V6" s="21">
        <v>42584</v>
      </c>
      <c r="W6" s="22">
        <v>31022.5</v>
      </c>
      <c r="X6" s="30"/>
      <c r="Y6" s="178"/>
      <c r="Z6" s="32">
        <v>0</v>
      </c>
      <c r="AA6" s="33"/>
      <c r="AB6" s="34" t="s">
        <v>8</v>
      </c>
      <c r="AC6" s="35">
        <v>0</v>
      </c>
      <c r="AD6" s="26" t="s">
        <v>860</v>
      </c>
      <c r="AE6" s="27">
        <v>0</v>
      </c>
      <c r="AG6" s="51"/>
      <c r="AI6" s="18"/>
      <c r="AJ6" s="19">
        <v>42584</v>
      </c>
      <c r="AK6" s="170">
        <v>38831.5</v>
      </c>
      <c r="AL6" s="219" t="s">
        <v>859</v>
      </c>
      <c r="AM6" s="21">
        <v>42584</v>
      </c>
      <c r="AN6" s="22">
        <v>31022.5</v>
      </c>
      <c r="AO6" s="30"/>
      <c r="AP6" s="178"/>
      <c r="AQ6" s="32">
        <v>0</v>
      </c>
      <c r="AR6" s="33"/>
      <c r="AS6" s="34" t="s">
        <v>8</v>
      </c>
      <c r="AT6" s="35">
        <v>0</v>
      </c>
      <c r="AU6" s="26" t="s">
        <v>860</v>
      </c>
      <c r="AV6" s="27">
        <v>0</v>
      </c>
      <c r="AX6" s="18"/>
      <c r="AY6" s="19">
        <v>42584</v>
      </c>
      <c r="AZ6" s="170">
        <v>38831.5</v>
      </c>
      <c r="BA6" s="219" t="s">
        <v>859</v>
      </c>
      <c r="BB6" s="21">
        <v>42584</v>
      </c>
      <c r="BC6" s="22">
        <v>31022.5</v>
      </c>
      <c r="BD6" s="30"/>
      <c r="BE6" s="178"/>
      <c r="BF6" s="32">
        <v>0</v>
      </c>
      <c r="BG6" s="33"/>
      <c r="BH6" s="34" t="s">
        <v>8</v>
      </c>
      <c r="BI6" s="35">
        <v>0</v>
      </c>
      <c r="BJ6" s="26" t="s">
        <v>860</v>
      </c>
      <c r="BK6" s="27">
        <v>0</v>
      </c>
    </row>
    <row r="7" spans="1:63" ht="15.75" thickBot="1" x14ac:dyDescent="0.3">
      <c r="A7" s="18"/>
      <c r="B7" s="19">
        <v>42585</v>
      </c>
      <c r="C7" s="170">
        <v>43909.5</v>
      </c>
      <c r="D7" s="220" t="s">
        <v>861</v>
      </c>
      <c r="E7" s="21">
        <v>42585</v>
      </c>
      <c r="F7" s="22">
        <v>42199.5</v>
      </c>
      <c r="G7" s="23"/>
      <c r="H7" s="178"/>
      <c r="I7" s="32">
        <v>0</v>
      </c>
      <c r="J7" s="33"/>
      <c r="K7" s="305" t="s">
        <v>9</v>
      </c>
      <c r="L7" s="35">
        <v>0</v>
      </c>
      <c r="M7" s="291" t="s">
        <v>862</v>
      </c>
      <c r="N7" s="27">
        <v>0</v>
      </c>
      <c r="R7" s="18"/>
      <c r="S7" s="19">
        <v>42585</v>
      </c>
      <c r="T7" s="170">
        <v>43909.5</v>
      </c>
      <c r="U7" s="220" t="s">
        <v>861</v>
      </c>
      <c r="V7" s="21">
        <v>42585</v>
      </c>
      <c r="W7" s="22">
        <v>42199.5</v>
      </c>
      <c r="X7" s="23"/>
      <c r="Y7" s="178"/>
      <c r="Z7" s="32">
        <v>0</v>
      </c>
      <c r="AA7" s="33"/>
      <c r="AB7" s="305" t="s">
        <v>9</v>
      </c>
      <c r="AC7" s="35">
        <v>0</v>
      </c>
      <c r="AD7" s="291" t="s">
        <v>862</v>
      </c>
      <c r="AE7" s="27">
        <v>0</v>
      </c>
      <c r="AG7" s="51"/>
      <c r="AI7" s="18"/>
      <c r="AJ7" s="19">
        <v>42585</v>
      </c>
      <c r="AK7" s="170">
        <v>43909.5</v>
      </c>
      <c r="AL7" s="220" t="s">
        <v>861</v>
      </c>
      <c r="AM7" s="21">
        <v>42585</v>
      </c>
      <c r="AN7" s="22">
        <v>42199.5</v>
      </c>
      <c r="AO7" s="23"/>
      <c r="AP7" s="178"/>
      <c r="AQ7" s="32">
        <v>0</v>
      </c>
      <c r="AR7" s="33"/>
      <c r="AS7" s="305" t="s">
        <v>9</v>
      </c>
      <c r="AT7" s="35">
        <v>0</v>
      </c>
      <c r="AU7" s="291" t="s">
        <v>862</v>
      </c>
      <c r="AV7" s="27">
        <v>0</v>
      </c>
      <c r="AX7" s="18"/>
      <c r="AY7" s="19">
        <v>42585</v>
      </c>
      <c r="AZ7" s="170">
        <v>43909.5</v>
      </c>
      <c r="BA7" s="220" t="s">
        <v>861</v>
      </c>
      <c r="BB7" s="21">
        <v>42585</v>
      </c>
      <c r="BC7" s="22">
        <v>42199.5</v>
      </c>
      <c r="BD7" s="23"/>
      <c r="BE7" s="178"/>
      <c r="BF7" s="32">
        <v>0</v>
      </c>
      <c r="BG7" s="33"/>
      <c r="BH7" s="305" t="s">
        <v>9</v>
      </c>
      <c r="BI7" s="35">
        <v>0</v>
      </c>
      <c r="BJ7" s="291" t="s">
        <v>862</v>
      </c>
      <c r="BK7" s="27">
        <v>0</v>
      </c>
    </row>
    <row r="8" spans="1:63" ht="15.75" thickBot="1" x14ac:dyDescent="0.3">
      <c r="A8" s="18"/>
      <c r="B8" s="19">
        <v>42586</v>
      </c>
      <c r="C8" s="170">
        <v>67040</v>
      </c>
      <c r="D8" s="221" t="s">
        <v>863</v>
      </c>
      <c r="E8" s="21">
        <v>42586</v>
      </c>
      <c r="F8" s="22">
        <v>68334</v>
      </c>
      <c r="G8" s="23"/>
      <c r="H8" s="178"/>
      <c r="I8" s="32">
        <v>0</v>
      </c>
      <c r="J8" s="33"/>
      <c r="K8" s="34" t="s">
        <v>10</v>
      </c>
      <c r="L8" s="35">
        <f>7187.5+7187.5+7187.5+7187.5</f>
        <v>28750</v>
      </c>
      <c r="M8" s="292" t="s">
        <v>864</v>
      </c>
      <c r="N8" s="38">
        <v>0</v>
      </c>
      <c r="R8" s="18"/>
      <c r="S8" s="19">
        <v>42586</v>
      </c>
      <c r="T8" s="170">
        <v>67040</v>
      </c>
      <c r="U8" s="221" t="s">
        <v>863</v>
      </c>
      <c r="V8" s="21">
        <v>42586</v>
      </c>
      <c r="W8" s="22">
        <v>68334</v>
      </c>
      <c r="X8" s="23"/>
      <c r="Y8" s="178"/>
      <c r="Z8" s="32">
        <v>0</v>
      </c>
      <c r="AA8" s="33"/>
      <c r="AB8" s="34" t="s">
        <v>10</v>
      </c>
      <c r="AC8" s="35">
        <f>7187.5+7187.5+7187.5</f>
        <v>21562.5</v>
      </c>
      <c r="AD8" s="292" t="s">
        <v>864</v>
      </c>
      <c r="AE8" s="38">
        <v>0</v>
      </c>
      <c r="AG8" s="51"/>
      <c r="AI8" s="18"/>
      <c r="AJ8" s="19">
        <v>42586</v>
      </c>
      <c r="AK8" s="170">
        <v>67040</v>
      </c>
      <c r="AL8" s="221" t="s">
        <v>863</v>
      </c>
      <c r="AM8" s="21">
        <v>42586</v>
      </c>
      <c r="AN8" s="22">
        <v>68334</v>
      </c>
      <c r="AO8" s="23"/>
      <c r="AP8" s="178"/>
      <c r="AQ8" s="32">
        <v>0</v>
      </c>
      <c r="AR8" s="33"/>
      <c r="AS8" s="34" t="s">
        <v>10</v>
      </c>
      <c r="AT8" s="35">
        <f>7187.5+7187.5</f>
        <v>14375</v>
      </c>
      <c r="AU8" s="292" t="s">
        <v>864</v>
      </c>
      <c r="AV8" s="38">
        <v>0</v>
      </c>
      <c r="AX8" s="18"/>
      <c r="AY8" s="19">
        <v>42586</v>
      </c>
      <c r="AZ8" s="170">
        <v>67040</v>
      </c>
      <c r="BA8" s="221" t="s">
        <v>863</v>
      </c>
      <c r="BB8" s="21">
        <v>42586</v>
      </c>
      <c r="BC8" s="22">
        <v>68334</v>
      </c>
      <c r="BD8" s="23"/>
      <c r="BE8" s="178"/>
      <c r="BF8" s="32">
        <v>0</v>
      </c>
      <c r="BG8" s="33"/>
      <c r="BH8" s="34" t="s">
        <v>10</v>
      </c>
      <c r="BI8" s="35">
        <f>7187.5</f>
        <v>7187.5</v>
      </c>
      <c r="BJ8" s="292" t="s">
        <v>864</v>
      </c>
      <c r="BK8" s="38">
        <v>0</v>
      </c>
    </row>
    <row r="9" spans="1:63" ht="15.75" thickBot="1" x14ac:dyDescent="0.3">
      <c r="A9" s="18"/>
      <c r="B9" s="19">
        <v>42587</v>
      </c>
      <c r="C9" s="170">
        <v>77027.5</v>
      </c>
      <c r="D9" s="219" t="s">
        <v>866</v>
      </c>
      <c r="E9" s="21">
        <v>42587</v>
      </c>
      <c r="F9" s="22">
        <v>91292</v>
      </c>
      <c r="G9" s="23"/>
      <c r="H9" s="178"/>
      <c r="I9" s="32">
        <v>0</v>
      </c>
      <c r="J9" s="33"/>
      <c r="K9" s="34" t="s">
        <v>874</v>
      </c>
      <c r="L9" s="210">
        <v>0</v>
      </c>
      <c r="M9" s="26" t="s">
        <v>865</v>
      </c>
      <c r="N9" s="27">
        <v>0</v>
      </c>
      <c r="R9" s="18"/>
      <c r="S9" s="19">
        <v>42587</v>
      </c>
      <c r="T9" s="170">
        <v>77027.5</v>
      </c>
      <c r="U9" s="219" t="s">
        <v>866</v>
      </c>
      <c r="V9" s="21">
        <v>42587</v>
      </c>
      <c r="W9" s="22">
        <v>91292</v>
      </c>
      <c r="X9" s="23"/>
      <c r="Y9" s="178"/>
      <c r="Z9" s="32">
        <v>0</v>
      </c>
      <c r="AA9" s="33"/>
      <c r="AB9" s="34" t="s">
        <v>874</v>
      </c>
      <c r="AC9" s="210">
        <v>0</v>
      </c>
      <c r="AD9" s="26" t="s">
        <v>865</v>
      </c>
      <c r="AE9" s="27">
        <v>0</v>
      </c>
      <c r="AG9" s="51"/>
      <c r="AI9" s="18"/>
      <c r="AJ9" s="19">
        <v>42587</v>
      </c>
      <c r="AK9" s="170">
        <v>77027.5</v>
      </c>
      <c r="AL9" s="219" t="s">
        <v>866</v>
      </c>
      <c r="AM9" s="21">
        <v>42587</v>
      </c>
      <c r="AN9" s="22">
        <v>91292</v>
      </c>
      <c r="AO9" s="23"/>
      <c r="AP9" s="178"/>
      <c r="AQ9" s="32">
        <v>0</v>
      </c>
      <c r="AR9" s="33"/>
      <c r="AS9" s="34" t="s">
        <v>874</v>
      </c>
      <c r="AT9" s="210">
        <v>0</v>
      </c>
      <c r="AU9" s="26" t="s">
        <v>865</v>
      </c>
      <c r="AV9" s="27">
        <v>0</v>
      </c>
      <c r="AX9" s="18"/>
      <c r="AY9" s="19">
        <v>42587</v>
      </c>
      <c r="AZ9" s="170">
        <v>77027.5</v>
      </c>
      <c r="BA9" s="219" t="s">
        <v>866</v>
      </c>
      <c r="BB9" s="21">
        <v>42587</v>
      </c>
      <c r="BC9" s="22">
        <v>91292</v>
      </c>
      <c r="BD9" s="23"/>
      <c r="BE9" s="178"/>
      <c r="BF9" s="32">
        <v>0</v>
      </c>
      <c r="BG9" s="33"/>
      <c r="BH9" s="34" t="s">
        <v>874</v>
      </c>
      <c r="BI9" s="35">
        <v>0</v>
      </c>
      <c r="BJ9" s="26" t="s">
        <v>865</v>
      </c>
      <c r="BK9" s="27">
        <v>0</v>
      </c>
    </row>
    <row r="10" spans="1:63" ht="15.75" thickBot="1" x14ac:dyDescent="0.3">
      <c r="A10" s="18"/>
      <c r="B10" s="19">
        <v>42588</v>
      </c>
      <c r="C10" s="170">
        <v>109517</v>
      </c>
      <c r="D10" s="220" t="s">
        <v>867</v>
      </c>
      <c r="E10" s="21">
        <v>42588</v>
      </c>
      <c r="F10" s="22">
        <v>95130</v>
      </c>
      <c r="G10" s="23"/>
      <c r="H10" s="178"/>
      <c r="I10" s="32">
        <v>0</v>
      </c>
      <c r="J10" s="33"/>
      <c r="K10" s="34" t="s">
        <v>875</v>
      </c>
      <c r="L10" s="30">
        <v>8263.34</v>
      </c>
      <c r="M10" s="26" t="s">
        <v>868</v>
      </c>
      <c r="N10" s="27">
        <v>0</v>
      </c>
      <c r="R10" s="18"/>
      <c r="S10" s="19">
        <v>42588</v>
      </c>
      <c r="T10" s="170">
        <v>109517</v>
      </c>
      <c r="U10" s="220" t="s">
        <v>867</v>
      </c>
      <c r="V10" s="21">
        <v>42588</v>
      </c>
      <c r="W10" s="22">
        <v>95130</v>
      </c>
      <c r="X10" s="23"/>
      <c r="Y10" s="178"/>
      <c r="Z10" s="32">
        <v>0</v>
      </c>
      <c r="AA10" s="33"/>
      <c r="AB10" s="34" t="s">
        <v>875</v>
      </c>
      <c r="AC10" s="30">
        <v>8263.34</v>
      </c>
      <c r="AD10" s="26" t="s">
        <v>868</v>
      </c>
      <c r="AE10" s="27">
        <v>0</v>
      </c>
      <c r="AG10" s="51"/>
      <c r="AI10" s="18"/>
      <c r="AJ10" s="19">
        <v>42588</v>
      </c>
      <c r="AK10" s="170">
        <v>109517</v>
      </c>
      <c r="AL10" s="220" t="s">
        <v>867</v>
      </c>
      <c r="AM10" s="21">
        <v>42588</v>
      </c>
      <c r="AN10" s="22">
        <v>95130</v>
      </c>
      <c r="AO10" s="23"/>
      <c r="AP10" s="178"/>
      <c r="AQ10" s="32">
        <v>0</v>
      </c>
      <c r="AR10" s="33"/>
      <c r="AS10" s="34" t="s">
        <v>875</v>
      </c>
      <c r="AT10" s="30">
        <v>8263.34</v>
      </c>
      <c r="AU10" s="26" t="s">
        <v>868</v>
      </c>
      <c r="AV10" s="27">
        <v>0</v>
      </c>
      <c r="AX10" s="18"/>
      <c r="AY10" s="19">
        <v>42588</v>
      </c>
      <c r="AZ10" s="170">
        <v>109517</v>
      </c>
      <c r="BA10" s="220" t="s">
        <v>867</v>
      </c>
      <c r="BB10" s="21">
        <v>42588</v>
      </c>
      <c r="BC10" s="22">
        <v>95130</v>
      </c>
      <c r="BD10" s="23"/>
      <c r="BE10" s="178"/>
      <c r="BF10" s="32">
        <v>0</v>
      </c>
      <c r="BG10" s="33"/>
      <c r="BH10" s="34" t="s">
        <v>875</v>
      </c>
      <c r="BI10" s="30">
        <v>0</v>
      </c>
      <c r="BJ10" s="26" t="s">
        <v>868</v>
      </c>
      <c r="BK10" s="27">
        <v>0</v>
      </c>
    </row>
    <row r="11" spans="1:63" ht="15.75" thickBot="1" x14ac:dyDescent="0.3">
      <c r="A11" s="18"/>
      <c r="B11" s="19">
        <v>42589</v>
      </c>
      <c r="C11" s="170">
        <v>81934</v>
      </c>
      <c r="D11" s="220" t="s">
        <v>869</v>
      </c>
      <c r="E11" s="21">
        <v>42589</v>
      </c>
      <c r="F11" s="22">
        <v>85183</v>
      </c>
      <c r="G11" s="23"/>
      <c r="H11" s="178"/>
      <c r="I11" s="39">
        <v>0</v>
      </c>
      <c r="J11" s="33"/>
      <c r="K11" s="34" t="s">
        <v>876</v>
      </c>
      <c r="L11" s="30">
        <v>0</v>
      </c>
      <c r="M11" s="26" t="s">
        <v>870</v>
      </c>
      <c r="N11" s="27">
        <v>0</v>
      </c>
      <c r="R11" s="18"/>
      <c r="S11" s="19">
        <v>42589</v>
      </c>
      <c r="T11" s="170">
        <v>81934</v>
      </c>
      <c r="U11" s="220" t="s">
        <v>869</v>
      </c>
      <c r="V11" s="21">
        <v>42589</v>
      </c>
      <c r="W11" s="22">
        <v>85183</v>
      </c>
      <c r="X11" s="23"/>
      <c r="Y11" s="178"/>
      <c r="Z11" s="39">
        <v>0</v>
      </c>
      <c r="AA11" s="33"/>
      <c r="AB11" s="34" t="s">
        <v>876</v>
      </c>
      <c r="AC11" s="30">
        <v>0</v>
      </c>
      <c r="AD11" s="26" t="s">
        <v>870</v>
      </c>
      <c r="AE11" s="27">
        <v>0</v>
      </c>
      <c r="AG11" s="51"/>
      <c r="AI11" s="18"/>
      <c r="AJ11" s="19">
        <v>42589</v>
      </c>
      <c r="AK11" s="170">
        <v>81934</v>
      </c>
      <c r="AL11" s="220" t="s">
        <v>869</v>
      </c>
      <c r="AM11" s="21">
        <v>42589</v>
      </c>
      <c r="AN11" s="22">
        <v>85183</v>
      </c>
      <c r="AO11" s="23"/>
      <c r="AP11" s="178"/>
      <c r="AQ11" s="39">
        <v>0</v>
      </c>
      <c r="AR11" s="33"/>
      <c r="AS11" s="34" t="s">
        <v>876</v>
      </c>
      <c r="AT11" s="30">
        <v>0</v>
      </c>
      <c r="AU11" s="26" t="s">
        <v>870</v>
      </c>
      <c r="AV11" s="27">
        <v>0</v>
      </c>
      <c r="AX11" s="18"/>
      <c r="AY11" s="19">
        <v>42589</v>
      </c>
      <c r="AZ11" s="170">
        <v>81934</v>
      </c>
      <c r="BA11" s="220" t="s">
        <v>869</v>
      </c>
      <c r="BB11" s="21">
        <v>42589</v>
      </c>
      <c r="BC11" s="22">
        <v>85183</v>
      </c>
      <c r="BD11" s="23"/>
      <c r="BE11" s="178"/>
      <c r="BF11" s="39">
        <v>0</v>
      </c>
      <c r="BG11" s="33"/>
      <c r="BH11" s="34" t="s">
        <v>876</v>
      </c>
      <c r="BI11" s="30">
        <v>0</v>
      </c>
      <c r="BJ11" s="26" t="s">
        <v>870</v>
      </c>
      <c r="BK11" s="27">
        <v>0</v>
      </c>
    </row>
    <row r="12" spans="1:63" ht="15.75" thickBot="1" x14ac:dyDescent="0.3">
      <c r="A12" s="18"/>
      <c r="B12" s="19">
        <v>42590</v>
      </c>
      <c r="C12" s="170">
        <v>65112.5</v>
      </c>
      <c r="D12" s="220" t="s">
        <v>871</v>
      </c>
      <c r="E12" s="21">
        <v>42590</v>
      </c>
      <c r="F12" s="22">
        <v>67767.5</v>
      </c>
      <c r="G12" s="23"/>
      <c r="H12" s="178"/>
      <c r="I12" s="39">
        <v>0</v>
      </c>
      <c r="J12" s="33"/>
      <c r="K12" s="34" t="s">
        <v>877</v>
      </c>
      <c r="L12" s="30">
        <v>0</v>
      </c>
      <c r="M12" s="26" t="s">
        <v>872</v>
      </c>
      <c r="N12" s="27">
        <v>0</v>
      </c>
      <c r="R12" s="18"/>
      <c r="S12" s="19">
        <v>42590</v>
      </c>
      <c r="T12" s="170">
        <v>65112.5</v>
      </c>
      <c r="U12" s="220" t="s">
        <v>871</v>
      </c>
      <c r="V12" s="21">
        <v>42590</v>
      </c>
      <c r="W12" s="22">
        <v>67767.5</v>
      </c>
      <c r="X12" s="23"/>
      <c r="Y12" s="178"/>
      <c r="Z12" s="39">
        <v>0</v>
      </c>
      <c r="AA12" s="33"/>
      <c r="AB12" s="34" t="s">
        <v>877</v>
      </c>
      <c r="AC12" s="30">
        <v>0</v>
      </c>
      <c r="AD12" s="26" t="s">
        <v>872</v>
      </c>
      <c r="AE12" s="27">
        <v>0</v>
      </c>
      <c r="AG12" s="51"/>
      <c r="AI12" s="18"/>
      <c r="AJ12" s="19">
        <v>42590</v>
      </c>
      <c r="AK12" s="170">
        <v>65112.5</v>
      </c>
      <c r="AL12" s="220" t="s">
        <v>871</v>
      </c>
      <c r="AM12" s="21">
        <v>42590</v>
      </c>
      <c r="AN12" s="22">
        <v>67767.5</v>
      </c>
      <c r="AO12" s="23"/>
      <c r="AP12" s="178"/>
      <c r="AQ12" s="39">
        <v>0</v>
      </c>
      <c r="AR12" s="33"/>
      <c r="AS12" s="34" t="s">
        <v>877</v>
      </c>
      <c r="AT12" s="30">
        <v>0</v>
      </c>
      <c r="AU12" s="26" t="s">
        <v>872</v>
      </c>
      <c r="AV12" s="27">
        <v>0</v>
      </c>
      <c r="AX12" s="18"/>
      <c r="AY12" s="19">
        <v>42590</v>
      </c>
      <c r="AZ12" s="170">
        <v>65112.5</v>
      </c>
      <c r="BA12" s="220" t="s">
        <v>871</v>
      </c>
      <c r="BB12" s="21">
        <v>42590</v>
      </c>
      <c r="BC12" s="233">
        <v>67767.5</v>
      </c>
      <c r="BD12" s="23"/>
      <c r="BE12" s="178"/>
      <c r="BF12" s="234">
        <v>0</v>
      </c>
      <c r="BG12" s="33"/>
      <c r="BH12" s="34" t="s">
        <v>877</v>
      </c>
      <c r="BI12" s="30">
        <v>0</v>
      </c>
      <c r="BJ12" s="26" t="s">
        <v>872</v>
      </c>
      <c r="BK12" s="27">
        <v>0</v>
      </c>
    </row>
    <row r="13" spans="1:63" ht="15.75" thickBot="1" x14ac:dyDescent="0.3">
      <c r="A13" s="18"/>
      <c r="B13" s="19">
        <v>42591</v>
      </c>
      <c r="C13" s="170">
        <v>65333.5</v>
      </c>
      <c r="D13" s="220" t="s">
        <v>878</v>
      </c>
      <c r="E13" s="21">
        <v>42591</v>
      </c>
      <c r="F13" s="22">
        <v>64153</v>
      </c>
      <c r="G13" s="23"/>
      <c r="H13" s="178"/>
      <c r="I13" s="39">
        <v>32</v>
      </c>
      <c r="J13" s="33"/>
      <c r="K13" s="40"/>
      <c r="L13" s="35">
        <v>0</v>
      </c>
      <c r="M13" s="26" t="s">
        <v>879</v>
      </c>
      <c r="N13" s="27">
        <v>0</v>
      </c>
      <c r="R13" s="18"/>
      <c r="S13" s="19">
        <v>42591</v>
      </c>
      <c r="T13" s="170">
        <v>65333.5</v>
      </c>
      <c r="U13" s="220" t="s">
        <v>878</v>
      </c>
      <c r="V13" s="21">
        <v>42591</v>
      </c>
      <c r="W13" s="22">
        <v>64153</v>
      </c>
      <c r="X13" s="23"/>
      <c r="Y13" s="178"/>
      <c r="Z13" s="39">
        <v>32</v>
      </c>
      <c r="AA13" s="33"/>
      <c r="AB13" s="40"/>
      <c r="AC13" s="35">
        <v>0</v>
      </c>
      <c r="AD13" s="26" t="s">
        <v>879</v>
      </c>
      <c r="AE13" s="27">
        <v>0</v>
      </c>
      <c r="AG13" s="51"/>
      <c r="AI13" s="18"/>
      <c r="AJ13" s="19">
        <v>42591</v>
      </c>
      <c r="AK13" s="170">
        <v>65333.5</v>
      </c>
      <c r="AL13" s="220" t="s">
        <v>878</v>
      </c>
      <c r="AM13" s="21">
        <v>42591</v>
      </c>
      <c r="AN13" s="22">
        <v>64153</v>
      </c>
      <c r="AO13" s="23"/>
      <c r="AP13" s="178"/>
      <c r="AQ13" s="39">
        <v>32</v>
      </c>
      <c r="AR13" s="33"/>
      <c r="AS13" s="40"/>
      <c r="AT13" s="35">
        <v>0</v>
      </c>
      <c r="AU13" s="26" t="s">
        <v>879</v>
      </c>
      <c r="AV13" s="27">
        <v>0</v>
      </c>
      <c r="AX13" s="18"/>
      <c r="AY13" s="19">
        <v>42591</v>
      </c>
      <c r="AZ13" s="170"/>
      <c r="BA13" s="220"/>
      <c r="BB13" s="21">
        <v>42591</v>
      </c>
      <c r="BC13" s="22"/>
      <c r="BD13" s="23"/>
      <c r="BE13" s="178"/>
      <c r="BF13" s="39"/>
      <c r="BG13" s="33"/>
      <c r="BH13" s="40"/>
      <c r="BI13" s="35">
        <v>0</v>
      </c>
      <c r="BJ13" s="26"/>
      <c r="BK13" s="27">
        <v>0</v>
      </c>
    </row>
    <row r="14" spans="1:63" ht="15.75" thickBot="1" x14ac:dyDescent="0.3">
      <c r="A14" s="18"/>
      <c r="B14" s="19">
        <v>42592</v>
      </c>
      <c r="C14" s="170">
        <v>52263.5</v>
      </c>
      <c r="D14" s="219" t="s">
        <v>880</v>
      </c>
      <c r="E14" s="21">
        <v>42592</v>
      </c>
      <c r="F14" s="22">
        <v>40917</v>
      </c>
      <c r="G14" s="23"/>
      <c r="H14" s="178"/>
      <c r="I14" s="39">
        <v>0</v>
      </c>
      <c r="J14" s="33"/>
      <c r="K14" s="41"/>
      <c r="L14" s="35">
        <v>0</v>
      </c>
      <c r="M14" s="26" t="s">
        <v>881</v>
      </c>
      <c r="N14" s="27">
        <v>0</v>
      </c>
      <c r="R14" s="18"/>
      <c r="S14" s="19">
        <v>42592</v>
      </c>
      <c r="T14" s="170">
        <v>52263.5</v>
      </c>
      <c r="U14" s="219" t="s">
        <v>880</v>
      </c>
      <c r="V14" s="21">
        <v>42592</v>
      </c>
      <c r="W14" s="22">
        <v>40917</v>
      </c>
      <c r="X14" s="23"/>
      <c r="Y14" s="178"/>
      <c r="Z14" s="39">
        <v>0</v>
      </c>
      <c r="AA14" s="33"/>
      <c r="AB14" s="41"/>
      <c r="AC14" s="35">
        <v>0</v>
      </c>
      <c r="AD14" s="26" t="s">
        <v>881</v>
      </c>
      <c r="AE14" s="27">
        <v>0</v>
      </c>
      <c r="AG14" s="51"/>
      <c r="AI14" s="18"/>
      <c r="AJ14" s="19">
        <v>42592</v>
      </c>
      <c r="AK14" s="170">
        <v>52263.5</v>
      </c>
      <c r="AL14" s="219" t="s">
        <v>880</v>
      </c>
      <c r="AM14" s="21">
        <v>42592</v>
      </c>
      <c r="AN14" s="22">
        <v>40917</v>
      </c>
      <c r="AO14" s="23"/>
      <c r="AP14" s="178"/>
      <c r="AQ14" s="39">
        <v>0</v>
      </c>
      <c r="AR14" s="33"/>
      <c r="AS14" s="41"/>
      <c r="AT14" s="35">
        <v>0</v>
      </c>
      <c r="AU14" s="26" t="s">
        <v>881</v>
      </c>
      <c r="AV14" s="27">
        <v>0</v>
      </c>
      <c r="AX14" s="18"/>
      <c r="AY14" s="19">
        <v>42592</v>
      </c>
      <c r="AZ14" s="170"/>
      <c r="BA14" s="219"/>
      <c r="BB14" s="21">
        <v>42592</v>
      </c>
      <c r="BC14" s="22"/>
      <c r="BD14" s="23"/>
      <c r="BE14" s="178"/>
      <c r="BF14" s="39"/>
      <c r="BG14" s="33"/>
      <c r="BH14" s="41"/>
      <c r="BI14" s="35">
        <v>0</v>
      </c>
      <c r="BJ14" s="26"/>
      <c r="BK14" s="27">
        <v>0</v>
      </c>
    </row>
    <row r="15" spans="1:63" ht="15.75" thickBot="1" x14ac:dyDescent="0.3">
      <c r="A15" s="18"/>
      <c r="B15" s="19">
        <v>42593</v>
      </c>
      <c r="C15" s="170">
        <v>36533.5</v>
      </c>
      <c r="D15" s="219" t="s">
        <v>915</v>
      </c>
      <c r="E15" s="21">
        <v>42593</v>
      </c>
      <c r="F15" s="22">
        <v>50339</v>
      </c>
      <c r="G15" s="23"/>
      <c r="H15" s="178"/>
      <c r="I15" s="39">
        <v>0</v>
      </c>
      <c r="J15" s="33"/>
      <c r="K15" s="40" t="s">
        <v>12</v>
      </c>
      <c r="L15" s="35">
        <v>0</v>
      </c>
      <c r="M15" s="26" t="s">
        <v>916</v>
      </c>
      <c r="N15" s="27">
        <v>0</v>
      </c>
      <c r="R15" s="18"/>
      <c r="S15" s="19">
        <v>42593</v>
      </c>
      <c r="T15" s="170">
        <v>36533.5</v>
      </c>
      <c r="U15" s="219" t="s">
        <v>915</v>
      </c>
      <c r="V15" s="21">
        <v>42593</v>
      </c>
      <c r="W15" s="22">
        <v>50339</v>
      </c>
      <c r="X15" s="23"/>
      <c r="Y15" s="178"/>
      <c r="Z15" s="39">
        <v>0</v>
      </c>
      <c r="AA15" s="33"/>
      <c r="AB15" s="40" t="s">
        <v>12</v>
      </c>
      <c r="AC15" s="35">
        <v>0</v>
      </c>
      <c r="AD15" s="26" t="s">
        <v>916</v>
      </c>
      <c r="AE15" s="27">
        <v>0</v>
      </c>
      <c r="AG15" s="51"/>
      <c r="AI15" s="18"/>
      <c r="AJ15" s="19">
        <v>42593</v>
      </c>
      <c r="AK15" s="170">
        <v>36533.5</v>
      </c>
      <c r="AL15" s="219" t="s">
        <v>915</v>
      </c>
      <c r="AM15" s="21">
        <v>42593</v>
      </c>
      <c r="AN15" s="22">
        <v>50339</v>
      </c>
      <c r="AO15" s="23"/>
      <c r="AP15" s="178"/>
      <c r="AQ15" s="39">
        <v>0</v>
      </c>
      <c r="AR15" s="33"/>
      <c r="AS15" s="40" t="s">
        <v>12</v>
      </c>
      <c r="AT15" s="35">
        <v>0</v>
      </c>
      <c r="AU15" s="26" t="s">
        <v>916</v>
      </c>
      <c r="AV15" s="27">
        <v>0</v>
      </c>
      <c r="AX15" s="18"/>
      <c r="AY15" s="19">
        <v>42593</v>
      </c>
      <c r="AZ15" s="170"/>
      <c r="BA15" s="219"/>
      <c r="BB15" s="21">
        <v>42593</v>
      </c>
      <c r="BC15" s="22"/>
      <c r="BD15" s="23"/>
      <c r="BE15" s="178"/>
      <c r="BF15" s="39"/>
      <c r="BG15" s="33"/>
      <c r="BH15" s="40" t="s">
        <v>12</v>
      </c>
      <c r="BI15" s="35">
        <v>0</v>
      </c>
      <c r="BJ15" s="26"/>
      <c r="BK15" s="27">
        <v>0</v>
      </c>
    </row>
    <row r="16" spans="1:63" ht="15.75" thickBot="1" x14ac:dyDescent="0.3">
      <c r="A16" s="18"/>
      <c r="B16" s="19">
        <v>42594</v>
      </c>
      <c r="C16" s="170">
        <v>80025.5</v>
      </c>
      <c r="D16" s="219" t="s">
        <v>917</v>
      </c>
      <c r="E16" s="21">
        <v>42594</v>
      </c>
      <c r="F16" s="22">
        <v>80785</v>
      </c>
      <c r="G16" s="23"/>
      <c r="H16" s="178"/>
      <c r="I16" s="39">
        <v>0</v>
      </c>
      <c r="J16" s="33"/>
      <c r="K16" s="42" t="s">
        <v>13</v>
      </c>
      <c r="L16" s="43">
        <v>0</v>
      </c>
      <c r="M16" s="26" t="s">
        <v>918</v>
      </c>
      <c r="N16" s="27">
        <v>0</v>
      </c>
      <c r="R16" s="18"/>
      <c r="S16" s="19">
        <v>42594</v>
      </c>
      <c r="T16" s="170">
        <v>80025.5</v>
      </c>
      <c r="U16" s="219" t="s">
        <v>917</v>
      </c>
      <c r="V16" s="21">
        <v>42594</v>
      </c>
      <c r="W16" s="22">
        <v>80785</v>
      </c>
      <c r="X16" s="23"/>
      <c r="Y16" s="178"/>
      <c r="Z16" s="39">
        <v>0</v>
      </c>
      <c r="AA16" s="33"/>
      <c r="AB16" s="42" t="s">
        <v>13</v>
      </c>
      <c r="AC16" s="43">
        <v>0</v>
      </c>
      <c r="AD16" s="26" t="s">
        <v>918</v>
      </c>
      <c r="AE16" s="27">
        <v>0</v>
      </c>
      <c r="AG16" s="51"/>
      <c r="AI16" s="18"/>
      <c r="AJ16" s="19">
        <v>42594</v>
      </c>
      <c r="AK16" s="170">
        <v>80025.5</v>
      </c>
      <c r="AL16" s="219" t="s">
        <v>917</v>
      </c>
      <c r="AM16" s="21">
        <v>42594</v>
      </c>
      <c r="AN16" s="22">
        <v>80785</v>
      </c>
      <c r="AO16" s="23"/>
      <c r="AP16" s="178"/>
      <c r="AQ16" s="39">
        <v>0</v>
      </c>
      <c r="AR16" s="33"/>
      <c r="AS16" s="42" t="s">
        <v>13</v>
      </c>
      <c r="AT16" s="43">
        <v>0</v>
      </c>
      <c r="AU16" s="26" t="s">
        <v>918</v>
      </c>
      <c r="AV16" s="27">
        <v>0</v>
      </c>
      <c r="AX16" s="18"/>
      <c r="AY16" s="19">
        <v>42594</v>
      </c>
      <c r="AZ16" s="170"/>
      <c r="BA16" s="219"/>
      <c r="BB16" s="21">
        <v>42594</v>
      </c>
      <c r="BC16" s="22"/>
      <c r="BD16" s="23"/>
      <c r="BE16" s="178"/>
      <c r="BF16" s="39"/>
      <c r="BG16" s="33"/>
      <c r="BH16" s="42" t="s">
        <v>13</v>
      </c>
      <c r="BI16" s="43">
        <v>0</v>
      </c>
      <c r="BJ16" s="26"/>
      <c r="BK16" s="27">
        <v>0</v>
      </c>
    </row>
    <row r="17" spans="1:63" ht="15.75" thickBot="1" x14ac:dyDescent="0.3">
      <c r="A17" s="18"/>
      <c r="B17" s="19">
        <v>42595</v>
      </c>
      <c r="C17" s="170">
        <v>95291.5</v>
      </c>
      <c r="D17" s="219" t="s">
        <v>919</v>
      </c>
      <c r="E17" s="21">
        <v>42595</v>
      </c>
      <c r="F17" s="22">
        <v>100420</v>
      </c>
      <c r="G17" s="23"/>
      <c r="H17" s="178"/>
      <c r="I17" s="39">
        <v>0</v>
      </c>
      <c r="J17" s="33"/>
      <c r="K17" s="40" t="s">
        <v>14</v>
      </c>
      <c r="L17" s="43">
        <v>0</v>
      </c>
      <c r="M17" s="26" t="s">
        <v>921</v>
      </c>
      <c r="N17" s="27">
        <v>0</v>
      </c>
      <c r="R17" s="18"/>
      <c r="S17" s="19">
        <v>42595</v>
      </c>
      <c r="T17" s="170">
        <v>95291.5</v>
      </c>
      <c r="U17" s="219" t="s">
        <v>919</v>
      </c>
      <c r="V17" s="21">
        <v>42595</v>
      </c>
      <c r="W17" s="22">
        <v>100420</v>
      </c>
      <c r="X17" s="23"/>
      <c r="Y17" s="178"/>
      <c r="Z17" s="39">
        <v>0</v>
      </c>
      <c r="AA17" s="33"/>
      <c r="AB17" s="40" t="s">
        <v>14</v>
      </c>
      <c r="AC17" s="43">
        <v>0</v>
      </c>
      <c r="AD17" s="26" t="s">
        <v>921</v>
      </c>
      <c r="AE17" s="27">
        <v>0</v>
      </c>
      <c r="AG17" s="51"/>
      <c r="AI17" s="18"/>
      <c r="AJ17" s="19">
        <v>42595</v>
      </c>
      <c r="AK17" s="170">
        <v>95291.5</v>
      </c>
      <c r="AL17" s="219" t="s">
        <v>919</v>
      </c>
      <c r="AM17" s="21">
        <v>42595</v>
      </c>
      <c r="AN17" s="22">
        <v>100420</v>
      </c>
      <c r="AO17" s="23"/>
      <c r="AP17" s="178"/>
      <c r="AQ17" s="39">
        <v>0</v>
      </c>
      <c r="AR17" s="33"/>
      <c r="AS17" s="40" t="s">
        <v>14</v>
      </c>
      <c r="AT17" s="43">
        <v>0</v>
      </c>
      <c r="AU17" s="26" t="s">
        <v>921</v>
      </c>
      <c r="AV17" s="27">
        <v>0</v>
      </c>
      <c r="AX17" s="18"/>
      <c r="AY17" s="19">
        <v>42595</v>
      </c>
      <c r="AZ17" s="170"/>
      <c r="BA17" s="219"/>
      <c r="BB17" s="21">
        <v>42595</v>
      </c>
      <c r="BC17" s="22"/>
      <c r="BD17" s="23"/>
      <c r="BE17" s="178"/>
      <c r="BF17" s="39"/>
      <c r="BG17" s="33"/>
      <c r="BH17" s="40" t="s">
        <v>14</v>
      </c>
      <c r="BI17" s="43">
        <v>0</v>
      </c>
      <c r="BJ17" s="26"/>
      <c r="BK17" s="27">
        <v>0</v>
      </c>
    </row>
    <row r="18" spans="1:63" ht="15.75" thickBot="1" x14ac:dyDescent="0.3">
      <c r="A18" s="18"/>
      <c r="B18" s="19">
        <v>42596</v>
      </c>
      <c r="C18" s="170">
        <v>66517.5</v>
      </c>
      <c r="D18" s="220" t="s">
        <v>920</v>
      </c>
      <c r="E18" s="21">
        <v>42596</v>
      </c>
      <c r="F18" s="22">
        <v>66712</v>
      </c>
      <c r="G18" s="23"/>
      <c r="H18" s="178"/>
      <c r="I18" s="39">
        <v>0</v>
      </c>
      <c r="J18" s="44"/>
      <c r="K18" s="40" t="s">
        <v>15</v>
      </c>
      <c r="L18" s="27">
        <v>0</v>
      </c>
      <c r="M18" s="26" t="s">
        <v>926</v>
      </c>
      <c r="N18" s="27">
        <v>0</v>
      </c>
      <c r="R18" s="18"/>
      <c r="S18" s="19">
        <v>42596</v>
      </c>
      <c r="T18" s="170">
        <v>66517.5</v>
      </c>
      <c r="U18" s="220" t="s">
        <v>920</v>
      </c>
      <c r="V18" s="21">
        <v>42596</v>
      </c>
      <c r="W18" s="22">
        <v>66712</v>
      </c>
      <c r="X18" s="23"/>
      <c r="Y18" s="178"/>
      <c r="Z18" s="39">
        <v>0</v>
      </c>
      <c r="AA18" s="44"/>
      <c r="AB18" s="40" t="s">
        <v>15</v>
      </c>
      <c r="AC18" s="27">
        <v>0</v>
      </c>
      <c r="AD18" s="26" t="s">
        <v>926</v>
      </c>
      <c r="AE18" s="27">
        <v>0</v>
      </c>
      <c r="AG18" s="51"/>
      <c r="AI18" s="18"/>
      <c r="AJ18" s="19">
        <v>42596</v>
      </c>
      <c r="AK18" s="170">
        <v>66517.5</v>
      </c>
      <c r="AL18" s="220" t="s">
        <v>920</v>
      </c>
      <c r="AM18" s="21">
        <v>42596</v>
      </c>
      <c r="AN18" s="22">
        <v>66712</v>
      </c>
      <c r="AO18" s="23"/>
      <c r="AP18" s="178"/>
      <c r="AQ18" s="39">
        <v>0</v>
      </c>
      <c r="AR18" s="44"/>
      <c r="AS18" s="40" t="s">
        <v>15</v>
      </c>
      <c r="AT18" s="27">
        <v>0</v>
      </c>
      <c r="AU18" s="26" t="s">
        <v>922</v>
      </c>
      <c r="AV18" s="27">
        <v>0</v>
      </c>
      <c r="AX18" s="18"/>
      <c r="AY18" s="19">
        <v>42596</v>
      </c>
      <c r="AZ18" s="170"/>
      <c r="BA18" s="220"/>
      <c r="BB18" s="21">
        <v>42596</v>
      </c>
      <c r="BC18" s="22"/>
      <c r="BD18" s="23"/>
      <c r="BE18" s="178"/>
      <c r="BF18" s="39"/>
      <c r="BG18" s="44"/>
      <c r="BH18" s="40" t="s">
        <v>15</v>
      </c>
      <c r="BI18" s="27">
        <v>0</v>
      </c>
      <c r="BJ18" s="26"/>
      <c r="BK18" s="27">
        <v>0</v>
      </c>
    </row>
    <row r="19" spans="1:63" ht="15.75" thickBot="1" x14ac:dyDescent="0.3">
      <c r="A19" s="18"/>
      <c r="B19" s="19">
        <v>42597</v>
      </c>
      <c r="C19" s="170">
        <v>107284.5</v>
      </c>
      <c r="D19" s="219" t="s">
        <v>923</v>
      </c>
      <c r="E19" s="21">
        <v>42597</v>
      </c>
      <c r="F19" s="22">
        <v>96675</v>
      </c>
      <c r="G19" s="23"/>
      <c r="H19" s="178"/>
      <c r="I19" s="39">
        <v>0</v>
      </c>
      <c r="J19" s="33"/>
      <c r="K19" s="40" t="s">
        <v>16</v>
      </c>
      <c r="L19" s="27">
        <v>0</v>
      </c>
      <c r="M19" s="26" t="s">
        <v>927</v>
      </c>
      <c r="N19" s="27">
        <v>0</v>
      </c>
      <c r="R19" s="18"/>
      <c r="S19" s="19">
        <v>42597</v>
      </c>
      <c r="T19" s="170">
        <v>107284.5</v>
      </c>
      <c r="U19" s="219" t="s">
        <v>923</v>
      </c>
      <c r="V19" s="21">
        <v>42597</v>
      </c>
      <c r="W19" s="22">
        <v>96675</v>
      </c>
      <c r="X19" s="23"/>
      <c r="Y19" s="178"/>
      <c r="Z19" s="39">
        <v>0</v>
      </c>
      <c r="AA19" s="33"/>
      <c r="AB19" s="40" t="s">
        <v>16</v>
      </c>
      <c r="AC19" s="27">
        <v>0</v>
      </c>
      <c r="AD19" s="26" t="s">
        <v>927</v>
      </c>
      <c r="AE19" s="27">
        <v>0</v>
      </c>
      <c r="AG19" s="51"/>
      <c r="AI19" s="18"/>
      <c r="AJ19" s="19">
        <v>42597</v>
      </c>
      <c r="AK19" s="170">
        <v>107284.5</v>
      </c>
      <c r="AL19" s="219" t="s">
        <v>923</v>
      </c>
      <c r="AM19" s="21">
        <v>42597</v>
      </c>
      <c r="AN19" s="233">
        <v>96675</v>
      </c>
      <c r="AO19" s="23"/>
      <c r="AP19" s="178"/>
      <c r="AQ19" s="234">
        <v>0</v>
      </c>
      <c r="AR19" s="33"/>
      <c r="AS19" s="40" t="s">
        <v>16</v>
      </c>
      <c r="AT19" s="27">
        <v>0</v>
      </c>
      <c r="AU19" s="26"/>
      <c r="AV19" s="27">
        <v>0</v>
      </c>
      <c r="AX19" s="18"/>
      <c r="AY19" s="19">
        <v>42597</v>
      </c>
      <c r="AZ19" s="170"/>
      <c r="BA19" s="219"/>
      <c r="BB19" s="21">
        <v>42597</v>
      </c>
      <c r="BC19" s="22"/>
      <c r="BD19" s="23"/>
      <c r="BE19" s="178"/>
      <c r="BF19" s="39"/>
      <c r="BG19" s="33"/>
      <c r="BH19" s="40" t="s">
        <v>16</v>
      </c>
      <c r="BI19" s="27">
        <v>0</v>
      </c>
      <c r="BJ19" s="26"/>
      <c r="BK19" s="27">
        <v>0</v>
      </c>
    </row>
    <row r="20" spans="1:63" ht="15.75" thickBot="1" x14ac:dyDescent="0.3">
      <c r="A20" s="18"/>
      <c r="B20" s="19">
        <v>42598</v>
      </c>
      <c r="C20" s="170">
        <v>48935</v>
      </c>
      <c r="D20" s="221" t="s">
        <v>924</v>
      </c>
      <c r="E20" s="21">
        <v>42598</v>
      </c>
      <c r="F20" s="22">
        <v>52473</v>
      </c>
      <c r="G20" s="23"/>
      <c r="H20" s="178"/>
      <c r="I20" s="39">
        <v>0</v>
      </c>
      <c r="J20" s="45"/>
      <c r="K20" s="46" t="s">
        <v>17</v>
      </c>
      <c r="L20" s="47">
        <v>0</v>
      </c>
      <c r="M20" s="26" t="s">
        <v>925</v>
      </c>
      <c r="N20" s="27">
        <v>0</v>
      </c>
      <c r="R20" s="18"/>
      <c r="S20" s="19">
        <v>42598</v>
      </c>
      <c r="T20" s="170">
        <v>48935</v>
      </c>
      <c r="U20" s="221" t="s">
        <v>924</v>
      </c>
      <c r="V20" s="21">
        <v>42598</v>
      </c>
      <c r="W20" s="22">
        <v>52473</v>
      </c>
      <c r="X20" s="23"/>
      <c r="Y20" s="178"/>
      <c r="Z20" s="39">
        <v>0</v>
      </c>
      <c r="AA20" s="45"/>
      <c r="AB20" s="46" t="s">
        <v>17</v>
      </c>
      <c r="AC20" s="47">
        <v>0</v>
      </c>
      <c r="AD20" s="26" t="s">
        <v>925</v>
      </c>
      <c r="AE20" s="27">
        <v>0</v>
      </c>
      <c r="AG20" s="51"/>
      <c r="AI20" s="18"/>
      <c r="AJ20" s="19">
        <v>42598</v>
      </c>
      <c r="AK20" s="170"/>
      <c r="AL20" s="221"/>
      <c r="AM20" s="21">
        <v>42598</v>
      </c>
      <c r="AN20" s="22"/>
      <c r="AO20" s="23"/>
      <c r="AP20" s="178"/>
      <c r="AQ20" s="39"/>
      <c r="AR20" s="45"/>
      <c r="AS20" s="46" t="s">
        <v>17</v>
      </c>
      <c r="AT20" s="47">
        <v>0</v>
      </c>
      <c r="AU20" s="26"/>
      <c r="AV20" s="27">
        <v>0</v>
      </c>
      <c r="AX20" s="18"/>
      <c r="AY20" s="19">
        <v>42598</v>
      </c>
      <c r="AZ20" s="170"/>
      <c r="BA20" s="221"/>
      <c r="BB20" s="21">
        <v>42598</v>
      </c>
      <c r="BC20" s="22"/>
      <c r="BD20" s="23"/>
      <c r="BE20" s="178"/>
      <c r="BF20" s="39"/>
      <c r="BG20" s="45"/>
      <c r="BH20" s="46" t="s">
        <v>17</v>
      </c>
      <c r="BI20" s="47">
        <v>0</v>
      </c>
      <c r="BJ20" s="26"/>
      <c r="BK20" s="27">
        <v>0</v>
      </c>
    </row>
    <row r="21" spans="1:63" ht="15.75" thickBot="1" x14ac:dyDescent="0.3">
      <c r="A21" s="18"/>
      <c r="B21" s="19">
        <v>42599</v>
      </c>
      <c r="C21" s="170">
        <v>43573</v>
      </c>
      <c r="D21" s="221" t="s">
        <v>928</v>
      </c>
      <c r="E21" s="21">
        <v>42599</v>
      </c>
      <c r="F21" s="22">
        <v>56577</v>
      </c>
      <c r="G21" s="23"/>
      <c r="H21" s="178"/>
      <c r="I21" s="39">
        <v>0</v>
      </c>
      <c r="J21" s="33"/>
      <c r="K21" s="237"/>
      <c r="L21" s="47">
        <v>0</v>
      </c>
      <c r="M21" s="26" t="s">
        <v>929</v>
      </c>
      <c r="N21" s="27">
        <v>0</v>
      </c>
      <c r="R21" s="18"/>
      <c r="S21" s="19">
        <v>42599</v>
      </c>
      <c r="T21" s="170">
        <v>43573</v>
      </c>
      <c r="U21" s="221" t="s">
        <v>928</v>
      </c>
      <c r="V21" s="21">
        <v>42599</v>
      </c>
      <c r="W21" s="22">
        <v>56577</v>
      </c>
      <c r="X21" s="23"/>
      <c r="Y21" s="178"/>
      <c r="Z21" s="39">
        <v>0</v>
      </c>
      <c r="AA21" s="33"/>
      <c r="AB21" s="237"/>
      <c r="AC21" s="47">
        <v>0</v>
      </c>
      <c r="AD21" s="26" t="s">
        <v>929</v>
      </c>
      <c r="AE21" s="27">
        <v>0</v>
      </c>
      <c r="AG21" s="51"/>
      <c r="AI21" s="18"/>
      <c r="AJ21" s="19">
        <v>42599</v>
      </c>
      <c r="AK21" s="170"/>
      <c r="AL21" s="221"/>
      <c r="AM21" s="21">
        <v>42599</v>
      </c>
      <c r="AN21" s="22"/>
      <c r="AO21" s="23"/>
      <c r="AP21" s="178"/>
      <c r="AQ21" s="39"/>
      <c r="AR21" s="33"/>
      <c r="AS21" s="237"/>
      <c r="AT21" s="47">
        <v>0</v>
      </c>
      <c r="AU21" s="26"/>
      <c r="AV21" s="27">
        <v>0</v>
      </c>
      <c r="AX21" s="18"/>
      <c r="AY21" s="19">
        <v>42599</v>
      </c>
      <c r="AZ21" s="170"/>
      <c r="BA21" s="221"/>
      <c r="BB21" s="21">
        <v>42599</v>
      </c>
      <c r="BC21" s="22"/>
      <c r="BD21" s="23"/>
      <c r="BE21" s="178"/>
      <c r="BF21" s="39"/>
      <c r="BG21" s="33"/>
      <c r="BH21" s="237"/>
      <c r="BI21" s="47">
        <v>0</v>
      </c>
      <c r="BJ21" s="26"/>
      <c r="BK21" s="27">
        <v>0</v>
      </c>
    </row>
    <row r="22" spans="1:63" ht="15.75" thickBot="1" x14ac:dyDescent="0.3">
      <c r="A22" s="18"/>
      <c r="B22" s="19">
        <v>42600</v>
      </c>
      <c r="C22" s="170">
        <v>60266.5</v>
      </c>
      <c r="D22" s="219" t="s">
        <v>930</v>
      </c>
      <c r="E22" s="21">
        <v>42600</v>
      </c>
      <c r="F22" s="22">
        <v>54117</v>
      </c>
      <c r="G22" s="23"/>
      <c r="H22" s="178"/>
      <c r="I22" s="39">
        <v>0</v>
      </c>
      <c r="J22" s="45"/>
      <c r="K22" s="49"/>
      <c r="L22" s="47">
        <v>0</v>
      </c>
      <c r="M22" s="26" t="s">
        <v>931</v>
      </c>
      <c r="N22" s="27">
        <v>0</v>
      </c>
      <c r="R22" s="18"/>
      <c r="S22" s="19">
        <v>42600</v>
      </c>
      <c r="T22" s="170">
        <v>60266.5</v>
      </c>
      <c r="U22" s="219" t="s">
        <v>930</v>
      </c>
      <c r="V22" s="21">
        <v>42600</v>
      </c>
      <c r="W22" s="22">
        <v>54117</v>
      </c>
      <c r="X22" s="23"/>
      <c r="Y22" s="178"/>
      <c r="Z22" s="39">
        <v>0</v>
      </c>
      <c r="AA22" s="45"/>
      <c r="AB22" s="49"/>
      <c r="AC22" s="47">
        <v>0</v>
      </c>
      <c r="AD22" s="26" t="s">
        <v>931</v>
      </c>
      <c r="AE22" s="27">
        <v>0</v>
      </c>
      <c r="AG22" s="51"/>
      <c r="AI22" s="18"/>
      <c r="AJ22" s="19">
        <v>42600</v>
      </c>
      <c r="AK22" s="170"/>
      <c r="AL22" s="219"/>
      <c r="AM22" s="21">
        <v>42600</v>
      </c>
      <c r="AN22" s="22"/>
      <c r="AO22" s="23"/>
      <c r="AP22" s="178"/>
      <c r="AQ22" s="39"/>
      <c r="AR22" s="45"/>
      <c r="AS22" s="49"/>
      <c r="AT22" s="47">
        <v>0</v>
      </c>
      <c r="AU22" s="26"/>
      <c r="AV22" s="27">
        <v>0</v>
      </c>
      <c r="AX22" s="18"/>
      <c r="AY22" s="19">
        <v>42600</v>
      </c>
      <c r="AZ22" s="170"/>
      <c r="BA22" s="219"/>
      <c r="BB22" s="21">
        <v>42600</v>
      </c>
      <c r="BC22" s="22"/>
      <c r="BD22" s="23"/>
      <c r="BE22" s="178"/>
      <c r="BF22" s="39"/>
      <c r="BG22" s="45"/>
      <c r="BH22" s="49"/>
      <c r="BI22" s="47">
        <v>0</v>
      </c>
      <c r="BJ22" s="26"/>
      <c r="BK22" s="27">
        <v>0</v>
      </c>
    </row>
    <row r="23" spans="1:63" ht="15.75" thickBot="1" x14ac:dyDescent="0.3">
      <c r="A23" s="18"/>
      <c r="B23" s="19">
        <v>42601</v>
      </c>
      <c r="C23" s="170">
        <v>73006</v>
      </c>
      <c r="D23" s="219" t="s">
        <v>932</v>
      </c>
      <c r="E23" s="21">
        <v>42601</v>
      </c>
      <c r="F23" s="22">
        <v>73827</v>
      </c>
      <c r="G23" s="23"/>
      <c r="H23" s="178"/>
      <c r="I23" s="39">
        <v>26</v>
      </c>
      <c r="J23" s="33"/>
      <c r="K23" s="50"/>
      <c r="L23" s="47" t="s">
        <v>23</v>
      </c>
      <c r="M23" s="26" t="s">
        <v>933</v>
      </c>
      <c r="N23" s="27">
        <v>402.5</v>
      </c>
      <c r="R23" s="18"/>
      <c r="S23" s="19">
        <v>42601</v>
      </c>
      <c r="T23" s="170">
        <v>73006</v>
      </c>
      <c r="U23" s="219" t="s">
        <v>932</v>
      </c>
      <c r="V23" s="21">
        <v>42601</v>
      </c>
      <c r="W23" s="22">
        <v>73827</v>
      </c>
      <c r="X23" s="23"/>
      <c r="Y23" s="178"/>
      <c r="Z23" s="39">
        <v>26</v>
      </c>
      <c r="AA23" s="33"/>
      <c r="AB23" s="50"/>
      <c r="AC23" s="47" t="s">
        <v>23</v>
      </c>
      <c r="AD23" s="26" t="s">
        <v>933</v>
      </c>
      <c r="AE23" s="27">
        <v>402.5</v>
      </c>
      <c r="AG23" s="51"/>
      <c r="AI23" s="18"/>
      <c r="AJ23" s="19">
        <v>42601</v>
      </c>
      <c r="AK23" s="170"/>
      <c r="AL23" s="219"/>
      <c r="AM23" s="21">
        <v>42601</v>
      </c>
      <c r="AN23" s="22"/>
      <c r="AO23" s="23"/>
      <c r="AP23" s="178"/>
      <c r="AQ23" s="39"/>
      <c r="AR23" s="33"/>
      <c r="AS23" s="50"/>
      <c r="AT23" s="47" t="s">
        <v>23</v>
      </c>
      <c r="AU23" s="26"/>
      <c r="AV23" s="27">
        <v>0</v>
      </c>
      <c r="AX23" s="18"/>
      <c r="AY23" s="19">
        <v>42601</v>
      </c>
      <c r="AZ23" s="170"/>
      <c r="BA23" s="219"/>
      <c r="BB23" s="21">
        <v>42601</v>
      </c>
      <c r="BC23" s="22"/>
      <c r="BD23" s="23"/>
      <c r="BE23" s="178"/>
      <c r="BF23" s="39"/>
      <c r="BG23" s="33"/>
      <c r="BH23" s="50"/>
      <c r="BI23" s="47" t="s">
        <v>23</v>
      </c>
      <c r="BJ23" s="26"/>
      <c r="BK23" s="27">
        <v>0</v>
      </c>
    </row>
    <row r="24" spans="1:63" ht="15.75" thickBot="1" x14ac:dyDescent="0.3">
      <c r="A24" s="18"/>
      <c r="B24" s="19">
        <v>42602</v>
      </c>
      <c r="C24" s="170">
        <v>120317</v>
      </c>
      <c r="D24" s="219" t="s">
        <v>934</v>
      </c>
      <c r="E24" s="21">
        <v>42602</v>
      </c>
      <c r="F24" s="22">
        <v>109937</v>
      </c>
      <c r="G24" s="23"/>
      <c r="H24" s="178"/>
      <c r="I24" s="39">
        <v>0</v>
      </c>
      <c r="J24" s="33"/>
      <c r="K24" s="52" t="s">
        <v>19</v>
      </c>
      <c r="L24" s="47">
        <v>0</v>
      </c>
      <c r="M24" s="26" t="s">
        <v>935</v>
      </c>
      <c r="N24" s="27">
        <v>0</v>
      </c>
      <c r="R24" s="18"/>
      <c r="S24" s="19">
        <v>42602</v>
      </c>
      <c r="T24" s="170">
        <v>120317</v>
      </c>
      <c r="U24" s="219" t="s">
        <v>934</v>
      </c>
      <c r="V24" s="21">
        <v>42602</v>
      </c>
      <c r="W24" s="22">
        <v>109937</v>
      </c>
      <c r="X24" s="23"/>
      <c r="Y24" s="178"/>
      <c r="Z24" s="39">
        <v>0</v>
      </c>
      <c r="AA24" s="33"/>
      <c r="AB24" s="52" t="s">
        <v>19</v>
      </c>
      <c r="AC24" s="47">
        <v>0</v>
      </c>
      <c r="AD24" s="26" t="s">
        <v>935</v>
      </c>
      <c r="AE24" s="27">
        <v>0</v>
      </c>
      <c r="AG24" s="51"/>
      <c r="AI24" s="18"/>
      <c r="AJ24" s="19">
        <v>42602</v>
      </c>
      <c r="AK24" s="170"/>
      <c r="AL24" s="219"/>
      <c r="AM24" s="21">
        <v>42602</v>
      </c>
      <c r="AN24" s="22"/>
      <c r="AO24" s="23"/>
      <c r="AP24" s="178"/>
      <c r="AQ24" s="39"/>
      <c r="AR24" s="33"/>
      <c r="AS24" s="52" t="s">
        <v>19</v>
      </c>
      <c r="AT24" s="47">
        <v>0</v>
      </c>
      <c r="AU24" s="26"/>
      <c r="AV24" s="27">
        <v>0</v>
      </c>
      <c r="AX24" s="18"/>
      <c r="AY24" s="19">
        <v>42602</v>
      </c>
      <c r="AZ24" s="170"/>
      <c r="BA24" s="219"/>
      <c r="BB24" s="21">
        <v>42602</v>
      </c>
      <c r="BC24" s="22"/>
      <c r="BD24" s="23"/>
      <c r="BE24" s="178"/>
      <c r="BF24" s="39"/>
      <c r="BG24" s="33"/>
      <c r="BH24" s="52" t="s">
        <v>19</v>
      </c>
      <c r="BI24" s="47">
        <v>0</v>
      </c>
      <c r="BJ24" s="26"/>
      <c r="BK24" s="27">
        <v>0</v>
      </c>
    </row>
    <row r="25" spans="1:63" ht="15.75" thickBot="1" x14ac:dyDescent="0.3">
      <c r="A25" s="18"/>
      <c r="B25" s="19">
        <v>42603</v>
      </c>
      <c r="C25" s="170">
        <v>102058.5</v>
      </c>
      <c r="D25" s="235" t="s">
        <v>936</v>
      </c>
      <c r="E25" s="21">
        <v>42603</v>
      </c>
      <c r="F25" s="22">
        <v>86989</v>
      </c>
      <c r="G25" s="23"/>
      <c r="H25" s="178"/>
      <c r="I25" s="39">
        <v>32</v>
      </c>
      <c r="J25" s="33"/>
      <c r="K25" s="266"/>
      <c r="L25" s="47"/>
      <c r="M25" s="26" t="s">
        <v>937</v>
      </c>
      <c r="N25" s="27">
        <v>0</v>
      </c>
      <c r="R25" s="18"/>
      <c r="S25" s="19">
        <v>42603</v>
      </c>
      <c r="T25" s="170">
        <v>102058.5</v>
      </c>
      <c r="U25" s="235" t="s">
        <v>936</v>
      </c>
      <c r="V25" s="21">
        <v>42603</v>
      </c>
      <c r="W25" s="22">
        <v>86989</v>
      </c>
      <c r="X25" s="23"/>
      <c r="Y25" s="178"/>
      <c r="Z25" s="39">
        <v>32</v>
      </c>
      <c r="AA25" s="33"/>
      <c r="AB25" s="266"/>
      <c r="AC25" s="47"/>
      <c r="AD25" s="26" t="s">
        <v>937</v>
      </c>
      <c r="AE25" s="27">
        <v>0</v>
      </c>
      <c r="AG25" s="51"/>
      <c r="AI25" s="18"/>
      <c r="AJ25" s="19">
        <v>42603</v>
      </c>
      <c r="AK25" s="170"/>
      <c r="AL25" s="235"/>
      <c r="AM25" s="21">
        <v>42603</v>
      </c>
      <c r="AN25" s="22"/>
      <c r="AO25" s="23"/>
      <c r="AP25" s="178"/>
      <c r="AQ25" s="39"/>
      <c r="AR25" s="33"/>
      <c r="AS25" s="266"/>
      <c r="AT25" s="47"/>
      <c r="AU25" s="26"/>
      <c r="AV25" s="27">
        <v>0</v>
      </c>
      <c r="AX25" s="18"/>
      <c r="AY25" s="19">
        <v>42603</v>
      </c>
      <c r="AZ25" s="170"/>
      <c r="BA25" s="235"/>
      <c r="BB25" s="21">
        <v>42603</v>
      </c>
      <c r="BC25" s="22"/>
      <c r="BD25" s="23"/>
      <c r="BE25" s="178"/>
      <c r="BF25" s="39"/>
      <c r="BG25" s="33"/>
      <c r="BH25" s="266"/>
      <c r="BI25" s="47"/>
      <c r="BJ25" s="26"/>
      <c r="BK25" s="27">
        <v>0</v>
      </c>
    </row>
    <row r="26" spans="1:63" ht="15.75" thickBot="1" x14ac:dyDescent="0.3">
      <c r="A26" s="18"/>
      <c r="B26" s="19">
        <v>42604</v>
      </c>
      <c r="C26" s="170">
        <v>66178.5</v>
      </c>
      <c r="D26" s="219" t="s">
        <v>938</v>
      </c>
      <c r="E26" s="21">
        <v>42604</v>
      </c>
      <c r="F26" s="22">
        <v>85275</v>
      </c>
      <c r="G26" s="23"/>
      <c r="H26" s="178"/>
      <c r="I26" s="39">
        <v>0</v>
      </c>
      <c r="J26" s="33"/>
      <c r="K26" s="53" t="s">
        <v>18</v>
      </c>
      <c r="L26" s="47">
        <v>900</v>
      </c>
      <c r="M26" s="26" t="s">
        <v>939</v>
      </c>
      <c r="N26" s="27">
        <v>0</v>
      </c>
      <c r="R26" s="18"/>
      <c r="S26" s="19">
        <v>42604</v>
      </c>
      <c r="T26" s="170">
        <v>66178.5</v>
      </c>
      <c r="U26" s="219" t="s">
        <v>938</v>
      </c>
      <c r="V26" s="21">
        <v>42604</v>
      </c>
      <c r="W26" s="22">
        <v>85275</v>
      </c>
      <c r="X26" s="23"/>
      <c r="Y26" s="178"/>
      <c r="Z26" s="39">
        <v>0</v>
      </c>
      <c r="AA26" s="33"/>
      <c r="AB26" s="53" t="s">
        <v>18</v>
      </c>
      <c r="AC26" s="47">
        <v>900</v>
      </c>
      <c r="AD26" s="26" t="s">
        <v>939</v>
      </c>
      <c r="AE26" s="27">
        <v>0</v>
      </c>
      <c r="AG26" s="51"/>
      <c r="AI26" s="18"/>
      <c r="AJ26" s="19">
        <v>42604</v>
      </c>
      <c r="AK26" s="170"/>
      <c r="AL26" s="219"/>
      <c r="AM26" s="21">
        <v>42604</v>
      </c>
      <c r="AN26" s="22"/>
      <c r="AO26" s="23"/>
      <c r="AP26" s="178"/>
      <c r="AQ26" s="39"/>
      <c r="AR26" s="33"/>
      <c r="AS26" s="53" t="s">
        <v>18</v>
      </c>
      <c r="AT26" s="47">
        <v>900</v>
      </c>
      <c r="AU26" s="26"/>
      <c r="AV26" s="27">
        <v>0</v>
      </c>
      <c r="AX26" s="18"/>
      <c r="AY26" s="19">
        <v>42604</v>
      </c>
      <c r="AZ26" s="170"/>
      <c r="BA26" s="219"/>
      <c r="BB26" s="21">
        <v>42604</v>
      </c>
      <c r="BC26" s="22"/>
      <c r="BD26" s="23"/>
      <c r="BE26" s="178"/>
      <c r="BF26" s="39"/>
      <c r="BG26" s="33"/>
      <c r="BH26" s="53" t="s">
        <v>18</v>
      </c>
      <c r="BI26" s="47">
        <v>900</v>
      </c>
      <c r="BJ26" s="26"/>
      <c r="BK26" s="27">
        <v>0</v>
      </c>
    </row>
    <row r="27" spans="1:63" ht="15.75" thickBot="1" x14ac:dyDescent="0.3">
      <c r="A27" s="18"/>
      <c r="B27" s="19">
        <v>42605</v>
      </c>
      <c r="C27" s="170">
        <v>32748</v>
      </c>
      <c r="D27" s="219" t="s">
        <v>940</v>
      </c>
      <c r="E27" s="21">
        <v>42605</v>
      </c>
      <c r="F27" s="22">
        <v>30618.5</v>
      </c>
      <c r="G27" s="23"/>
      <c r="H27" s="178"/>
      <c r="I27" s="39">
        <v>0</v>
      </c>
      <c r="J27" s="33"/>
      <c r="K27" s="175">
        <v>42586</v>
      </c>
      <c r="L27" s="47"/>
      <c r="M27" s="26" t="s">
        <v>941</v>
      </c>
      <c r="N27" s="27">
        <v>0</v>
      </c>
      <c r="R27" s="18"/>
      <c r="S27" s="19">
        <v>42605</v>
      </c>
      <c r="T27" s="170">
        <v>32748</v>
      </c>
      <c r="U27" s="219" t="s">
        <v>940</v>
      </c>
      <c r="V27" s="21">
        <v>42605</v>
      </c>
      <c r="W27" s="233">
        <v>30618.5</v>
      </c>
      <c r="X27" s="23"/>
      <c r="Y27" s="178"/>
      <c r="Z27" s="234">
        <v>0</v>
      </c>
      <c r="AA27" s="33"/>
      <c r="AB27" s="175">
        <v>42586</v>
      </c>
      <c r="AC27" s="47"/>
      <c r="AD27" s="26" t="s">
        <v>941</v>
      </c>
      <c r="AE27" s="27">
        <v>0</v>
      </c>
      <c r="AG27" s="51"/>
      <c r="AI27" s="18"/>
      <c r="AJ27" s="19">
        <v>42605</v>
      </c>
      <c r="AK27" s="170"/>
      <c r="AL27" s="219"/>
      <c r="AM27" s="21">
        <v>42605</v>
      </c>
      <c r="AN27" s="22"/>
      <c r="AO27" s="23"/>
      <c r="AP27" s="178"/>
      <c r="AQ27" s="39"/>
      <c r="AR27" s="33"/>
      <c r="AS27" s="175">
        <v>42586</v>
      </c>
      <c r="AT27" s="47"/>
      <c r="AU27" s="26"/>
      <c r="AV27" s="27">
        <v>0</v>
      </c>
      <c r="AX27" s="18"/>
      <c r="AY27" s="19">
        <v>42605</v>
      </c>
      <c r="AZ27" s="170"/>
      <c r="BA27" s="219"/>
      <c r="BB27" s="21">
        <v>42605</v>
      </c>
      <c r="BC27" s="22"/>
      <c r="BD27" s="23"/>
      <c r="BE27" s="178"/>
      <c r="BF27" s="39"/>
      <c r="BG27" s="33"/>
      <c r="BH27" s="175">
        <v>42586</v>
      </c>
      <c r="BI27" s="47"/>
      <c r="BJ27" s="26"/>
      <c r="BK27" s="27">
        <v>0</v>
      </c>
    </row>
    <row r="28" spans="1:63" ht="15.75" thickBot="1" x14ac:dyDescent="0.3">
      <c r="A28" s="18"/>
      <c r="B28" s="19">
        <v>42606</v>
      </c>
      <c r="C28" s="170">
        <v>68736</v>
      </c>
      <c r="D28" s="219" t="s">
        <v>942</v>
      </c>
      <c r="E28" s="21">
        <v>42606</v>
      </c>
      <c r="F28" s="22">
        <v>57701.5</v>
      </c>
      <c r="G28" s="23"/>
      <c r="H28" s="178"/>
      <c r="I28" s="39">
        <v>0</v>
      </c>
      <c r="J28" s="33"/>
      <c r="K28" s="53" t="s">
        <v>411</v>
      </c>
      <c r="L28" s="47">
        <v>0</v>
      </c>
      <c r="M28" s="37" t="s">
        <v>945</v>
      </c>
      <c r="N28" s="27">
        <v>0</v>
      </c>
      <c r="R28" s="18"/>
      <c r="S28" s="19">
        <v>42606</v>
      </c>
      <c r="T28" s="170"/>
      <c r="U28" s="219"/>
      <c r="V28" s="21">
        <v>42606</v>
      </c>
      <c r="W28" s="22"/>
      <c r="X28" s="23"/>
      <c r="Y28" s="178"/>
      <c r="Z28" s="39"/>
      <c r="AA28" s="33"/>
      <c r="AB28" s="53" t="s">
        <v>411</v>
      </c>
      <c r="AC28" s="47">
        <v>0</v>
      </c>
      <c r="AD28" s="37"/>
      <c r="AE28" s="27">
        <v>0</v>
      </c>
      <c r="AG28" s="51"/>
      <c r="AI28" s="18"/>
      <c r="AJ28" s="19">
        <v>42606</v>
      </c>
      <c r="AK28" s="170"/>
      <c r="AL28" s="219"/>
      <c r="AM28" s="21">
        <v>42606</v>
      </c>
      <c r="AN28" s="22"/>
      <c r="AO28" s="23"/>
      <c r="AP28" s="178"/>
      <c r="AQ28" s="39"/>
      <c r="AR28" s="33"/>
      <c r="AS28" s="53" t="s">
        <v>411</v>
      </c>
      <c r="AT28" s="47">
        <v>0</v>
      </c>
      <c r="AU28" s="37"/>
      <c r="AV28" s="27">
        <v>0</v>
      </c>
      <c r="AX28" s="18"/>
      <c r="AY28" s="19">
        <v>42606</v>
      </c>
      <c r="AZ28" s="170"/>
      <c r="BA28" s="219"/>
      <c r="BB28" s="21">
        <v>42606</v>
      </c>
      <c r="BC28" s="22"/>
      <c r="BD28" s="23"/>
      <c r="BE28" s="178"/>
      <c r="BF28" s="39"/>
      <c r="BG28" s="33"/>
      <c r="BH28" s="53" t="s">
        <v>411</v>
      </c>
      <c r="BI28" s="47">
        <v>0</v>
      </c>
      <c r="BJ28" s="37"/>
      <c r="BK28" s="27">
        <v>0</v>
      </c>
    </row>
    <row r="29" spans="1:63" ht="15.75" thickBot="1" x14ac:dyDescent="0.3">
      <c r="A29" s="18"/>
      <c r="B29" s="19">
        <v>42607</v>
      </c>
      <c r="C29" s="170">
        <v>58346</v>
      </c>
      <c r="D29" s="219" t="s">
        <v>943</v>
      </c>
      <c r="E29" s="21">
        <v>42607</v>
      </c>
      <c r="F29" s="22">
        <v>53368</v>
      </c>
      <c r="G29" s="23"/>
      <c r="H29" s="178"/>
      <c r="I29" s="39">
        <v>0</v>
      </c>
      <c r="J29" s="33"/>
      <c r="K29" s="266"/>
      <c r="L29" s="35"/>
      <c r="M29" s="26" t="s">
        <v>944</v>
      </c>
      <c r="N29" s="27">
        <v>0</v>
      </c>
      <c r="R29" s="18"/>
      <c r="S29" s="19">
        <v>42607</v>
      </c>
      <c r="T29" s="170"/>
      <c r="U29" s="219"/>
      <c r="V29" s="21">
        <v>42607</v>
      </c>
      <c r="W29" s="22"/>
      <c r="X29" s="23"/>
      <c r="Y29" s="178"/>
      <c r="Z29" s="39"/>
      <c r="AA29" s="33"/>
      <c r="AB29" s="266"/>
      <c r="AC29" s="35"/>
      <c r="AD29" s="26"/>
      <c r="AE29" s="27">
        <v>0</v>
      </c>
      <c r="AG29" s="51"/>
      <c r="AI29" s="18"/>
      <c r="AJ29" s="19">
        <v>42607</v>
      </c>
      <c r="AK29" s="170"/>
      <c r="AL29" s="219"/>
      <c r="AM29" s="21">
        <v>42607</v>
      </c>
      <c r="AN29" s="22"/>
      <c r="AO29" s="23"/>
      <c r="AP29" s="178"/>
      <c r="AQ29" s="39"/>
      <c r="AR29" s="33"/>
      <c r="AS29" s="266"/>
      <c r="AT29" s="35"/>
      <c r="AU29" s="26"/>
      <c r="AV29" s="27">
        <v>0</v>
      </c>
      <c r="AX29" s="18"/>
      <c r="AY29" s="19">
        <v>42607</v>
      </c>
      <c r="AZ29" s="170"/>
      <c r="BA29" s="219"/>
      <c r="BB29" s="21">
        <v>42607</v>
      </c>
      <c r="BC29" s="22"/>
      <c r="BD29" s="23"/>
      <c r="BE29" s="178"/>
      <c r="BF29" s="39"/>
      <c r="BG29" s="33"/>
      <c r="BH29" s="266"/>
      <c r="BI29" s="35"/>
      <c r="BJ29" s="26"/>
      <c r="BK29" s="27">
        <v>0</v>
      </c>
    </row>
    <row r="30" spans="1:63" ht="15.75" thickBot="1" x14ac:dyDescent="0.3">
      <c r="A30" s="18"/>
      <c r="B30" s="19">
        <v>42608</v>
      </c>
      <c r="C30" s="170"/>
      <c r="D30" s="218"/>
      <c r="E30" s="21">
        <v>42608</v>
      </c>
      <c r="F30" s="22"/>
      <c r="G30" s="23"/>
      <c r="H30" s="178"/>
      <c r="I30" s="39"/>
      <c r="J30" s="33"/>
      <c r="K30" s="54" t="s">
        <v>164</v>
      </c>
      <c r="L30" s="35">
        <v>0</v>
      </c>
      <c r="M30" s="37"/>
      <c r="N30" s="27">
        <v>0</v>
      </c>
      <c r="R30" s="18"/>
      <c r="S30" s="19">
        <v>42608</v>
      </c>
      <c r="T30" s="170"/>
      <c r="U30" s="218"/>
      <c r="V30" s="21">
        <v>42608</v>
      </c>
      <c r="W30" s="22"/>
      <c r="X30" s="23"/>
      <c r="Y30" s="178"/>
      <c r="Z30" s="39"/>
      <c r="AA30" s="33"/>
      <c r="AB30" s="54" t="s">
        <v>164</v>
      </c>
      <c r="AC30" s="35">
        <v>0</v>
      </c>
      <c r="AD30" s="37"/>
      <c r="AE30" s="27">
        <v>0</v>
      </c>
      <c r="AG30" s="51"/>
      <c r="AI30" s="18"/>
      <c r="AJ30" s="19">
        <v>42608</v>
      </c>
      <c r="AK30" s="170"/>
      <c r="AL30" s="218"/>
      <c r="AM30" s="21">
        <v>42608</v>
      </c>
      <c r="AN30" s="22"/>
      <c r="AO30" s="23"/>
      <c r="AP30" s="178"/>
      <c r="AQ30" s="39"/>
      <c r="AR30" s="33"/>
      <c r="AS30" s="54" t="s">
        <v>164</v>
      </c>
      <c r="AT30" s="35">
        <v>0</v>
      </c>
      <c r="AU30" s="37"/>
      <c r="AV30" s="27">
        <v>0</v>
      </c>
      <c r="AX30" s="18"/>
      <c r="AY30" s="19">
        <v>42608</v>
      </c>
      <c r="AZ30" s="170"/>
      <c r="BA30" s="218"/>
      <c r="BB30" s="21">
        <v>42608</v>
      </c>
      <c r="BC30" s="22"/>
      <c r="BD30" s="23"/>
      <c r="BE30" s="178"/>
      <c r="BF30" s="39"/>
      <c r="BG30" s="33"/>
      <c r="BH30" s="54" t="s">
        <v>164</v>
      </c>
      <c r="BI30" s="35">
        <v>0</v>
      </c>
      <c r="BJ30" s="37"/>
      <c r="BK30" s="27">
        <v>0</v>
      </c>
    </row>
    <row r="31" spans="1:63" ht="15.75" thickBot="1" x14ac:dyDescent="0.3">
      <c r="A31" s="18"/>
      <c r="B31" s="19">
        <v>42609</v>
      </c>
      <c r="C31" s="170"/>
      <c r="D31" s="218"/>
      <c r="E31" s="21">
        <v>42609</v>
      </c>
      <c r="F31" s="22"/>
      <c r="G31" s="23"/>
      <c r="H31" s="178"/>
      <c r="I31" s="39"/>
      <c r="J31" s="33"/>
      <c r="K31" s="48"/>
      <c r="L31" s="35"/>
      <c r="M31" s="37"/>
      <c r="N31" s="27">
        <v>0</v>
      </c>
      <c r="R31" s="18"/>
      <c r="S31" s="19">
        <v>42609</v>
      </c>
      <c r="T31" s="170"/>
      <c r="U31" s="218"/>
      <c r="V31" s="21">
        <v>42609</v>
      </c>
      <c r="W31" s="22"/>
      <c r="X31" s="23"/>
      <c r="Y31" s="178"/>
      <c r="Z31" s="39"/>
      <c r="AA31" s="33"/>
      <c r="AB31" s="48"/>
      <c r="AC31" s="35"/>
      <c r="AD31" s="37"/>
      <c r="AE31" s="27">
        <v>0</v>
      </c>
      <c r="AG31" s="51"/>
      <c r="AI31" s="18"/>
      <c r="AJ31" s="19">
        <v>42609</v>
      </c>
      <c r="AK31" s="170"/>
      <c r="AL31" s="218"/>
      <c r="AM31" s="21">
        <v>42609</v>
      </c>
      <c r="AN31" s="22"/>
      <c r="AO31" s="23"/>
      <c r="AP31" s="178"/>
      <c r="AQ31" s="39"/>
      <c r="AR31" s="33"/>
      <c r="AS31" s="48"/>
      <c r="AT31" s="35"/>
      <c r="AU31" s="37"/>
      <c r="AV31" s="27">
        <v>0</v>
      </c>
      <c r="AX31" s="18"/>
      <c r="AY31" s="19">
        <v>42609</v>
      </c>
      <c r="AZ31" s="170"/>
      <c r="BA31" s="218"/>
      <c r="BB31" s="21">
        <v>42609</v>
      </c>
      <c r="BC31" s="22"/>
      <c r="BD31" s="23"/>
      <c r="BE31" s="178"/>
      <c r="BF31" s="39"/>
      <c r="BG31" s="33"/>
      <c r="BH31" s="48"/>
      <c r="BI31" s="35"/>
      <c r="BJ31" s="37"/>
      <c r="BK31" s="27">
        <v>0</v>
      </c>
    </row>
    <row r="32" spans="1:63" ht="15.75" thickBot="1" x14ac:dyDescent="0.3">
      <c r="A32" s="18"/>
      <c r="B32" s="19">
        <v>42610</v>
      </c>
      <c r="C32" s="170"/>
      <c r="D32" s="218"/>
      <c r="E32" s="21">
        <v>42610</v>
      </c>
      <c r="F32" s="22"/>
      <c r="G32" s="23"/>
      <c r="H32" s="178"/>
      <c r="I32" s="39"/>
      <c r="J32" s="33"/>
      <c r="K32" s="54"/>
      <c r="L32" s="35"/>
      <c r="M32" s="26"/>
      <c r="N32" s="27">
        <v>0</v>
      </c>
      <c r="R32" s="18"/>
      <c r="S32" s="19">
        <v>42610</v>
      </c>
      <c r="T32" s="170"/>
      <c r="U32" s="218"/>
      <c r="V32" s="21">
        <v>42610</v>
      </c>
      <c r="W32" s="22"/>
      <c r="X32" s="23"/>
      <c r="Y32" s="178"/>
      <c r="Z32" s="39"/>
      <c r="AA32" s="33"/>
      <c r="AB32" s="54"/>
      <c r="AC32" s="35"/>
      <c r="AD32" s="26"/>
      <c r="AE32" s="27">
        <v>0</v>
      </c>
      <c r="AG32" s="51"/>
      <c r="AI32" s="18"/>
      <c r="AJ32" s="19">
        <v>42610</v>
      </c>
      <c r="AK32" s="170"/>
      <c r="AL32" s="218"/>
      <c r="AM32" s="21">
        <v>42610</v>
      </c>
      <c r="AN32" s="22"/>
      <c r="AO32" s="23"/>
      <c r="AP32" s="178"/>
      <c r="AQ32" s="39"/>
      <c r="AR32" s="33"/>
      <c r="AS32" s="54"/>
      <c r="AT32" s="35"/>
      <c r="AU32" s="26"/>
      <c r="AV32" s="27">
        <v>0</v>
      </c>
      <c r="AX32" s="18"/>
      <c r="AY32" s="19">
        <v>42610</v>
      </c>
      <c r="AZ32" s="170"/>
      <c r="BA32" s="218"/>
      <c r="BB32" s="21">
        <v>42610</v>
      </c>
      <c r="BC32" s="22"/>
      <c r="BD32" s="23"/>
      <c r="BE32" s="178"/>
      <c r="BF32" s="39"/>
      <c r="BG32" s="33"/>
      <c r="BH32" s="54"/>
      <c r="BI32" s="35"/>
      <c r="BJ32" s="26"/>
      <c r="BK32" s="27">
        <v>0</v>
      </c>
    </row>
    <row r="33" spans="1:63" ht="15.75" thickBot="1" x14ac:dyDescent="0.3">
      <c r="A33" s="18"/>
      <c r="B33" s="19">
        <v>42611</v>
      </c>
      <c r="C33" s="170"/>
      <c r="D33" s="220"/>
      <c r="E33" s="21">
        <v>42611</v>
      </c>
      <c r="F33" s="22"/>
      <c r="G33" s="23"/>
      <c r="H33" s="178"/>
      <c r="I33" s="39"/>
      <c r="J33" s="33"/>
      <c r="K33" s="54"/>
      <c r="L33" s="35"/>
      <c r="M33" s="26"/>
      <c r="N33" s="27"/>
      <c r="R33" s="18"/>
      <c r="S33" s="19">
        <v>42611</v>
      </c>
      <c r="T33" s="170"/>
      <c r="U33" s="220"/>
      <c r="V33" s="21">
        <v>42611</v>
      </c>
      <c r="W33" s="22"/>
      <c r="X33" s="23"/>
      <c r="Y33" s="178"/>
      <c r="Z33" s="39"/>
      <c r="AA33" s="33"/>
      <c r="AB33" s="54"/>
      <c r="AC33" s="35"/>
      <c r="AD33" s="26"/>
      <c r="AE33" s="27"/>
      <c r="AG33" s="51"/>
      <c r="AI33" s="18"/>
      <c r="AJ33" s="19">
        <v>42611</v>
      </c>
      <c r="AK33" s="170"/>
      <c r="AL33" s="220"/>
      <c r="AM33" s="21">
        <v>42611</v>
      </c>
      <c r="AN33" s="22"/>
      <c r="AO33" s="23"/>
      <c r="AP33" s="178"/>
      <c r="AQ33" s="39"/>
      <c r="AR33" s="33"/>
      <c r="AS33" s="54"/>
      <c r="AT33" s="35"/>
      <c r="AU33" s="26"/>
      <c r="AV33" s="27"/>
      <c r="AX33" s="18"/>
      <c r="AY33" s="19">
        <v>42611</v>
      </c>
      <c r="AZ33" s="170"/>
      <c r="BA33" s="220"/>
      <c r="BB33" s="21">
        <v>42611</v>
      </c>
      <c r="BC33" s="22"/>
      <c r="BD33" s="23"/>
      <c r="BE33" s="178"/>
      <c r="BF33" s="39"/>
      <c r="BG33" s="33"/>
      <c r="BH33" s="54"/>
      <c r="BI33" s="35"/>
      <c r="BJ33" s="26"/>
      <c r="BK33" s="27"/>
    </row>
    <row r="34" spans="1:63" ht="15.75" thickBot="1" x14ac:dyDescent="0.3">
      <c r="A34" s="18"/>
      <c r="B34" s="19">
        <v>42612</v>
      </c>
      <c r="C34" s="170"/>
      <c r="D34" s="221"/>
      <c r="E34" s="21">
        <v>42612</v>
      </c>
      <c r="F34" s="22"/>
      <c r="G34" s="23"/>
      <c r="H34" s="178"/>
      <c r="I34" s="39"/>
      <c r="J34" s="33"/>
      <c r="K34" s="54"/>
      <c r="L34" s="35"/>
      <c r="M34" s="56"/>
      <c r="N34" s="27">
        <v>0</v>
      </c>
      <c r="R34" s="18"/>
      <c r="S34" s="19">
        <v>42612</v>
      </c>
      <c r="T34" s="170"/>
      <c r="U34" s="221"/>
      <c r="V34" s="21">
        <v>42612</v>
      </c>
      <c r="W34" s="22"/>
      <c r="X34" s="23"/>
      <c r="Y34" s="178"/>
      <c r="Z34" s="39"/>
      <c r="AA34" s="33"/>
      <c r="AB34" s="54"/>
      <c r="AC34" s="35"/>
      <c r="AD34" s="56"/>
      <c r="AE34" s="27">
        <v>0</v>
      </c>
      <c r="AG34" s="51"/>
      <c r="AI34" s="18"/>
      <c r="AJ34" s="19">
        <v>42612</v>
      </c>
      <c r="AK34" s="170"/>
      <c r="AL34" s="221"/>
      <c r="AM34" s="21">
        <v>42612</v>
      </c>
      <c r="AN34" s="22"/>
      <c r="AO34" s="23"/>
      <c r="AP34" s="178"/>
      <c r="AQ34" s="39"/>
      <c r="AR34" s="33"/>
      <c r="AS34" s="54"/>
      <c r="AT34" s="35"/>
      <c r="AU34" s="56"/>
      <c r="AV34" s="27">
        <v>0</v>
      </c>
      <c r="AX34" s="18"/>
      <c r="AY34" s="19">
        <v>42612</v>
      </c>
      <c r="AZ34" s="170"/>
      <c r="BA34" s="221"/>
      <c r="BB34" s="21">
        <v>42612</v>
      </c>
      <c r="BC34" s="22"/>
      <c r="BD34" s="23"/>
      <c r="BE34" s="178"/>
      <c r="BF34" s="39"/>
      <c r="BG34" s="33"/>
      <c r="BH34" s="54"/>
      <c r="BI34" s="35"/>
      <c r="BJ34" s="56"/>
      <c r="BK34" s="27">
        <v>0</v>
      </c>
    </row>
    <row r="35" spans="1:63" ht="15.75" thickBot="1" x14ac:dyDescent="0.3">
      <c r="A35" s="18"/>
      <c r="B35" s="19">
        <v>42613</v>
      </c>
      <c r="C35" s="170"/>
      <c r="D35" s="218"/>
      <c r="E35" s="21">
        <v>42613</v>
      </c>
      <c r="F35" s="22"/>
      <c r="G35" s="23"/>
      <c r="H35" s="178"/>
      <c r="I35" s="39"/>
      <c r="J35" s="33"/>
      <c r="K35" s="54"/>
      <c r="L35" s="35"/>
      <c r="M35" s="57"/>
      <c r="N35" s="27">
        <v>0</v>
      </c>
      <c r="R35" s="18"/>
      <c r="S35" s="19">
        <v>42613</v>
      </c>
      <c r="T35" s="170"/>
      <c r="U35" s="218"/>
      <c r="V35" s="21">
        <v>42613</v>
      </c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G35" s="51"/>
      <c r="AI35" s="18"/>
      <c r="AJ35" s="19">
        <v>42613</v>
      </c>
      <c r="AK35" s="170"/>
      <c r="AL35" s="218"/>
      <c r="AM35" s="21">
        <v>42613</v>
      </c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X35" s="18"/>
      <c r="AY35" s="19">
        <v>42613</v>
      </c>
      <c r="AZ35" s="170"/>
      <c r="BA35" s="218"/>
      <c r="BB35" s="21">
        <v>42613</v>
      </c>
      <c r="BC35" s="22"/>
      <c r="BD35" s="23"/>
      <c r="BE35" s="178"/>
      <c r="BF35" s="39"/>
      <c r="BG35" s="33"/>
      <c r="BH35" s="54"/>
      <c r="BI35" s="35"/>
      <c r="BJ35" s="57"/>
      <c r="BK35" s="27">
        <v>0</v>
      </c>
    </row>
    <row r="36" spans="1:63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X36" s="58"/>
      <c r="AY36" s="59"/>
      <c r="AZ36" s="60">
        <v>0</v>
      </c>
      <c r="BA36" s="217"/>
      <c r="BB36" s="61"/>
      <c r="BC36" s="62">
        <v>0</v>
      </c>
      <c r="BE36" s="63"/>
      <c r="BF36" s="64"/>
      <c r="BG36" s="47"/>
      <c r="BH36" s="54"/>
      <c r="BI36" s="65"/>
      <c r="BJ36" s="8"/>
      <c r="BK36" s="27">
        <v>0</v>
      </c>
    </row>
    <row r="37" spans="1:63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402.5</v>
      </c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402.5</v>
      </c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X37" s="66"/>
      <c r="AY37" s="67"/>
      <c r="AZ37" s="68">
        <v>0</v>
      </c>
      <c r="BA37" s="217"/>
      <c r="BB37" s="69"/>
      <c r="BC37" s="70">
        <v>0</v>
      </c>
      <c r="BE37" s="71"/>
      <c r="BF37" s="72"/>
      <c r="BG37" s="47"/>
      <c r="BH37" s="73"/>
      <c r="BI37" s="74"/>
      <c r="BJ37" s="8"/>
      <c r="BK37" s="293">
        <f>SUM(BK5:BK36)</f>
        <v>0</v>
      </c>
    </row>
    <row r="38" spans="1:63" x14ac:dyDescent="0.25">
      <c r="B38" s="76" t="s">
        <v>20</v>
      </c>
      <c r="C38" s="77">
        <f>SUM(C5:C37)</f>
        <v>1660786</v>
      </c>
      <c r="E38" s="78" t="s">
        <v>20</v>
      </c>
      <c r="F38" s="79">
        <f>SUM(F5:F37)</f>
        <v>1641812.5</v>
      </c>
      <c r="H38" s="401" t="s">
        <v>20</v>
      </c>
      <c r="I38" s="4">
        <f>SUM(I5:I37)</f>
        <v>90</v>
      </c>
      <c r="J38" s="4"/>
      <c r="K38" s="80" t="s">
        <v>20</v>
      </c>
      <c r="L38" s="81">
        <f t="shared" ref="L38" si="0">SUM(L5:L37)</f>
        <v>37913.339999999997</v>
      </c>
      <c r="M38" s="8"/>
      <c r="N38" s="3"/>
      <c r="S38" s="76" t="s">
        <v>20</v>
      </c>
      <c r="T38" s="77">
        <f>SUM(T5:T37)</f>
        <v>1533704</v>
      </c>
      <c r="V38" s="78" t="s">
        <v>20</v>
      </c>
      <c r="W38" s="79">
        <f>SUM(W5:W37)</f>
        <v>1530743</v>
      </c>
      <c r="Y38" s="387" t="s">
        <v>20</v>
      </c>
      <c r="Z38" s="4">
        <f>SUM(Z5:Z37)</f>
        <v>90</v>
      </c>
      <c r="AA38" s="4"/>
      <c r="AB38" s="80" t="s">
        <v>20</v>
      </c>
      <c r="AC38" s="81">
        <f t="shared" ref="AC38" si="1">SUM(AC5:AC37)</f>
        <v>30725.84</v>
      </c>
      <c r="AD38" s="8"/>
      <c r="AE38" s="3"/>
      <c r="AG38" s="51"/>
      <c r="AJ38" s="76" t="s">
        <v>20</v>
      </c>
      <c r="AK38" s="77">
        <f>SUM(AK5:AK37)</f>
        <v>986621.5</v>
      </c>
      <c r="AM38" s="78" t="s">
        <v>20</v>
      </c>
      <c r="AN38" s="79">
        <f>SUM(AN5:AN37)</f>
        <v>980929.5</v>
      </c>
      <c r="AP38" s="378" t="s">
        <v>20</v>
      </c>
      <c r="AQ38" s="4">
        <f>SUM(AQ5:AQ37)</f>
        <v>32</v>
      </c>
      <c r="AR38" s="4"/>
      <c r="AS38" s="80" t="s">
        <v>20</v>
      </c>
      <c r="AT38" s="81">
        <f t="shared" ref="AT38" si="2">SUM(AT5:AT37)</f>
        <v>23538.34</v>
      </c>
      <c r="AU38" s="8"/>
      <c r="AV38" s="3"/>
      <c r="AY38" s="76" t="s">
        <v>20</v>
      </c>
      <c r="AZ38" s="77">
        <f>SUM(AZ5:AZ37)</f>
        <v>483372</v>
      </c>
      <c r="BB38" s="78" t="s">
        <v>20</v>
      </c>
      <c r="BC38" s="79">
        <f>SUM(BC5:BC37)</f>
        <v>480928.5</v>
      </c>
      <c r="BE38" s="363" t="s">
        <v>20</v>
      </c>
      <c r="BF38" s="4">
        <f>SUM(BF5:BF37)</f>
        <v>0</v>
      </c>
      <c r="BG38" s="4"/>
      <c r="BH38" s="80" t="s">
        <v>20</v>
      </c>
      <c r="BI38" s="81">
        <f t="shared" ref="BI38" si="3">SUM(BI5:BI37)</f>
        <v>8087.5</v>
      </c>
      <c r="BJ38" s="8"/>
      <c r="BK38" s="3"/>
    </row>
    <row r="39" spans="1:63" x14ac:dyDescent="0.25">
      <c r="B39" s="1"/>
      <c r="C39" s="5"/>
      <c r="F39" s="5"/>
      <c r="I39" s="5"/>
      <c r="J39" s="5"/>
      <c r="M39" s="8"/>
      <c r="N39" s="3"/>
      <c r="S39" s="1"/>
      <c r="T39" s="5"/>
      <c r="W39" s="5"/>
      <c r="Z39" s="5"/>
      <c r="AA39" s="5"/>
      <c r="AD39" s="8"/>
      <c r="AE39" s="3"/>
      <c r="AG39" s="51"/>
      <c r="AJ39" s="1"/>
      <c r="AK39" s="5"/>
      <c r="AN39" s="5"/>
      <c r="AQ39" s="5"/>
      <c r="AR39" s="5"/>
      <c r="AU39" s="8"/>
      <c r="AV39" s="3"/>
      <c r="AY39" s="1"/>
      <c r="AZ39" s="5"/>
      <c r="BC39" s="5"/>
      <c r="BF39" s="5"/>
      <c r="BG39" s="5"/>
      <c r="BJ39" s="8"/>
      <c r="BK39" s="3"/>
    </row>
    <row r="40" spans="1:63" ht="15.75" customHeight="1" x14ac:dyDescent="0.25">
      <c r="A40" s="83"/>
      <c r="B40" s="1"/>
      <c r="C40" s="84">
        <v>0</v>
      </c>
      <c r="D40" s="222"/>
      <c r="E40" s="34"/>
      <c r="F40" s="47"/>
      <c r="H40" s="420" t="s">
        <v>21</v>
      </c>
      <c r="I40" s="421"/>
      <c r="J40" s="402"/>
      <c r="K40" s="422">
        <f>I38+L38</f>
        <v>38003.339999999997</v>
      </c>
      <c r="L40" s="432"/>
      <c r="M40" s="51"/>
      <c r="N40" s="51"/>
      <c r="R40" s="83"/>
      <c r="S40" s="1"/>
      <c r="T40" s="84">
        <v>0</v>
      </c>
      <c r="U40" s="222"/>
      <c r="V40" s="34"/>
      <c r="W40" s="47"/>
      <c r="Y40" s="420" t="s">
        <v>21</v>
      </c>
      <c r="Z40" s="421"/>
      <c r="AA40" s="388"/>
      <c r="AB40" s="422">
        <f>Z38+AC38</f>
        <v>30815.84</v>
      </c>
      <c r="AC40" s="432"/>
      <c r="AD40" s="51"/>
      <c r="AE40" s="51"/>
      <c r="AG40" s="51"/>
      <c r="AI40" s="83"/>
      <c r="AJ40" s="1"/>
      <c r="AK40" s="84">
        <v>0</v>
      </c>
      <c r="AL40" s="222"/>
      <c r="AM40" s="34"/>
      <c r="AN40" s="47"/>
      <c r="AP40" s="420" t="s">
        <v>21</v>
      </c>
      <c r="AQ40" s="421"/>
      <c r="AR40" s="379"/>
      <c r="AS40" s="422">
        <f>AQ38+AT38</f>
        <v>23570.34</v>
      </c>
      <c r="AT40" s="432"/>
      <c r="AU40" s="51"/>
      <c r="AV40" s="51"/>
      <c r="AX40" s="83"/>
      <c r="AY40" s="1"/>
      <c r="AZ40" s="84">
        <v>0</v>
      </c>
      <c r="BA40" s="222"/>
      <c r="BB40" s="34"/>
      <c r="BC40" s="47"/>
      <c r="BE40" s="420" t="s">
        <v>21</v>
      </c>
      <c r="BF40" s="421"/>
      <c r="BG40" s="364"/>
      <c r="BH40" s="422">
        <f>BF38+BI38</f>
        <v>8087.5</v>
      </c>
      <c r="BI40" s="432"/>
      <c r="BJ40" s="51"/>
      <c r="BK40" s="51"/>
    </row>
    <row r="41" spans="1:63" ht="15.75" customHeight="1" x14ac:dyDescent="0.25">
      <c r="B41" s="1"/>
      <c r="C41" s="5"/>
      <c r="D41" s="419" t="s">
        <v>22</v>
      </c>
      <c r="E41" s="419"/>
      <c r="F41" s="86">
        <f>F38-K40</f>
        <v>1603809.16</v>
      </c>
      <c r="I41" s="87"/>
      <c r="J41" s="87"/>
      <c r="M41" s="51"/>
      <c r="N41" s="51"/>
      <c r="S41" s="1"/>
      <c r="T41" s="5"/>
      <c r="U41" s="419" t="s">
        <v>22</v>
      </c>
      <c r="V41" s="419"/>
      <c r="W41" s="86">
        <f>W38-AB40</f>
        <v>1499927.16</v>
      </c>
      <c r="Z41" s="87"/>
      <c r="AA41" s="87"/>
      <c r="AD41" s="51"/>
      <c r="AE41" s="51"/>
      <c r="AG41" s="51"/>
      <c r="AJ41" s="1"/>
      <c r="AK41" s="5"/>
      <c r="AL41" s="419" t="s">
        <v>22</v>
      </c>
      <c r="AM41" s="419"/>
      <c r="AN41" s="86">
        <f>AN38-AS40</f>
        <v>957359.16</v>
      </c>
      <c r="AQ41" s="87"/>
      <c r="AR41" s="87"/>
      <c r="AU41" s="51"/>
      <c r="AV41" s="51"/>
      <c r="AY41" s="1"/>
      <c r="AZ41" s="5"/>
      <c r="BA41" s="419" t="s">
        <v>22</v>
      </c>
      <c r="BB41" s="419"/>
      <c r="BC41" s="86">
        <f>BC38-BH40</f>
        <v>472841</v>
      </c>
      <c r="BF41" s="87"/>
      <c r="BG41" s="87"/>
      <c r="BJ41" s="51"/>
      <c r="BK41" s="51"/>
    </row>
    <row r="42" spans="1:63" x14ac:dyDescent="0.25">
      <c r="B42" s="1"/>
      <c r="C42" s="5"/>
      <c r="D42" s="222"/>
      <c r="E42" s="34"/>
      <c r="F42" s="86"/>
      <c r="I42" s="5"/>
      <c r="J42" s="5"/>
      <c r="M42" s="51"/>
      <c r="N42" s="51"/>
      <c r="S42" s="1"/>
      <c r="T42" s="5"/>
      <c r="U42" s="222"/>
      <c r="V42" s="34"/>
      <c r="W42" s="86"/>
      <c r="Z42" s="5"/>
      <c r="AA42" s="5"/>
      <c r="AD42" s="51"/>
      <c r="AE42" s="51"/>
      <c r="AG42" s="51"/>
      <c r="AJ42" s="1"/>
      <c r="AK42" s="5"/>
      <c r="AL42" s="222"/>
      <c r="AM42" s="34"/>
      <c r="AN42" s="86"/>
      <c r="AQ42" s="5"/>
      <c r="AR42" s="5"/>
      <c r="AU42" s="51"/>
      <c r="AV42" s="51"/>
      <c r="AY42" s="1"/>
      <c r="AZ42" s="5"/>
      <c r="BA42" s="222"/>
      <c r="BB42" s="34"/>
      <c r="BC42" s="86"/>
      <c r="BF42" s="5"/>
      <c r="BG42" s="5"/>
      <c r="BJ42" s="51"/>
      <c r="BK42" s="51"/>
    </row>
    <row r="43" spans="1:63" ht="15.75" thickBot="1" x14ac:dyDescent="0.3">
      <c r="B43" s="1"/>
      <c r="C43" s="5" t="s">
        <v>23</v>
      </c>
      <c r="D43" s="91" t="s">
        <v>24</v>
      </c>
      <c r="F43" s="350">
        <v>0</v>
      </c>
      <c r="I43" s="403"/>
      <c r="J43" s="403"/>
      <c r="K43" s="403"/>
      <c r="L43" s="14"/>
      <c r="M43" s="51"/>
      <c r="N43" s="51"/>
      <c r="S43" s="1"/>
      <c r="T43" s="5" t="s">
        <v>23</v>
      </c>
      <c r="U43" s="91" t="s">
        <v>24</v>
      </c>
      <c r="W43" s="350">
        <v>-1609355.72</v>
      </c>
      <c r="Z43" s="403"/>
      <c r="AA43" s="403"/>
      <c r="AB43" s="403"/>
      <c r="AC43" s="14"/>
      <c r="AD43" s="51"/>
      <c r="AE43" s="51"/>
      <c r="AG43" s="86"/>
      <c r="AJ43" s="1"/>
      <c r="AK43" s="5" t="s">
        <v>23</v>
      </c>
      <c r="AL43" s="91" t="s">
        <v>24</v>
      </c>
      <c r="AN43" s="350">
        <v>-982429.54</v>
      </c>
      <c r="AQ43" s="403"/>
      <c r="AR43" s="403"/>
      <c r="AS43" s="403"/>
      <c r="AT43" s="14"/>
      <c r="AU43" s="51"/>
      <c r="AV43" s="51"/>
      <c r="AY43" s="1"/>
      <c r="AZ43" s="5" t="s">
        <v>23</v>
      </c>
      <c r="BA43" s="91" t="s">
        <v>24</v>
      </c>
      <c r="BC43" s="350">
        <v>-470139.34</v>
      </c>
      <c r="BF43" s="403"/>
      <c r="BG43" s="403"/>
      <c r="BH43" s="403"/>
      <c r="BI43" s="14"/>
      <c r="BJ43" s="51"/>
      <c r="BK43" s="51"/>
    </row>
    <row r="44" spans="1:63" ht="16.5" thickTop="1" x14ac:dyDescent="0.25">
      <c r="B44" s="1"/>
      <c r="C44" s="5"/>
      <c r="E44" s="83" t="s">
        <v>25</v>
      </c>
      <c r="F44" s="4">
        <f>SUM(F41:F43)</f>
        <v>1603809.16</v>
      </c>
      <c r="I44" s="416" t="s">
        <v>26</v>
      </c>
      <c r="J44" s="416"/>
      <c r="K44" s="417">
        <f>F46</f>
        <v>1603809.16</v>
      </c>
      <c r="L44" s="418"/>
      <c r="M44" s="51"/>
      <c r="N44" s="51"/>
      <c r="S44" s="1"/>
      <c r="T44" s="5"/>
      <c r="V44" s="83" t="s">
        <v>25</v>
      </c>
      <c r="W44" s="4">
        <f>SUM(W41:W43)</f>
        <v>-109428.56000000006</v>
      </c>
      <c r="Z44" s="416" t="s">
        <v>26</v>
      </c>
      <c r="AA44" s="416"/>
      <c r="AB44" s="417">
        <f>W46</f>
        <v>64825.579999999958</v>
      </c>
      <c r="AC44" s="418"/>
      <c r="AD44" s="51"/>
      <c r="AE44" s="51"/>
      <c r="AG44" s="86"/>
      <c r="AJ44" s="1"/>
      <c r="AK44" s="5"/>
      <c r="AM44" s="83" t="s">
        <v>25</v>
      </c>
      <c r="AN44" s="4">
        <f>SUM(AN41:AN43)</f>
        <v>-25070.380000000005</v>
      </c>
      <c r="AQ44" s="416" t="s">
        <v>26</v>
      </c>
      <c r="AR44" s="416"/>
      <c r="AS44" s="417">
        <f>AN46</f>
        <v>124669.04000000001</v>
      </c>
      <c r="AT44" s="418"/>
      <c r="AU44" s="51"/>
      <c r="AV44" s="51"/>
      <c r="AY44" s="1"/>
      <c r="AZ44" s="5"/>
      <c r="BB44" s="83" t="s">
        <v>25</v>
      </c>
      <c r="BC44" s="4">
        <f>SUM(BC41:BC43)</f>
        <v>2701.6599999999744</v>
      </c>
      <c r="BF44" s="416" t="s">
        <v>26</v>
      </c>
      <c r="BG44" s="416"/>
      <c r="BH44" s="417">
        <f>BC46</f>
        <v>169473.76999999996</v>
      </c>
      <c r="BI44" s="418"/>
      <c r="BJ44" s="51"/>
      <c r="BK44" s="51"/>
    </row>
    <row r="45" spans="1:63" ht="16.5" thickBot="1" x14ac:dyDescent="0.3">
      <c r="B45" s="1"/>
      <c r="C45" s="5"/>
      <c r="D45" s="216" t="s">
        <v>27</v>
      </c>
      <c r="E45" s="78"/>
      <c r="F45" s="90">
        <v>0</v>
      </c>
      <c r="I45" s="409" t="s">
        <v>2</v>
      </c>
      <c r="J45" s="409"/>
      <c r="K45" s="410">
        <f>-C4</f>
        <v>-167025.24</v>
      </c>
      <c r="L45" s="410"/>
      <c r="M45" s="51"/>
      <c r="N45" s="51"/>
      <c r="S45" s="1"/>
      <c r="T45" s="5"/>
      <c r="U45" s="216" t="s">
        <v>27</v>
      </c>
      <c r="V45" s="78"/>
      <c r="W45" s="90">
        <v>174254.14</v>
      </c>
      <c r="Z45" s="409" t="s">
        <v>2</v>
      </c>
      <c r="AA45" s="409"/>
      <c r="AB45" s="410">
        <f>-T4</f>
        <v>-167025.24</v>
      </c>
      <c r="AC45" s="410"/>
      <c r="AD45" s="51"/>
      <c r="AE45" s="51"/>
      <c r="AG45" s="339"/>
      <c r="AJ45" s="1"/>
      <c r="AK45" s="5"/>
      <c r="AL45" s="216" t="s">
        <v>27</v>
      </c>
      <c r="AM45" s="78"/>
      <c r="AN45" s="90">
        <v>149739.42000000001</v>
      </c>
      <c r="AQ45" s="409" t="s">
        <v>2</v>
      </c>
      <c r="AR45" s="409"/>
      <c r="AS45" s="410">
        <f>-AK4</f>
        <v>-167025.24</v>
      </c>
      <c r="AT45" s="410"/>
      <c r="AU45" s="51"/>
      <c r="AV45" s="51"/>
      <c r="AY45" s="1"/>
      <c r="AZ45" s="5"/>
      <c r="BA45" s="216" t="s">
        <v>27</v>
      </c>
      <c r="BB45" s="78"/>
      <c r="BC45" s="90">
        <v>166772.10999999999</v>
      </c>
      <c r="BF45" s="409" t="s">
        <v>2</v>
      </c>
      <c r="BG45" s="409"/>
      <c r="BH45" s="410">
        <f>-AZ4</f>
        <v>-167025.24</v>
      </c>
      <c r="BI45" s="410"/>
      <c r="BJ45" s="51"/>
      <c r="BK45" s="51"/>
    </row>
    <row r="46" spans="1:63" ht="19.5" thickBot="1" x14ac:dyDescent="0.3">
      <c r="B46" s="1"/>
      <c r="C46" s="5"/>
      <c r="E46" s="91" t="s">
        <v>28</v>
      </c>
      <c r="F46" s="77">
        <f>F45+F44</f>
        <v>1603809.16</v>
      </c>
      <c r="J46" s="92"/>
      <c r="K46" s="404">
        <v>0</v>
      </c>
      <c r="L46" s="404"/>
      <c r="M46" s="51"/>
      <c r="N46" s="51"/>
      <c r="S46" s="1"/>
      <c r="T46" s="5"/>
      <c r="V46" s="91" t="s">
        <v>28</v>
      </c>
      <c r="W46" s="77">
        <f>W45+W44</f>
        <v>64825.579999999958</v>
      </c>
      <c r="AA46" s="92"/>
      <c r="AB46" s="404">
        <v>0</v>
      </c>
      <c r="AC46" s="404"/>
      <c r="AD46" s="51"/>
      <c r="AE46" s="51"/>
      <c r="AG46" s="339"/>
      <c r="AJ46" s="1"/>
      <c r="AK46" s="5"/>
      <c r="AM46" s="91" t="s">
        <v>28</v>
      </c>
      <c r="AN46" s="77">
        <f>AN45+AN44</f>
        <v>124669.04000000001</v>
      </c>
      <c r="AR46" s="92"/>
      <c r="AS46" s="404">
        <v>0</v>
      </c>
      <c r="AT46" s="404"/>
      <c r="AU46" s="51"/>
      <c r="AV46" s="51"/>
      <c r="AY46" s="1"/>
      <c r="AZ46" s="5"/>
      <c r="BB46" s="91" t="s">
        <v>28</v>
      </c>
      <c r="BC46" s="77">
        <f>BC45+BC44</f>
        <v>169473.76999999996</v>
      </c>
      <c r="BG46" s="92"/>
      <c r="BH46" s="404">
        <v>0</v>
      </c>
      <c r="BI46" s="404"/>
      <c r="BJ46" s="51"/>
      <c r="BK46" s="51"/>
    </row>
    <row r="47" spans="1:63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1436783.92</v>
      </c>
      <c r="L47" s="431"/>
      <c r="M47" s="51"/>
      <c r="N47" s="51"/>
      <c r="S47" s="1"/>
      <c r="T47" s="5"/>
      <c r="V47" s="83"/>
      <c r="W47" s="86"/>
      <c r="Z47" s="424" t="s">
        <v>29</v>
      </c>
      <c r="AA47" s="425"/>
      <c r="AB47" s="426">
        <f>SUM(AB44:AC46)</f>
        <v>-102199.66000000003</v>
      </c>
      <c r="AC47" s="431"/>
      <c r="AD47" s="51"/>
      <c r="AE47" s="51"/>
      <c r="AG47" s="339"/>
      <c r="AJ47" s="1"/>
      <c r="AK47" s="5"/>
      <c r="AM47" s="83"/>
      <c r="AN47" s="86"/>
      <c r="AQ47" s="424" t="s">
        <v>29</v>
      </c>
      <c r="AR47" s="425"/>
      <c r="AS47" s="426">
        <f>SUM(AS44:AT46)</f>
        <v>-42356.199999999983</v>
      </c>
      <c r="AT47" s="431"/>
      <c r="AU47" s="51"/>
      <c r="AV47" s="51"/>
      <c r="AY47" s="1"/>
      <c r="AZ47" s="5"/>
      <c r="BB47" s="83"/>
      <c r="BC47" s="86"/>
      <c r="BF47" s="424" t="s">
        <v>282</v>
      </c>
      <c r="BG47" s="425"/>
      <c r="BH47" s="426">
        <f>SUM(BH44:BI46)</f>
        <v>2448.5299999999697</v>
      </c>
      <c r="BI47" s="431"/>
      <c r="BJ47" s="51"/>
      <c r="BK47" s="51"/>
    </row>
    <row r="48" spans="1:63" x14ac:dyDescent="0.25">
      <c r="B48" s="1"/>
      <c r="C48" s="5"/>
      <c r="D48" s="403"/>
      <c r="E48" s="403"/>
      <c r="F48" s="4"/>
      <c r="I48" s="5"/>
      <c r="J48" s="5"/>
      <c r="M48" s="51"/>
      <c r="N48" s="51"/>
      <c r="S48" s="1"/>
      <c r="T48" s="5"/>
      <c r="U48" s="403"/>
      <c r="V48" s="403"/>
      <c r="W48" s="4"/>
      <c r="Z48" s="5"/>
      <c r="AA48" s="5"/>
      <c r="AD48" s="51"/>
      <c r="AE48" s="51"/>
      <c r="AG48" s="339"/>
      <c r="AJ48" s="1"/>
      <c r="AK48" s="5"/>
      <c r="AL48" s="403"/>
      <c r="AM48" s="403"/>
      <c r="AN48" s="4"/>
      <c r="AQ48" s="5"/>
      <c r="AR48" s="5"/>
      <c r="AU48" s="51"/>
      <c r="AV48" s="51"/>
      <c r="AY48" s="1"/>
      <c r="AZ48" s="5"/>
      <c r="BA48" s="403"/>
      <c r="BB48" s="403"/>
      <c r="BC48" s="4"/>
      <c r="BF48" s="5"/>
      <c r="BG48" s="5"/>
      <c r="BJ48" s="51"/>
      <c r="BK48" s="51"/>
    </row>
    <row r="49" spans="4:62" x14ac:dyDescent="0.25">
      <c r="D49"/>
      <c r="M49" s="51"/>
      <c r="N49" s="51"/>
      <c r="U49"/>
      <c r="AD49" s="51"/>
      <c r="AE49" s="51"/>
      <c r="AG49" s="339"/>
      <c r="AL49"/>
      <c r="AU49" s="51"/>
      <c r="AV49" s="51"/>
      <c r="BA49"/>
      <c r="BJ49" s="51"/>
    </row>
    <row r="50" spans="4:62" x14ac:dyDescent="0.25">
      <c r="M50" s="51"/>
      <c r="N50" s="51"/>
      <c r="AD50" s="51"/>
      <c r="AE50" s="51"/>
      <c r="AG50" s="339"/>
      <c r="AU50" s="51"/>
      <c r="AV50" s="51"/>
      <c r="BJ50" s="51"/>
    </row>
    <row r="51" spans="4:62" x14ac:dyDescent="0.25">
      <c r="M51" s="51"/>
      <c r="N51" s="51"/>
      <c r="AD51" s="51"/>
      <c r="AE51" s="51"/>
      <c r="AG51" s="86"/>
      <c r="AU51" s="51"/>
      <c r="AV51" s="51"/>
      <c r="BJ51" s="51"/>
    </row>
    <row r="52" spans="4:62" x14ac:dyDescent="0.25">
      <c r="M52" s="51"/>
      <c r="N52" s="51"/>
      <c r="AD52" s="51"/>
      <c r="AE52" s="51"/>
      <c r="AG52" s="82"/>
      <c r="AU52" s="51"/>
      <c r="AV52" s="51"/>
      <c r="BJ52" s="51"/>
    </row>
    <row r="53" spans="4:62" x14ac:dyDescent="0.25">
      <c r="M53" s="82"/>
      <c r="N53" s="51"/>
      <c r="AD53" s="82"/>
      <c r="AE53" s="51"/>
      <c r="AU53" s="82"/>
      <c r="AV53" s="51"/>
      <c r="BJ53" s="82"/>
    </row>
    <row r="54" spans="4:62" x14ac:dyDescent="0.25">
      <c r="N54" s="51"/>
      <c r="AE54" s="51"/>
      <c r="AV54" s="51"/>
    </row>
    <row r="55" spans="4:62" x14ac:dyDescent="0.25">
      <c r="N55" s="51"/>
      <c r="AE55" s="51"/>
      <c r="AV55" s="51"/>
    </row>
    <row r="56" spans="4:62" x14ac:dyDescent="0.25">
      <c r="N56" s="51"/>
      <c r="AE56" s="51"/>
      <c r="AV56" s="51"/>
    </row>
    <row r="57" spans="4:62" x14ac:dyDescent="0.25">
      <c r="N57" s="51"/>
      <c r="AE57" s="51"/>
      <c r="AV57" s="51"/>
    </row>
    <row r="58" spans="4:62" x14ac:dyDescent="0.25">
      <c r="N58" s="51"/>
      <c r="AE58" s="51"/>
      <c r="AV58" s="51"/>
    </row>
    <row r="59" spans="4:62" x14ac:dyDescent="0.25">
      <c r="N59" s="51"/>
      <c r="AE59" s="51"/>
      <c r="AV59" s="51"/>
    </row>
    <row r="60" spans="4:62" x14ac:dyDescent="0.25">
      <c r="N60" s="51"/>
      <c r="AE60" s="51"/>
      <c r="AV60" s="51"/>
    </row>
    <row r="61" spans="4:62" x14ac:dyDescent="0.25">
      <c r="N61" s="51"/>
      <c r="AE61" s="51"/>
      <c r="AV61" s="51"/>
    </row>
    <row r="62" spans="4:62" x14ac:dyDescent="0.25">
      <c r="N62" s="51"/>
      <c r="AE62" s="51"/>
      <c r="AV62" s="51"/>
    </row>
    <row r="63" spans="4:62" x14ac:dyDescent="0.25">
      <c r="N63" s="51"/>
      <c r="AE63" s="51"/>
      <c r="AV63" s="51"/>
    </row>
    <row r="64" spans="4:62" x14ac:dyDescent="0.25">
      <c r="N64" s="51"/>
      <c r="AE64" s="51"/>
      <c r="AV64" s="51"/>
    </row>
    <row r="65" spans="14:48" x14ac:dyDescent="0.25">
      <c r="N65" s="51"/>
      <c r="AE65" s="51"/>
      <c r="AV65" s="51"/>
    </row>
    <row r="66" spans="14:48" x14ac:dyDescent="0.25">
      <c r="N66" s="51"/>
      <c r="AE66" s="51"/>
      <c r="AV66" s="51"/>
    </row>
    <row r="67" spans="14:48" x14ac:dyDescent="0.25">
      <c r="N67" s="51"/>
      <c r="AE67" s="51"/>
      <c r="AV67" s="51"/>
    </row>
    <row r="68" spans="14:48" x14ac:dyDescent="0.25">
      <c r="N68" s="82"/>
      <c r="AE68" s="82"/>
      <c r="AV68" s="82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Z1:BH1"/>
    <mergeCell ref="BB4:BC4"/>
    <mergeCell ref="BF4:BI4"/>
    <mergeCell ref="BF44:BG44"/>
    <mergeCell ref="BH44:BI44"/>
    <mergeCell ref="BA41:BB41"/>
    <mergeCell ref="BF43:BH43"/>
    <mergeCell ref="BE40:BF40"/>
    <mergeCell ref="BH40:BI40"/>
    <mergeCell ref="BA48:BB48"/>
    <mergeCell ref="BF47:BG47"/>
    <mergeCell ref="BH47:BI47"/>
    <mergeCell ref="BH46:BI46"/>
    <mergeCell ref="BF45:BG45"/>
    <mergeCell ref="BH45:BI45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82"/>
  <sheetViews>
    <sheetView tabSelected="1" topLeftCell="A40" workbookViewId="0">
      <selection activeCell="C65" sqref="C65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2.5703125" bestFit="1" customWidth="1"/>
    <col min="13" max="13" width="12.5703125" bestFit="1" customWidth="1"/>
    <col min="16" max="16" width="12.5703125" bestFit="1" customWidth="1"/>
    <col min="20" max="20" width="12.5703125" bestFit="1" customWidth="1"/>
    <col min="22" max="22" width="14" customWidth="1"/>
    <col min="25" max="25" width="16.7109375" customWidth="1"/>
  </cols>
  <sheetData>
    <row r="1" spans="1:26" ht="15.75" x14ac:dyDescent="0.25">
      <c r="K1" s="5"/>
      <c r="L1" s="104"/>
      <c r="M1" s="362">
        <v>42588</v>
      </c>
      <c r="N1" s="124"/>
      <c r="O1" s="125" t="s">
        <v>56</v>
      </c>
      <c r="P1" s="33"/>
      <c r="T1" s="5"/>
      <c r="U1" s="104"/>
      <c r="V1" s="389">
        <v>42608</v>
      </c>
      <c r="W1" s="124"/>
      <c r="X1" s="125" t="s">
        <v>56</v>
      </c>
      <c r="Y1" s="33"/>
    </row>
    <row r="2" spans="1:26" ht="15.75" thickBot="1" x14ac:dyDescent="0.3"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7.25" thickTop="1" thickBot="1" x14ac:dyDescent="0.3">
      <c r="C3" s="428" t="s">
        <v>30</v>
      </c>
      <c r="D3" s="429"/>
      <c r="E3" s="430"/>
      <c r="K3" s="96">
        <f>18862+8552+1276.5</f>
        <v>28690.5</v>
      </c>
      <c r="L3" s="107" t="s">
        <v>791</v>
      </c>
      <c r="M3" s="108">
        <v>28690.63</v>
      </c>
      <c r="N3" s="259" t="s">
        <v>63</v>
      </c>
      <c r="O3" s="131" t="s">
        <v>57</v>
      </c>
      <c r="P3" s="132">
        <v>46208.5</v>
      </c>
      <c r="Q3" s="133">
        <v>42577</v>
      </c>
      <c r="T3" s="28">
        <f>10936+15774</f>
        <v>26710</v>
      </c>
      <c r="U3" s="107" t="s">
        <v>888</v>
      </c>
      <c r="V3" s="108">
        <v>26709.9</v>
      </c>
      <c r="W3" s="259" t="s">
        <v>331</v>
      </c>
      <c r="X3" s="131" t="s">
        <v>57</v>
      </c>
      <c r="Y3" s="132">
        <v>32598.5</v>
      </c>
      <c r="Z3" s="133">
        <v>42599</v>
      </c>
    </row>
    <row r="4" spans="1:26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372">
        <v>18794.5</v>
      </c>
      <c r="L4" s="107" t="s">
        <v>792</v>
      </c>
      <c r="M4" s="108">
        <v>12289.7</v>
      </c>
      <c r="N4" s="259" t="s">
        <v>63</v>
      </c>
      <c r="O4" s="131" t="s">
        <v>57</v>
      </c>
      <c r="P4" s="132">
        <v>10398</v>
      </c>
      <c r="Q4" s="133">
        <v>42578</v>
      </c>
      <c r="T4" s="28">
        <f>5888.5+10974.5+18814.5</f>
        <v>35677.5</v>
      </c>
      <c r="U4" s="107" t="s">
        <v>889</v>
      </c>
      <c r="V4" s="108">
        <v>35677.5</v>
      </c>
      <c r="W4" s="259"/>
      <c r="X4" s="131" t="s">
        <v>57</v>
      </c>
      <c r="Y4" s="132">
        <v>10974.5</v>
      </c>
      <c r="Z4" s="133">
        <v>42600</v>
      </c>
    </row>
    <row r="5" spans="1:26" ht="15.75" x14ac:dyDescent="0.25">
      <c r="A5" s="101">
        <v>42583</v>
      </c>
      <c r="B5" s="102" t="s">
        <v>828</v>
      </c>
      <c r="C5" s="103">
        <v>32989.57</v>
      </c>
      <c r="D5" s="104">
        <v>42594</v>
      </c>
      <c r="E5" s="103">
        <v>32989.57</v>
      </c>
      <c r="F5" s="105">
        <f t="shared" ref="F5:F64" si="0">C5-E5</f>
        <v>0</v>
      </c>
      <c r="G5" s="88"/>
      <c r="K5" s="96">
        <f>10398+15940+12771</f>
        <v>39109</v>
      </c>
      <c r="L5" s="107" t="s">
        <v>798</v>
      </c>
      <c r="M5" s="108">
        <v>39109.199999999997</v>
      </c>
      <c r="N5" s="130"/>
      <c r="O5" s="131" t="s">
        <v>57</v>
      </c>
      <c r="P5" s="132">
        <v>10065</v>
      </c>
      <c r="Q5" s="133">
        <v>42579</v>
      </c>
      <c r="T5" s="28">
        <f>20207+8754+4812</f>
        <v>33773</v>
      </c>
      <c r="U5" s="107" t="s">
        <v>890</v>
      </c>
      <c r="V5" s="108">
        <v>33777.21</v>
      </c>
      <c r="W5" s="130" t="s">
        <v>331</v>
      </c>
      <c r="X5" s="131" t="s">
        <v>57</v>
      </c>
      <c r="Y5" s="132">
        <v>47775.5</v>
      </c>
      <c r="Z5" s="133">
        <v>42600</v>
      </c>
    </row>
    <row r="6" spans="1:26" ht="15.75" x14ac:dyDescent="0.25">
      <c r="A6" s="106">
        <v>42584</v>
      </c>
      <c r="B6" s="107" t="s">
        <v>829</v>
      </c>
      <c r="C6" s="108">
        <v>5671.2</v>
      </c>
      <c r="D6" s="104">
        <v>42594</v>
      </c>
      <c r="E6" s="108">
        <v>5671.2</v>
      </c>
      <c r="F6" s="109">
        <f t="shared" si="0"/>
        <v>0</v>
      </c>
      <c r="G6" s="88"/>
      <c r="K6" s="96">
        <f>1314.5+10065+24584+12610</f>
        <v>48573.5</v>
      </c>
      <c r="L6" s="107" t="s">
        <v>794</v>
      </c>
      <c r="M6" s="108">
        <v>48573.64</v>
      </c>
      <c r="N6" s="130"/>
      <c r="O6" s="131" t="s">
        <v>57</v>
      </c>
      <c r="P6" s="132">
        <v>31302</v>
      </c>
      <c r="Q6" s="133">
        <v>42578</v>
      </c>
      <c r="T6" s="28">
        <v>6569</v>
      </c>
      <c r="U6" s="107" t="s">
        <v>891</v>
      </c>
      <c r="V6" s="108">
        <v>6568.8</v>
      </c>
      <c r="W6" s="130"/>
      <c r="X6" s="131" t="s">
        <v>57</v>
      </c>
      <c r="Y6" s="132">
        <v>12491</v>
      </c>
      <c r="Z6" s="133">
        <v>42601</v>
      </c>
    </row>
    <row r="7" spans="1:26" ht="15.75" x14ac:dyDescent="0.25">
      <c r="A7" s="106">
        <v>42584</v>
      </c>
      <c r="B7" s="107" t="s">
        <v>830</v>
      </c>
      <c r="C7" s="108">
        <v>33362.9</v>
      </c>
      <c r="D7" s="104">
        <v>42594</v>
      </c>
      <c r="E7" s="108">
        <v>33362.9</v>
      </c>
      <c r="F7" s="109">
        <f t="shared" si="0"/>
        <v>0</v>
      </c>
      <c r="G7" s="88"/>
      <c r="K7" s="96">
        <f>19791+9607.5+6846.5</f>
        <v>36245</v>
      </c>
      <c r="L7" s="107" t="s">
        <v>795</v>
      </c>
      <c r="M7" s="108">
        <v>36244.800000000003</v>
      </c>
      <c r="N7" s="194"/>
      <c r="O7" s="131" t="s">
        <v>57</v>
      </c>
      <c r="P7" s="132">
        <v>56985</v>
      </c>
      <c r="Q7" s="133">
        <v>42579</v>
      </c>
      <c r="T7" s="28">
        <f>12491+799.5</f>
        <v>13290.5</v>
      </c>
      <c r="U7" s="107" t="s">
        <v>892</v>
      </c>
      <c r="V7" s="108">
        <v>13290.6</v>
      </c>
      <c r="W7" s="194"/>
      <c r="X7" s="131" t="s">
        <v>57</v>
      </c>
      <c r="Y7" s="132">
        <v>63309</v>
      </c>
      <c r="Z7" s="133">
        <v>42601</v>
      </c>
    </row>
    <row r="8" spans="1:26" ht="15.75" x14ac:dyDescent="0.25">
      <c r="A8" s="106">
        <v>42585</v>
      </c>
      <c r="B8" s="107" t="s">
        <v>831</v>
      </c>
      <c r="C8" s="108">
        <v>39886.1</v>
      </c>
      <c r="D8" s="104">
        <v>42594</v>
      </c>
      <c r="E8" s="108">
        <v>39886.1</v>
      </c>
      <c r="F8" s="110">
        <f t="shared" si="0"/>
        <v>0</v>
      </c>
      <c r="G8" s="111"/>
      <c r="K8" s="96">
        <f>23195.5+16352.5</f>
        <v>39548</v>
      </c>
      <c r="L8" s="107" t="s">
        <v>796</v>
      </c>
      <c r="M8" s="108">
        <v>39547.9</v>
      </c>
      <c r="N8" s="194"/>
      <c r="O8" s="131" t="s">
        <v>57</v>
      </c>
      <c r="P8" s="132">
        <v>9607.5</v>
      </c>
      <c r="Q8" s="133">
        <v>42580</v>
      </c>
      <c r="T8" s="28">
        <f>14057.5+19405.5</f>
        <v>33463</v>
      </c>
      <c r="U8" s="107" t="s">
        <v>893</v>
      </c>
      <c r="V8" s="108">
        <v>33462.9</v>
      </c>
      <c r="W8" s="194"/>
      <c r="X8" s="131" t="s">
        <v>57</v>
      </c>
      <c r="Y8" s="132">
        <v>9697</v>
      </c>
      <c r="Z8" s="133">
        <v>42602</v>
      </c>
    </row>
    <row r="9" spans="1:26" ht="15.75" x14ac:dyDescent="0.25">
      <c r="A9" s="106">
        <v>42586</v>
      </c>
      <c r="B9" s="107" t="s">
        <v>832</v>
      </c>
      <c r="C9" s="108">
        <v>11806.7</v>
      </c>
      <c r="D9" s="104">
        <v>42594</v>
      </c>
      <c r="E9" s="108">
        <v>11806.7</v>
      </c>
      <c r="F9" s="110">
        <f t="shared" si="0"/>
        <v>0</v>
      </c>
      <c r="I9" s="51"/>
      <c r="K9" s="96">
        <v>8047.5</v>
      </c>
      <c r="L9" s="107" t="s">
        <v>810</v>
      </c>
      <c r="M9" s="108">
        <v>8047.6</v>
      </c>
      <c r="N9" s="298"/>
      <c r="O9" s="131" t="s">
        <v>57</v>
      </c>
      <c r="P9" s="132">
        <v>76242.5</v>
      </c>
      <c r="Q9" s="133">
        <v>42580</v>
      </c>
      <c r="T9" s="28">
        <f>17665.5+9697+12822</f>
        <v>40184.5</v>
      </c>
      <c r="U9" s="107" t="s">
        <v>894</v>
      </c>
      <c r="V9" s="108">
        <v>40184.400000000001</v>
      </c>
      <c r="W9" s="298"/>
      <c r="X9" s="131" t="s">
        <v>57</v>
      </c>
      <c r="Y9" s="132">
        <v>109853</v>
      </c>
      <c r="Z9" s="133">
        <v>42602</v>
      </c>
    </row>
    <row r="10" spans="1:26" ht="15.75" x14ac:dyDescent="0.25">
      <c r="A10" s="106">
        <v>42586</v>
      </c>
      <c r="B10" s="107" t="s">
        <v>833</v>
      </c>
      <c r="C10" s="108">
        <v>31559.5</v>
      </c>
      <c r="D10" s="104">
        <v>42594</v>
      </c>
      <c r="E10" s="108">
        <v>31559.5</v>
      </c>
      <c r="F10" s="110">
        <f t="shared" si="0"/>
        <v>0</v>
      </c>
      <c r="G10" s="111"/>
      <c r="I10" s="51"/>
      <c r="K10" s="28">
        <f>21800.5+7430+200+6281.5</f>
        <v>35712</v>
      </c>
      <c r="L10" s="107" t="s">
        <v>811</v>
      </c>
      <c r="M10" s="108">
        <v>35712.400000000001</v>
      </c>
      <c r="N10" s="134"/>
      <c r="O10" s="131" t="s">
        <v>57</v>
      </c>
      <c r="P10" s="135">
        <v>7430</v>
      </c>
      <c r="Q10" s="136">
        <v>42583</v>
      </c>
      <c r="T10" s="28">
        <f>14450+25925.5</f>
        <v>40375.5</v>
      </c>
      <c r="U10" s="107" t="s">
        <v>895</v>
      </c>
      <c r="V10" s="108">
        <v>40375.4</v>
      </c>
      <c r="W10" s="134"/>
      <c r="X10" s="131" t="s">
        <v>57</v>
      </c>
      <c r="Y10" s="135">
        <v>10464</v>
      </c>
      <c r="Z10" s="136">
        <v>42604</v>
      </c>
    </row>
    <row r="11" spans="1:26" ht="15.75" x14ac:dyDescent="0.25">
      <c r="A11" s="106">
        <v>42586</v>
      </c>
      <c r="B11" s="107" t="s">
        <v>834</v>
      </c>
      <c r="C11" s="108">
        <v>32259.5</v>
      </c>
      <c r="D11" s="104">
        <v>42594</v>
      </c>
      <c r="E11" s="108">
        <v>32259.5</v>
      </c>
      <c r="F11" s="110">
        <f t="shared" si="0"/>
        <v>0</v>
      </c>
      <c r="G11" s="111"/>
      <c r="I11" s="51"/>
      <c r="K11" s="28">
        <f>15480.5+18456</f>
        <v>33936.5</v>
      </c>
      <c r="L11" s="355" t="s">
        <v>836</v>
      </c>
      <c r="M11" s="314">
        <v>33936.400000000001</v>
      </c>
      <c r="N11" s="194"/>
      <c r="O11" s="131" t="s">
        <v>57</v>
      </c>
      <c r="P11" s="114">
        <v>200</v>
      </c>
      <c r="Q11" s="136">
        <v>42584</v>
      </c>
      <c r="T11" s="28">
        <v>36112</v>
      </c>
      <c r="U11" s="107" t="s">
        <v>897</v>
      </c>
      <c r="V11" s="108">
        <v>36111.9</v>
      </c>
      <c r="W11" s="194"/>
      <c r="X11" s="131" t="s">
        <v>57</v>
      </c>
      <c r="Y11" s="114">
        <v>3733</v>
      </c>
      <c r="Z11" s="136">
        <v>42599</v>
      </c>
    </row>
    <row r="12" spans="1:26" ht="15.75" x14ac:dyDescent="0.25">
      <c r="A12" s="106">
        <v>42587</v>
      </c>
      <c r="B12" s="107" t="s">
        <v>838</v>
      </c>
      <c r="C12" s="108">
        <v>41301.1</v>
      </c>
      <c r="D12" s="104">
        <v>42594</v>
      </c>
      <c r="E12" s="108">
        <v>41301.1</v>
      </c>
      <c r="F12" s="110">
        <f t="shared" si="0"/>
        <v>0</v>
      </c>
      <c r="I12" s="51"/>
      <c r="K12" s="28">
        <v>42150.5</v>
      </c>
      <c r="L12" s="197" t="s">
        <v>812</v>
      </c>
      <c r="M12" s="140">
        <v>42150.6</v>
      </c>
      <c r="N12" s="318"/>
      <c r="O12" s="131" t="s">
        <v>57</v>
      </c>
      <c r="P12" s="132">
        <v>113069</v>
      </c>
      <c r="Q12" s="133">
        <v>42583</v>
      </c>
      <c r="T12" s="28">
        <f>20543.5+10464+3123</f>
        <v>34130.5</v>
      </c>
      <c r="U12" s="107" t="s">
        <v>898</v>
      </c>
      <c r="V12" s="108">
        <v>34130.300000000003</v>
      </c>
      <c r="W12" s="318"/>
      <c r="X12" s="131" t="s">
        <v>57</v>
      </c>
      <c r="Y12" s="132">
        <v>2419</v>
      </c>
      <c r="Z12" s="133">
        <v>42594</v>
      </c>
    </row>
    <row r="13" spans="1:26" ht="15.75" x14ac:dyDescent="0.25">
      <c r="A13" s="106">
        <v>42587</v>
      </c>
      <c r="B13" s="107" t="s">
        <v>839</v>
      </c>
      <c r="C13" s="108">
        <v>94079.65</v>
      </c>
      <c r="D13" s="104">
        <v>42594</v>
      </c>
      <c r="E13" s="108">
        <v>94079.65</v>
      </c>
      <c r="F13" s="110">
        <f t="shared" si="0"/>
        <v>0</v>
      </c>
      <c r="I13" s="51"/>
      <c r="K13" s="28">
        <f>30701+8044.5</f>
        <v>38745.5</v>
      </c>
      <c r="L13" s="357" t="s">
        <v>813</v>
      </c>
      <c r="M13" s="140">
        <v>38745.300000000003</v>
      </c>
      <c r="N13" s="318"/>
      <c r="O13" s="131" t="s">
        <v>57</v>
      </c>
      <c r="P13" s="135">
        <v>10895</v>
      </c>
      <c r="Q13" s="136">
        <v>42583</v>
      </c>
      <c r="T13" s="28">
        <f>16111+29644.5</f>
        <v>45755.5</v>
      </c>
      <c r="U13" s="107" t="s">
        <v>899</v>
      </c>
      <c r="V13" s="108">
        <v>45755.3</v>
      </c>
      <c r="W13" s="318"/>
      <c r="X13" s="131" t="s">
        <v>57</v>
      </c>
      <c r="Y13" s="135">
        <v>6443</v>
      </c>
      <c r="Z13" s="136">
        <v>42593</v>
      </c>
    </row>
    <row r="14" spans="1:26" ht="15.75" x14ac:dyDescent="0.25">
      <c r="A14" s="106">
        <v>42587</v>
      </c>
      <c r="B14" s="107" t="s">
        <v>840</v>
      </c>
      <c r="C14" s="108">
        <v>5548.8</v>
      </c>
      <c r="D14" s="104">
        <v>42594</v>
      </c>
      <c r="E14" s="108">
        <v>5548.8</v>
      </c>
      <c r="F14" s="110">
        <f t="shared" si="0"/>
        <v>0</v>
      </c>
      <c r="I14" s="51"/>
      <c r="K14" s="28">
        <f>10895+12388+15733</f>
        <v>39016</v>
      </c>
      <c r="L14" s="357" t="s">
        <v>814</v>
      </c>
      <c r="M14" s="359">
        <v>39016.6</v>
      </c>
      <c r="N14" s="318"/>
      <c r="O14" s="131" t="s">
        <v>57</v>
      </c>
      <c r="P14" s="114">
        <v>102555</v>
      </c>
      <c r="Q14" s="136">
        <v>42583</v>
      </c>
      <c r="T14" s="28">
        <v>40636.5</v>
      </c>
      <c r="U14" s="107" t="s">
        <v>900</v>
      </c>
      <c r="V14" s="108">
        <v>40636.400000000001</v>
      </c>
      <c r="W14" s="318"/>
      <c r="X14" s="131" t="s">
        <v>57</v>
      </c>
      <c r="Y14" s="114">
        <v>9827.5</v>
      </c>
      <c r="Z14" s="136">
        <v>42604</v>
      </c>
    </row>
    <row r="15" spans="1:26" ht="15.75" x14ac:dyDescent="0.25">
      <c r="A15" s="106">
        <v>42588</v>
      </c>
      <c r="B15" s="107" t="s">
        <v>841</v>
      </c>
      <c r="C15" s="108">
        <v>41199.949999999997</v>
      </c>
      <c r="D15" s="104">
        <v>42594</v>
      </c>
      <c r="E15" s="108">
        <v>41199.949999999997</v>
      </c>
      <c r="F15" s="110">
        <f t="shared" si="0"/>
        <v>0</v>
      </c>
      <c r="I15" s="51"/>
      <c r="K15" s="28">
        <v>44682.5</v>
      </c>
      <c r="L15" s="358" t="s">
        <v>815</v>
      </c>
      <c r="M15" s="359">
        <v>44682.400000000001</v>
      </c>
      <c r="N15" s="318"/>
      <c r="O15" s="131" t="s">
        <v>57</v>
      </c>
      <c r="P15" s="319">
        <v>8094.5</v>
      </c>
      <c r="Q15" s="320">
        <v>42583</v>
      </c>
      <c r="T15" s="28">
        <f>2716+1253+4070</f>
        <v>8039</v>
      </c>
      <c r="U15" s="107" t="s">
        <v>901</v>
      </c>
      <c r="V15" s="108">
        <v>8038.9</v>
      </c>
      <c r="W15" s="318"/>
      <c r="X15" s="131" t="s">
        <v>57</v>
      </c>
      <c r="Y15" s="319">
        <v>79636</v>
      </c>
      <c r="Z15" s="320">
        <v>42604</v>
      </c>
    </row>
    <row r="16" spans="1:26" ht="15.75" x14ac:dyDescent="0.25">
      <c r="A16" s="106">
        <v>42588</v>
      </c>
      <c r="B16" s="107" t="s">
        <v>842</v>
      </c>
      <c r="C16" s="108">
        <v>30299.439999999999</v>
      </c>
      <c r="D16" s="104" t="s">
        <v>896</v>
      </c>
      <c r="E16" s="108">
        <f>23180.16+7119.28</f>
        <v>30299.439999999999</v>
      </c>
      <c r="F16" s="110">
        <f t="shared" si="0"/>
        <v>0</v>
      </c>
      <c r="I16" s="51"/>
      <c r="K16" s="28">
        <f>21707+8095</f>
        <v>29802</v>
      </c>
      <c r="L16" s="357" t="s">
        <v>822</v>
      </c>
      <c r="M16" s="371">
        <f>29802+6504.8</f>
        <v>36306.800000000003</v>
      </c>
      <c r="N16" s="318" t="s">
        <v>172</v>
      </c>
      <c r="O16" s="131" t="s">
        <v>57</v>
      </c>
      <c r="P16" s="319">
        <v>28646</v>
      </c>
      <c r="Q16" s="320">
        <v>42584</v>
      </c>
      <c r="T16" s="28">
        <f>9827.5+51049.5+9806+705</f>
        <v>71388</v>
      </c>
      <c r="U16" s="107" t="s">
        <v>902</v>
      </c>
      <c r="V16" s="108">
        <v>71388</v>
      </c>
      <c r="W16" s="318"/>
      <c r="X16" s="131" t="s">
        <v>57</v>
      </c>
      <c r="Y16" s="319">
        <v>56372.5</v>
      </c>
      <c r="Z16" s="320">
        <v>42604</v>
      </c>
    </row>
    <row r="17" spans="1:26" ht="15.75" x14ac:dyDescent="0.25">
      <c r="A17" s="106">
        <v>42588</v>
      </c>
      <c r="B17" s="107" t="s">
        <v>843</v>
      </c>
      <c r="C17" s="108">
        <v>66277.899999999994</v>
      </c>
      <c r="D17" s="104">
        <v>42601</v>
      </c>
      <c r="E17" s="108">
        <v>66277.899999999994</v>
      </c>
      <c r="F17" s="110">
        <f t="shared" si="0"/>
        <v>0</v>
      </c>
      <c r="I17" s="51"/>
      <c r="K17" s="28">
        <v>9296.5</v>
      </c>
      <c r="L17" s="366" t="s">
        <v>823</v>
      </c>
      <c r="M17" s="367">
        <v>9296.5</v>
      </c>
      <c r="N17" s="318" t="s">
        <v>172</v>
      </c>
      <c r="O17" s="131" t="s">
        <v>57</v>
      </c>
      <c r="P17" s="319">
        <v>10185.5</v>
      </c>
      <c r="Q17" s="320">
        <v>42585</v>
      </c>
      <c r="T17" s="395">
        <f>3727+18512+9804+13365</f>
        <v>45408</v>
      </c>
      <c r="U17" s="197" t="s">
        <v>903</v>
      </c>
      <c r="V17" s="140">
        <v>35604</v>
      </c>
      <c r="W17" s="318"/>
      <c r="X17" s="131" t="s">
        <v>57</v>
      </c>
      <c r="Y17" s="319">
        <v>9806</v>
      </c>
      <c r="Z17" s="320">
        <v>42605</v>
      </c>
    </row>
    <row r="18" spans="1:26" ht="15.75" x14ac:dyDescent="0.25">
      <c r="A18" s="106">
        <v>42589</v>
      </c>
      <c r="B18" s="107" t="s">
        <v>844</v>
      </c>
      <c r="C18" s="108">
        <v>36886.6</v>
      </c>
      <c r="D18" s="104">
        <v>42601</v>
      </c>
      <c r="E18" s="108">
        <v>36886.6</v>
      </c>
      <c r="F18" s="110">
        <f t="shared" si="0"/>
        <v>0</v>
      </c>
      <c r="I18" s="51"/>
      <c r="K18" s="28">
        <f>7809+11540.5+10185.5+10653.5+4082</f>
        <v>44270.5</v>
      </c>
      <c r="L18" s="250" t="s">
        <v>824</v>
      </c>
      <c r="M18" s="367">
        <v>44270.400000000001</v>
      </c>
      <c r="N18" s="318"/>
      <c r="O18" s="131" t="s">
        <v>57</v>
      </c>
      <c r="P18" s="319">
        <v>35814.5</v>
      </c>
      <c r="Q18" s="320">
        <v>42585</v>
      </c>
      <c r="T18" s="28">
        <f>19439.5+13021.5</f>
        <v>32461</v>
      </c>
      <c r="U18" s="366" t="s">
        <v>904</v>
      </c>
      <c r="V18" s="390">
        <v>32461.200000000001</v>
      </c>
      <c r="W18" s="318"/>
      <c r="X18" s="347" t="s">
        <v>57</v>
      </c>
      <c r="Y18" s="319">
        <v>22944</v>
      </c>
      <c r="Z18" s="320">
        <v>42605</v>
      </c>
    </row>
    <row r="19" spans="1:26" ht="15.75" x14ac:dyDescent="0.25">
      <c r="A19" s="106">
        <v>42591</v>
      </c>
      <c r="B19" s="107" t="s">
        <v>845</v>
      </c>
      <c r="C19" s="108">
        <v>7163.6</v>
      </c>
      <c r="D19" s="104">
        <v>42601</v>
      </c>
      <c r="E19" s="108">
        <v>7163.6</v>
      </c>
      <c r="F19" s="110">
        <f t="shared" si="0"/>
        <v>0</v>
      </c>
      <c r="I19" s="51"/>
      <c r="K19" s="28">
        <f>21079+8095.5+8943.5+6746.5</f>
        <v>44864.5</v>
      </c>
      <c r="L19" s="250" t="s">
        <v>825</v>
      </c>
      <c r="M19" s="367">
        <v>44864</v>
      </c>
      <c r="N19" s="318"/>
      <c r="O19" s="131" t="s">
        <v>57</v>
      </c>
      <c r="P19" s="319">
        <v>8095</v>
      </c>
      <c r="Q19" s="320">
        <v>42586</v>
      </c>
      <c r="T19" s="4">
        <f>12070+10840</f>
        <v>22910</v>
      </c>
      <c r="U19" s="357" t="s">
        <v>905</v>
      </c>
      <c r="V19" s="359">
        <v>32710.79</v>
      </c>
      <c r="W19" s="116" t="s">
        <v>172</v>
      </c>
      <c r="X19" s="347" t="s">
        <v>57</v>
      </c>
      <c r="Y19" s="140">
        <v>9804</v>
      </c>
      <c r="Z19" s="320">
        <v>42606</v>
      </c>
    </row>
    <row r="20" spans="1:26" ht="15.75" x14ac:dyDescent="0.25">
      <c r="A20" s="106">
        <v>42592</v>
      </c>
      <c r="B20" s="107" t="s">
        <v>846</v>
      </c>
      <c r="C20" s="108">
        <v>31953.200000000001</v>
      </c>
      <c r="D20" s="104">
        <v>42601</v>
      </c>
      <c r="E20" s="108">
        <v>31953.200000000001</v>
      </c>
      <c r="F20" s="110">
        <f t="shared" si="0"/>
        <v>0</v>
      </c>
      <c r="I20" s="51"/>
      <c r="K20" s="28">
        <f>43515</f>
        <v>43515</v>
      </c>
      <c r="L20" s="357" t="s">
        <v>826</v>
      </c>
      <c r="M20" s="367">
        <v>43513.13</v>
      </c>
      <c r="N20" s="318" t="s">
        <v>172</v>
      </c>
      <c r="O20" s="131" t="s">
        <v>57</v>
      </c>
      <c r="P20" s="319">
        <v>59205</v>
      </c>
      <c r="Q20" s="320">
        <v>42586</v>
      </c>
      <c r="S20" s="28"/>
      <c r="U20" s="358"/>
      <c r="V20" s="359"/>
      <c r="W20" s="139"/>
      <c r="X20" s="347" t="s">
        <v>57</v>
      </c>
      <c r="Y20" s="140">
        <v>57896</v>
      </c>
      <c r="Z20" s="320">
        <v>42606</v>
      </c>
    </row>
    <row r="21" spans="1:26" ht="16.5" thickBot="1" x14ac:dyDescent="0.3">
      <c r="A21" s="106">
        <v>42592</v>
      </c>
      <c r="B21" s="107" t="s">
        <v>847</v>
      </c>
      <c r="C21" s="108">
        <v>42572.2</v>
      </c>
      <c r="D21" s="104">
        <v>42601</v>
      </c>
      <c r="E21" s="108">
        <v>42572.2</v>
      </c>
      <c r="F21" s="110">
        <f t="shared" si="0"/>
        <v>0</v>
      </c>
      <c r="I21" s="51"/>
      <c r="K21" s="28">
        <f>SUM(K3:K20)</f>
        <v>624999.5</v>
      </c>
      <c r="L21" s="189"/>
      <c r="M21" s="207">
        <v>0</v>
      </c>
      <c r="N21" s="341"/>
      <c r="O21" s="342"/>
      <c r="P21" s="191">
        <v>0</v>
      </c>
      <c r="Q21" s="209"/>
      <c r="U21" s="139"/>
      <c r="V21" s="139"/>
      <c r="W21" s="139"/>
      <c r="X21" s="347" t="s">
        <v>57</v>
      </c>
      <c r="Y21" s="140">
        <v>10840</v>
      </c>
      <c r="Z21" s="320">
        <v>42607</v>
      </c>
    </row>
    <row r="22" spans="1:26" ht="16.5" thickTop="1" x14ac:dyDescent="0.25">
      <c r="A22" s="106">
        <v>42593</v>
      </c>
      <c r="B22" s="107" t="s">
        <v>848</v>
      </c>
      <c r="C22" s="108">
        <v>42012.12</v>
      </c>
      <c r="D22" s="104">
        <v>42601</v>
      </c>
      <c r="E22" s="108">
        <v>42012.12</v>
      </c>
      <c r="F22" s="110">
        <f t="shared" si="0"/>
        <v>0</v>
      </c>
      <c r="I22" s="82"/>
      <c r="K22" s="33"/>
      <c r="L22" s="88"/>
      <c r="M22" s="51">
        <f>SUM(M3:M21)</f>
        <v>624998</v>
      </c>
      <c r="N22" s="326"/>
      <c r="O22" s="148"/>
      <c r="P22" s="33">
        <f>SUM(P3:P21)</f>
        <v>624998</v>
      </c>
      <c r="Q22" s="104"/>
      <c r="U22" s="139"/>
      <c r="V22" s="139"/>
      <c r="W22" s="139"/>
      <c r="X22" s="347" t="s">
        <v>57</v>
      </c>
      <c r="Y22" s="140"/>
      <c r="Z22" s="320"/>
    </row>
    <row r="23" spans="1:26" ht="15.75" x14ac:dyDescent="0.25">
      <c r="A23" s="106">
        <v>42593</v>
      </c>
      <c r="B23" s="107" t="s">
        <v>882</v>
      </c>
      <c r="C23" s="108">
        <v>93333.4</v>
      </c>
      <c r="D23" s="104">
        <v>42601</v>
      </c>
      <c r="E23" s="108">
        <v>93333.4</v>
      </c>
      <c r="F23" s="110">
        <f t="shared" si="0"/>
        <v>0</v>
      </c>
      <c r="I23" s="34"/>
      <c r="U23" s="139"/>
      <c r="V23" s="139"/>
      <c r="W23" s="139"/>
      <c r="X23" s="347" t="s">
        <v>57</v>
      </c>
      <c r="Y23" s="140"/>
      <c r="Z23" s="320"/>
    </row>
    <row r="24" spans="1:26" ht="15.75" x14ac:dyDescent="0.25">
      <c r="A24" s="106">
        <v>42594</v>
      </c>
      <c r="B24" s="107" t="s">
        <v>883</v>
      </c>
      <c r="C24" s="108">
        <v>33428.5</v>
      </c>
      <c r="D24" s="104">
        <v>42601</v>
      </c>
      <c r="E24" s="108">
        <v>33428.5</v>
      </c>
      <c r="F24" s="110">
        <f t="shared" si="0"/>
        <v>0</v>
      </c>
      <c r="U24" s="139"/>
      <c r="V24" s="139"/>
      <c r="W24" s="139"/>
      <c r="X24" s="347" t="s">
        <v>57</v>
      </c>
      <c r="Y24" s="140"/>
      <c r="Z24" s="320"/>
    </row>
    <row r="25" spans="1:26" ht="15.75" x14ac:dyDescent="0.25">
      <c r="A25" s="106">
        <v>42594</v>
      </c>
      <c r="B25" s="107" t="s">
        <v>884</v>
      </c>
      <c r="C25" s="108">
        <v>32603.200000000001</v>
      </c>
      <c r="D25" s="104">
        <v>42601</v>
      </c>
      <c r="E25" s="108">
        <v>32603.200000000001</v>
      </c>
      <c r="F25" s="110">
        <f t="shared" si="0"/>
        <v>0</v>
      </c>
      <c r="K25" s="5"/>
      <c r="L25" s="104"/>
      <c r="M25" s="373">
        <v>42594</v>
      </c>
      <c r="N25" s="124"/>
      <c r="O25" s="125" t="s">
        <v>56</v>
      </c>
      <c r="P25" s="33"/>
      <c r="U25" s="139"/>
      <c r="V25" s="139"/>
      <c r="W25" s="139"/>
      <c r="X25" s="347" t="s">
        <v>57</v>
      </c>
      <c r="Y25" s="140"/>
      <c r="Z25" s="320"/>
    </row>
    <row r="26" spans="1:26" ht="16.5" thickBot="1" x14ac:dyDescent="0.3">
      <c r="A26" s="106">
        <v>42594</v>
      </c>
      <c r="B26" s="107" t="s">
        <v>885</v>
      </c>
      <c r="C26" s="108">
        <v>39078.04</v>
      </c>
      <c r="D26" s="104">
        <v>42601</v>
      </c>
      <c r="E26" s="108">
        <v>39078.04</v>
      </c>
      <c r="F26" s="110">
        <f t="shared" si="0"/>
        <v>0</v>
      </c>
      <c r="K26" s="96"/>
      <c r="L26" s="337"/>
      <c r="M26" s="127"/>
      <c r="N26" s="127"/>
      <c r="O26" s="127"/>
      <c r="P26" s="128"/>
      <c r="Q26" s="129"/>
      <c r="T26" s="28">
        <f>SUM(T3:T25)</f>
        <v>566883.5</v>
      </c>
      <c r="U26" s="391"/>
      <c r="V26" s="392"/>
      <c r="W26" s="341"/>
      <c r="X26" s="342"/>
      <c r="Y26" s="393">
        <v>0</v>
      </c>
      <c r="Z26" s="394"/>
    </row>
    <row r="27" spans="1:26" ht="16.5" thickTop="1" x14ac:dyDescent="0.25">
      <c r="A27" s="106">
        <v>42594</v>
      </c>
      <c r="B27" s="107" t="s">
        <v>886</v>
      </c>
      <c r="C27" s="108">
        <v>8531.42</v>
      </c>
      <c r="D27" s="104">
        <v>42601</v>
      </c>
      <c r="E27" s="108">
        <v>8531.42</v>
      </c>
      <c r="F27" s="110">
        <f t="shared" si="0"/>
        <v>0</v>
      </c>
      <c r="K27" s="228">
        <v>43163.5</v>
      </c>
      <c r="L27" s="357" t="s">
        <v>822</v>
      </c>
      <c r="M27" s="108">
        <v>36658.6</v>
      </c>
      <c r="N27" s="259" t="s">
        <v>63</v>
      </c>
      <c r="O27" s="131" t="s">
        <v>57</v>
      </c>
      <c r="P27" s="132">
        <v>67255.5</v>
      </c>
      <c r="Q27" s="133">
        <v>42583</v>
      </c>
      <c r="T27" s="33"/>
      <c r="U27" s="88"/>
      <c r="V27" s="51">
        <f>SUM(V3:V26)</f>
        <v>566883.5</v>
      </c>
      <c r="W27" s="326"/>
      <c r="X27" s="148"/>
      <c r="Y27" s="33">
        <f>SUM(Y3:Y26)</f>
        <v>566883.5</v>
      </c>
      <c r="Z27" s="104"/>
    </row>
    <row r="28" spans="1:26" ht="15.75" x14ac:dyDescent="0.25">
      <c r="A28" s="106">
        <v>42594</v>
      </c>
      <c r="B28" s="107" t="s">
        <v>887</v>
      </c>
      <c r="C28" s="108">
        <v>34333.25</v>
      </c>
      <c r="D28" s="104">
        <v>42601</v>
      </c>
      <c r="E28" s="108">
        <v>34333.25</v>
      </c>
      <c r="F28" s="110">
        <f t="shared" si="0"/>
        <v>0</v>
      </c>
      <c r="K28" s="17">
        <f>14367+9725+5470+8134</f>
        <v>37696</v>
      </c>
      <c r="L28" s="366" t="s">
        <v>823</v>
      </c>
      <c r="M28" s="108">
        <v>32226</v>
      </c>
      <c r="N28" s="259" t="s">
        <v>63</v>
      </c>
      <c r="O28" s="131" t="s">
        <v>57</v>
      </c>
      <c r="P28" s="132">
        <v>8134</v>
      </c>
      <c r="Q28" s="133">
        <v>42584</v>
      </c>
      <c r="U28" s="376"/>
      <c r="V28" s="328"/>
      <c r="W28" s="104"/>
      <c r="X28" s="328"/>
      <c r="Y28" s="323"/>
      <c r="Z28" s="40"/>
    </row>
    <row r="29" spans="1:26" ht="15.75" x14ac:dyDescent="0.25">
      <c r="A29" s="106">
        <v>42595</v>
      </c>
      <c r="B29" s="107" t="s">
        <v>888</v>
      </c>
      <c r="C29" s="108">
        <v>37907.9</v>
      </c>
      <c r="D29" s="104" t="s">
        <v>910</v>
      </c>
      <c r="E29" s="108">
        <f>11198+26709.9</f>
        <v>37907.9</v>
      </c>
      <c r="F29" s="110">
        <f t="shared" si="0"/>
        <v>0</v>
      </c>
      <c r="K29" s="96">
        <f>7835+5712.5+12339.5</f>
        <v>25887</v>
      </c>
      <c r="L29" s="357" t="s">
        <v>826</v>
      </c>
      <c r="M29" s="108">
        <v>25889.27</v>
      </c>
      <c r="N29" s="130" t="s">
        <v>63</v>
      </c>
      <c r="O29" s="131" t="s">
        <v>57</v>
      </c>
      <c r="P29" s="132">
        <v>5470</v>
      </c>
      <c r="Q29" s="133">
        <v>42584</v>
      </c>
      <c r="U29" s="377"/>
      <c r="V29" s="328"/>
      <c r="W29" s="104"/>
      <c r="X29" s="328"/>
      <c r="Y29" s="323"/>
      <c r="Z29" s="40"/>
    </row>
    <row r="30" spans="1:26" ht="15.75" x14ac:dyDescent="0.25">
      <c r="A30" s="106">
        <v>42595</v>
      </c>
      <c r="B30" s="107" t="s">
        <v>889</v>
      </c>
      <c r="C30" s="108">
        <v>35677.5</v>
      </c>
      <c r="D30" s="104">
        <v>42604</v>
      </c>
      <c r="E30" s="108">
        <v>35677.5</v>
      </c>
      <c r="F30" s="110">
        <f t="shared" si="0"/>
        <v>0</v>
      </c>
      <c r="K30" s="96">
        <v>32989.5</v>
      </c>
      <c r="L30" s="102" t="s">
        <v>828</v>
      </c>
      <c r="M30" s="103">
        <v>32989.57</v>
      </c>
      <c r="N30" s="130"/>
      <c r="O30" s="131" t="s">
        <v>57</v>
      </c>
      <c r="P30" s="132">
        <v>7835</v>
      </c>
      <c r="Q30" s="133">
        <v>42587</v>
      </c>
      <c r="U30" s="377"/>
      <c r="V30" s="328"/>
      <c r="W30" s="104"/>
      <c r="X30" s="328"/>
      <c r="Y30" s="323"/>
      <c r="Z30" s="40"/>
    </row>
    <row r="31" spans="1:26" ht="15.75" x14ac:dyDescent="0.25">
      <c r="A31" s="106">
        <v>42596</v>
      </c>
      <c r="B31" s="107" t="s">
        <v>890</v>
      </c>
      <c r="C31" s="108">
        <v>34137.5</v>
      </c>
      <c r="D31" s="104" t="s">
        <v>910</v>
      </c>
      <c r="E31" s="108">
        <f>360.29+33777.21</f>
        <v>34137.5</v>
      </c>
      <c r="F31" s="110">
        <f t="shared" si="0"/>
        <v>0</v>
      </c>
      <c r="K31" s="96">
        <f>5671</f>
        <v>5671</v>
      </c>
      <c r="L31" s="107" t="s">
        <v>829</v>
      </c>
      <c r="M31" s="108">
        <v>5671.2</v>
      </c>
      <c r="N31" s="194"/>
      <c r="O31" s="131" t="s">
        <v>57</v>
      </c>
      <c r="P31" s="132">
        <v>69565</v>
      </c>
      <c r="Q31" s="133">
        <v>42587</v>
      </c>
      <c r="U31" s="376"/>
      <c r="V31" s="328"/>
      <c r="W31" s="104"/>
      <c r="X31" s="328"/>
      <c r="Y31" s="323"/>
      <c r="Z31" s="40"/>
    </row>
    <row r="32" spans="1:26" ht="15.75" x14ac:dyDescent="0.25">
      <c r="A32" s="106">
        <v>42597</v>
      </c>
      <c r="B32" s="107" t="s">
        <v>891</v>
      </c>
      <c r="C32" s="108">
        <v>6568.8</v>
      </c>
      <c r="D32" s="104">
        <v>42608</v>
      </c>
      <c r="E32" s="108">
        <v>6568.8</v>
      </c>
      <c r="F32" s="110">
        <f t="shared" si="0"/>
        <v>0</v>
      </c>
      <c r="K32" s="228">
        <f>12852.5+7462.5+1073</f>
        <v>21388</v>
      </c>
      <c r="L32" s="107" t="s">
        <v>830</v>
      </c>
      <c r="M32" s="108">
        <v>33362.9</v>
      </c>
      <c r="N32" s="194"/>
      <c r="O32" s="131" t="s">
        <v>57</v>
      </c>
      <c r="P32" s="132">
        <v>7462.5</v>
      </c>
      <c r="Q32" s="133">
        <v>42588</v>
      </c>
      <c r="U32" s="40"/>
      <c r="V32" s="40"/>
      <c r="W32" s="40"/>
      <c r="X32" s="40"/>
      <c r="Y32" s="40"/>
      <c r="Z32" s="40"/>
    </row>
    <row r="33" spans="1:26" ht="15.75" x14ac:dyDescent="0.25">
      <c r="A33" s="106">
        <v>42598</v>
      </c>
      <c r="B33" s="107" t="s">
        <v>892</v>
      </c>
      <c r="C33" s="108">
        <v>13290.6</v>
      </c>
      <c r="D33" s="104">
        <v>42608</v>
      </c>
      <c r="E33" s="108">
        <v>13290.6</v>
      </c>
      <c r="F33" s="110">
        <f t="shared" si="0"/>
        <v>0</v>
      </c>
      <c r="K33" s="96">
        <f>38503+1383</f>
        <v>39886</v>
      </c>
      <c r="L33" s="107" t="s">
        <v>831</v>
      </c>
      <c r="M33" s="108">
        <v>39886.1</v>
      </c>
      <c r="N33" s="298"/>
      <c r="O33" s="131" t="s">
        <v>65</v>
      </c>
      <c r="P33" s="132">
        <f>1911+1288+3143+1037+1470</f>
        <v>8849</v>
      </c>
      <c r="Q33" s="133">
        <v>42584</v>
      </c>
      <c r="U33" s="40"/>
      <c r="V33" s="40"/>
      <c r="W33" s="40"/>
      <c r="X33" s="40"/>
      <c r="Y33" s="40"/>
      <c r="Z33" s="40"/>
    </row>
    <row r="34" spans="1:26" ht="15.75" x14ac:dyDescent="0.25">
      <c r="A34" s="106">
        <v>42599</v>
      </c>
      <c r="B34" s="107" t="s">
        <v>893</v>
      </c>
      <c r="C34" s="108">
        <v>33462.9</v>
      </c>
      <c r="D34" s="104">
        <v>42608</v>
      </c>
      <c r="E34" s="108">
        <v>33462.9</v>
      </c>
      <c r="F34" s="110">
        <f t="shared" si="0"/>
        <v>0</v>
      </c>
      <c r="K34" s="28">
        <v>11806.5</v>
      </c>
      <c r="L34" s="107" t="s">
        <v>832</v>
      </c>
      <c r="M34" s="108">
        <v>11806.7</v>
      </c>
      <c r="N34" s="134"/>
      <c r="O34" s="131" t="s">
        <v>57</v>
      </c>
      <c r="P34" s="135">
        <v>92617.5</v>
      </c>
      <c r="Q34" s="136">
        <v>42588</v>
      </c>
      <c r="U34" s="40"/>
      <c r="V34" s="40"/>
      <c r="W34" s="40"/>
      <c r="X34" s="40"/>
      <c r="Y34" s="40"/>
      <c r="Z34" s="40"/>
    </row>
    <row r="35" spans="1:26" ht="15.75" x14ac:dyDescent="0.25">
      <c r="A35" s="106">
        <v>42599</v>
      </c>
      <c r="B35" s="107" t="s">
        <v>894</v>
      </c>
      <c r="C35" s="108">
        <v>40184.400000000001</v>
      </c>
      <c r="D35" s="104">
        <v>42608</v>
      </c>
      <c r="E35" s="108">
        <v>40184.400000000001</v>
      </c>
      <c r="F35" s="110">
        <f t="shared" si="0"/>
        <v>0</v>
      </c>
      <c r="K35" s="28">
        <v>31559.5</v>
      </c>
      <c r="L35" s="107" t="s">
        <v>833</v>
      </c>
      <c r="M35" s="108">
        <v>31559.5</v>
      </c>
      <c r="N35" s="194"/>
      <c r="O35" s="131" t="s">
        <v>57</v>
      </c>
      <c r="P35" s="114">
        <v>8050.5</v>
      </c>
      <c r="Q35" s="136">
        <v>42590</v>
      </c>
      <c r="U35" s="40"/>
      <c r="V35" s="40"/>
      <c r="W35" s="40"/>
      <c r="X35" s="40"/>
      <c r="Y35" s="40"/>
      <c r="Z35" s="40"/>
    </row>
    <row r="36" spans="1:26" ht="15.75" x14ac:dyDescent="0.25">
      <c r="A36" s="106">
        <v>42600</v>
      </c>
      <c r="B36" s="107" t="s">
        <v>895</v>
      </c>
      <c r="C36" s="108">
        <v>40375.4</v>
      </c>
      <c r="D36" s="104">
        <v>42608</v>
      </c>
      <c r="E36" s="108">
        <v>40375.4</v>
      </c>
      <c r="F36" s="110">
        <f t="shared" si="0"/>
        <v>0</v>
      </c>
      <c r="K36" s="28">
        <f>17141.5+8050.5+7067.5</f>
        <v>32259.5</v>
      </c>
      <c r="L36" s="107" t="s">
        <v>834</v>
      </c>
      <c r="M36" s="108">
        <v>32259.5</v>
      </c>
      <c r="N36" s="318"/>
      <c r="O36" s="131" t="s">
        <v>57</v>
      </c>
      <c r="P36" s="132">
        <v>71149.5</v>
      </c>
      <c r="Q36" s="133">
        <v>42590</v>
      </c>
    </row>
    <row r="37" spans="1:26" ht="15.75" x14ac:dyDescent="0.25">
      <c r="A37" s="106">
        <v>42600</v>
      </c>
      <c r="B37" s="107" t="s">
        <v>897</v>
      </c>
      <c r="C37" s="108">
        <v>36111.9</v>
      </c>
      <c r="D37" s="104">
        <v>42608</v>
      </c>
      <c r="E37" s="108">
        <v>36111.9</v>
      </c>
      <c r="F37" s="110">
        <f t="shared" si="0"/>
        <v>0</v>
      </c>
      <c r="K37" s="28">
        <f>20844+20457</f>
        <v>41301</v>
      </c>
      <c r="L37" s="107" t="s">
        <v>838</v>
      </c>
      <c r="M37" s="108">
        <v>41301.1</v>
      </c>
      <c r="N37" s="318"/>
      <c r="O37" s="131" t="s">
        <v>57</v>
      </c>
      <c r="P37" s="135">
        <v>10784.5</v>
      </c>
      <c r="Q37" s="136">
        <v>42590</v>
      </c>
    </row>
    <row r="38" spans="1:26" ht="15.75" x14ac:dyDescent="0.25">
      <c r="A38" s="106">
        <v>42601</v>
      </c>
      <c r="B38" s="107" t="s">
        <v>898</v>
      </c>
      <c r="C38" s="108">
        <v>34130.300000000003</v>
      </c>
      <c r="D38" s="104">
        <v>42608</v>
      </c>
      <c r="E38" s="108">
        <v>34130.300000000003</v>
      </c>
      <c r="F38" s="110">
        <f t="shared" si="0"/>
        <v>0</v>
      </c>
      <c r="K38" s="28">
        <f>22781+10784.5+21205.5+21210+11440+6658.5</f>
        <v>94079.5</v>
      </c>
      <c r="L38" s="107" t="s">
        <v>839</v>
      </c>
      <c r="M38" s="108">
        <v>94079.65</v>
      </c>
      <c r="N38" s="318"/>
      <c r="O38" s="131" t="s">
        <v>57</v>
      </c>
      <c r="P38" s="114">
        <v>42415.5</v>
      </c>
      <c r="Q38" s="136">
        <v>42590</v>
      </c>
    </row>
    <row r="39" spans="1:26" ht="15.75" x14ac:dyDescent="0.25">
      <c r="A39" s="106">
        <v>42601</v>
      </c>
      <c r="B39" s="107" t="s">
        <v>899</v>
      </c>
      <c r="C39" s="108">
        <v>45755.3</v>
      </c>
      <c r="D39" s="104">
        <v>42608</v>
      </c>
      <c r="E39" s="108">
        <v>45755.3</v>
      </c>
      <c r="F39" s="110">
        <f t="shared" si="0"/>
        <v>0</v>
      </c>
      <c r="K39" s="28">
        <v>5549</v>
      </c>
      <c r="L39" s="107" t="s">
        <v>840</v>
      </c>
      <c r="M39" s="108">
        <v>5548.8</v>
      </c>
      <c r="N39" s="318"/>
      <c r="O39" s="131" t="s">
        <v>57</v>
      </c>
      <c r="P39" s="319">
        <v>11257</v>
      </c>
      <c r="Q39" s="320">
        <v>42591</v>
      </c>
    </row>
    <row r="40" spans="1:26" ht="15.75" x14ac:dyDescent="0.25">
      <c r="A40" s="106">
        <v>42602</v>
      </c>
      <c r="B40" s="107" t="s">
        <v>900</v>
      </c>
      <c r="C40" s="108">
        <v>40636.400000000001</v>
      </c>
      <c r="D40" s="104">
        <v>42608</v>
      </c>
      <c r="E40" s="108">
        <v>40636.400000000001</v>
      </c>
      <c r="F40" s="110">
        <f t="shared" si="0"/>
        <v>0</v>
      </c>
      <c r="K40" s="28">
        <f>11257+14565+15378</f>
        <v>41200</v>
      </c>
      <c r="L40" s="107" t="s">
        <v>841</v>
      </c>
      <c r="M40" s="108">
        <v>41199.949999999997</v>
      </c>
      <c r="N40" s="318"/>
      <c r="O40" s="131" t="s">
        <v>57</v>
      </c>
      <c r="P40" s="319">
        <v>11440</v>
      </c>
      <c r="Q40" s="320">
        <v>42591</v>
      </c>
    </row>
    <row r="41" spans="1:26" ht="15.75" x14ac:dyDescent="0.25">
      <c r="A41" s="106">
        <v>42602</v>
      </c>
      <c r="B41" s="107" t="s">
        <v>901</v>
      </c>
      <c r="C41" s="108">
        <v>8038.9</v>
      </c>
      <c r="D41" s="104">
        <v>42608</v>
      </c>
      <c r="E41" s="108">
        <v>8038.9</v>
      </c>
      <c r="F41" s="110">
        <f t="shared" si="0"/>
        <v>0</v>
      </c>
      <c r="K41" s="28">
        <f>15242.5+7940.5</f>
        <v>23183</v>
      </c>
      <c r="L41" s="107" t="s">
        <v>842</v>
      </c>
      <c r="M41" s="108">
        <v>23180.16</v>
      </c>
      <c r="N41" s="318" t="s">
        <v>172</v>
      </c>
      <c r="O41" s="131" t="s">
        <v>57</v>
      </c>
      <c r="P41" s="319">
        <v>57393</v>
      </c>
      <c r="Q41" s="320">
        <v>42591</v>
      </c>
    </row>
    <row r="42" spans="1:26" ht="15.75" x14ac:dyDescent="0.25">
      <c r="A42" s="106">
        <v>42602</v>
      </c>
      <c r="B42" s="107" t="s">
        <v>902</v>
      </c>
      <c r="C42" s="108">
        <v>71388</v>
      </c>
      <c r="D42" s="104">
        <v>42608</v>
      </c>
      <c r="E42" s="108">
        <v>71388</v>
      </c>
      <c r="F42" s="110">
        <f t="shared" si="0"/>
        <v>0</v>
      </c>
      <c r="K42" s="28"/>
      <c r="L42" s="107"/>
      <c r="M42" s="108"/>
      <c r="N42" s="318"/>
      <c r="O42" s="131" t="s">
        <v>57</v>
      </c>
      <c r="P42" s="319">
        <v>7940.5</v>
      </c>
      <c r="Q42" s="320">
        <v>42592</v>
      </c>
    </row>
    <row r="43" spans="1:26" ht="16.5" thickBot="1" x14ac:dyDescent="0.3">
      <c r="A43" s="106">
        <v>42602</v>
      </c>
      <c r="B43" s="197" t="s">
        <v>903</v>
      </c>
      <c r="C43" s="140">
        <v>35604</v>
      </c>
      <c r="D43" s="104">
        <v>42608</v>
      </c>
      <c r="E43" s="140">
        <v>35604</v>
      </c>
      <c r="F43" s="356">
        <f t="shared" si="0"/>
        <v>0</v>
      </c>
      <c r="G43"/>
      <c r="K43" s="28">
        <f>SUM(K27:K42)</f>
        <v>487619</v>
      </c>
      <c r="L43" s="189"/>
      <c r="M43" s="207">
        <v>0</v>
      </c>
      <c r="N43" s="341"/>
      <c r="O43" s="342"/>
      <c r="P43" s="191">
        <v>0</v>
      </c>
      <c r="Q43" s="209"/>
    </row>
    <row r="44" spans="1:26" ht="16.5" thickTop="1" x14ac:dyDescent="0.25">
      <c r="A44" s="106">
        <v>42603</v>
      </c>
      <c r="B44" s="357" t="s">
        <v>904</v>
      </c>
      <c r="C44" s="140">
        <v>32461.200000000001</v>
      </c>
      <c r="D44" s="104">
        <v>42608</v>
      </c>
      <c r="E44" s="140">
        <v>32461.200000000001</v>
      </c>
      <c r="F44" s="356">
        <f t="shared" si="0"/>
        <v>0</v>
      </c>
      <c r="G44"/>
      <c r="K44" s="33"/>
      <c r="L44" s="88"/>
      <c r="M44" s="51">
        <f>SUM(M27:M43)</f>
        <v>487618.99999999994</v>
      </c>
      <c r="N44" s="326"/>
      <c r="O44" s="148"/>
      <c r="P44" s="33">
        <f>SUM(P27:P43)</f>
        <v>487619</v>
      </c>
      <c r="Q44" s="104"/>
    </row>
    <row r="45" spans="1:26" x14ac:dyDescent="0.25">
      <c r="A45" s="106">
        <v>42603</v>
      </c>
      <c r="B45" s="357" t="s">
        <v>905</v>
      </c>
      <c r="C45" s="359">
        <v>34405.199999999997</v>
      </c>
      <c r="D45" s="104">
        <v>42608</v>
      </c>
      <c r="E45" s="396">
        <v>32710.79</v>
      </c>
      <c r="F45" s="397">
        <f t="shared" si="0"/>
        <v>1694.4099999999962</v>
      </c>
      <c r="G45"/>
    </row>
    <row r="46" spans="1:26" x14ac:dyDescent="0.25">
      <c r="A46" s="106">
        <v>42604</v>
      </c>
      <c r="B46" s="358" t="s">
        <v>906</v>
      </c>
      <c r="C46" s="359">
        <v>40615.040000000001</v>
      </c>
      <c r="D46" s="398"/>
      <c r="E46" s="172"/>
      <c r="F46" s="356">
        <f t="shared" si="0"/>
        <v>40615.040000000001</v>
      </c>
      <c r="G46"/>
    </row>
    <row r="47" spans="1:26" x14ac:dyDescent="0.25">
      <c r="A47" s="106">
        <v>42605</v>
      </c>
      <c r="B47" s="357" t="s">
        <v>907</v>
      </c>
      <c r="C47" s="359">
        <v>13840.54</v>
      </c>
      <c r="D47" s="398"/>
      <c r="E47" s="172"/>
      <c r="F47" s="356">
        <f t="shared" si="0"/>
        <v>13840.54</v>
      </c>
      <c r="G47"/>
    </row>
    <row r="48" spans="1:26" ht="15.75" x14ac:dyDescent="0.25">
      <c r="A48" s="195">
        <v>42605</v>
      </c>
      <c r="B48" s="366" t="s">
        <v>908</v>
      </c>
      <c r="C48" s="367">
        <v>37337.199999999997</v>
      </c>
      <c r="D48" s="399"/>
      <c r="E48" s="365"/>
      <c r="F48" s="356">
        <f t="shared" si="0"/>
        <v>37337.199999999997</v>
      </c>
      <c r="G48"/>
      <c r="K48" s="5"/>
      <c r="L48" s="104"/>
      <c r="M48" s="386">
        <v>42601</v>
      </c>
      <c r="N48" s="124"/>
      <c r="O48" s="125" t="s">
        <v>56</v>
      </c>
      <c r="P48" s="33"/>
    </row>
    <row r="49" spans="1:17" ht="15.75" thickBot="1" x14ac:dyDescent="0.3">
      <c r="A49" s="248">
        <v>42605</v>
      </c>
      <c r="B49" s="250" t="s">
        <v>911</v>
      </c>
      <c r="C49" s="367">
        <v>33066</v>
      </c>
      <c r="D49" s="398"/>
      <c r="E49" s="114"/>
      <c r="F49" s="356">
        <f t="shared" si="0"/>
        <v>33066</v>
      </c>
      <c r="G49"/>
      <c r="K49" s="96"/>
      <c r="L49" s="337"/>
      <c r="M49" s="127"/>
      <c r="N49" s="127"/>
      <c r="O49" s="127"/>
      <c r="P49" s="128"/>
      <c r="Q49" s="129"/>
    </row>
    <row r="50" spans="1:17" ht="16.5" thickTop="1" x14ac:dyDescent="0.25">
      <c r="A50" s="248">
        <v>42605</v>
      </c>
      <c r="B50" s="357" t="s">
        <v>912</v>
      </c>
      <c r="C50" s="359">
        <v>33832.800000000003</v>
      </c>
      <c r="D50" s="398"/>
      <c r="E50" s="114"/>
      <c r="F50" s="135">
        <f t="shared" si="0"/>
        <v>33832.800000000003</v>
      </c>
      <c r="G50"/>
      <c r="J50" s="5"/>
      <c r="K50" s="28">
        <v>7116.5</v>
      </c>
      <c r="L50" s="107" t="s">
        <v>842</v>
      </c>
      <c r="M50" s="108">
        <v>7119.28</v>
      </c>
      <c r="N50" s="259" t="s">
        <v>63</v>
      </c>
      <c r="O50" s="131" t="s">
        <v>57</v>
      </c>
      <c r="P50" s="132">
        <v>40959.5</v>
      </c>
      <c r="Q50" s="133">
        <v>42592</v>
      </c>
    </row>
    <row r="51" spans="1:17" ht="15.75" x14ac:dyDescent="0.25">
      <c r="A51" s="248">
        <v>42605</v>
      </c>
      <c r="B51" s="250" t="s">
        <v>913</v>
      </c>
      <c r="C51" s="140">
        <v>2390.1</v>
      </c>
      <c r="D51" s="400"/>
      <c r="E51" s="173"/>
      <c r="F51" s="135">
        <f t="shared" si="0"/>
        <v>2390.1</v>
      </c>
      <c r="G51"/>
      <c r="J51" s="5"/>
      <c r="K51" s="28">
        <f>25924.5+7918.5+11304+8135+12996</f>
        <v>66278</v>
      </c>
      <c r="L51" s="107" t="s">
        <v>843</v>
      </c>
      <c r="M51" s="108">
        <v>66277.899999999994</v>
      </c>
      <c r="N51" s="259"/>
      <c r="O51" s="131" t="s">
        <v>57</v>
      </c>
      <c r="P51" s="132">
        <v>11304</v>
      </c>
      <c r="Q51" s="133">
        <v>42593</v>
      </c>
    </row>
    <row r="52" spans="1:17" ht="15.75" x14ac:dyDescent="0.25">
      <c r="A52" s="248">
        <v>42606</v>
      </c>
      <c r="B52" s="250" t="s">
        <v>909</v>
      </c>
      <c r="C52" s="359">
        <v>35698.32</v>
      </c>
      <c r="D52" s="398"/>
      <c r="E52" s="114"/>
      <c r="F52" s="114">
        <f t="shared" si="0"/>
        <v>35698.32</v>
      </c>
      <c r="J52" s="5"/>
      <c r="K52" s="28">
        <f>4715+10687.5+14977+6871</f>
        <v>37250.5</v>
      </c>
      <c r="L52" s="107" t="s">
        <v>844</v>
      </c>
      <c r="M52" s="108">
        <v>36886.6</v>
      </c>
      <c r="N52" s="130"/>
      <c r="O52" s="131" t="s">
        <v>57</v>
      </c>
      <c r="P52" s="132">
        <v>25846</v>
      </c>
      <c r="Q52" s="133">
        <v>42593</v>
      </c>
    </row>
    <row r="53" spans="1:17" ht="15.75" x14ac:dyDescent="0.25">
      <c r="A53" s="248">
        <v>42607</v>
      </c>
      <c r="B53" s="357" t="s">
        <v>946</v>
      </c>
      <c r="C53" s="140">
        <v>49857.1</v>
      </c>
      <c r="D53" s="398"/>
      <c r="E53" s="114"/>
      <c r="F53" s="114">
        <f t="shared" si="0"/>
        <v>49857.1</v>
      </c>
      <c r="J53" s="5"/>
      <c r="K53" s="28">
        <v>7163.5</v>
      </c>
      <c r="L53" s="107" t="s">
        <v>845</v>
      </c>
      <c r="M53" s="108">
        <v>7163.6</v>
      </c>
      <c r="N53" s="130"/>
      <c r="O53" s="131" t="s">
        <v>57</v>
      </c>
      <c r="P53" s="132">
        <v>10687.5</v>
      </c>
      <c r="Q53" s="133">
        <v>42594</v>
      </c>
    </row>
    <row r="54" spans="1:17" ht="15.75" x14ac:dyDescent="0.25">
      <c r="A54" s="248">
        <v>42608</v>
      </c>
      <c r="B54" s="250" t="s">
        <v>914</v>
      </c>
      <c r="C54" s="140">
        <v>34017.800000000003</v>
      </c>
      <c r="D54" s="143"/>
      <c r="E54" s="114"/>
      <c r="F54" s="114">
        <f t="shared" si="0"/>
        <v>34017.800000000003</v>
      </c>
      <c r="J54" s="5"/>
      <c r="K54" s="28">
        <v>31953</v>
      </c>
      <c r="L54" s="107" t="s">
        <v>846</v>
      </c>
      <c r="M54" s="108">
        <v>31953.200000000001</v>
      </c>
      <c r="N54" s="194"/>
      <c r="O54" s="131" t="s">
        <v>57</v>
      </c>
      <c r="P54" s="132">
        <v>69212.5</v>
      </c>
      <c r="Q54" s="133">
        <v>42594</v>
      </c>
    </row>
    <row r="55" spans="1:17" ht="15.75" x14ac:dyDescent="0.25">
      <c r="A55" s="248">
        <v>42608</v>
      </c>
      <c r="B55" s="357" t="s">
        <v>947</v>
      </c>
      <c r="C55" s="140">
        <v>34624.6</v>
      </c>
      <c r="D55" s="143"/>
      <c r="E55" s="114"/>
      <c r="F55" s="114">
        <f t="shared" si="0"/>
        <v>34624.6</v>
      </c>
      <c r="J55" s="5"/>
      <c r="K55" s="28">
        <f>8248+10813+16200.5+7310.5</f>
        <v>42572</v>
      </c>
      <c r="L55" s="107" t="s">
        <v>847</v>
      </c>
      <c r="M55" s="108">
        <v>42572.2</v>
      </c>
      <c r="N55" s="194"/>
      <c r="O55" s="131" t="s">
        <v>57</v>
      </c>
      <c r="P55" s="132">
        <v>10813</v>
      </c>
      <c r="Q55" s="133">
        <v>42595</v>
      </c>
    </row>
    <row r="56" spans="1:17" ht="15.75" x14ac:dyDescent="0.25">
      <c r="A56" s="248">
        <v>42609</v>
      </c>
      <c r="B56" s="250" t="s">
        <v>948</v>
      </c>
      <c r="C56" s="140">
        <v>19910.5</v>
      </c>
      <c r="D56" s="398"/>
      <c r="E56" s="114"/>
      <c r="F56" s="114">
        <f t="shared" si="0"/>
        <v>19910.5</v>
      </c>
      <c r="J56" s="5"/>
      <c r="K56" s="28">
        <v>42012</v>
      </c>
      <c r="L56" s="107" t="s">
        <v>848</v>
      </c>
      <c r="M56" s="108">
        <v>42012.12</v>
      </c>
      <c r="N56" s="298"/>
      <c r="O56" s="131" t="s">
        <v>65</v>
      </c>
      <c r="P56" s="132">
        <v>73087</v>
      </c>
      <c r="Q56" s="133">
        <v>42595</v>
      </c>
    </row>
    <row r="57" spans="1:17" ht="15.75" x14ac:dyDescent="0.25">
      <c r="A57" s="248">
        <v>42609</v>
      </c>
      <c r="B57" s="357" t="s">
        <v>949</v>
      </c>
      <c r="C57" s="140">
        <v>68076.67</v>
      </c>
      <c r="D57" s="143"/>
      <c r="E57" s="114"/>
      <c r="F57" s="114">
        <f t="shared" si="0"/>
        <v>68076.67</v>
      </c>
      <c r="G57" s="23" t="s">
        <v>450</v>
      </c>
      <c r="J57" s="5"/>
      <c r="K57" s="28">
        <f>18007.5+73132+2194</f>
        <v>93333.5</v>
      </c>
      <c r="L57" s="107" t="s">
        <v>882</v>
      </c>
      <c r="M57" s="108">
        <v>93333.4</v>
      </c>
      <c r="N57" s="134"/>
      <c r="O57" s="131" t="s">
        <v>57</v>
      </c>
      <c r="P57" s="135">
        <v>12740</v>
      </c>
      <c r="Q57" s="136">
        <v>42597</v>
      </c>
    </row>
    <row r="58" spans="1:17" ht="15.75" x14ac:dyDescent="0.25">
      <c r="A58" s="248">
        <v>42610</v>
      </c>
      <c r="B58" s="250" t="s">
        <v>950</v>
      </c>
      <c r="C58" s="140">
        <v>104743.3</v>
      </c>
      <c r="D58" s="398"/>
      <c r="E58" s="114"/>
      <c r="F58" s="114">
        <f t="shared" si="0"/>
        <v>104743.3</v>
      </c>
      <c r="J58" s="5"/>
      <c r="K58" s="28">
        <f>7564+12740+9464.5+3321.5+338.5</f>
        <v>33428.5</v>
      </c>
      <c r="L58" s="107" t="s">
        <v>883</v>
      </c>
      <c r="M58" s="108">
        <v>33428.5</v>
      </c>
      <c r="N58" s="194"/>
      <c r="O58" s="131" t="s">
        <v>57</v>
      </c>
      <c r="P58" s="114">
        <v>9464.5</v>
      </c>
      <c r="Q58" s="136">
        <v>42597</v>
      </c>
    </row>
    <row r="59" spans="1:17" ht="15.75" x14ac:dyDescent="0.25">
      <c r="A59" s="248">
        <v>42610</v>
      </c>
      <c r="B59" s="250" t="s">
        <v>951</v>
      </c>
      <c r="C59" s="140">
        <v>4667.82</v>
      </c>
      <c r="D59" s="398"/>
      <c r="E59" s="114"/>
      <c r="F59" s="114">
        <f t="shared" si="0"/>
        <v>4667.82</v>
      </c>
      <c r="J59" s="5"/>
      <c r="K59" s="28">
        <v>32603</v>
      </c>
      <c r="L59" s="107" t="s">
        <v>884</v>
      </c>
      <c r="M59" s="108">
        <v>32603.200000000001</v>
      </c>
      <c r="N59" s="318"/>
      <c r="O59" s="131" t="s">
        <v>57</v>
      </c>
      <c r="P59" s="132">
        <v>55535.5</v>
      </c>
      <c r="Q59" s="133">
        <v>42597</v>
      </c>
    </row>
    <row r="60" spans="1:17" ht="15.75" x14ac:dyDescent="0.25">
      <c r="A60" s="248">
        <v>42611</v>
      </c>
      <c r="B60" s="357" t="s">
        <v>952</v>
      </c>
      <c r="C60" s="140">
        <v>48523.98</v>
      </c>
      <c r="D60" s="143"/>
      <c r="E60" s="114"/>
      <c r="F60" s="114">
        <f t="shared" si="0"/>
        <v>48523.98</v>
      </c>
      <c r="J60" s="5"/>
      <c r="K60" s="28">
        <f>12066.5+27011.5</f>
        <v>39078</v>
      </c>
      <c r="L60" s="107" t="s">
        <v>885</v>
      </c>
      <c r="M60" s="108">
        <v>39078.04</v>
      </c>
      <c r="N60" s="318"/>
      <c r="O60" s="131" t="s">
        <v>57</v>
      </c>
      <c r="P60" s="135">
        <v>10982</v>
      </c>
      <c r="Q60" s="136">
        <v>42597</v>
      </c>
    </row>
    <row r="61" spans="1:17" ht="15.75" x14ac:dyDescent="0.25">
      <c r="A61" s="248">
        <v>42611</v>
      </c>
      <c r="B61" s="357" t="s">
        <v>953</v>
      </c>
      <c r="C61" s="140">
        <v>1476.6</v>
      </c>
      <c r="D61" s="143"/>
      <c r="E61" s="114"/>
      <c r="F61" s="114">
        <f t="shared" si="0"/>
        <v>1476.6</v>
      </c>
      <c r="J61" s="5"/>
      <c r="K61" s="28">
        <v>8531.5</v>
      </c>
      <c r="L61" s="107" t="s">
        <v>886</v>
      </c>
      <c r="M61" s="108">
        <v>8531.42</v>
      </c>
      <c r="N61" s="318"/>
      <c r="O61" s="131" t="s">
        <v>57</v>
      </c>
      <c r="P61" s="114">
        <v>95218</v>
      </c>
      <c r="Q61" s="136">
        <v>42597</v>
      </c>
    </row>
    <row r="62" spans="1:17" ht="15.75" x14ac:dyDescent="0.25">
      <c r="A62" s="248">
        <v>42613</v>
      </c>
      <c r="B62" s="357" t="s">
        <v>954</v>
      </c>
      <c r="C62" s="140">
        <v>41890.800000000003</v>
      </c>
      <c r="D62" s="143"/>
      <c r="E62" s="114"/>
      <c r="F62" s="114">
        <f t="shared" si="0"/>
        <v>41890.800000000003</v>
      </c>
      <c r="J62" s="5"/>
      <c r="K62" s="28">
        <f>19272.5+10982+4078.5</f>
        <v>34333</v>
      </c>
      <c r="L62" s="107" t="s">
        <v>887</v>
      </c>
      <c r="M62" s="108">
        <v>34333.25</v>
      </c>
      <c r="N62" s="318"/>
      <c r="O62" s="131" t="s">
        <v>57</v>
      </c>
      <c r="P62" s="319">
        <v>12066.5</v>
      </c>
      <c r="Q62" s="320">
        <v>42598</v>
      </c>
    </row>
    <row r="63" spans="1:17" ht="15.75" x14ac:dyDescent="0.25">
      <c r="A63" s="248">
        <v>42613</v>
      </c>
      <c r="B63" s="357" t="s">
        <v>955</v>
      </c>
      <c r="C63" s="140">
        <v>37467.300000000003</v>
      </c>
      <c r="D63" s="143"/>
      <c r="E63" s="114"/>
      <c r="F63" s="114">
        <f t="shared" si="0"/>
        <v>37467.300000000003</v>
      </c>
      <c r="J63" s="5">
        <f>11198+10936+15774</f>
        <v>37908</v>
      </c>
      <c r="K63" s="28">
        <f>346.5+10851.5</f>
        <v>11198</v>
      </c>
      <c r="L63" s="107" t="s">
        <v>888</v>
      </c>
      <c r="M63" s="108">
        <v>11198</v>
      </c>
      <c r="N63" s="318" t="s">
        <v>110</v>
      </c>
      <c r="O63" s="131" t="s">
        <v>57</v>
      </c>
      <c r="P63" s="319">
        <v>38083.5</v>
      </c>
      <c r="Q63" s="320">
        <v>42598</v>
      </c>
    </row>
    <row r="64" spans="1:17" ht="15.75" x14ac:dyDescent="0.25">
      <c r="A64" s="248">
        <v>42613</v>
      </c>
      <c r="B64" s="357" t="s">
        <v>956</v>
      </c>
      <c r="C64" s="140">
        <v>34760.699999999997</v>
      </c>
      <c r="D64" s="143"/>
      <c r="E64" s="114"/>
      <c r="F64" s="114">
        <f t="shared" si="0"/>
        <v>34760.699999999997</v>
      </c>
      <c r="J64" s="5">
        <f>5888.5+10974.5+18814.5</f>
        <v>35677.5</v>
      </c>
      <c r="K64" s="28"/>
      <c r="L64" s="107"/>
      <c r="M64" s="108"/>
      <c r="N64" s="318"/>
      <c r="O64" s="131" t="s">
        <v>57</v>
      </c>
      <c r="P64" s="319">
        <v>10851.5</v>
      </c>
      <c r="Q64" s="320">
        <v>42599</v>
      </c>
    </row>
    <row r="65" spans="1:17" ht="15.75" x14ac:dyDescent="0.25">
      <c r="A65" s="248"/>
      <c r="B65" s="357"/>
      <c r="C65" s="140"/>
      <c r="D65" s="143"/>
      <c r="E65" s="114"/>
      <c r="F65" s="114"/>
      <c r="J65" s="5">
        <v>8754</v>
      </c>
      <c r="K65" s="28"/>
      <c r="L65" s="107" t="s">
        <v>890</v>
      </c>
      <c r="M65" s="108">
        <v>360.29</v>
      </c>
      <c r="N65" s="318" t="s">
        <v>110</v>
      </c>
      <c r="O65" s="131" t="s">
        <v>57</v>
      </c>
      <c r="P65" s="319"/>
      <c r="Q65" s="320"/>
    </row>
    <row r="66" spans="1:17" ht="16.5" thickBot="1" x14ac:dyDescent="0.3">
      <c r="A66" s="248"/>
      <c r="B66" s="357"/>
      <c r="C66" s="140"/>
      <c r="D66" s="143"/>
      <c r="E66" s="114"/>
      <c r="F66" s="114"/>
      <c r="J66" s="5"/>
      <c r="K66" s="28">
        <f>SUM(K50:K65)</f>
        <v>486851</v>
      </c>
      <c r="L66" s="189"/>
      <c r="M66" s="207"/>
      <c r="N66" s="341"/>
      <c r="O66" s="342"/>
      <c r="P66" s="191">
        <v>0</v>
      </c>
      <c r="Q66" s="209"/>
    </row>
    <row r="67" spans="1:17" ht="16.5" thickTop="1" x14ac:dyDescent="0.25">
      <c r="A67" s="248"/>
      <c r="B67" s="357"/>
      <c r="C67" s="140"/>
      <c r="D67" s="143"/>
      <c r="E67" s="114"/>
      <c r="F67" s="114"/>
      <c r="K67" s="33"/>
      <c r="L67" s="88"/>
      <c r="M67" s="51">
        <f>SUM(M50:M66)</f>
        <v>486851</v>
      </c>
      <c r="N67" s="326"/>
      <c r="O67" s="148"/>
      <c r="P67" s="33">
        <f>SUM(P50:P66)</f>
        <v>486851</v>
      </c>
      <c r="Q67" s="104"/>
    </row>
    <row r="68" spans="1:17" x14ac:dyDescent="0.25">
      <c r="A68" s="248"/>
      <c r="B68" s="250"/>
      <c r="C68" s="140"/>
      <c r="D68" s="398"/>
      <c r="E68" s="114"/>
      <c r="F68" s="114"/>
    </row>
    <row r="69" spans="1:17" x14ac:dyDescent="0.25">
      <c r="A69" s="248"/>
      <c r="B69" s="250"/>
      <c r="C69" s="140"/>
      <c r="D69" s="398"/>
      <c r="E69" s="114"/>
      <c r="F69" s="114"/>
    </row>
    <row r="70" spans="1:17" x14ac:dyDescent="0.25">
      <c r="A70" s="248"/>
      <c r="B70" s="250"/>
      <c r="C70" s="140"/>
      <c r="D70" s="398"/>
      <c r="E70" s="114"/>
      <c r="F70" s="114"/>
    </row>
    <row r="71" spans="1:17" x14ac:dyDescent="0.25">
      <c r="A71" s="248"/>
      <c r="B71" s="250"/>
      <c r="C71" s="140"/>
      <c r="D71" s="398"/>
      <c r="E71" s="114"/>
      <c r="F71" s="114"/>
    </row>
    <row r="72" spans="1:17" x14ac:dyDescent="0.25">
      <c r="A72" s="248"/>
      <c r="B72" s="250"/>
      <c r="C72" s="140"/>
      <c r="D72" s="398"/>
      <c r="E72" s="114"/>
      <c r="F72" s="114"/>
    </row>
    <row r="73" spans="1:17" x14ac:dyDescent="0.25">
      <c r="A73" s="248"/>
      <c r="B73" s="250"/>
      <c r="C73" s="140"/>
      <c r="D73" s="398"/>
      <c r="E73" s="114"/>
      <c r="F73" s="114"/>
    </row>
    <row r="74" spans="1:17" x14ac:dyDescent="0.25">
      <c r="A74" s="248"/>
      <c r="B74" s="250"/>
      <c r="C74" s="140"/>
      <c r="D74" s="398"/>
      <c r="E74" s="114"/>
      <c r="F74" s="114"/>
    </row>
    <row r="75" spans="1:17" x14ac:dyDescent="0.25">
      <c r="A75" s="248"/>
      <c r="B75" s="250"/>
      <c r="C75" s="140"/>
      <c r="D75" s="398"/>
      <c r="E75" s="114"/>
      <c r="F75" s="114"/>
    </row>
    <row r="76" spans="1:17" x14ac:dyDescent="0.25">
      <c r="A76" s="248"/>
      <c r="B76" s="250"/>
      <c r="C76" s="140"/>
      <c r="D76" s="398"/>
      <c r="E76" s="114"/>
      <c r="F76" s="114"/>
    </row>
    <row r="77" spans="1:17" x14ac:dyDescent="0.25">
      <c r="A77" s="248"/>
      <c r="B77" s="250"/>
      <c r="C77" s="140"/>
      <c r="D77" s="398"/>
      <c r="E77" s="114"/>
      <c r="F77" s="114"/>
    </row>
    <row r="78" spans="1:17" x14ac:dyDescent="0.25">
      <c r="A78" s="248"/>
      <c r="B78" s="250"/>
      <c r="C78" s="140"/>
      <c r="D78" s="398"/>
      <c r="E78" s="114"/>
      <c r="F78" s="114"/>
    </row>
    <row r="79" spans="1:17" x14ac:dyDescent="0.25">
      <c r="A79" s="248"/>
      <c r="B79" s="250"/>
      <c r="C79" s="140"/>
      <c r="D79" s="398"/>
      <c r="E79" s="114"/>
      <c r="F79" s="114"/>
    </row>
    <row r="80" spans="1:17" x14ac:dyDescent="0.25">
      <c r="A80" s="248"/>
      <c r="B80" s="250"/>
      <c r="C80" s="140"/>
      <c r="D80" s="398"/>
      <c r="E80" s="114"/>
      <c r="F80" s="114"/>
    </row>
    <row r="81" spans="1:6" ht="15.75" thickBot="1" x14ac:dyDescent="0.3">
      <c r="A81" s="249"/>
      <c r="B81" s="249"/>
      <c r="C81" s="199">
        <v>0</v>
      </c>
      <c r="D81" s="199"/>
      <c r="E81" s="198"/>
      <c r="F81" s="361">
        <f>C81-E81</f>
        <v>0</v>
      </c>
    </row>
    <row r="82" spans="1:6" ht="15.75" thickTop="1" x14ac:dyDescent="0.25">
      <c r="A82"/>
      <c r="B82"/>
      <c r="C82" s="146">
        <f>SUM(C5:C81)</f>
        <v>2125071.2100000004</v>
      </c>
      <c r="D82" s="4"/>
      <c r="E82" s="360">
        <f>SUM(E5:E81)</f>
        <v>1446579.6299999997</v>
      </c>
      <c r="F82" s="360">
        <f>SUM(F5:F81)</f>
        <v>678491.58</v>
      </c>
    </row>
  </sheetData>
  <sortState ref="A52:C57">
    <sortCondition ref="B52:B57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428" t="s">
        <v>30</v>
      </c>
      <c r="D3" s="429"/>
      <c r="E3" s="430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411" t="s">
        <v>156</v>
      </c>
      <c r="D1" s="411"/>
      <c r="E1" s="411"/>
      <c r="F1" s="411"/>
      <c r="G1" s="411"/>
      <c r="H1" s="411"/>
      <c r="I1" s="411"/>
      <c r="J1" s="411"/>
      <c r="K1" s="411"/>
      <c r="M1" s="2" t="s">
        <v>92</v>
      </c>
      <c r="N1" s="3"/>
      <c r="O1" s="4"/>
      <c r="S1" s="1"/>
      <c r="T1" s="411" t="s">
        <v>156</v>
      </c>
      <c r="U1" s="411"/>
      <c r="V1" s="411"/>
      <c r="W1" s="411"/>
      <c r="X1" s="411"/>
      <c r="Y1" s="411"/>
      <c r="Z1" s="411"/>
      <c r="AA1" s="411"/>
      <c r="AB1" s="411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412" t="s">
        <v>3</v>
      </c>
      <c r="W4" s="413"/>
      <c r="Z4" s="414" t="s">
        <v>4</v>
      </c>
      <c r="AA4" s="415"/>
      <c r="AB4" s="415"/>
      <c r="AC4" s="415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420" t="s">
        <v>21</v>
      </c>
      <c r="I40" s="421"/>
      <c r="J40" s="186"/>
      <c r="K40" s="422">
        <f>I38+L38</f>
        <v>69265.16</v>
      </c>
      <c r="L40" s="423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20" t="s">
        <v>21</v>
      </c>
      <c r="Z40" s="421"/>
      <c r="AA40" s="177"/>
      <c r="AB40" s="422">
        <f>Z38+AC38</f>
        <v>17651.61</v>
      </c>
      <c r="AC40" s="423"/>
      <c r="AD40" s="8"/>
      <c r="AE40" s="51"/>
      <c r="AF40" s="28"/>
    </row>
    <row r="41" spans="1:32" ht="15.75" customHeight="1" x14ac:dyDescent="0.25">
      <c r="B41" s="1"/>
      <c r="C41" s="5"/>
      <c r="D41" s="419" t="s">
        <v>22</v>
      </c>
      <c r="E41" s="419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419" t="s">
        <v>22</v>
      </c>
      <c r="V41" s="419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403"/>
      <c r="J43" s="403"/>
      <c r="K43" s="403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403"/>
      <c r="AA43" s="403"/>
      <c r="AB43" s="403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416" t="s">
        <v>26</v>
      </c>
      <c r="J44" s="416"/>
      <c r="K44" s="417">
        <f>F46</f>
        <v>146566.27999999991</v>
      </c>
      <c r="L44" s="418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416" t="s">
        <v>26</v>
      </c>
      <c r="AA44" s="416"/>
      <c r="AB44" s="417">
        <f>W46</f>
        <v>161651.33000000005</v>
      </c>
      <c r="AC44" s="418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409" t="s">
        <v>2</v>
      </c>
      <c r="J45" s="409"/>
      <c r="K45" s="410">
        <f>-C4</f>
        <v>-158893.32</v>
      </c>
      <c r="L45" s="410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409" t="s">
        <v>2</v>
      </c>
      <c r="AA45" s="409"/>
      <c r="AB45" s="410">
        <f>-T4</f>
        <v>-158893.32</v>
      </c>
      <c r="AC45" s="410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404">
        <v>0</v>
      </c>
      <c r="L46" s="404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404">
        <v>0</v>
      </c>
      <c r="AC46" s="404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-12327.040000000095</v>
      </c>
      <c r="L47" s="427"/>
      <c r="M47" s="8"/>
      <c r="N47" s="51"/>
      <c r="O47" s="4">
        <v>0</v>
      </c>
      <c r="S47" s="1"/>
      <c r="T47" s="5"/>
      <c r="V47" s="83"/>
      <c r="W47" s="86"/>
      <c r="Z47" s="424" t="s">
        <v>29</v>
      </c>
      <c r="AA47" s="425"/>
      <c r="AB47" s="426">
        <f>SUM(AB44:AC46)</f>
        <v>2758.0100000000384</v>
      </c>
      <c r="AC47" s="427"/>
      <c r="AD47" s="8"/>
      <c r="AE47" s="51"/>
      <c r="AF47" s="4"/>
    </row>
    <row r="48" spans="1:32" x14ac:dyDescent="0.25">
      <c r="B48" s="1"/>
      <c r="C48" s="5"/>
      <c r="D48" s="403"/>
      <c r="E48" s="403"/>
      <c r="F48" s="4"/>
      <c r="I48" s="5"/>
      <c r="J48" s="5"/>
      <c r="M48" s="8"/>
      <c r="N48" s="51"/>
      <c r="O48" s="4"/>
      <c r="S48" s="1"/>
      <c r="T48" s="5"/>
      <c r="U48" s="403"/>
      <c r="V48" s="403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Z47:AA47"/>
    <mergeCell ref="AB47:AC47"/>
    <mergeCell ref="U48:V48"/>
    <mergeCell ref="Z45:AA45"/>
    <mergeCell ref="AB45:AC45"/>
    <mergeCell ref="AB46:AC46"/>
    <mergeCell ref="Z43:AB43"/>
    <mergeCell ref="Z44:AA44"/>
    <mergeCell ref="AB44:AC44"/>
    <mergeCell ref="Y40:Z40"/>
    <mergeCell ref="AB40:AC40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428" t="s">
        <v>30</v>
      </c>
      <c r="D3" s="429"/>
      <c r="E3" s="430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topLeftCell="A31" workbookViewId="0">
      <selection activeCell="H55" sqref="H55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411" t="s">
        <v>225</v>
      </c>
      <c r="D1" s="411"/>
      <c r="E1" s="411"/>
      <c r="F1" s="411"/>
      <c r="G1" s="411"/>
      <c r="H1" s="411"/>
      <c r="I1" s="411"/>
      <c r="J1" s="411"/>
      <c r="K1" s="411"/>
      <c r="M1" s="2" t="s">
        <v>153</v>
      </c>
      <c r="N1" s="3"/>
      <c r="O1" s="4"/>
      <c r="S1" s="1"/>
      <c r="T1" s="411" t="s">
        <v>225</v>
      </c>
      <c r="U1" s="411"/>
      <c r="V1" s="411"/>
      <c r="W1" s="411"/>
      <c r="X1" s="411"/>
      <c r="Y1" s="411"/>
      <c r="Z1" s="411"/>
      <c r="AA1" s="411"/>
      <c r="AB1" s="411"/>
      <c r="AD1" s="2" t="s">
        <v>152</v>
      </c>
      <c r="AE1" s="3"/>
      <c r="AF1" s="4"/>
      <c r="AJ1" s="1"/>
      <c r="AK1" s="411" t="s">
        <v>225</v>
      </c>
      <c r="AL1" s="411"/>
      <c r="AM1" s="411"/>
      <c r="AN1" s="411"/>
      <c r="AO1" s="411"/>
      <c r="AP1" s="411"/>
      <c r="AQ1" s="411"/>
      <c r="AR1" s="411"/>
      <c r="AS1" s="411"/>
      <c r="AU1" s="2" t="s">
        <v>92</v>
      </c>
      <c r="AV1" s="3"/>
      <c r="AW1" s="4"/>
      <c r="AZ1" s="1"/>
      <c r="BA1" s="411" t="s">
        <v>225</v>
      </c>
      <c r="BB1" s="411"/>
      <c r="BC1" s="411"/>
      <c r="BD1" s="411"/>
      <c r="BE1" s="411"/>
      <c r="BF1" s="411"/>
      <c r="BG1" s="411"/>
      <c r="BH1" s="411"/>
      <c r="BI1" s="411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412" t="s">
        <v>3</v>
      </c>
      <c r="W4" s="413"/>
      <c r="Z4" s="414" t="s">
        <v>4</v>
      </c>
      <c r="AA4" s="415"/>
      <c r="AB4" s="415"/>
      <c r="AC4" s="415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412" t="s">
        <v>3</v>
      </c>
      <c r="AN4" s="413"/>
      <c r="AQ4" s="414" t="s">
        <v>4</v>
      </c>
      <c r="AR4" s="415"/>
      <c r="AS4" s="415"/>
      <c r="AT4" s="415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412" t="s">
        <v>3</v>
      </c>
      <c r="BD4" s="413"/>
      <c r="BG4" s="414" t="s">
        <v>4</v>
      </c>
      <c r="BH4" s="415"/>
      <c r="BI4" s="415"/>
      <c r="BJ4" s="415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420" t="s">
        <v>21</v>
      </c>
      <c r="I40" s="421"/>
      <c r="J40" s="232"/>
      <c r="K40" s="422">
        <f>I38+L38</f>
        <v>67856.569999999992</v>
      </c>
      <c r="L40" s="423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420" t="s">
        <v>21</v>
      </c>
      <c r="Z40" s="421"/>
      <c r="AA40" s="232"/>
      <c r="AB40" s="422">
        <f>Z38+AC38</f>
        <v>54328.729999999996</v>
      </c>
      <c r="AC40" s="423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420" t="s">
        <v>21</v>
      </c>
      <c r="AQ40" s="421"/>
      <c r="AR40" s="230"/>
      <c r="AS40" s="422">
        <f>AQ38+AT38</f>
        <v>40162.5</v>
      </c>
      <c r="AT40" s="423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420" t="s">
        <v>21</v>
      </c>
      <c r="BG40" s="421"/>
      <c r="BH40" s="212"/>
      <c r="BI40" s="422">
        <f>BG38+BJ38</f>
        <v>19620.25</v>
      </c>
      <c r="BJ40" s="423"/>
      <c r="BK40" s="8"/>
      <c r="BL40" s="51"/>
      <c r="BM40" s="28"/>
      <c r="BN40" s="51"/>
    </row>
    <row r="41" spans="1:66" ht="15.75" customHeight="1" x14ac:dyDescent="0.25">
      <c r="B41" s="1"/>
      <c r="C41" s="5"/>
      <c r="D41" s="419" t="s">
        <v>22</v>
      </c>
      <c r="E41" s="419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419" t="s">
        <v>22</v>
      </c>
      <c r="V41" s="419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419" t="s">
        <v>22</v>
      </c>
      <c r="AM41" s="419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419" t="s">
        <v>22</v>
      </c>
      <c r="BC41" s="419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403"/>
      <c r="J43" s="403"/>
      <c r="K43" s="403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403"/>
      <c r="AA43" s="403"/>
      <c r="AB43" s="403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403"/>
      <c r="AR43" s="403"/>
      <c r="AS43" s="403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403"/>
      <c r="BH43" s="403"/>
      <c r="BI43" s="403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416" t="s">
        <v>26</v>
      </c>
      <c r="J44" s="416"/>
      <c r="K44" s="417">
        <f>F46</f>
        <v>127889.55999999994</v>
      </c>
      <c r="L44" s="418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416" t="s">
        <v>26</v>
      </c>
      <c r="AA44" s="416"/>
      <c r="AB44" s="417">
        <f>W46</f>
        <v>120747.68</v>
      </c>
      <c r="AC44" s="418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416" t="s">
        <v>26</v>
      </c>
      <c r="AR44" s="416"/>
      <c r="AS44" s="417">
        <f>AN46</f>
        <v>122766.57999999999</v>
      </c>
      <c r="AT44" s="418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416" t="s">
        <v>26</v>
      </c>
      <c r="BH44" s="416"/>
      <c r="BI44" s="417">
        <f>BD46</f>
        <v>122418.78</v>
      </c>
      <c r="BJ44" s="418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409" t="s">
        <v>2</v>
      </c>
      <c r="J45" s="409"/>
      <c r="K45" s="410">
        <f>-C4</f>
        <v>-119365.13</v>
      </c>
      <c r="L45" s="410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409" t="s">
        <v>2</v>
      </c>
      <c r="AA45" s="409"/>
      <c r="AB45" s="410">
        <f>-T4</f>
        <v>-119365.13</v>
      </c>
      <c r="AC45" s="410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409" t="s">
        <v>2</v>
      </c>
      <c r="AR45" s="409"/>
      <c r="AS45" s="410">
        <f>-AK4</f>
        <v>-119365.13</v>
      </c>
      <c r="AT45" s="410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409" t="s">
        <v>2</v>
      </c>
      <c r="BH45" s="409"/>
      <c r="BI45" s="410">
        <f>-BA4</f>
        <v>-119365.13</v>
      </c>
      <c r="BJ45" s="410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404">
        <v>0</v>
      </c>
      <c r="L46" s="404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404">
        <v>0</v>
      </c>
      <c r="AC46" s="404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404">
        <v>0</v>
      </c>
      <c r="AT46" s="404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404">
        <v>0</v>
      </c>
      <c r="BJ46" s="404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24" t="s">
        <v>294</v>
      </c>
      <c r="J47" s="425"/>
      <c r="K47" s="426">
        <f>SUM(K44:L46)</f>
        <v>8524.4299999999348</v>
      </c>
      <c r="L47" s="427"/>
      <c r="M47" s="8"/>
      <c r="N47" s="51"/>
      <c r="O47" s="4">
        <v>0</v>
      </c>
      <c r="S47" s="1"/>
      <c r="T47" s="5"/>
      <c r="V47" s="83"/>
      <c r="W47" s="86"/>
      <c r="Z47" s="424" t="s">
        <v>282</v>
      </c>
      <c r="AA47" s="425"/>
      <c r="AB47" s="426">
        <f>SUM(AB44:AC46)</f>
        <v>1382.5499999999884</v>
      </c>
      <c r="AC47" s="427"/>
      <c r="AD47" s="8"/>
      <c r="AE47" s="51"/>
      <c r="AF47" s="4">
        <v>0</v>
      </c>
      <c r="AJ47" s="1"/>
      <c r="AK47" s="5"/>
      <c r="AM47" s="83"/>
      <c r="AN47" s="86"/>
      <c r="AQ47" s="424" t="s">
        <v>282</v>
      </c>
      <c r="AR47" s="425"/>
      <c r="AS47" s="426">
        <f>SUM(AS44:AT46)</f>
        <v>3401.4499999999825</v>
      </c>
      <c r="AT47" s="427"/>
      <c r="AU47" s="8"/>
      <c r="AV47" s="51"/>
      <c r="AW47" s="4">
        <v>0</v>
      </c>
      <c r="AZ47" s="1"/>
      <c r="BA47" s="5"/>
      <c r="BC47" s="83"/>
      <c r="BD47" s="86"/>
      <c r="BG47" s="424" t="s">
        <v>294</v>
      </c>
      <c r="BH47" s="425"/>
      <c r="BI47" s="426">
        <f>SUM(BI44:BJ46)</f>
        <v>3053.6499999999942</v>
      </c>
      <c r="BJ47" s="427"/>
      <c r="BK47" s="8"/>
      <c r="BL47" s="51"/>
      <c r="BM47" s="4">
        <v>0</v>
      </c>
    </row>
    <row r="48" spans="1:66" x14ac:dyDescent="0.25">
      <c r="B48" s="1"/>
      <c r="C48" s="5"/>
      <c r="D48" s="403"/>
      <c r="E48" s="403"/>
      <c r="F48" s="4"/>
      <c r="I48" s="5"/>
      <c r="J48" s="5"/>
      <c r="M48" s="8"/>
      <c r="N48" s="51"/>
      <c r="O48" s="4"/>
      <c r="S48" s="51"/>
      <c r="T48" s="5"/>
      <c r="U48" s="403"/>
      <c r="V48" s="403"/>
      <c r="W48" s="4"/>
      <c r="Z48" s="5"/>
      <c r="AA48" s="5"/>
      <c r="AD48" s="8"/>
      <c r="AE48" s="51"/>
      <c r="AF48" s="4"/>
      <c r="AJ48" s="1"/>
      <c r="AK48" s="5"/>
      <c r="AL48" s="403"/>
      <c r="AM48" s="403"/>
      <c r="AN48" s="51"/>
      <c r="AQ48" s="5"/>
      <c r="AR48" s="5"/>
      <c r="AU48" s="8"/>
      <c r="AV48" s="51"/>
      <c r="AW48" s="4"/>
      <c r="AZ48" s="1"/>
      <c r="BA48" s="5"/>
      <c r="BB48" s="403"/>
      <c r="BC48" s="403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3:BI43"/>
    <mergeCell ref="BF40:BG40"/>
    <mergeCell ref="BI40:BJ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428" t="s">
        <v>30</v>
      </c>
      <c r="D3" s="429"/>
      <c r="E3" s="430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25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411" t="s">
        <v>338</v>
      </c>
      <c r="D1" s="411"/>
      <c r="E1" s="411"/>
      <c r="F1" s="411"/>
      <c r="G1" s="411"/>
      <c r="H1" s="411"/>
      <c r="I1" s="411"/>
      <c r="J1" s="411"/>
      <c r="K1" s="411"/>
      <c r="M1" s="2" t="s">
        <v>152</v>
      </c>
      <c r="N1" s="3"/>
      <c r="O1" s="4"/>
      <c r="P1" s="4"/>
      <c r="S1" s="1"/>
      <c r="T1" s="411" t="s">
        <v>338</v>
      </c>
      <c r="U1" s="411"/>
      <c r="V1" s="411"/>
      <c r="W1" s="411"/>
      <c r="X1" s="411"/>
      <c r="Y1" s="411"/>
      <c r="Z1" s="411"/>
      <c r="AA1" s="411"/>
      <c r="AB1" s="411"/>
      <c r="AD1" s="2" t="s">
        <v>92</v>
      </c>
      <c r="AE1" s="3"/>
      <c r="AF1" s="4"/>
      <c r="AG1" s="4"/>
      <c r="AJ1" s="1"/>
      <c r="AK1" s="411" t="s">
        <v>338</v>
      </c>
      <c r="AL1" s="411"/>
      <c r="AM1" s="411"/>
      <c r="AN1" s="411"/>
      <c r="AO1" s="411"/>
      <c r="AP1" s="411"/>
      <c r="AQ1" s="411"/>
      <c r="AR1" s="411"/>
      <c r="AS1" s="411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412" t="s">
        <v>3</v>
      </c>
      <c r="W4" s="413"/>
      <c r="Z4" s="414" t="s">
        <v>4</v>
      </c>
      <c r="AA4" s="415"/>
      <c r="AB4" s="415"/>
      <c r="AC4" s="415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412" t="s">
        <v>3</v>
      </c>
      <c r="AN4" s="413"/>
      <c r="AQ4" s="414" t="s">
        <v>4</v>
      </c>
      <c r="AR4" s="415"/>
      <c r="AS4" s="415"/>
      <c r="AT4" s="415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20" t="s">
        <v>21</v>
      </c>
      <c r="I40" s="421"/>
      <c r="J40" s="272"/>
      <c r="K40" s="422">
        <f>I38+L38</f>
        <v>79005.070000000007</v>
      </c>
      <c r="L40" s="423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420" t="s">
        <v>21</v>
      </c>
      <c r="Z40" s="421"/>
      <c r="AA40" s="264"/>
      <c r="AB40" s="422">
        <f>Z38+AC38</f>
        <v>44049.07</v>
      </c>
      <c r="AC40" s="423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420" t="s">
        <v>21</v>
      </c>
      <c r="AQ40" s="421"/>
      <c r="AR40" s="247"/>
      <c r="AS40" s="422">
        <f>AQ38+AT38</f>
        <v>18386.46</v>
      </c>
      <c r="AT40" s="423"/>
      <c r="AU40" s="8"/>
      <c r="AV40" s="51"/>
      <c r="AW40" s="28"/>
    </row>
    <row r="41" spans="1:49" ht="15.75" customHeight="1" x14ac:dyDescent="0.25">
      <c r="B41" s="1"/>
      <c r="C41" s="5"/>
      <c r="D41" s="419" t="s">
        <v>22</v>
      </c>
      <c r="E41" s="419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419" t="s">
        <v>22</v>
      </c>
      <c r="V41" s="419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419" t="s">
        <v>22</v>
      </c>
      <c r="AM41" s="419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403"/>
      <c r="J43" s="403"/>
      <c r="K43" s="403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403"/>
      <c r="AA43" s="403"/>
      <c r="AB43" s="403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403"/>
      <c r="AR43" s="403"/>
      <c r="AS43" s="403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416" t="s">
        <v>26</v>
      </c>
      <c r="J44" s="416"/>
      <c r="K44" s="417">
        <f>F46</f>
        <v>167914.61999999988</v>
      </c>
      <c r="L44" s="418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416" t="s">
        <v>26</v>
      </c>
      <c r="AA44" s="416"/>
      <c r="AB44" s="417">
        <f>W46</f>
        <v>209613.43000000002</v>
      </c>
      <c r="AC44" s="418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416" t="s">
        <v>26</v>
      </c>
      <c r="AR44" s="416"/>
      <c r="AS44" s="417">
        <f>AN46</f>
        <v>197807.15</v>
      </c>
      <c r="AT44" s="418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409" t="s">
        <v>2</v>
      </c>
      <c r="J45" s="409"/>
      <c r="K45" s="410">
        <f>-C4</f>
        <v>-175165.14</v>
      </c>
      <c r="L45" s="410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409" t="s">
        <v>2</v>
      </c>
      <c r="AA45" s="409"/>
      <c r="AB45" s="410">
        <f>-T4</f>
        <v>-175165.14</v>
      </c>
      <c r="AC45" s="410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409" t="s">
        <v>2</v>
      </c>
      <c r="AR45" s="409"/>
      <c r="AS45" s="410">
        <f>-AK4</f>
        <v>-175165.14</v>
      </c>
      <c r="AT45" s="410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404">
        <v>0</v>
      </c>
      <c r="L46" s="404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404">
        <v>0</v>
      </c>
      <c r="AC46" s="404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404">
        <v>0</v>
      </c>
      <c r="AT46" s="404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-7250.520000000135</v>
      </c>
      <c r="L47" s="427"/>
      <c r="M47" s="8"/>
      <c r="N47" s="51"/>
      <c r="O47" s="4">
        <v>0</v>
      </c>
      <c r="P47" s="4"/>
      <c r="S47" s="1"/>
      <c r="T47" s="5"/>
      <c r="V47" s="83"/>
      <c r="W47" s="86"/>
      <c r="Z47" s="424" t="s">
        <v>282</v>
      </c>
      <c r="AA47" s="425"/>
      <c r="AB47" s="426">
        <f>SUM(AB44:AC46)</f>
        <v>34448.290000000008</v>
      </c>
      <c r="AC47" s="427"/>
      <c r="AD47" s="8"/>
      <c r="AE47" s="51"/>
      <c r="AF47" s="4">
        <v>0</v>
      </c>
      <c r="AG47" s="4"/>
      <c r="AJ47" s="1"/>
      <c r="AK47" s="5"/>
      <c r="AM47" s="83"/>
      <c r="AN47" s="86"/>
      <c r="AQ47" s="424" t="s">
        <v>282</v>
      </c>
      <c r="AR47" s="425"/>
      <c r="AS47" s="426">
        <f>SUM(AS44:AT46)</f>
        <v>22642.00999999998</v>
      </c>
      <c r="AT47" s="427"/>
      <c r="AU47" s="8"/>
      <c r="AV47" s="51"/>
      <c r="AW47" s="4">
        <v>0</v>
      </c>
    </row>
    <row r="48" spans="1:49" x14ac:dyDescent="0.25">
      <c r="B48" s="1"/>
      <c r="C48" s="5"/>
      <c r="D48" s="403"/>
      <c r="E48" s="403"/>
      <c r="F48" s="4"/>
      <c r="I48" s="5"/>
      <c r="J48" s="5"/>
      <c r="M48" s="8"/>
      <c r="N48" s="51"/>
      <c r="O48" s="4"/>
      <c r="P48" s="4"/>
      <c r="S48" s="1"/>
      <c r="T48" s="5"/>
      <c r="U48" s="403"/>
      <c r="V48" s="403"/>
      <c r="W48" s="4"/>
      <c r="Z48" s="5"/>
      <c r="AA48" s="5"/>
      <c r="AD48" s="8"/>
      <c r="AE48" s="51"/>
      <c r="AF48" s="4"/>
      <c r="AG48" s="4"/>
      <c r="AJ48" s="1"/>
      <c r="AK48" s="5"/>
      <c r="AL48" s="403"/>
      <c r="AM48" s="403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L48:AM48"/>
    <mergeCell ref="AQ47:AR47"/>
    <mergeCell ref="AS47:AT47"/>
    <mergeCell ref="AS46:AT46"/>
    <mergeCell ref="AQ45:AR45"/>
    <mergeCell ref="AS45:AT45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28" t="s">
        <v>30</v>
      </c>
      <c r="D3" s="429"/>
      <c r="E3" s="430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workbookViewId="0">
      <selection activeCell="F45" sqref="F45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411" t="s">
        <v>463</v>
      </c>
      <c r="D1" s="411"/>
      <c r="E1" s="411"/>
      <c r="F1" s="411"/>
      <c r="G1" s="411"/>
      <c r="H1" s="411"/>
      <c r="I1" s="411"/>
      <c r="J1" s="411"/>
      <c r="K1" s="411"/>
      <c r="M1" s="2" t="s">
        <v>153</v>
      </c>
      <c r="N1" s="3"/>
      <c r="O1" s="4"/>
      <c r="P1" s="4"/>
      <c r="S1" s="1"/>
      <c r="T1" s="411" t="s">
        <v>463</v>
      </c>
      <c r="U1" s="411"/>
      <c r="V1" s="411"/>
      <c r="W1" s="411"/>
      <c r="X1" s="411"/>
      <c r="Y1" s="411"/>
      <c r="Z1" s="411"/>
      <c r="AA1" s="411"/>
      <c r="AB1" s="411"/>
      <c r="AD1" s="2" t="s">
        <v>152</v>
      </c>
      <c r="AE1" s="3"/>
      <c r="AF1" s="4"/>
      <c r="AG1" s="4"/>
      <c r="AJ1" s="1"/>
      <c r="AK1" s="411" t="s">
        <v>463</v>
      </c>
      <c r="AL1" s="411"/>
      <c r="AM1" s="411"/>
      <c r="AN1" s="411"/>
      <c r="AO1" s="411"/>
      <c r="AP1" s="411"/>
      <c r="AQ1" s="411"/>
      <c r="AR1" s="411"/>
      <c r="AS1" s="411"/>
      <c r="AU1" s="2" t="s">
        <v>92</v>
      </c>
      <c r="AV1" s="3"/>
      <c r="AW1" s="4"/>
      <c r="AX1" s="4"/>
      <c r="BA1" s="1"/>
      <c r="BB1" s="411" t="s">
        <v>463</v>
      </c>
      <c r="BC1" s="411"/>
      <c r="BD1" s="411"/>
      <c r="BE1" s="411"/>
      <c r="BF1" s="411"/>
      <c r="BG1" s="411"/>
      <c r="BH1" s="411"/>
      <c r="BI1" s="411"/>
      <c r="BJ1" s="411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299"/>
      <c r="F2" s="7"/>
      <c r="I2" s="5"/>
      <c r="J2" s="5"/>
      <c r="M2" s="8"/>
      <c r="N2" s="3"/>
      <c r="O2" s="4"/>
      <c r="P2" s="4"/>
      <c r="S2" s="1"/>
      <c r="T2" s="5"/>
      <c r="V2" s="299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412" t="s">
        <v>3</v>
      </c>
      <c r="F4" s="413"/>
      <c r="I4" s="414" t="s">
        <v>4</v>
      </c>
      <c r="J4" s="415"/>
      <c r="K4" s="415"/>
      <c r="L4" s="415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412" t="s">
        <v>3</v>
      </c>
      <c r="W4" s="413"/>
      <c r="Z4" s="414" t="s">
        <v>4</v>
      </c>
      <c r="AA4" s="415"/>
      <c r="AB4" s="415"/>
      <c r="AC4" s="415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412" t="s">
        <v>3</v>
      </c>
      <c r="AN4" s="413"/>
      <c r="AQ4" s="414" t="s">
        <v>4</v>
      </c>
      <c r="AR4" s="415"/>
      <c r="AS4" s="415"/>
      <c r="AT4" s="415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412" t="s">
        <v>3</v>
      </c>
      <c r="BE4" s="413"/>
      <c r="BH4" s="414" t="s">
        <v>4</v>
      </c>
      <c r="BI4" s="415"/>
      <c r="BJ4" s="415"/>
      <c r="BK4" s="415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785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05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0">
        <v>9430.56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04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299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65245.369999999995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299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420" t="s">
        <v>21</v>
      </c>
      <c r="I40" s="421"/>
      <c r="J40" s="300"/>
      <c r="K40" s="422">
        <f>I38+L38</f>
        <v>71835.37</v>
      </c>
      <c r="L40" s="423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420" t="s">
        <v>21</v>
      </c>
      <c r="Z40" s="421"/>
      <c r="AA40" s="300"/>
      <c r="AB40" s="422">
        <f>Z38+AC38</f>
        <v>52738.31</v>
      </c>
      <c r="AC40" s="423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420" t="s">
        <v>21</v>
      </c>
      <c r="AQ40" s="421"/>
      <c r="AR40" s="290"/>
      <c r="AS40" s="422">
        <f>AQ38+AT38</f>
        <v>36536.9</v>
      </c>
      <c r="AT40" s="423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420" t="s">
        <v>21</v>
      </c>
      <c r="BH40" s="421"/>
      <c r="BI40" s="282"/>
      <c r="BJ40" s="422">
        <f>BH38+BK38</f>
        <v>19002.45</v>
      </c>
      <c r="BK40" s="423"/>
      <c r="BL40" s="8"/>
      <c r="BM40" s="51"/>
      <c r="BN40" s="28"/>
      <c r="BO40" s="51"/>
    </row>
    <row r="41" spans="1:67" ht="15.75" customHeight="1" x14ac:dyDescent="0.25">
      <c r="B41" s="1"/>
      <c r="C41" s="5"/>
      <c r="D41" s="419" t="s">
        <v>22</v>
      </c>
      <c r="E41" s="419"/>
      <c r="F41" s="86">
        <f>F38-K40</f>
        <v>1959810.4300000002</v>
      </c>
      <c r="I41" s="87"/>
      <c r="J41" s="87"/>
      <c r="M41" s="8"/>
      <c r="N41" s="51"/>
      <c r="O41" s="51"/>
      <c r="P41" s="51"/>
      <c r="S41" s="1"/>
      <c r="T41" s="5"/>
      <c r="U41" s="419" t="s">
        <v>22</v>
      </c>
      <c r="V41" s="419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419" t="s">
        <v>22</v>
      </c>
      <c r="AM41" s="419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419" t="s">
        <v>22</v>
      </c>
      <c r="BD41" s="419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>
        <v>-2010061.27</v>
      </c>
      <c r="I43" s="403"/>
      <c r="J43" s="403"/>
      <c r="K43" s="403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403"/>
      <c r="AA43" s="403"/>
      <c r="AB43" s="403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403"/>
      <c r="AR43" s="403"/>
      <c r="AS43" s="403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403"/>
      <c r="BI43" s="403"/>
      <c r="BJ43" s="403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-50250.839999999851</v>
      </c>
      <c r="I44" s="416" t="s">
        <v>26</v>
      </c>
      <c r="J44" s="416"/>
      <c r="K44" s="417">
        <f>F46</f>
        <v>159772.76000000015</v>
      </c>
      <c r="L44" s="418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416" t="s">
        <v>26</v>
      </c>
      <c r="AA44" s="416"/>
      <c r="AB44" s="417">
        <f>W46</f>
        <v>166611.86000000002</v>
      </c>
      <c r="AC44" s="418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416" t="s">
        <v>26</v>
      </c>
      <c r="AR44" s="416"/>
      <c r="AS44" s="417">
        <f>AN46</f>
        <v>179504.18000000017</v>
      </c>
      <c r="AT44" s="418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416" t="s">
        <v>26</v>
      </c>
      <c r="BI44" s="416"/>
      <c r="BJ44" s="417">
        <f>BE46</f>
        <v>186754.54000000012</v>
      </c>
      <c r="BK44" s="418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>
        <v>210023.6</v>
      </c>
      <c r="I45" s="409" t="s">
        <v>2</v>
      </c>
      <c r="J45" s="409"/>
      <c r="K45" s="410">
        <f>-C4</f>
        <v>-204744.5</v>
      </c>
      <c r="L45" s="410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409" t="s">
        <v>2</v>
      </c>
      <c r="AA45" s="409"/>
      <c r="AB45" s="410">
        <f>-T4</f>
        <v>-204744.5</v>
      </c>
      <c r="AC45" s="410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409" t="s">
        <v>2</v>
      </c>
      <c r="AR45" s="409"/>
      <c r="AS45" s="410">
        <f>-AK4</f>
        <v>-204744.5</v>
      </c>
      <c r="AT45" s="410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409" t="s">
        <v>2</v>
      </c>
      <c r="BI45" s="409"/>
      <c r="BJ45" s="410">
        <f>-BB4</f>
        <v>-204744.5</v>
      </c>
      <c r="BK45" s="410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159772.76000000015</v>
      </c>
      <c r="J46" s="92"/>
      <c r="K46" s="404">
        <v>0</v>
      </c>
      <c r="L46" s="404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404">
        <v>0</v>
      </c>
      <c r="AC46" s="404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404">
        <v>0</v>
      </c>
      <c r="AT46" s="404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404">
        <v>0</v>
      </c>
      <c r="BK46" s="404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424" t="s">
        <v>29</v>
      </c>
      <c r="J47" s="425"/>
      <c r="K47" s="426">
        <f>SUM(K44:L46)</f>
        <v>-44971.739999999845</v>
      </c>
      <c r="L47" s="427"/>
      <c r="M47" s="8"/>
      <c r="N47" s="51"/>
      <c r="O47" s="51"/>
      <c r="P47" s="4"/>
      <c r="S47" s="1"/>
      <c r="T47" s="5"/>
      <c r="V47" s="83"/>
      <c r="W47" s="86"/>
      <c r="Z47" s="424" t="s">
        <v>29</v>
      </c>
      <c r="AA47" s="425"/>
      <c r="AB47" s="426">
        <f>SUM(AB44:AC46)</f>
        <v>-38132.639999999985</v>
      </c>
      <c r="AC47" s="427"/>
      <c r="AD47" s="8"/>
      <c r="AE47" s="51"/>
      <c r="AF47" s="51"/>
      <c r="AG47" s="4"/>
      <c r="AJ47" s="1"/>
      <c r="AK47" s="5"/>
      <c r="AM47" s="83"/>
      <c r="AN47" s="86"/>
      <c r="AQ47" s="424" t="s">
        <v>29</v>
      </c>
      <c r="AR47" s="425"/>
      <c r="AS47" s="426">
        <f>SUM(AS44:AT46)</f>
        <v>-25240.319999999832</v>
      </c>
      <c r="AT47" s="427"/>
      <c r="AU47" s="8"/>
      <c r="AV47" s="51"/>
      <c r="AW47" s="4">
        <v>0</v>
      </c>
      <c r="AX47" s="4"/>
      <c r="BA47" s="1"/>
      <c r="BB47" s="5"/>
      <c r="BD47" s="83"/>
      <c r="BE47" s="86"/>
      <c r="BH47" s="424" t="s">
        <v>29</v>
      </c>
      <c r="BI47" s="425"/>
      <c r="BJ47" s="426">
        <f>SUM(BJ44:BK46)</f>
        <v>-17989.959999999875</v>
      </c>
      <c r="BK47" s="427"/>
      <c r="BL47" s="8"/>
      <c r="BM47" s="51"/>
      <c r="BN47" s="4">
        <v>0</v>
      </c>
      <c r="BO47" s="4"/>
    </row>
    <row r="48" spans="1:67" x14ac:dyDescent="0.25">
      <c r="B48" s="1"/>
      <c r="C48" s="5"/>
      <c r="D48" s="403"/>
      <c r="E48" s="403"/>
      <c r="F48" s="4"/>
      <c r="I48" s="5"/>
      <c r="J48" s="5"/>
      <c r="M48" s="8"/>
      <c r="N48" s="51"/>
      <c r="O48" s="86"/>
      <c r="P48" s="4"/>
      <c r="S48" s="1"/>
      <c r="T48" s="5"/>
      <c r="U48" s="403"/>
      <c r="V48" s="403"/>
      <c r="W48" s="4"/>
      <c r="Z48" s="5"/>
      <c r="AA48" s="5"/>
      <c r="AD48" s="8"/>
      <c r="AE48" s="51"/>
      <c r="AF48" s="86"/>
      <c r="AG48" s="4"/>
      <c r="AJ48" s="1"/>
      <c r="AK48" s="5"/>
      <c r="AL48" s="403"/>
      <c r="AM48" s="403"/>
      <c r="AN48" s="4"/>
      <c r="AQ48" s="5"/>
      <c r="AR48" s="5"/>
      <c r="AU48" s="8"/>
      <c r="AV48" s="51"/>
      <c r="AW48" s="4"/>
      <c r="AX48" s="4"/>
      <c r="BA48" s="1"/>
      <c r="BB48" s="5"/>
      <c r="BC48" s="403"/>
      <c r="BD48" s="403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BC41:BD41"/>
    <mergeCell ref="BB1:BJ1"/>
    <mergeCell ref="BD4:BE4"/>
    <mergeCell ref="BH4:BK4"/>
    <mergeCell ref="BG40:BH40"/>
    <mergeCell ref="BJ40:BK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J U L I O    2016</vt:lpstr>
      <vt:lpstr>REMISIONES  JULIO  2016  </vt:lpstr>
      <vt:lpstr>A G O S T O   2016    </vt:lpstr>
      <vt:lpstr>REMISIONES  AGOSTO   2016   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2016-08-26T19:59:55Z</cp:lastPrinted>
  <dcterms:created xsi:type="dcterms:W3CDTF">2016-01-06T15:06:51Z</dcterms:created>
  <dcterms:modified xsi:type="dcterms:W3CDTF">2016-09-03T14:45:21Z</dcterms:modified>
</cp:coreProperties>
</file>