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firstSheet="13" activeTab="15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J U L I O    2016" sheetId="19" r:id="rId13"/>
    <sheet name="REMISIONES JULIO  2016" sheetId="18" r:id="rId14"/>
    <sheet name="A G O S T O   2016   " sheetId="15" r:id="rId15"/>
    <sheet name="REMISIONES AGOSTO 2016  " sheetId="14" r:id="rId16"/>
    <sheet name="Hoja6" sheetId="26" r:id="rId17"/>
    <sheet name="Hoja5" sheetId="25" r:id="rId18"/>
    <sheet name="Hoja4" sheetId="24" r:id="rId19"/>
    <sheet name="Hoja3" sheetId="23" r:id="rId20"/>
    <sheet name="Hoja8" sheetId="8" r:id="rId21"/>
    <sheet name="PRESTAMOS" sheetId="9" r:id="rId22"/>
    <sheet name="Hoja10" sheetId="10" r:id="rId23"/>
    <sheet name="Hoja11" sheetId="11" r:id="rId24"/>
    <sheet name="Hoja12" sheetId="12" r:id="rId25"/>
    <sheet name="Hoja13" sheetId="13" r:id="rId26"/>
  </sheets>
  <calcPr calcId="144525"/>
</workbook>
</file>

<file path=xl/calcChain.xml><?xml version="1.0" encoding="utf-8"?>
<calcChain xmlns="http://schemas.openxmlformats.org/spreadsheetml/2006/main">
  <c r="F32" i="14" l="1"/>
  <c r="F31" i="14"/>
  <c r="F30" i="14"/>
  <c r="F29" i="14" l="1"/>
  <c r="C43" i="14" l="1"/>
  <c r="S15" i="14" l="1"/>
  <c r="U16" i="14"/>
  <c r="X16" i="14"/>
  <c r="S11" i="14"/>
  <c r="S10" i="14"/>
  <c r="S9" i="14"/>
  <c r="S6" i="14"/>
  <c r="S7" i="14"/>
  <c r="S5" i="14"/>
  <c r="F28" i="14"/>
  <c r="F27" i="14" l="1"/>
  <c r="F26" i="14"/>
  <c r="F25" i="14"/>
  <c r="F24" i="14"/>
  <c r="F23" i="14"/>
  <c r="F22" i="14" l="1"/>
  <c r="F21" i="14"/>
  <c r="E6" i="14" l="1"/>
  <c r="I47" i="14"/>
  <c r="I45" i="14"/>
  <c r="I46" i="14"/>
  <c r="I43" i="14"/>
  <c r="I42" i="14"/>
  <c r="N51" i="14"/>
  <c r="K51" i="14"/>
  <c r="I50" i="14"/>
  <c r="F20" i="14"/>
  <c r="F19" i="14"/>
  <c r="M47" i="15" l="1"/>
  <c r="F38" i="19"/>
  <c r="J31" i="18"/>
  <c r="E29" i="18" l="1"/>
  <c r="I30" i="14"/>
  <c r="I32" i="14"/>
  <c r="I27" i="14"/>
  <c r="I26" i="14"/>
  <c r="N34" i="14"/>
  <c r="K34" i="14"/>
  <c r="I33" i="14"/>
  <c r="E23" i="18" l="1"/>
  <c r="E18" i="18"/>
  <c r="I13" i="14"/>
  <c r="I11" i="14"/>
  <c r="I9" i="14"/>
  <c r="I10" i="14"/>
  <c r="N16" i="14"/>
  <c r="K16" i="14"/>
  <c r="I15" i="14"/>
  <c r="C39" i="14" l="1"/>
  <c r="F38" i="14"/>
  <c r="F37" i="14"/>
  <c r="F36" i="14"/>
  <c r="F35" i="14"/>
  <c r="F34" i="14"/>
  <c r="F33" i="14"/>
  <c r="F18" i="14"/>
  <c r="F17" i="14"/>
  <c r="F16" i="14"/>
  <c r="F15" i="14"/>
  <c r="F14" i="14"/>
  <c r="F13" i="14"/>
  <c r="E39" i="14"/>
  <c r="F11" i="14"/>
  <c r="F10" i="14"/>
  <c r="F9" i="14"/>
  <c r="F8" i="14"/>
  <c r="F7" i="14"/>
  <c r="F6" i="14"/>
  <c r="F5" i="14"/>
  <c r="F4" i="14"/>
  <c r="F3" i="14"/>
  <c r="L38" i="15"/>
  <c r="I38" i="15"/>
  <c r="K40" i="15" s="1"/>
  <c r="F38" i="15"/>
  <c r="F41" i="15" s="1"/>
  <c r="F44" i="15" s="1"/>
  <c r="F48" i="15" s="1"/>
  <c r="K44" i="15" s="1"/>
  <c r="K49" i="15" s="1"/>
  <c r="C38" i="15"/>
  <c r="M37" i="15"/>
  <c r="F12" i="14" l="1"/>
  <c r="F39" i="14" s="1"/>
  <c r="F33" i="18"/>
  <c r="F32" i="18"/>
  <c r="F31" i="18" l="1"/>
  <c r="E16" i="18"/>
  <c r="W11" i="18"/>
  <c r="W10" i="18"/>
  <c r="W9" i="18"/>
  <c r="W8" i="18"/>
  <c r="W7" i="18"/>
  <c r="W6" i="18" l="1"/>
  <c r="Y20" i="18"/>
  <c r="AB20" i="18"/>
  <c r="V6" i="18"/>
  <c r="V4" i="18"/>
  <c r="W20" i="18"/>
  <c r="F30" i="18" l="1"/>
  <c r="F29" i="18"/>
  <c r="F28" i="18"/>
  <c r="F27" i="18" l="1"/>
  <c r="E12" i="18" l="1"/>
  <c r="L38" i="18"/>
  <c r="L36" i="18"/>
  <c r="M36" i="18"/>
  <c r="M35" i="18"/>
  <c r="M30" i="18"/>
  <c r="M34" i="18"/>
  <c r="M33" i="18"/>
  <c r="M31" i="18" l="1"/>
  <c r="R43" i="18" l="1"/>
  <c r="O43" i="18"/>
  <c r="M42" i="18"/>
  <c r="E29" i="20" l="1"/>
  <c r="M15" i="18"/>
  <c r="M13" i="18"/>
  <c r="M12" i="18"/>
  <c r="M11" i="18"/>
  <c r="M10" i="18"/>
  <c r="M9" i="18"/>
  <c r="M8" i="18"/>
  <c r="M7" i="18"/>
  <c r="M6" i="18" l="1"/>
  <c r="M5" i="18" l="1"/>
  <c r="M4" i="18"/>
  <c r="I36" i="20" l="1"/>
  <c r="F17" i="18" l="1"/>
  <c r="F18" i="18"/>
  <c r="F19" i="18"/>
  <c r="F20" i="18"/>
  <c r="F21" i="18"/>
  <c r="F22" i="18"/>
  <c r="F23" i="18"/>
  <c r="F24" i="18"/>
  <c r="R23" i="18"/>
  <c r="O23" i="18"/>
  <c r="M22" i="18"/>
  <c r="C35" i="18" l="1"/>
  <c r="F34" i="18"/>
  <c r="F26" i="18"/>
  <c r="F25" i="18"/>
  <c r="F16" i="18"/>
  <c r="F15" i="18"/>
  <c r="F14" i="18"/>
  <c r="F13" i="18"/>
  <c r="F12" i="18"/>
  <c r="F11" i="18"/>
  <c r="F10" i="18"/>
  <c r="F9" i="18"/>
  <c r="F8" i="18"/>
  <c r="F7" i="18"/>
  <c r="F6" i="18"/>
  <c r="F5" i="18"/>
  <c r="E35" i="18"/>
  <c r="F3" i="18"/>
  <c r="I38" i="19"/>
  <c r="C38" i="19"/>
  <c r="M37" i="19"/>
  <c r="L38" i="19"/>
  <c r="F4" i="18" l="1"/>
  <c r="F35" i="18" s="1"/>
  <c r="K40" i="19"/>
  <c r="F41" i="19" s="1"/>
  <c r="F44" i="19" s="1"/>
  <c r="F48" i="19" s="1"/>
  <c r="K44" i="19" s="1"/>
  <c r="K49" i="19" s="1"/>
  <c r="E21" i="20"/>
  <c r="E20" i="20"/>
  <c r="T11" i="20"/>
  <c r="T10" i="20"/>
  <c r="T9" i="20"/>
  <c r="T6" i="20"/>
  <c r="T5" i="20"/>
  <c r="Y19" i="20"/>
  <c r="V19" i="20"/>
  <c r="T18" i="20"/>
  <c r="E6" i="20"/>
  <c r="K58" i="20"/>
  <c r="K55" i="20"/>
  <c r="K54" i="20"/>
  <c r="K52" i="20"/>
  <c r="K49" i="20"/>
  <c r="L6" i="21"/>
  <c r="M21" i="9"/>
  <c r="P63" i="20"/>
  <c r="M63" i="20"/>
  <c r="K62" i="20"/>
  <c r="E4" i="20"/>
  <c r="K32" i="20"/>
  <c r="K31" i="20"/>
  <c r="K29" i="20"/>
  <c r="K28" i="20"/>
  <c r="P41" i="20"/>
  <c r="M41" i="20"/>
  <c r="K40" i="20"/>
  <c r="K15" i="20"/>
  <c r="K13" i="20"/>
  <c r="K12" i="20"/>
  <c r="K10" i="20"/>
  <c r="K8" i="20"/>
  <c r="C40" i="22"/>
  <c r="I41" i="22"/>
  <c r="I38" i="22"/>
  <c r="I29" i="22"/>
  <c r="I26" i="22"/>
  <c r="K9" i="20"/>
  <c r="K6" i="20"/>
  <c r="K5" i="20"/>
  <c r="P19" i="20"/>
  <c r="M19" i="20"/>
  <c r="K18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3" i="20"/>
  <c r="F4" i="20"/>
  <c r="L38" i="21"/>
  <c r="I38" i="21"/>
  <c r="K40" i="21"/>
  <c r="F38" i="21"/>
  <c r="F41" i="21"/>
  <c r="F44" i="21"/>
  <c r="F48" i="21"/>
  <c r="K44" i="21"/>
  <c r="K49" i="21"/>
  <c r="C38" i="21"/>
  <c r="M37" i="21"/>
  <c r="F6" i="20"/>
  <c r="F38" i="20"/>
  <c r="E10" i="22"/>
  <c r="P63" i="22"/>
  <c r="K50" i="22"/>
  <c r="K51" i="22"/>
  <c r="K48" i="22"/>
  <c r="K52" i="22"/>
  <c r="K49" i="22"/>
  <c r="M63" i="22"/>
  <c r="K62" i="22"/>
  <c r="E6" i="22"/>
  <c r="K34" i="22"/>
  <c r="K32" i="22"/>
  <c r="K33" i="22"/>
  <c r="K31" i="22"/>
  <c r="P41" i="22"/>
  <c r="M41" i="22"/>
  <c r="K40" i="22"/>
  <c r="E23" i="17"/>
  <c r="K14" i="22"/>
  <c r="K15" i="22"/>
  <c r="K11" i="22"/>
  <c r="K10" i="22"/>
  <c r="K8" i="22"/>
  <c r="C71" i="17"/>
  <c r="K5" i="22"/>
  <c r="K4" i="22"/>
  <c r="K7" i="22"/>
  <c r="P24" i="22"/>
  <c r="M24" i="22"/>
  <c r="K23" i="22"/>
  <c r="C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L38" i="16"/>
  <c r="F38" i="16"/>
  <c r="C38" i="16"/>
  <c r="M37" i="16"/>
  <c r="I38" i="16"/>
  <c r="K40" i="16"/>
  <c r="F12" i="22"/>
  <c r="F38" i="22"/>
  <c r="F41" i="16"/>
  <c r="F44" i="16"/>
  <c r="F48" i="16"/>
  <c r="K44" i="16"/>
  <c r="K49" i="16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/>
  <c r="F22" i="17"/>
  <c r="F21" i="17"/>
  <c r="J39" i="17"/>
  <c r="M14" i="7"/>
  <c r="F20" i="17"/>
  <c r="F19" i="17"/>
  <c r="F18" i="17"/>
  <c r="F17" i="17"/>
  <c r="J4" i="17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/>
  <c r="K47" i="5"/>
  <c r="F41" i="5"/>
  <c r="C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/>
  <c r="C38" i="7"/>
  <c r="F38" i="7"/>
  <c r="F41" i="7"/>
  <c r="F44" i="7"/>
  <c r="F48" i="7"/>
  <c r="K44" i="7"/>
  <c r="K49" i="7"/>
  <c r="F4" i="17"/>
  <c r="F47" i="17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2" i="9"/>
  <c r="M23" i="9"/>
  <c r="M24" i="9"/>
  <c r="M25" i="9"/>
  <c r="M26" i="9"/>
  <c r="M27" i="9"/>
  <c r="M28" i="9"/>
  <c r="M6" i="9"/>
  <c r="I50" i="6"/>
  <c r="I49" i="6"/>
  <c r="I48" i="6"/>
  <c r="I54" i="6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/>
  <c r="K47" i="3"/>
  <c r="N40" i="6"/>
  <c r="K40" i="6"/>
  <c r="I32" i="6"/>
  <c r="I35" i="6"/>
  <c r="I29" i="6"/>
  <c r="I28" i="6"/>
  <c r="I26" i="6"/>
  <c r="I37" i="6"/>
  <c r="L38" i="5"/>
  <c r="F38" i="5"/>
  <c r="M37" i="5"/>
  <c r="I38" i="5"/>
  <c r="K40" i="5"/>
  <c r="C38" i="5"/>
  <c r="F44" i="5"/>
  <c r="F48" i="5"/>
  <c r="K44" i="5"/>
  <c r="K49" i="5"/>
  <c r="E20" i="4"/>
  <c r="N17" i="6"/>
  <c r="C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/>
  <c r="F37" i="6"/>
  <c r="M33" i="3"/>
  <c r="M26" i="3"/>
  <c r="I17" i="3"/>
  <c r="M10" i="3"/>
  <c r="E15" i="4"/>
  <c r="N65" i="4"/>
  <c r="K65" i="4"/>
  <c r="E14" i="4"/>
  <c r="K50" i="4"/>
  <c r="N50" i="4"/>
  <c r="E11" i="4"/>
  <c r="N38" i="4"/>
  <c r="K38" i="4"/>
  <c r="M16" i="3"/>
  <c r="I5" i="3"/>
  <c r="C5" i="3"/>
  <c r="M29" i="1"/>
  <c r="E27" i="2"/>
  <c r="N25" i="4"/>
  <c r="K25" i="4"/>
  <c r="C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/>
  <c r="F45" i="4"/>
  <c r="K40" i="3"/>
  <c r="F41" i="3"/>
  <c r="F44" i="3"/>
  <c r="F48" i="3"/>
  <c r="K44" i="3"/>
  <c r="K49" i="3"/>
  <c r="E16" i="2"/>
  <c r="N46" i="2"/>
  <c r="K46" i="2"/>
  <c r="M25" i="1"/>
  <c r="I24" i="1"/>
  <c r="C11" i="1"/>
  <c r="F22" i="2"/>
  <c r="L9" i="1"/>
  <c r="F21" i="2"/>
  <c r="F20" i="2"/>
  <c r="F19" i="2"/>
  <c r="N25" i="2"/>
  <c r="K25" i="2"/>
  <c r="C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/>
  <c r="F38" i="1"/>
  <c r="F41" i="1"/>
  <c r="F44" i="1"/>
  <c r="F48" i="1"/>
  <c r="K44" i="1"/>
  <c r="K49" i="1"/>
  <c r="C38" i="1"/>
  <c r="M37" i="1"/>
  <c r="F6" i="2"/>
  <c r="F45" i="2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<sst xmlns="http://schemas.openxmlformats.org/spreadsheetml/2006/main" count="1648" uniqueCount="619">
  <si>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</si>
  <si>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</si>
  <si>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</si>
  <si>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</si>
  <si>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</si>
  <si>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</si>
  <si>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</si>
  <si>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</si>
  <si>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</si>
  <si>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</si>
  <si>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</si>
  <si>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</si>
  <si>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</si>
  <si>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</si>
  <si>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</si>
  <si>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</si>
  <si>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</si>
  <si>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</si>
  <si>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</si>
  <si>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</si>
  <si>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</si>
  <si>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</si>
  <si>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</si>
  <si>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</si>
  <si>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</si>
  <si>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</si>
  <si>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</si>
  <si>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</si>
  <si>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</si>
  <si>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</si>
  <si>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</si>
  <si>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</si>
  <si>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</si>
  <si>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</si>
  <si>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</si>
  <si>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</si>
  <si>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</si>
  <si>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</si>
  <si>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</si>
  <si>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</si>
  <si>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</si>
  <si>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</si>
  <si>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</si>
  <si>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</si>
  <si>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</si>
  <si>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</si>
  <si>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</si>
  <si>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</si>
  <si>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</si>
  <si>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</si>
  <si>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</si>
  <si>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</si>
  <si>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</si>
  <si>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</si>
  <si>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</si>
  <si>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</si>
  <si>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</si>
  <si>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</si>
  <si>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</si>
  <si>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</si>
  <si>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</si>
  <si>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</si>
  <si>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</si>
  <si>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</si>
  <si>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</si>
  <si>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</si>
  <si>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</si>
  <si>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</si>
  <si>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</si>
  <si>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</si>
  <si>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</si>
  <si>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</si>
  <si>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</si>
  <si>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</si>
  <si>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</si>
  <si>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</si>
  <si>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</si>
  <si>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</si>
  <si>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</si>
  <si>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</si>
  <si>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</si>
  <si>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</si>
  <si>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</si>
  <si>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</si>
  <si>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</si>
  <si>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</si>
  <si>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</si>
  <si>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</si>
  <si>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</si>
  <si>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</si>
  <si>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</si>
  <si>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</si>
  <si>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</si>
  <si>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</si>
  <si>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</si>
  <si>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</si>
  <si>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</si>
  <si>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</si>
  <si>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</si>
  <si>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</si>
  <si>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</si>
  <si>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</si>
  <si>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</si>
  <si>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</si>
  <si>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</si>
  <si>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</si>
  <si>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</si>
  <si>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</si>
  <si>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</si>
  <si>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</si>
  <si>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</si>
  <si>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</si>
  <si>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</si>
  <si>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</si>
  <si>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</si>
  <si>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</si>
  <si>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</si>
  <si>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</si>
  <si>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</si>
  <si>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</si>
  <si>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</si>
  <si>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</si>
  <si>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</si>
  <si>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</si>
  <si>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</si>
  <si>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</si>
  <si>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</si>
  <si>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</si>
  <si>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</si>
  <si>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</si>
  <si>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</si>
  <si>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</si>
  <si>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</si>
  <si>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</si>
  <si>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</si>
  <si>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</si>
  <si>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</si>
  <si>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</si>
  <si>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</si>
  <si>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</si>
  <si>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</si>
  <si>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</si>
  <si>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</si>
  <si>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</si>
  <si>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</si>
  <si>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</si>
  <si>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</si>
  <si>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</si>
  <si>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</si>
  <si>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</si>
  <si>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</si>
  <si>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</si>
  <si>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</si>
  <si>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</si>
  <si>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</si>
  <si>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</si>
  <si>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</si>
  <si>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</si>
  <si>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</si>
  <si>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</si>
  <si>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</si>
  <si>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</si>
  <si>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</si>
  <si>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</si>
  <si>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</si>
  <si>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</si>
  <si>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</si>
  <si>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</si>
  <si>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</si>
  <si>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</si>
  <si>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</si>
  <si>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</si>
  <si>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</si>
  <si>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</si>
  <si>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</si>
  <si>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</si>
  <si>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</si>
  <si>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</si>
  <si>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</si>
  <si>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</si>
  <si>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</si>
  <si>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</si>
  <si>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</si>
  <si>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</si>
  <si>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</si>
  <si>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</si>
  <si>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</si>
  <si>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</si>
  <si>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</si>
  <si>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</si>
  <si>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</si>
  <si>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</si>
  <si>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</si>
  <si>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</si>
  <si>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</si>
  <si>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</si>
  <si>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</si>
  <si>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</si>
  <si>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</si>
  <si>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</si>
  <si>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</si>
  <si>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</si>
  <si>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</si>
  <si>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</si>
  <si>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</si>
  <si>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</si>
  <si>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</si>
  <si>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</si>
  <si>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</si>
  <si>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</si>
  <si>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</si>
  <si>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</si>
  <si>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</si>
  <si>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</si>
  <si>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</si>
  <si>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</si>
  <si>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</si>
  <si>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</si>
  <si>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</si>
  <si>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</si>
  <si>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</si>
  <si>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</si>
  <si>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</si>
  <si>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</si>
  <si>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</si>
  <si>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</si>
  <si>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</si>
  <si>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</si>
  <si>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</si>
  <si>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</si>
  <si>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</si>
  <si>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</si>
  <si>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</si>
  <si>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</si>
  <si>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</si>
  <si>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</si>
  <si>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</si>
  <si>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</si>
  <si>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</si>
  <si>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</si>
  <si>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</si>
  <si>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</si>
  <si>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</si>
  <si>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</si>
  <si>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</si>
  <si>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</si>
  <si>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</si>
  <si>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</si>
  <si>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</si>
  <si>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</si>
  <si>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</si>
  <si>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</si>
  <si>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</si>
  <si>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</si>
  <si>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</si>
  <si>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</si>
  <si>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</si>
  <si>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</si>
  <si>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</si>
  <si>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</si>
  <si>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</si>
  <si>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</si>
  <si>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</si>
  <si>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</si>
  <si>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</si>
  <si>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</si>
  <si>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</si>
  <si>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</si>
  <si>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</si>
  <si>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</si>
  <si>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</si>
  <si>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</si>
  <si>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</si>
  <si>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</si>
  <si>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</si>
  <si>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</si>
  <si>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</si>
  <si>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</si>
  <si>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</si>
  <si>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</si>
  <si>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</si>
  <si>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</si>
  <si>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</si>
  <si>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</si>
  <si>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</si>
  <si>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</si>
  <si>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</si>
  <si>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</si>
  <si>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</si>
  <si>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</si>
  <si>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</si>
  <si>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</si>
  <si>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</si>
  <si>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</si>
  <si>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</si>
  <si>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</si>
  <si>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</si>
  <si>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</si>
  <si>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</si>
  <si>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</si>
  <si>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</si>
  <si>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</si>
  <si>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</si>
  <si>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</si>
  <si>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</si>
  <si>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</si>
  <si>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</si>
  <si>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</si>
  <si>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</si>
  <si>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</si>
  <si>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</si>
  <si>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</si>
  <si>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</si>
  <si>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</si>
  <si>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</si>
  <si>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</si>
  <si>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</si>
  <si>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</si>
  <si>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</si>
  <si>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</si>
  <si>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</si>
  <si>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</si>
  <si>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</si>
  <si>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</si>
  <si>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</si>
  <si>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</si>
  <si>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</si>
  <si>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</si>
  <si>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</si>
  <si>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</si>
  <si>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</si>
  <si>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</si>
  <si>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</si>
  <si>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</si>
  <si>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</si>
  <si>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</si>
  <si>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</si>
  <si>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</si>
  <si>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</si>
  <si>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</si>
  <si>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</si>
  <si>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</si>
  <si>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</si>
  <si>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</si>
  <si>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</si>
  <si>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</si>
  <si>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</si>
  <si>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</si>
  <si>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</si>
  <si>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</si>
  <si>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</si>
  <si>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</si>
  <si>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</si>
  <si>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</si>
  <si>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</si>
  <si>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</si>
  <si>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</si>
  <si>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</si>
  <si>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</si>
  <si>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</si>
  <si>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</si>
  <si>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</si>
  <si>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</si>
  <si>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</si>
  <si>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</si>
  <si>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</si>
  <si>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</si>
  <si>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</si>
  <si>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</si>
  <si>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</si>
  <si>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</si>
  <si>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</si>
  <si>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</si>
  <si>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</si>
  <si>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</si>
  <si>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</si>
  <si>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</si>
  <si>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</si>
  <si>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</si>
  <si>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</si>
  <si>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</si>
  <si>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</si>
  <si>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</si>
  <si>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</si>
  <si>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</si>
  <si>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</si>
  <si>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</si>
  <si>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</si>
  <si>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</si>
  <si>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LUZ  31-May</t>
  </si>
  <si>
    <t>PERDIDA</t>
  </si>
  <si>
    <t>R-18027-18052-18082</t>
  </si>
  <si>
    <t>ARABE</t>
  </si>
  <si>
    <t>R-18052-18328-pollo</t>
  </si>
  <si>
    <t>Elias 03-JUN</t>
  </si>
  <si>
    <t>R-18328-18457</t>
  </si>
  <si>
    <t>R-18457-18539-18592</t>
  </si>
  <si>
    <t>NOMINA 24</t>
  </si>
  <si>
    <t>NOMINA 25</t>
  </si>
  <si>
    <t>NOMINA 26</t>
  </si>
  <si>
    <t>NOMINA 27</t>
  </si>
  <si>
    <t>R-18592-18922--chorizo</t>
  </si>
  <si>
    <t>19290 B</t>
  </si>
  <si>
    <t>19369 B</t>
  </si>
  <si>
    <t>19484 B</t>
  </si>
  <si>
    <t>19778 B</t>
  </si>
  <si>
    <t>19779 B</t>
  </si>
  <si>
    <t>19972 B</t>
  </si>
  <si>
    <t>R-18922-18882-+19116</t>
  </si>
  <si>
    <t>R-19116-pollo</t>
  </si>
  <si>
    <t>R-19248</t>
  </si>
  <si>
    <t>Elias  10 JUN</t>
  </si>
  <si>
    <t>R-19248-+19290-19369-pollo-chorizo</t>
  </si>
  <si>
    <t>R-19369-19484-Maiz</t>
  </si>
  <si>
    <t>R-19484</t>
  </si>
  <si>
    <t>R-16484-19778-19779</t>
  </si>
  <si>
    <t>MAIZ</t>
  </si>
  <si>
    <t>JORGE MORENO HERNANDEZ</t>
  </si>
  <si>
    <t>paga  Rosa Bermudes  15-Jun 2016</t>
  </si>
  <si>
    <t xml:space="preserve">Abono </t>
  </si>
  <si>
    <t xml:space="preserve">08-Jun --15-Jun </t>
  </si>
  <si>
    <t>20179 B</t>
  </si>
  <si>
    <t>20058 B</t>
  </si>
  <si>
    <t>20414 B</t>
  </si>
  <si>
    <t>20668 B</t>
  </si>
  <si>
    <t>20670 B</t>
  </si>
  <si>
    <t>20671 B</t>
  </si>
  <si>
    <t>20329 B</t>
  </si>
  <si>
    <t>20762 B</t>
  </si>
  <si>
    <t>20932 B</t>
  </si>
  <si>
    <t>21069 B</t>
  </si>
  <si>
    <t>21070 B</t>
  </si>
  <si>
    <t>21071 B</t>
  </si>
  <si>
    <t>R-19972-pollo</t>
  </si>
  <si>
    <t>PRESTAMO SERGIO  14-Junio</t>
  </si>
  <si>
    <t>R-19972</t>
  </si>
  <si>
    <t>R-19972-maiz</t>
  </si>
  <si>
    <t>R-19972-20058-20179-20329- condimentos</t>
  </si>
  <si>
    <t>R-20329-20414-250671-20668--Chorizo</t>
  </si>
  <si>
    <t>R-20668-20670</t>
  </si>
  <si>
    <t>21300 B</t>
  </si>
  <si>
    <t>21515 B</t>
  </si>
  <si>
    <t>R-20670-20762</t>
  </si>
  <si>
    <t>R-20762-21070-20932 --chorizo</t>
  </si>
  <si>
    <t>R-20932-20932</t>
  </si>
  <si>
    <t xml:space="preserve">15-Jun --24-Jun </t>
  </si>
  <si>
    <t>21426 B</t>
  </si>
  <si>
    <t>21761 B</t>
  </si>
  <si>
    <t>21876 B</t>
  </si>
  <si>
    <t>21986 B</t>
  </si>
  <si>
    <t>22074 B</t>
  </si>
  <si>
    <t>21235 B</t>
  </si>
  <si>
    <t xml:space="preserve">24-Jun --30-Jun </t>
  </si>
  <si>
    <t>22189 B</t>
  </si>
  <si>
    <t>22399 B</t>
  </si>
  <si>
    <t>22474 B</t>
  </si>
  <si>
    <t>REMISIONES  11 SUR    J U L I O             2016</t>
  </si>
  <si>
    <t>22634 B</t>
  </si>
  <si>
    <t>22775 B</t>
  </si>
  <si>
    <t>22889 B</t>
  </si>
  <si>
    <t>pagara   Rosa Bermudes  15-Jun 2016</t>
  </si>
  <si>
    <t>22982 B</t>
  </si>
  <si>
    <t>23112 B</t>
  </si>
  <si>
    <t>23162 B</t>
  </si>
  <si>
    <t>23389 B</t>
  </si>
  <si>
    <t>23466 B</t>
  </si>
  <si>
    <t>23558 B</t>
  </si>
  <si>
    <t>23719 B</t>
  </si>
  <si>
    <t>23720 B</t>
  </si>
  <si>
    <t>23838 B</t>
  </si>
  <si>
    <t>23946 B</t>
  </si>
  <si>
    <t>R-20932-21069</t>
  </si>
  <si>
    <t>R-21069-21071-21235</t>
  </si>
  <si>
    <t>Pepe   24-JUNIO</t>
  </si>
  <si>
    <t>R-21235--21300</t>
  </si>
  <si>
    <t>R-21300-21426-21515</t>
  </si>
  <si>
    <t>R-21515</t>
  </si>
  <si>
    <t>R-21515-21876-21761</t>
  </si>
  <si>
    <t>ELIAS 29-JUN</t>
  </si>
  <si>
    <t>R-21761--pollo</t>
  </si>
  <si>
    <t>NOMINA 28</t>
  </si>
  <si>
    <t>NOMINA 29</t>
  </si>
  <si>
    <t>NOMINA 30</t>
  </si>
  <si>
    <t xml:space="preserve">BALANCE       DE     J U L I O       2 0 1 6        11  S U R   </t>
  </si>
  <si>
    <t>R-21761-21986-22189</t>
  </si>
  <si>
    <t>R-22189-22074</t>
  </si>
  <si>
    <t>R-22074-22399</t>
  </si>
  <si>
    <t>R-22399</t>
  </si>
  <si>
    <t>R-22399-22474</t>
  </si>
  <si>
    <t xml:space="preserve">SALSAS </t>
  </si>
  <si>
    <t>Elias  06-JUL</t>
  </si>
  <si>
    <t>R-22474-22634</t>
  </si>
  <si>
    <t>R-22634</t>
  </si>
  <si>
    <t>R-22634--22775</t>
  </si>
  <si>
    <t>R-22775--22889</t>
  </si>
  <si>
    <t>R-22982--22889</t>
  </si>
  <si>
    <t>R-22982--23112-23558--23389</t>
  </si>
  <si>
    <t>R-23389</t>
  </si>
  <si>
    <t>R-23719-23389</t>
  </si>
  <si>
    <t>MAIZ-POLLO</t>
  </si>
  <si>
    <t xml:space="preserve">30-Jun --15-Jul </t>
  </si>
  <si>
    <t>24622 B</t>
  </si>
  <si>
    <t>24388 B</t>
  </si>
  <si>
    <t>24552 B</t>
  </si>
  <si>
    <t>24704 B</t>
  </si>
  <si>
    <t>24770 B</t>
  </si>
  <si>
    <t>R-23719-23466</t>
  </si>
  <si>
    <t>Elias  15-JUL</t>
  </si>
  <si>
    <t>R-23466-23720</t>
  </si>
  <si>
    <t>R-23720-253838</t>
  </si>
  <si>
    <t>R-23838--23162</t>
  </si>
  <si>
    <t>R-23162-23946</t>
  </si>
  <si>
    <t>R-23946</t>
  </si>
  <si>
    <t>R-23946-23388</t>
  </si>
  <si>
    <t xml:space="preserve">15-JUL --22-Jul </t>
  </si>
  <si>
    <t>24875 B</t>
  </si>
  <si>
    <t>00153 C</t>
  </si>
  <si>
    <t>00254 C</t>
  </si>
  <si>
    <t>00398 C</t>
  </si>
  <si>
    <t>00498 C</t>
  </si>
  <si>
    <t>00499 C</t>
  </si>
  <si>
    <t>00590 C</t>
  </si>
  <si>
    <t>00756 C</t>
  </si>
  <si>
    <t>00948 C</t>
  </si>
  <si>
    <t>00952 C</t>
  </si>
  <si>
    <t>R-24388-24552-24622</t>
  </si>
  <si>
    <t>R-24622--24704</t>
  </si>
  <si>
    <t>R-24704</t>
  </si>
  <si>
    <t>R-24704--24770</t>
  </si>
  <si>
    <t>R-24770-24875</t>
  </si>
  <si>
    <t>R-24875-153</t>
  </si>
  <si>
    <t>R-153-chorizo-pollo</t>
  </si>
  <si>
    <t>R-153-254</t>
  </si>
  <si>
    <t>R-254</t>
  </si>
  <si>
    <t xml:space="preserve">22-Jul--30-Jul </t>
  </si>
  <si>
    <t>01143 C</t>
  </si>
  <si>
    <t>01268 C</t>
  </si>
  <si>
    <t>01372 C</t>
  </si>
  <si>
    <t xml:space="preserve">BALANCE       DE     A G O S T O        2 0 1 6        11  S U R   </t>
  </si>
  <si>
    <t>REMISIONES  11 SUR    AGOSTO              2016</t>
  </si>
  <si>
    <t xml:space="preserve">22-Jul--30-Jul -06-Ago </t>
  </si>
  <si>
    <t xml:space="preserve">30-jul--06-Ago </t>
  </si>
  <si>
    <t>BASURA SUP</t>
  </si>
  <si>
    <t>01841 C</t>
  </si>
  <si>
    <t>01590 C</t>
  </si>
  <si>
    <t>01592 C</t>
  </si>
  <si>
    <t>01769 C</t>
  </si>
  <si>
    <t>02010 C</t>
  </si>
  <si>
    <t>01927 C</t>
  </si>
  <si>
    <t>02136 C</t>
  </si>
  <si>
    <t>02215 C</t>
  </si>
  <si>
    <t>02252 C</t>
  </si>
  <si>
    <t>02299 C</t>
  </si>
  <si>
    <t>02442 C</t>
  </si>
  <si>
    <t>02657 C</t>
  </si>
  <si>
    <t xml:space="preserve">06-Ago --12-Ago </t>
  </si>
  <si>
    <t>Chorizo--R-254-398--499</t>
  </si>
  <si>
    <t>R-499-498</t>
  </si>
  <si>
    <t>NOMINA 31</t>
  </si>
  <si>
    <t>GANANCIA</t>
  </si>
  <si>
    <t>R-498-5490--pollo</t>
  </si>
  <si>
    <t>R-590-756</t>
  </si>
  <si>
    <t>R-952-948</t>
  </si>
  <si>
    <t>R-948-chorizo--pollo</t>
  </si>
  <si>
    <t>R-948--1143-1268</t>
  </si>
  <si>
    <t>R-11268-1372</t>
  </si>
  <si>
    <t>NOMINA 32</t>
  </si>
  <si>
    <t>NOMINA 33</t>
  </si>
  <si>
    <t>NOMINA 34</t>
  </si>
  <si>
    <t>NOMINA 35</t>
  </si>
  <si>
    <t>R-1372-2010</t>
  </si>
  <si>
    <t>R-2010</t>
  </si>
  <si>
    <t>R-2010-1592-190-1769-1769</t>
  </si>
  <si>
    <t xml:space="preserve">SUAP Anual </t>
  </si>
  <si>
    <t>basura</t>
  </si>
  <si>
    <t>maiz-R-1841</t>
  </si>
  <si>
    <t>02826 C</t>
  </si>
  <si>
    <t>02994 C</t>
  </si>
  <si>
    <t>03065 C</t>
  </si>
  <si>
    <t>03102 C</t>
  </si>
  <si>
    <t>03322 C</t>
  </si>
  <si>
    <t>03402 C</t>
  </si>
  <si>
    <t xml:space="preserve">12-Ago--19-Ago </t>
  </si>
  <si>
    <t>03529 C</t>
  </si>
  <si>
    <t>03647 C</t>
  </si>
  <si>
    <t>03719 C</t>
  </si>
  <si>
    <t>03922 C</t>
  </si>
  <si>
    <t>03831 C</t>
  </si>
  <si>
    <t>04151 C</t>
  </si>
  <si>
    <t>04238 C</t>
  </si>
  <si>
    <t>04296 C</t>
  </si>
  <si>
    <t>POLLO-chorizo</t>
  </si>
  <si>
    <t>R-1841-1927</t>
  </si>
  <si>
    <t>R-1927-2136</t>
  </si>
  <si>
    <t>R--2136-2215-2442</t>
  </si>
  <si>
    <t>R-2442+2252</t>
  </si>
  <si>
    <t>R-2252-2657</t>
  </si>
  <si>
    <t>R-2657-chorizo</t>
  </si>
  <si>
    <t>COMISIONES</t>
  </si>
  <si>
    <t>chorizo-pollo</t>
  </si>
  <si>
    <t>R-2657-2994</t>
  </si>
  <si>
    <t>R-2826</t>
  </si>
  <si>
    <t>R-2826-3102-3065</t>
  </si>
  <si>
    <t>R-3065-chorizo</t>
  </si>
  <si>
    <t>r-3065-3322-3402</t>
  </si>
  <si>
    <t xml:space="preserve">Elias </t>
  </si>
  <si>
    <t>Elias  22-08</t>
  </si>
  <si>
    <t>R-3402--pollo</t>
  </si>
  <si>
    <t>R-3402-3529</t>
  </si>
  <si>
    <t>R-3529-3647-Maiz</t>
  </si>
  <si>
    <t>R-3647-chorizo</t>
  </si>
  <si>
    <t>CHORIZO</t>
  </si>
  <si>
    <t>R-3647-3719-3831-3922</t>
  </si>
  <si>
    <t>04523 C</t>
  </si>
  <si>
    <t>04638 C</t>
  </si>
  <si>
    <t>04730 C</t>
  </si>
  <si>
    <t>04766 C</t>
  </si>
  <si>
    <t>04992 C</t>
  </si>
  <si>
    <t>05104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</si>
</sst>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8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  <fill>
      <patternFill patternType="solid">
        <fgColor theme="9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89">
    <xf numFmtId="0" fontId="0" fillId="0" borderId="0" xfId="0"/>
    <xf numFmtId="164" fontId="0" fillId="0" borderId="0" xfId="0" applyNumberFormat="1" applyAlignment="1">
      <alignment horizontal="center"/>
    </xf>
    <xf numFmtId="0" fontId="7" fillId="2" borderId="0" xfId="0" applyFont="1" applyFill="1"/>
    <xf numFmtId="44" fontId="4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8" fillId="0" borderId="1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12" fillId="3" borderId="0" xfId="1" applyFont="1" applyFill="1" applyAlignment="1">
      <alignment horizontal="center"/>
    </xf>
    <xf numFmtId="16" fontId="0" fillId="0" borderId="0" xfId="0" applyNumberFormat="1"/>
    <xf numFmtId="164" fontId="0" fillId="0" borderId="5" xfId="0" applyNumberFormat="1" applyFill="1" applyBorder="1" applyAlignment="1">
      <alignment horizontal="center"/>
    </xf>
    <xf numFmtId="44" fontId="6" fillId="0" borderId="6" xfId="1" applyFont="1" applyFill="1" applyBorder="1"/>
    <xf numFmtId="165" fontId="13" fillId="0" borderId="0" xfId="0" applyNumberFormat="1" applyFont="1" applyFill="1"/>
    <xf numFmtId="15" fontId="0" fillId="0" borderId="7" xfId="0" applyNumberFormat="1" applyFill="1" applyBorder="1"/>
    <xf numFmtId="44" fontId="6" fillId="0" borderId="8" xfId="1" applyFont="1" applyFill="1" applyBorder="1"/>
    <xf numFmtId="0" fontId="0" fillId="0" borderId="0" xfId="0" applyFill="1"/>
    <xf numFmtId="44" fontId="6" fillId="0" borderId="0" xfId="1" applyFont="1" applyFill="1"/>
    <xf numFmtId="165" fontId="10" fillId="0" borderId="0" xfId="0" applyNumberFormat="1" applyFont="1" applyFill="1"/>
    <xf numFmtId="165" fontId="0" fillId="0" borderId="0" xfId="0" applyNumberFormat="1" applyFill="1" applyBorder="1"/>
    <xf numFmtId="15" fontId="0" fillId="0" borderId="9" xfId="0" applyNumberFormat="1" applyFill="1" applyBorder="1"/>
    <xf numFmtId="44" fontId="6" fillId="0" borderId="10" xfId="1" applyFont="1" applyFill="1" applyBorder="1"/>
    <xf numFmtId="44" fontId="6" fillId="0" borderId="0" xfId="1" applyFont="1" applyFill="1" applyBorder="1"/>
    <xf numFmtId="0" fontId="0" fillId="0" borderId="0" xfId="0" applyFill="1" applyBorder="1"/>
    <xf numFmtId="165" fontId="6" fillId="0" borderId="8" xfId="0" applyNumberFormat="1" applyFont="1" applyFill="1" applyBorder="1"/>
    <xf numFmtId="44" fontId="4" fillId="0" borderId="11" xfId="1" applyFont="1" applyFill="1" applyBorder="1"/>
    <xf numFmtId="44" fontId="4" fillId="0" borderId="0" xfId="1" applyFont="1" applyFill="1"/>
    <xf numFmtId="0" fontId="6" fillId="4" borderId="0" xfId="0" applyFont="1" applyFill="1" applyBorder="1"/>
    <xf numFmtId="165" fontId="0" fillId="0" borderId="8" xfId="0" applyNumberFormat="1" applyFill="1" applyBorder="1"/>
    <xf numFmtId="44" fontId="6" fillId="0" borderId="11" xfId="1" applyFont="1" applyFill="1" applyBorder="1"/>
    <xf numFmtId="165" fontId="0" fillId="0" borderId="0" xfId="0" applyNumberFormat="1" applyFont="1" applyFill="1"/>
    <xf numFmtId="44" fontId="14" fillId="0" borderId="0" xfId="1" applyFont="1" applyFill="1" applyBorder="1"/>
    <xf numFmtId="44" fontId="11" fillId="0" borderId="0" xfId="1" applyFont="1" applyFill="1"/>
    <xf numFmtId="0" fontId="6" fillId="0" borderId="0" xfId="0" applyFont="1" applyFill="1"/>
    <xf numFmtId="0" fontId="11" fillId="0" borderId="0" xfId="0" applyFont="1" applyFill="1"/>
    <xf numFmtId="0" fontId="0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44" fontId="6" fillId="0" borderId="8" xfId="1" applyFont="1" applyFill="1" applyBorder="1" applyAlignment="1">
      <alignment horizontal="right"/>
    </xf>
    <xf numFmtId="0" fontId="6" fillId="0" borderId="0" xfId="0" applyFont="1" applyFill="1" applyBorder="1"/>
    <xf numFmtId="44" fontId="6" fillId="0" borderId="0" xfId="1" applyFont="1" applyFill="1" applyBorder="1" applyAlignment="1">
      <alignment horizontal="right"/>
    </xf>
    <xf numFmtId="44" fontId="6" fillId="0" borderId="12" xfId="1" applyFont="1" applyFill="1" applyBorder="1"/>
    <xf numFmtId="16" fontId="14" fillId="0" borderId="0" xfId="0" applyNumberFormat="1" applyFont="1" applyFill="1" applyBorder="1"/>
    <xf numFmtId="16" fontId="16" fillId="0" borderId="9" xfId="0" applyNumberFormat="1" applyFont="1" applyFill="1" applyBorder="1"/>
    <xf numFmtId="44" fontId="14" fillId="0" borderId="9" xfId="1" applyFont="1" applyFill="1" applyBorder="1" applyAlignment="1"/>
    <xf numFmtId="44" fontId="14" fillId="0" borderId="0" xfId="1" applyFont="1" applyFill="1" applyBorder="1" applyAlignment="1">
      <alignment horizontal="left"/>
    </xf>
    <xf numFmtId="1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4" fontId="17" fillId="0" borderId="0" xfId="1" applyFont="1" applyFill="1" applyBorder="1"/>
    <xf numFmtId="0" fontId="6" fillId="0" borderId="9" xfId="0" applyFont="1" applyFill="1" applyBorder="1"/>
    <xf numFmtId="16" fontId="0" fillId="0" borderId="9" xfId="0" applyNumberFormat="1" applyFill="1" applyBorder="1"/>
    <xf numFmtId="0" fontId="0" fillId="0" borderId="9" xfId="0" applyFill="1" applyBorder="1"/>
    <xf numFmtId="44" fontId="6" fillId="0" borderId="8" xfId="1" applyFont="1" applyBorder="1" applyAlignment="1">
      <alignment horizontal="right"/>
    </xf>
    <xf numFmtId="0" fontId="17" fillId="0" borderId="9" xfId="0" applyFont="1" applyFill="1" applyBorder="1"/>
    <xf numFmtId="0" fontId="11" fillId="0" borderId="13" xfId="0" applyFont="1" applyFill="1" applyBorder="1"/>
    <xf numFmtId="0" fontId="11" fillId="0" borderId="14" xfId="0" applyFont="1" applyFill="1" applyBorder="1"/>
    <xf numFmtId="0" fontId="14" fillId="0" borderId="9" xfId="0" applyFont="1" applyFill="1" applyBorder="1"/>
    <xf numFmtId="165" fontId="6" fillId="0" borderId="8" xfId="0" applyNumberFormat="1" applyFont="1" applyBorder="1"/>
    <xf numFmtId="0" fontId="18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6" fillId="0" borderId="6" xfId="1" applyFont="1" applyBorder="1"/>
    <xf numFmtId="0" fontId="19" fillId="0" borderId="15" xfId="0" applyFont="1" applyFill="1" applyBorder="1" applyAlignment="1">
      <alignment horizontal="center"/>
    </xf>
    <xf numFmtId="44" fontId="4" fillId="0" borderId="12" xfId="1" applyFont="1" applyFill="1" applyBorder="1"/>
    <xf numFmtId="44" fontId="4" fillId="0" borderId="0" xfId="1" applyFont="1" applyBorder="1"/>
    <xf numFmtId="0" fontId="0" fillId="0" borderId="9" xfId="0" applyBorder="1"/>
    <xf numFmtId="165" fontId="0" fillId="0" borderId="8" xfId="0" applyNumberFormat="1" applyBorder="1"/>
    <xf numFmtId="44" fontId="4" fillId="0" borderId="11" xfId="1" applyFont="1" applyBorder="1"/>
    <xf numFmtId="0" fontId="0" fillId="0" borderId="0" xfId="0" applyFont="1" applyAlignment="1"/>
    <xf numFmtId="0" fontId="16" fillId="0" borderId="0" xfId="0" applyFont="1"/>
    <xf numFmtId="164" fontId="19" fillId="0" borderId="16" xfId="0" applyNumberFormat="1" applyFont="1" applyBorder="1" applyAlignment="1">
      <alignment horizontal="center"/>
    </xf>
    <xf numFmtId="44" fontId="6" fillId="0" borderId="17" xfId="1" applyFont="1" applyBorder="1"/>
    <xf numFmtId="0" fontId="0" fillId="0" borderId="18" xfId="0" applyBorder="1"/>
    <xf numFmtId="44" fontId="4" fillId="0" borderId="19" xfId="1" applyFont="1" applyBorder="1"/>
    <xf numFmtId="0" fontId="19" fillId="0" borderId="20" xfId="0" applyFont="1" applyBorder="1" applyAlignment="1">
      <alignment horizontal="center"/>
    </xf>
    <xf numFmtId="44" fontId="4" fillId="0" borderId="21" xfId="1" applyFont="1" applyBorder="1"/>
    <xf numFmtId="0" fontId="0" fillId="0" borderId="22" xfId="0" applyBorder="1"/>
    <xf numFmtId="165" fontId="0" fillId="0" borderId="23" xfId="0" applyNumberFormat="1" applyBorder="1"/>
    <xf numFmtId="44" fontId="12" fillId="5" borderId="24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44" fontId="6" fillId="0" borderId="0" xfId="1" applyFont="1"/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164" fontId="17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20" fillId="0" borderId="25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6" fillId="0" borderId="0" xfId="1" applyFont="1" applyBorder="1"/>
    <xf numFmtId="44" fontId="20" fillId="0" borderId="0" xfId="1" applyFont="1" applyAlignment="1">
      <alignment horizontal="center" vertical="center" wrapText="1"/>
    </xf>
    <xf numFmtId="0" fontId="0" fillId="0" borderId="23" xfId="0" applyFont="1" applyBorder="1"/>
    <xf numFmtId="0" fontId="6" fillId="0" borderId="23" xfId="0" applyFont="1" applyBorder="1"/>
    <xf numFmtId="44" fontId="6" fillId="0" borderId="23" xfId="1" applyFont="1" applyBorder="1"/>
    <xf numFmtId="0" fontId="6" fillId="0" borderId="0" xfId="0" applyFont="1" applyAlignment="1">
      <alignment horizontal="right"/>
    </xf>
    <xf numFmtId="44" fontId="19" fillId="0" borderId="26" xfId="1" applyFont="1" applyBorder="1"/>
    <xf numFmtId="165" fontId="21" fillId="0" borderId="0" xfId="0" applyNumberFormat="1" applyFont="1"/>
    <xf numFmtId="44" fontId="19" fillId="0" borderId="0" xfId="1" applyFont="1" applyBorder="1"/>
    <xf numFmtId="0" fontId="0" fillId="0" borderId="23" xfId="0" applyBorder="1"/>
    <xf numFmtId="0" fontId="6" fillId="0" borderId="23" xfId="0" applyFont="1" applyBorder="1" applyAlignment="1">
      <alignment horizontal="center"/>
    </xf>
    <xf numFmtId="0" fontId="11" fillId="0" borderId="0" xfId="0" applyFont="1"/>
    <xf numFmtId="44" fontId="20" fillId="0" borderId="0" xfId="1" applyFont="1"/>
    <xf numFmtId="44" fontId="7" fillId="0" borderId="0" xfId="1" applyFont="1"/>
    <xf numFmtId="0" fontId="22" fillId="6" borderId="0" xfId="0" applyFont="1" applyFill="1"/>
    <xf numFmtId="44" fontId="4" fillId="6" borderId="0" xfId="1" applyFont="1" applyFill="1"/>
    <xf numFmtId="0" fontId="0" fillId="6" borderId="0" xfId="0" applyFill="1"/>
    <xf numFmtId="0" fontId="6" fillId="0" borderId="26" xfId="0" applyFont="1" applyFill="1" applyBorder="1"/>
    <xf numFmtId="0" fontId="0" fillId="0" borderId="26" xfId="0" applyFill="1" applyBorder="1"/>
    <xf numFmtId="44" fontId="4" fillId="0" borderId="26" xfId="1" applyFont="1" applyFill="1" applyBorder="1"/>
    <xf numFmtId="164" fontId="6" fillId="0" borderId="27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44" fontId="3" fillId="0" borderId="28" xfId="1" applyFont="1" applyFill="1" applyBorder="1"/>
    <xf numFmtId="164" fontId="6" fillId="0" borderId="29" xfId="0" applyNumberFormat="1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44" fontId="3" fillId="0" borderId="30" xfId="1" applyFont="1" applyFill="1" applyBorder="1"/>
    <xf numFmtId="1" fontId="25" fillId="0" borderId="29" xfId="0" applyNumberFormat="1" applyFont="1" applyFill="1" applyBorder="1" applyAlignment="1">
      <alignment horizontal="center"/>
    </xf>
    <xf numFmtId="164" fontId="26" fillId="0" borderId="29" xfId="0" applyNumberFormat="1" applyFont="1" applyFill="1" applyBorder="1" applyAlignment="1">
      <alignment horizontal="center"/>
    </xf>
    <xf numFmtId="1" fontId="24" fillId="0" borderId="29" xfId="0" applyNumberFormat="1" applyFont="1" applyFill="1" applyBorder="1" applyAlignment="1">
      <alignment horizontal="center"/>
    </xf>
    <xf numFmtId="1" fontId="25" fillId="0" borderId="31" xfId="0" applyNumberFormat="1" applyFont="1" applyFill="1" applyBorder="1" applyAlignment="1">
      <alignment horizontal="center"/>
    </xf>
    <xf numFmtId="44" fontId="3" fillId="0" borderId="29" xfId="1" applyFont="1" applyFill="1" applyBorder="1"/>
    <xf numFmtId="0" fontId="25" fillId="0" borderId="32" xfId="0" applyFont="1" applyFill="1" applyBorder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44" fontId="28" fillId="0" borderId="0" xfId="1" applyFont="1" applyFill="1" applyBorder="1"/>
    <xf numFmtId="164" fontId="26" fillId="0" borderId="29" xfId="0" applyNumberFormat="1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center"/>
    </xf>
    <xf numFmtId="44" fontId="3" fillId="0" borderId="0" xfId="1" applyFont="1" applyFill="1" applyBorder="1"/>
    <xf numFmtId="164" fontId="26" fillId="0" borderId="31" xfId="0" applyNumberFormat="1" applyFont="1" applyFill="1" applyBorder="1" applyAlignment="1">
      <alignment horizontal="left"/>
    </xf>
    <xf numFmtId="44" fontId="3" fillId="0" borderId="31" xfId="1" applyFont="1" applyFill="1" applyBorder="1"/>
    <xf numFmtId="164" fontId="12" fillId="0" borderId="29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5" fontId="29" fillId="0" borderId="23" xfId="0" applyNumberFormat="1" applyFont="1" applyFill="1" applyBorder="1"/>
    <xf numFmtId="44" fontId="6" fillId="0" borderId="23" xfId="1" applyFont="1" applyFill="1" applyBorder="1"/>
    <xf numFmtId="164" fontId="29" fillId="0" borderId="23" xfId="0" applyNumberFormat="1" applyFont="1" applyFill="1" applyBorder="1" applyAlignment="1">
      <alignment horizontal="center"/>
    </xf>
    <xf numFmtId="44" fontId="3" fillId="0" borderId="23" xfId="1" applyFont="1" applyFill="1" applyBorder="1"/>
    <xf numFmtId="164" fontId="0" fillId="0" borderId="0" xfId="0" applyNumberFormat="1" applyFill="1" applyAlignment="1">
      <alignment horizontal="center"/>
    </xf>
    <xf numFmtId="44" fontId="22" fillId="0" borderId="0" xfId="1" applyFont="1"/>
    <xf numFmtId="0" fontId="22" fillId="0" borderId="0" xfId="0" applyFont="1"/>
    <xf numFmtId="0" fontId="22" fillId="0" borderId="0" xfId="0" applyFont="1" applyAlignment="1">
      <alignment horizontal="center"/>
    </xf>
    <xf numFmtId="164" fontId="6" fillId="7" borderId="33" xfId="1" applyNumberFormat="1" applyFont="1" applyFill="1" applyBorder="1" applyAlignment="1">
      <alignment horizontal="center"/>
    </xf>
    <xf numFmtId="164" fontId="6" fillId="0" borderId="0" xfId="0" applyNumberFormat="1" applyFont="1"/>
    <xf numFmtId="0" fontId="21" fillId="0" borderId="0" xfId="0" applyFont="1"/>
    <xf numFmtId="44" fontId="12" fillId="0" borderId="0" xfId="1" applyFont="1"/>
    <xf numFmtId="0" fontId="21" fillId="0" borderId="0" xfId="0" applyFont="1" applyAlignment="1">
      <alignment horizontal="center"/>
    </xf>
    <xf numFmtId="164" fontId="12" fillId="0" borderId="0" xfId="0" applyNumberFormat="1" applyFont="1"/>
    <xf numFmtId="0" fontId="12" fillId="0" borderId="0" xfId="0" applyFont="1"/>
    <xf numFmtId="44" fontId="12" fillId="0" borderId="29" xfId="1" applyFont="1" applyFill="1" applyBorder="1" applyAlignment="1">
      <alignment horizontal="left"/>
    </xf>
    <xf numFmtId="0" fontId="12" fillId="0" borderId="29" xfId="0" applyFont="1" applyBorder="1" applyAlignment="1">
      <alignment horizontal="center"/>
    </xf>
    <xf numFmtId="44" fontId="30" fillId="0" borderId="29" xfId="1" applyFont="1" applyBorder="1"/>
    <xf numFmtId="164" fontId="30" fillId="0" borderId="29" xfId="0" applyNumberFormat="1" applyFont="1" applyBorder="1"/>
    <xf numFmtId="44" fontId="6" fillId="0" borderId="29" xfId="1" applyFont="1" applyFill="1" applyBorder="1" applyAlignment="1">
      <alignment horizontal="center"/>
    </xf>
    <xf numFmtId="44" fontId="6" fillId="0" borderId="29" xfId="1" applyFont="1" applyFill="1" applyBorder="1" applyAlignment="1">
      <alignment horizontal="left"/>
    </xf>
    <xf numFmtId="44" fontId="31" fillId="0" borderId="29" xfId="1" applyFont="1" applyBorder="1"/>
    <xf numFmtId="164" fontId="31" fillId="0" borderId="29" xfId="0" applyNumberFormat="1" applyFont="1" applyBorder="1"/>
    <xf numFmtId="0" fontId="6" fillId="0" borderId="29" xfId="0" applyFont="1" applyFill="1" applyBorder="1"/>
    <xf numFmtId="0" fontId="0" fillId="0" borderId="29" xfId="0" applyBorder="1"/>
    <xf numFmtId="44" fontId="6" fillId="0" borderId="29" xfId="1" applyFont="1" applyBorder="1"/>
    <xf numFmtId="0" fontId="5" fillId="0" borderId="0" xfId="0" applyFont="1"/>
    <xf numFmtId="16" fontId="5" fillId="0" borderId="0" xfId="0" applyNumberFormat="1" applyFont="1"/>
    <xf numFmtId="44" fontId="6" fillId="3" borderId="6" xfId="1" applyFont="1" applyFill="1" applyBorder="1"/>
    <xf numFmtId="165" fontId="13" fillId="3" borderId="0" xfId="0" applyNumberFormat="1" applyFont="1" applyFill="1"/>
    <xf numFmtId="15" fontId="0" fillId="3" borderId="7" xfId="0" applyNumberFormat="1" applyFill="1" applyBorder="1"/>
    <xf numFmtId="44" fontId="6" fillId="3" borderId="8" xfId="1" applyFont="1" applyFill="1" applyBorder="1"/>
    <xf numFmtId="0" fontId="0" fillId="3" borderId="0" xfId="0" applyFill="1"/>
    <xf numFmtId="15" fontId="0" fillId="3" borderId="34" xfId="0" applyNumberFormat="1" applyFill="1" applyBorder="1"/>
    <xf numFmtId="44" fontId="6" fillId="3" borderId="35" xfId="1" applyFont="1" applyFill="1" applyBorder="1"/>
    <xf numFmtId="44" fontId="6" fillId="3" borderId="36" xfId="1" applyFont="1" applyFill="1" applyBorder="1"/>
    <xf numFmtId="0" fontId="0" fillId="3" borderId="36" xfId="0" applyFill="1" applyBorder="1"/>
    <xf numFmtId="0" fontId="0" fillId="3" borderId="37" xfId="0" applyFill="1" applyBorder="1"/>
    <xf numFmtId="44" fontId="4" fillId="3" borderId="38" xfId="1" applyFont="1" applyFill="1" applyBorder="1"/>
    <xf numFmtId="16" fontId="0" fillId="0" borderId="0" xfId="0" applyNumberFormat="1" applyFill="1" applyBorder="1"/>
    <xf numFmtId="164" fontId="6" fillId="8" borderId="33" xfId="1" applyNumberFormat="1" applyFont="1" applyFill="1" applyBorder="1" applyAlignment="1">
      <alignment horizontal="center"/>
    </xf>
    <xf numFmtId="16" fontId="12" fillId="0" borderId="2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5" fontId="0" fillId="0" borderId="34" xfId="0" applyNumberFormat="1" applyFill="1" applyBorder="1"/>
    <xf numFmtId="44" fontId="6" fillId="0" borderId="35" xfId="1" applyFont="1" applyFill="1" applyBorder="1"/>
    <xf numFmtId="0" fontId="0" fillId="0" borderId="36" xfId="0" applyFill="1" applyBorder="1"/>
    <xf numFmtId="0" fontId="0" fillId="0" borderId="37" xfId="0" applyFill="1" applyBorder="1"/>
    <xf numFmtId="44" fontId="4" fillId="0" borderId="38" xfId="1" applyFont="1" applyFill="1" applyBorder="1"/>
    <xf numFmtId="164" fontId="11" fillId="0" borderId="0" xfId="0" applyNumberFormat="1" applyFont="1" applyFill="1" applyAlignment="1">
      <alignment horizontal="center"/>
    </xf>
    <xf numFmtId="44" fontId="11" fillId="0" borderId="0" xfId="1" applyFont="1" applyFill="1" applyBorder="1"/>
    <xf numFmtId="166" fontId="20" fillId="0" borderId="39" xfId="0" applyNumberFormat="1" applyFont="1" applyBorder="1" applyAlignment="1"/>
    <xf numFmtId="166" fontId="20" fillId="0" borderId="8" xfId="0" applyNumberFormat="1" applyFont="1" applyBorder="1" applyAlignment="1"/>
    <xf numFmtId="164" fontId="6" fillId="4" borderId="33" xfId="1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44" fontId="31" fillId="0" borderId="0" xfId="1" applyFont="1" applyBorder="1"/>
    <xf numFmtId="164" fontId="31" fillId="0" borderId="0" xfId="0" applyNumberFormat="1" applyFont="1" applyBorder="1"/>
    <xf numFmtId="0" fontId="25" fillId="0" borderId="0" xfId="0" applyFont="1" applyFill="1" applyBorder="1" applyAlignment="1">
      <alignment horizontal="center"/>
    </xf>
    <xf numFmtId="1" fontId="25" fillId="0" borderId="40" xfId="0" applyNumberFormat="1" applyFont="1" applyFill="1" applyBorder="1" applyAlignment="1">
      <alignment horizontal="center"/>
    </xf>
    <xf numFmtId="44" fontId="6" fillId="0" borderId="40" xfId="1" applyFont="1" applyFill="1" applyBorder="1" applyAlignment="1">
      <alignment horizontal="center"/>
    </xf>
    <xf numFmtId="0" fontId="12" fillId="0" borderId="40" xfId="0" applyFont="1" applyBorder="1" applyAlignment="1">
      <alignment horizontal="center"/>
    </xf>
    <xf numFmtId="44" fontId="31" fillId="0" borderId="40" xfId="1" applyFont="1" applyBorder="1"/>
    <xf numFmtId="164" fontId="31" fillId="0" borderId="40" xfId="0" applyNumberFormat="1" applyFont="1" applyBorder="1"/>
    <xf numFmtId="164" fontId="6" fillId="5" borderId="33" xfId="1" applyNumberFormat="1" applyFont="1" applyFill="1" applyBorder="1" applyAlignment="1">
      <alignment horizontal="center"/>
    </xf>
    <xf numFmtId="44" fontId="6" fillId="9" borderId="0" xfId="1" applyFont="1" applyFill="1"/>
    <xf numFmtId="164" fontId="22" fillId="0" borderId="0" xfId="0" applyNumberFormat="1" applyFont="1"/>
    <xf numFmtId="44" fontId="6" fillId="10" borderId="8" xfId="1" applyFont="1" applyFill="1" applyBorder="1"/>
    <xf numFmtId="44" fontId="12" fillId="11" borderId="29" xfId="1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4" fontId="12" fillId="12" borderId="29" xfId="1" applyFont="1" applyFill="1" applyBorder="1"/>
    <xf numFmtId="44" fontId="4" fillId="0" borderId="29" xfId="1" applyFont="1" applyBorder="1"/>
    <xf numFmtId="44" fontId="12" fillId="0" borderId="29" xfId="1" applyFont="1" applyBorder="1"/>
    <xf numFmtId="0" fontId="22" fillId="2" borderId="29" xfId="0" applyFont="1" applyFill="1" applyBorder="1"/>
    <xf numFmtId="44" fontId="6" fillId="0" borderId="11" xfId="1" applyFont="1" applyBorder="1"/>
    <xf numFmtId="164" fontId="31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44" fontId="31" fillId="0" borderId="0" xfId="1" applyFont="1" applyFill="1" applyBorder="1"/>
    <xf numFmtId="44" fontId="22" fillId="0" borderId="0" xfId="1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6" fillId="9" borderId="11" xfId="1" applyFont="1" applyFill="1" applyBorder="1"/>
    <xf numFmtId="164" fontId="6" fillId="2" borderId="33" xfId="1" applyNumberFormat="1" applyFont="1" applyFill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44" fontId="31" fillId="0" borderId="31" xfId="1" applyFont="1" applyBorder="1"/>
    <xf numFmtId="164" fontId="31" fillId="0" borderId="31" xfId="0" applyNumberFormat="1" applyFont="1" applyBorder="1"/>
    <xf numFmtId="44" fontId="6" fillId="0" borderId="29" xfId="1" applyFont="1" applyFill="1" applyBorder="1"/>
    <xf numFmtId="0" fontId="12" fillId="0" borderId="29" xfId="0" applyFont="1" applyFill="1" applyBorder="1" applyAlignment="1">
      <alignment horizontal="center"/>
    </xf>
    <xf numFmtId="44" fontId="30" fillId="0" borderId="29" xfId="1" applyFont="1" applyFill="1" applyBorder="1"/>
    <xf numFmtId="164" fontId="30" fillId="0" borderId="29" xfId="0" applyNumberFormat="1" applyFont="1" applyFill="1" applyBorder="1"/>
    <xf numFmtId="0" fontId="12" fillId="0" borderId="29" xfId="0" applyFont="1" applyBorder="1"/>
    <xf numFmtId="44" fontId="0" fillId="0" borderId="0" xfId="0" applyNumberFormat="1"/>
    <xf numFmtId="1" fontId="25" fillId="0" borderId="41" xfId="0" applyNumberFormat="1" applyFont="1" applyFill="1" applyBorder="1" applyAlignment="1">
      <alignment horizontal="center"/>
    </xf>
    <xf numFmtId="44" fontId="6" fillId="0" borderId="41" xfId="1" applyFont="1" applyFill="1" applyBorder="1"/>
    <xf numFmtId="164" fontId="31" fillId="0" borderId="41" xfId="0" applyNumberFormat="1" applyFont="1" applyFill="1" applyBorder="1"/>
    <xf numFmtId="0" fontId="17" fillId="13" borderId="9" xfId="0" applyFont="1" applyFill="1" applyBorder="1"/>
    <xf numFmtId="44" fontId="6" fillId="13" borderId="13" xfId="1" applyFont="1" applyFill="1" applyBorder="1" applyAlignment="1"/>
    <xf numFmtId="0" fontId="6" fillId="13" borderId="9" xfId="0" applyFont="1" applyFill="1" applyBorder="1"/>
    <xf numFmtId="44" fontId="6" fillId="13" borderId="14" xfId="1" applyFont="1" applyFill="1" applyBorder="1" applyAlignment="1"/>
    <xf numFmtId="16" fontId="6" fillId="13" borderId="9" xfId="0" applyNumberFormat="1" applyFont="1" applyFill="1" applyBorder="1" applyAlignment="1">
      <alignment horizontal="center"/>
    </xf>
    <xf numFmtId="44" fontId="6" fillId="13" borderId="8" xfId="1" applyFont="1" applyFill="1" applyBorder="1" applyAlignment="1">
      <alignment horizontal="right"/>
    </xf>
    <xf numFmtId="16" fontId="21" fillId="0" borderId="0" xfId="0" applyNumberFormat="1" applyFont="1" applyFill="1" applyBorder="1"/>
    <xf numFmtId="164" fontId="6" fillId="2" borderId="29" xfId="0" applyNumberFormat="1" applyFont="1" applyFill="1" applyBorder="1"/>
    <xf numFmtId="164" fontId="6" fillId="0" borderId="29" xfId="0" applyNumberFormat="1" applyFont="1" applyBorder="1"/>
    <xf numFmtId="44" fontId="0" fillId="0" borderId="29" xfId="0" applyNumberFormat="1" applyBorder="1"/>
    <xf numFmtId="0" fontId="6" fillId="13" borderId="29" xfId="0" applyFont="1" applyFill="1" applyBorder="1"/>
    <xf numFmtId="0" fontId="0" fillId="13" borderId="29" xfId="0" applyFill="1" applyBorder="1"/>
    <xf numFmtId="164" fontId="6" fillId="0" borderId="29" xfId="0" applyNumberFormat="1" applyFont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64" fontId="6" fillId="14" borderId="33" xfId="1" applyNumberFormat="1" applyFont="1" applyFill="1" applyBorder="1" applyAlignment="1">
      <alignment horizontal="center"/>
    </xf>
    <xf numFmtId="16" fontId="16" fillId="13" borderId="0" xfId="0" applyNumberFormat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" fontId="16" fillId="0" borderId="0" xfId="0" applyNumberFormat="1" applyFont="1" applyFill="1" applyBorder="1"/>
    <xf numFmtId="44" fontId="6" fillId="0" borderId="36" xfId="1" applyFont="1" applyFill="1" applyBorder="1"/>
    <xf numFmtId="164" fontId="6" fillId="15" borderId="33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6" fillId="0" borderId="0" xfId="0" applyNumberFormat="1" applyFont="1" applyFill="1"/>
    <xf numFmtId="44" fontId="30" fillId="0" borderId="0" xfId="1" applyFont="1" applyBorder="1"/>
    <xf numFmtId="164" fontId="30" fillId="0" borderId="0" xfId="0" applyNumberFormat="1" applyFont="1" applyBorder="1"/>
    <xf numFmtId="1" fontId="24" fillId="0" borderId="0" xfId="0" applyNumberFormat="1" applyFont="1" applyFill="1" applyBorder="1" applyAlignment="1">
      <alignment horizontal="center"/>
    </xf>
    <xf numFmtId="0" fontId="12" fillId="0" borderId="0" xfId="0" applyFont="1" applyBorder="1"/>
    <xf numFmtId="44" fontId="12" fillId="0" borderId="0" xfId="1" applyFont="1" applyBorder="1"/>
    <xf numFmtId="44" fontId="30" fillId="0" borderId="0" xfId="1" applyFont="1" applyFill="1" applyBorder="1"/>
    <xf numFmtId="164" fontId="30" fillId="0" borderId="0" xfId="0" applyNumberFormat="1" applyFont="1" applyFill="1" applyBorder="1"/>
    <xf numFmtId="0" fontId="6" fillId="0" borderId="40" xfId="0" applyFont="1" applyFill="1" applyBorder="1"/>
    <xf numFmtId="44" fontId="30" fillId="0" borderId="40" xfId="1" applyFont="1" applyBorder="1"/>
    <xf numFmtId="164" fontId="30" fillId="0" borderId="40" xfId="0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" fontId="6" fillId="0" borderId="0" xfId="0" applyNumberFormat="1" applyFont="1" applyFill="1" applyBorder="1"/>
    <xf numFmtId="16" fontId="6" fillId="0" borderId="0" xfId="1" applyNumberFormat="1" applyFont="1" applyFill="1" applyBorder="1" applyAlignment="1">
      <alignment horizontal="left"/>
    </xf>
    <xf numFmtId="44" fontId="6" fillId="12" borderId="0" xfId="1" applyFont="1" applyFill="1"/>
    <xf numFmtId="164" fontId="6" fillId="16" borderId="33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12" fillId="0" borderId="0" xfId="0" applyNumberFormat="1" applyFont="1"/>
    <xf numFmtId="44" fontId="6" fillId="0" borderId="42" xfId="1" applyFont="1" applyFill="1" applyBorder="1"/>
    <xf numFmtId="44" fontId="6" fillId="0" borderId="0" xfId="1" applyFont="1" applyBorder="1" applyAlignment="1"/>
    <xf numFmtId="0" fontId="11" fillId="0" borderId="0" xfId="0" applyFont="1" applyFill="1" applyBorder="1"/>
    <xf numFmtId="44" fontId="4" fillId="0" borderId="8" xfId="1" applyFont="1" applyBorder="1"/>
    <xf numFmtId="44" fontId="4" fillId="0" borderId="23" xfId="1" applyFont="1" applyBorder="1"/>
    <xf numFmtId="44" fontId="21" fillId="0" borderId="8" xfId="1" applyFont="1" applyBorder="1" applyAlignment="1"/>
    <xf numFmtId="44" fontId="6" fillId="0" borderId="0" xfId="1" applyFont="1" applyFill="1" applyBorder="1" applyAlignment="1"/>
    <xf numFmtId="16" fontId="6" fillId="0" borderId="9" xfId="0" applyNumberFormat="1" applyFont="1" applyFill="1" applyBorder="1"/>
    <xf numFmtId="164" fontId="6" fillId="17" borderId="29" xfId="0" applyNumberFormat="1" applyFont="1" applyFill="1" applyBorder="1" applyAlignment="1">
      <alignment horizontal="center"/>
    </xf>
    <xf numFmtId="0" fontId="11" fillId="17" borderId="29" xfId="0" applyFont="1" applyFill="1" applyBorder="1" applyAlignment="1">
      <alignment horizontal="center"/>
    </xf>
    <xf numFmtId="0" fontId="14" fillId="17" borderId="29" xfId="0" applyFont="1" applyFill="1" applyBorder="1" applyAlignment="1">
      <alignment horizontal="left" vertical="center" wrapText="1"/>
    </xf>
    <xf numFmtId="44" fontId="6" fillId="9" borderId="32" xfId="1" applyFont="1" applyFill="1" applyBorder="1" applyAlignment="1">
      <alignment horizontal="center"/>
    </xf>
    <xf numFmtId="44" fontId="6" fillId="0" borderId="43" xfId="1" applyFont="1" applyBorder="1" applyAlignment="1"/>
    <xf numFmtId="44" fontId="6" fillId="0" borderId="44" xfId="1" applyFont="1" applyBorder="1" applyAlignment="1"/>
    <xf numFmtId="165" fontId="6" fillId="6" borderId="8" xfId="0" applyNumberFormat="1" applyFont="1" applyFill="1" applyBorder="1"/>
    <xf numFmtId="164" fontId="6" fillId="6" borderId="33" xfId="1" applyNumberFormat="1" applyFont="1" applyFill="1" applyBorder="1" applyAlignment="1">
      <alignment horizontal="center"/>
    </xf>
    <xf numFmtId="44" fontId="31" fillId="12" borderId="29" xfId="1" applyFont="1" applyFill="1" applyBorder="1"/>
    <xf numFmtId="164" fontId="31" fillId="12" borderId="29" xfId="0" applyNumberFormat="1" applyFont="1" applyFill="1" applyBorder="1"/>
    <xf numFmtId="44" fontId="31" fillId="12" borderId="31" xfId="1" applyFont="1" applyFill="1" applyBorder="1"/>
    <xf numFmtId="164" fontId="31" fillId="12" borderId="31" xfId="0" applyNumberFormat="1" applyFont="1" applyFill="1" applyBorder="1"/>
    <xf numFmtId="44" fontId="30" fillId="12" borderId="29" xfId="1" applyFont="1" applyFill="1" applyBorder="1"/>
    <xf numFmtId="164" fontId="30" fillId="12" borderId="29" xfId="0" applyNumberFormat="1" applyFont="1" applyFill="1" applyBorder="1"/>
    <xf numFmtId="44" fontId="31" fillId="0" borderId="29" xfId="1" applyFont="1" applyFill="1" applyBorder="1"/>
    <xf numFmtId="16" fontId="12" fillId="0" borderId="29" xfId="1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1" fillId="0" borderId="29" xfId="0" applyNumberFormat="1" applyFont="1" applyFill="1" applyBorder="1"/>
    <xf numFmtId="44" fontId="31" fillId="0" borderId="31" xfId="1" applyFont="1" applyFill="1" applyBorder="1"/>
    <xf numFmtId="164" fontId="31" fillId="0" borderId="31" xfId="0" applyNumberFormat="1" applyFont="1" applyFill="1" applyBorder="1"/>
    <xf numFmtId="44" fontId="12" fillId="0" borderId="29" xfId="1" applyFont="1" applyFill="1" applyBorder="1"/>
    <xf numFmtId="0" fontId="16" fillId="0" borderId="9" xfId="0" applyFont="1" applyFill="1" applyBorder="1"/>
    <xf numFmtId="44" fontId="0" fillId="0" borderId="0" xfId="1" applyFont="1"/>
    <xf numFmtId="44" fontId="0" fillId="0" borderId="0" xfId="1" applyFont="1" applyFill="1"/>
    <xf numFmtId="16" fontId="12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44" fontId="0" fillId="4" borderId="0" xfId="1" applyFont="1" applyFill="1"/>
    <xf numFmtId="165" fontId="29" fillId="0" borderId="29" xfId="0" applyNumberFormat="1" applyFont="1" applyFill="1" applyBorder="1"/>
    <xf numFmtId="44" fontId="4" fillId="0" borderId="29" xfId="1" applyFont="1" applyFill="1" applyBorder="1"/>
    <xf numFmtId="164" fontId="6" fillId="0" borderId="29" xfId="0" applyNumberFormat="1" applyFont="1" applyFill="1" applyBorder="1"/>
    <xf numFmtId="164" fontId="0" fillId="0" borderId="29" xfId="0" applyNumberFormat="1" applyFill="1" applyBorder="1" applyAlignment="1">
      <alignment horizontal="center"/>
    </xf>
    <xf numFmtId="164" fontId="6" fillId="12" borderId="33" xfId="1" applyNumberFormat="1" applyFont="1" applyFill="1" applyBorder="1" applyAlignment="1">
      <alignment horizontal="center"/>
    </xf>
    <xf numFmtId="44" fontId="12" fillId="0" borderId="29" xfId="0" applyNumberFormat="1" applyFont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22" fillId="0" borderId="33" xfId="1" applyFont="1" applyBorder="1"/>
    <xf numFmtId="164" fontId="6" fillId="10" borderId="33" xfId="1" applyNumberFormat="1" applyFont="1" applyFill="1" applyBorder="1" applyAlignment="1">
      <alignment horizontal="center"/>
    </xf>
    <xf numFmtId="0" fontId="0" fillId="0" borderId="27" xfId="0" applyBorder="1"/>
    <xf numFmtId="44" fontId="6" fillId="0" borderId="27" xfId="1" applyFont="1" applyBorder="1"/>
    <xf numFmtId="0" fontId="12" fillId="0" borderId="27" xfId="0" applyFont="1" applyBorder="1"/>
    <xf numFmtId="44" fontId="12" fillId="0" borderId="27" xfId="1" applyFont="1" applyFill="1" applyBorder="1"/>
    <xf numFmtId="164" fontId="31" fillId="0" borderId="27" xfId="0" applyNumberFormat="1" applyFont="1" applyFill="1" applyBorder="1"/>
    <xf numFmtId="44" fontId="6" fillId="0" borderId="0" xfId="0" applyNumberFormat="1" applyFont="1"/>
    <xf numFmtId="164" fontId="17" fillId="12" borderId="0" xfId="0" applyNumberFormat="1" applyFont="1" applyFill="1" applyAlignment="1">
      <alignment horizontal="center"/>
    </xf>
    <xf numFmtId="44" fontId="6" fillId="12" borderId="0" xfId="1" applyFont="1" applyFill="1" applyBorder="1"/>
    <xf numFmtId="44" fontId="3" fillId="12" borderId="29" xfId="1" applyFont="1" applyFill="1" applyBorder="1"/>
    <xf numFmtId="44" fontId="4" fillId="3" borderId="0" xfId="1" applyFont="1" applyFill="1"/>
    <xf numFmtId="44" fontId="4" fillId="3" borderId="29" xfId="1" applyFont="1" applyFill="1" applyBorder="1"/>
    <xf numFmtId="0" fontId="6" fillId="9" borderId="0" xfId="0" applyFont="1" applyFill="1"/>
    <xf numFmtId="44" fontId="6" fillId="9" borderId="6" xfId="1" applyFont="1" applyFill="1" applyBorder="1"/>
    <xf numFmtId="165" fontId="20" fillId="0" borderId="32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2" fillId="0" borderId="0" xfId="0" applyFont="1" applyFill="1" applyAlignment="1"/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44" fontId="22" fillId="0" borderId="2" xfId="1" applyFont="1" applyBorder="1" applyAlignment="1">
      <alignment horizontal="center"/>
    </xf>
    <xf numFmtId="44" fontId="22" fillId="0" borderId="24" xfId="1" applyFont="1" applyBorder="1" applyAlignment="1">
      <alignment horizontal="center"/>
    </xf>
    <xf numFmtId="0" fontId="16" fillId="0" borderId="0" xfId="0" applyFont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2" borderId="3" xfId="1" applyFont="1" applyFill="1" applyBorder="1" applyAlignment="1">
      <alignment horizontal="center"/>
    </xf>
    <xf numFmtId="165" fontId="22" fillId="2" borderId="3" xfId="1" applyNumberFormat="1" applyFont="1" applyFill="1" applyBorder="1" applyAlignment="1">
      <alignment horizontal="center"/>
    </xf>
    <xf numFmtId="44" fontId="22" fillId="2" borderId="24" xfId="1" applyFont="1" applyFill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12" fillId="12" borderId="49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165" fontId="33" fillId="0" borderId="36" xfId="0" applyNumberFormat="1" applyFont="1" applyBorder="1" applyAlignment="1">
      <alignment horizontal="center"/>
    </xf>
    <xf numFmtId="165" fontId="33" fillId="0" borderId="37" xfId="0" applyNumberFormat="1" applyFont="1" applyBorder="1" applyAlignment="1">
      <alignment horizontal="center"/>
    </xf>
    <xf numFmtId="165" fontId="33" fillId="0" borderId="23" xfId="0" applyNumberFormat="1" applyFont="1" applyBorder="1" applyAlignment="1">
      <alignment horizontal="center"/>
    </xf>
    <xf numFmtId="165" fontId="33" fillId="0" borderId="1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166" fontId="20" fillId="0" borderId="39" xfId="0" applyNumberFormat="1" applyFont="1" applyBorder="1" applyAlignment="1">
      <alignment horizontal="center"/>
    </xf>
    <xf numFmtId="166" fontId="20" fillId="0" borderId="8" xfId="0" applyNumberFormat="1" applyFont="1" applyBorder="1" applyAlignment="1">
      <alignment horizontal="center"/>
    </xf>
    <xf numFmtId="0" fontId="17" fillId="6" borderId="9" xfId="0" applyFont="1" applyFill="1" applyBorder="1" applyAlignment="1">
      <alignment horizontal="center" wrapText="1"/>
    </xf>
    <xf numFmtId="0" fontId="14" fillId="16" borderId="0" xfId="0" applyFont="1" applyFill="1" applyAlignment="1">
      <alignment horizontal="center"/>
    </xf>
    <xf numFmtId="0" fontId="17" fillId="0" borderId="9" xfId="0" applyFont="1" applyFill="1" applyBorder="1" applyAlignment="1">
      <alignment horizontal="center" wrapText="1"/>
    </xf>
    <xf numFmtId="44" fontId="22" fillId="0" borderId="0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356" t="s">
        <v>30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93"/>
      <c r="K40" s="354">
        <f>I38+L38</f>
        <v>116066.88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369" t="s">
        <v>19</v>
      </c>
      <c r="E42" s="369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370" t="s">
        <v>22</v>
      </c>
      <c r="J44" s="371"/>
      <c r="K44" s="374">
        <f>F48+L46</f>
        <v>267583.73000000021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170511.25</v>
      </c>
      <c r="I46" s="379"/>
      <c r="J46" s="379"/>
      <c r="K46" s="380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361">
        <v>-48130.1</v>
      </c>
      <c r="L47" s="362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363"/>
      <c r="E49" s="363"/>
      <c r="F49" s="67"/>
      <c r="I49" s="364" t="s">
        <v>28</v>
      </c>
      <c r="J49" s="365"/>
      <c r="K49" s="366">
        <f>K44+K47</f>
        <v>219453.63000000021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9" workbookViewId="0">
      <selection activeCell="E28" sqref="E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>
        <v>42529</v>
      </c>
      <c r="E17" s="21">
        <v>63305.22</v>
      </c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>
        <v>42529</v>
      </c>
      <c r="E18" s="21">
        <v>42778.59</v>
      </c>
      <c r="F18" s="127">
        <f t="shared" si="0"/>
        <v>0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>
        <v>42529</v>
      </c>
      <c r="E19" s="21">
        <v>60736</v>
      </c>
      <c r="F19" s="127">
        <f t="shared" si="0"/>
        <v>0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>
        <v>42529</v>
      </c>
      <c r="E20" s="21">
        <v>15762</v>
      </c>
      <c r="F20" s="127">
        <f t="shared" si="0"/>
        <v>0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>
        <v>42529</v>
      </c>
      <c r="E21" s="21">
        <v>44201.06</v>
      </c>
      <c r="F21" s="127">
        <f t="shared" si="0"/>
        <v>0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>
        <v>42529</v>
      </c>
      <c r="E22" s="21">
        <v>32110</v>
      </c>
      <c r="F22" s="127">
        <f t="shared" si="0"/>
        <v>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>
        <v>42529</v>
      </c>
      <c r="E23" s="21">
        <v>32110</v>
      </c>
      <c r="F23" s="127">
        <f t="shared" si="0"/>
        <v>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>
        <v>42529</v>
      </c>
      <c r="E24" s="21">
        <v>14335.24</v>
      </c>
      <c r="F24" s="127">
        <f t="shared" si="0"/>
        <v>0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>
        <v>42529</v>
      </c>
      <c r="E25" s="21">
        <v>75509.759999999995</v>
      </c>
      <c r="F25" s="127">
        <f t="shared" si="0"/>
        <v>0</v>
      </c>
      <c r="G25" s="268">
        <v>42501</v>
      </c>
      <c r="H25" s="20" t="s">
        <v>385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>
        <v>42529</v>
      </c>
      <c r="E26" s="21">
        <v>29667</v>
      </c>
      <c r="F26" s="127">
        <f t="shared" si="0"/>
        <v>0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17">
        <v>42529</v>
      </c>
      <c r="E27" s="21">
        <v>30351.09</v>
      </c>
      <c r="F27" s="127">
        <f t="shared" si="0"/>
        <v>0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17">
        <v>42529</v>
      </c>
      <c r="E28" s="21">
        <v>43477.02</v>
      </c>
      <c r="F28" s="127">
        <f t="shared" si="0"/>
        <v>0</v>
      </c>
      <c r="G28" s="268">
        <v>42504</v>
      </c>
      <c r="H28" s="20" t="s">
        <v>386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386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386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1379270.5000000002</v>
      </c>
      <c r="F38" s="30">
        <f>SUM(F3:F37)</f>
        <v>0</v>
      </c>
      <c r="G38" s="268">
        <v>42518</v>
      </c>
      <c r="H38" t="s">
        <v>387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290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25" workbookViewId="0">
      <selection activeCell="N44" sqref="N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56" t="s">
        <v>371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42522</v>
      </c>
      <c r="C5" s="16">
        <v>43871.24</v>
      </c>
      <c r="D5" s="17" t="s">
        <v>391</v>
      </c>
      <c r="E5" s="18">
        <v>42522</v>
      </c>
      <c r="F5" s="19">
        <v>41796.129999999997</v>
      </c>
      <c r="G5" s="20"/>
      <c r="H5" s="186">
        <v>42522</v>
      </c>
      <c r="I5" s="187">
        <v>500</v>
      </c>
      <c r="J5" s="176"/>
      <c r="K5" s="188"/>
      <c r="L5" s="189"/>
      <c r="M5" s="190">
        <v>21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>
        <v>36801</v>
      </c>
      <c r="D6" s="22" t="s">
        <v>393</v>
      </c>
      <c r="E6" s="18">
        <v>42523</v>
      </c>
      <c r="F6" s="19">
        <v>37674.639999999999</v>
      </c>
      <c r="G6" s="23"/>
      <c r="H6" s="24">
        <v>42523</v>
      </c>
      <c r="I6" s="25">
        <v>0</v>
      </c>
      <c r="J6" s="26"/>
      <c r="K6" s="27" t="s">
        <v>7</v>
      </c>
      <c r="L6" s="28">
        <f>1075+495</f>
        <v>1570</v>
      </c>
      <c r="M6" s="33">
        <v>186</v>
      </c>
      <c r="N6" s="30"/>
      <c r="O6" s="20"/>
      <c r="P6" s="20"/>
      <c r="Q6" s="20"/>
    </row>
    <row r="7" spans="1:19" x14ac:dyDescent="0.25">
      <c r="A7" s="14"/>
      <c r="B7" s="15">
        <v>42524</v>
      </c>
      <c r="C7" s="16">
        <v>52010</v>
      </c>
      <c r="D7" s="17" t="s">
        <v>395</v>
      </c>
      <c r="E7" s="18">
        <v>42524</v>
      </c>
      <c r="F7" s="19">
        <v>54421.440000000002</v>
      </c>
      <c r="G7" s="20"/>
      <c r="H7" s="24">
        <v>42524</v>
      </c>
      <c r="I7" s="25">
        <v>56</v>
      </c>
      <c r="J7" s="26"/>
      <c r="K7" s="31" t="s">
        <v>8</v>
      </c>
      <c r="L7" s="28">
        <v>14472</v>
      </c>
      <c r="M7" s="33">
        <v>265.5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>
        <v>79737.09</v>
      </c>
      <c r="D8" s="17" t="s">
        <v>396</v>
      </c>
      <c r="E8" s="18">
        <v>42525</v>
      </c>
      <c r="F8" s="19">
        <v>75239.42</v>
      </c>
      <c r="G8" s="20"/>
      <c r="H8" s="24">
        <v>42525</v>
      </c>
      <c r="I8" s="25">
        <v>207.4</v>
      </c>
      <c r="J8" s="26"/>
      <c r="K8" s="27" t="s">
        <v>10</v>
      </c>
      <c r="L8" s="32">
        <v>28750</v>
      </c>
      <c r="M8" s="33">
        <v>36.5</v>
      </c>
      <c r="N8" s="21"/>
      <c r="O8" s="20"/>
      <c r="P8" s="20"/>
      <c r="Q8" s="20"/>
    </row>
    <row r="9" spans="1:19" x14ac:dyDescent="0.25">
      <c r="A9" s="14"/>
      <c r="B9" s="15">
        <v>42526</v>
      </c>
      <c r="C9" s="16">
        <v>42002.52</v>
      </c>
      <c r="D9" s="17" t="s">
        <v>401</v>
      </c>
      <c r="E9" s="18">
        <v>42526</v>
      </c>
      <c r="F9" s="19">
        <v>44921.54</v>
      </c>
      <c r="G9" s="20"/>
      <c r="H9" s="24">
        <v>42526</v>
      </c>
      <c r="I9" s="25">
        <v>520</v>
      </c>
      <c r="J9" s="35"/>
      <c r="K9" s="27" t="s">
        <v>397</v>
      </c>
      <c r="L9" s="19">
        <v>11150</v>
      </c>
      <c r="M9" s="33">
        <v>85</v>
      </c>
      <c r="N9" s="21"/>
      <c r="O9" s="37"/>
      <c r="P9" s="20"/>
      <c r="Q9" s="20"/>
    </row>
    <row r="10" spans="1:19" x14ac:dyDescent="0.25">
      <c r="A10" s="14"/>
      <c r="B10" s="15">
        <v>42527</v>
      </c>
      <c r="C10" s="16">
        <v>46591</v>
      </c>
      <c r="D10" s="22" t="s">
        <v>408</v>
      </c>
      <c r="E10" s="18">
        <v>42527</v>
      </c>
      <c r="F10" s="19">
        <v>46653.52</v>
      </c>
      <c r="G10" s="20"/>
      <c r="H10" s="24">
        <v>42527</v>
      </c>
      <c r="I10" s="25">
        <v>0</v>
      </c>
      <c r="J10" s="35"/>
      <c r="K10" s="27" t="s">
        <v>398</v>
      </c>
      <c r="L10" s="19">
        <v>10921.42</v>
      </c>
      <c r="M10" s="33">
        <v>62.5</v>
      </c>
      <c r="N10" s="21"/>
      <c r="O10" s="20"/>
      <c r="P10" s="20"/>
      <c r="Q10" s="20"/>
    </row>
    <row r="11" spans="1:19" x14ac:dyDescent="0.25">
      <c r="A11" s="14"/>
      <c r="B11" s="15">
        <v>42528</v>
      </c>
      <c r="C11" s="16">
        <v>33672.400000000001</v>
      </c>
      <c r="D11" s="34" t="s">
        <v>409</v>
      </c>
      <c r="E11" s="18">
        <v>42528</v>
      </c>
      <c r="F11" s="19">
        <v>34301.71</v>
      </c>
      <c r="G11" s="20"/>
      <c r="H11" s="24">
        <v>42528</v>
      </c>
      <c r="I11" s="25">
        <v>0</v>
      </c>
      <c r="J11" s="35"/>
      <c r="K11" s="27" t="s">
        <v>399</v>
      </c>
      <c r="L11" s="19">
        <v>10616.4</v>
      </c>
      <c r="M11" s="33">
        <v>927</v>
      </c>
      <c r="N11" s="36"/>
      <c r="O11" s="20"/>
      <c r="P11" s="20"/>
      <c r="Q11" s="20"/>
    </row>
    <row r="12" spans="1:19" x14ac:dyDescent="0.25">
      <c r="A12" s="14"/>
      <c r="B12" s="15">
        <v>42529</v>
      </c>
      <c r="C12" s="16">
        <v>31352.46</v>
      </c>
      <c r="D12" s="17" t="s">
        <v>410</v>
      </c>
      <c r="E12" s="18">
        <v>42529</v>
      </c>
      <c r="F12" s="19">
        <v>32363.57</v>
      </c>
      <c r="G12" s="20"/>
      <c r="H12" s="24">
        <v>42529</v>
      </c>
      <c r="I12" s="25">
        <v>968.7</v>
      </c>
      <c r="J12" s="35"/>
      <c r="K12" s="27" t="s">
        <v>400</v>
      </c>
      <c r="L12" s="19">
        <v>0</v>
      </c>
      <c r="M12" s="33">
        <v>41</v>
      </c>
      <c r="N12" s="21"/>
      <c r="O12" s="37"/>
      <c r="P12" s="38"/>
      <c r="Q12" s="20"/>
    </row>
    <row r="13" spans="1:19" x14ac:dyDescent="0.25">
      <c r="A13" s="14"/>
      <c r="B13" s="15">
        <v>42530</v>
      </c>
      <c r="C13" s="16">
        <v>37615.5</v>
      </c>
      <c r="D13" s="34" t="s">
        <v>410</v>
      </c>
      <c r="E13" s="18">
        <v>42530</v>
      </c>
      <c r="F13" s="19">
        <v>37615.379999999997</v>
      </c>
      <c r="G13" s="20"/>
      <c r="H13" s="24">
        <v>42530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1"/>
      <c r="O13" s="20"/>
      <c r="P13" s="20"/>
      <c r="Q13" s="20"/>
    </row>
    <row r="14" spans="1:19" x14ac:dyDescent="0.25">
      <c r="A14" s="14"/>
      <c r="B14" s="15">
        <v>42531</v>
      </c>
      <c r="C14" s="16">
        <v>51618.57</v>
      </c>
      <c r="D14" s="17" t="s">
        <v>412</v>
      </c>
      <c r="E14" s="18">
        <v>42531</v>
      </c>
      <c r="F14" s="19">
        <v>54373.47</v>
      </c>
      <c r="G14" s="20"/>
      <c r="H14" s="24">
        <v>42531</v>
      </c>
      <c r="I14" s="25">
        <v>0</v>
      </c>
      <c r="J14" s="35"/>
      <c r="K14" s="40" t="s">
        <v>264</v>
      </c>
      <c r="L14" s="19">
        <v>1982.14</v>
      </c>
      <c r="M14" s="33">
        <v>255</v>
      </c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>
        <v>73386.100000000006</v>
      </c>
      <c r="D15" s="17" t="s">
        <v>413</v>
      </c>
      <c r="E15" s="18">
        <v>42532</v>
      </c>
      <c r="F15" s="19">
        <v>73699.820000000007</v>
      </c>
      <c r="G15" s="20"/>
      <c r="H15" s="24">
        <v>42532</v>
      </c>
      <c r="I15" s="25">
        <v>0</v>
      </c>
      <c r="J15" s="35"/>
      <c r="K15" s="226" t="s">
        <v>11</v>
      </c>
      <c r="L15" s="19">
        <v>0</v>
      </c>
      <c r="M15" s="33">
        <v>314</v>
      </c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>
        <v>57000</v>
      </c>
      <c r="D16" s="17" t="s">
        <v>414</v>
      </c>
      <c r="E16" s="18">
        <v>42533</v>
      </c>
      <c r="F16" s="19">
        <v>64500.11</v>
      </c>
      <c r="G16" s="20"/>
      <c r="H16" s="24">
        <v>42533</v>
      </c>
      <c r="I16" s="25">
        <v>300</v>
      </c>
      <c r="J16" s="35"/>
      <c r="K16" s="251"/>
      <c r="L16" s="42">
        <v>0</v>
      </c>
      <c r="M16" s="33">
        <v>378.5</v>
      </c>
      <c r="N16" s="30"/>
      <c r="O16" s="20"/>
      <c r="P16" s="20"/>
      <c r="Q16" s="20"/>
    </row>
    <row r="17" spans="1:18" x14ac:dyDescent="0.25">
      <c r="A17" s="14"/>
      <c r="B17" s="15">
        <v>42534</v>
      </c>
      <c r="C17" s="16">
        <v>31655.24</v>
      </c>
      <c r="D17" s="17" t="s">
        <v>415</v>
      </c>
      <c r="E17" s="18">
        <v>42534</v>
      </c>
      <c r="F17" s="19">
        <v>32558.81</v>
      </c>
      <c r="G17" s="20"/>
      <c r="H17" s="24">
        <v>42534</v>
      </c>
      <c r="I17" s="25">
        <v>100</v>
      </c>
      <c r="J17" s="35"/>
      <c r="K17" s="265" t="s">
        <v>335</v>
      </c>
      <c r="L17" s="19">
        <v>0</v>
      </c>
      <c r="M17" s="33">
        <v>803.5</v>
      </c>
      <c r="N17" s="30"/>
      <c r="O17" s="20"/>
      <c r="P17" s="20"/>
      <c r="Q17" s="20"/>
    </row>
    <row r="18" spans="1:18" x14ac:dyDescent="0.25">
      <c r="A18" s="14"/>
      <c r="B18" s="15">
        <v>42535</v>
      </c>
      <c r="C18" s="16">
        <v>23072</v>
      </c>
      <c r="D18" s="17" t="s">
        <v>435</v>
      </c>
      <c r="E18" s="18">
        <v>42535</v>
      </c>
      <c r="F18" s="19">
        <v>27241.19</v>
      </c>
      <c r="G18" s="20"/>
      <c r="H18" s="24">
        <v>42535</v>
      </c>
      <c r="I18" s="25">
        <v>140</v>
      </c>
      <c r="J18" s="35"/>
      <c r="K18" s="283"/>
      <c r="L18" s="19">
        <v>0</v>
      </c>
      <c r="M18" s="33">
        <v>229</v>
      </c>
      <c r="N18" s="21"/>
      <c r="O18" s="37"/>
      <c r="P18" s="20"/>
      <c r="Q18" s="20"/>
    </row>
    <row r="19" spans="1:18" x14ac:dyDescent="0.25">
      <c r="A19" s="14"/>
      <c r="B19" s="15">
        <v>42536</v>
      </c>
      <c r="C19" s="16">
        <v>35980</v>
      </c>
      <c r="D19" s="34" t="s">
        <v>436</v>
      </c>
      <c r="E19" s="18">
        <v>42536</v>
      </c>
      <c r="F19" s="19">
        <v>37570.65</v>
      </c>
      <c r="G19" s="20"/>
      <c r="H19" s="24">
        <v>42536</v>
      </c>
      <c r="I19" s="25">
        <v>720</v>
      </c>
      <c r="J19" s="35"/>
      <c r="K19" s="43"/>
      <c r="L19" s="44">
        <v>0</v>
      </c>
      <c r="M19" s="33">
        <v>275.5</v>
      </c>
      <c r="N19" s="21"/>
      <c r="O19" s="20"/>
      <c r="P19" s="20"/>
      <c r="Q19" s="20"/>
    </row>
    <row r="20" spans="1:18" x14ac:dyDescent="0.25">
      <c r="A20" s="14"/>
      <c r="B20" s="15">
        <v>42537</v>
      </c>
      <c r="C20" s="16">
        <v>56342.400000000001</v>
      </c>
      <c r="D20" s="22" t="s">
        <v>433</v>
      </c>
      <c r="E20" s="18">
        <v>42537</v>
      </c>
      <c r="F20" s="19">
        <v>56825.75</v>
      </c>
      <c r="G20" s="20"/>
      <c r="H20" s="24">
        <v>42537</v>
      </c>
      <c r="I20" s="45">
        <v>350</v>
      </c>
      <c r="J20" s="35"/>
      <c r="K20" s="46" t="s">
        <v>14</v>
      </c>
      <c r="L20" s="42">
        <v>0</v>
      </c>
      <c r="M20" s="33">
        <v>133</v>
      </c>
      <c r="N20" s="21"/>
      <c r="O20" s="20"/>
      <c r="P20" s="20"/>
      <c r="Q20" s="20"/>
    </row>
    <row r="21" spans="1:18" x14ac:dyDescent="0.25">
      <c r="A21" s="14"/>
      <c r="B21" s="15">
        <v>42538</v>
      </c>
      <c r="C21" s="16">
        <v>80080.62</v>
      </c>
      <c r="D21" s="17" t="s">
        <v>437</v>
      </c>
      <c r="E21" s="18">
        <v>42538</v>
      </c>
      <c r="F21" s="19">
        <v>80377.789999999994</v>
      </c>
      <c r="G21" s="20"/>
      <c r="H21" s="24">
        <v>42538</v>
      </c>
      <c r="I21" s="45">
        <v>173.4</v>
      </c>
      <c r="J21" s="35"/>
      <c r="K21" s="47" t="s">
        <v>15</v>
      </c>
      <c r="L21" s="42">
        <v>0</v>
      </c>
      <c r="M21" s="33">
        <v>123</v>
      </c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>
        <v>65993.5</v>
      </c>
      <c r="D22" s="17" t="s">
        <v>438</v>
      </c>
      <c r="E22" s="18">
        <v>42539</v>
      </c>
      <c r="F22" s="19">
        <v>66524.27</v>
      </c>
      <c r="G22" s="20"/>
      <c r="H22" s="24">
        <v>42539</v>
      </c>
      <c r="I22" s="45">
        <v>400</v>
      </c>
      <c r="J22" s="48"/>
      <c r="K22" s="49" t="s">
        <v>29</v>
      </c>
      <c r="L22" s="42">
        <v>800</v>
      </c>
      <c r="M22" s="33">
        <v>131</v>
      </c>
      <c r="N22" s="30"/>
      <c r="O22" s="20"/>
      <c r="P22" s="20"/>
      <c r="Q22" s="20"/>
    </row>
    <row r="23" spans="1:18" x14ac:dyDescent="0.25">
      <c r="A23" s="14"/>
      <c r="B23" s="15">
        <v>42540</v>
      </c>
      <c r="C23" s="16">
        <v>58400</v>
      </c>
      <c r="D23" s="259" t="s">
        <v>439</v>
      </c>
      <c r="E23" s="18">
        <v>42540</v>
      </c>
      <c r="F23" s="19">
        <v>64938.65</v>
      </c>
      <c r="G23" s="20"/>
      <c r="H23" s="24">
        <v>42540</v>
      </c>
      <c r="I23" s="45">
        <v>0</v>
      </c>
      <c r="J23" s="26"/>
      <c r="K23" s="50">
        <v>42535</v>
      </c>
      <c r="L23" s="42">
        <v>0</v>
      </c>
      <c r="M23" s="33">
        <v>22</v>
      </c>
      <c r="N23" s="30"/>
      <c r="O23" s="20"/>
      <c r="P23" s="20"/>
      <c r="Q23" s="20"/>
    </row>
    <row r="24" spans="1:18" x14ac:dyDescent="0.25">
      <c r="A24" s="14"/>
      <c r="B24" s="15">
        <v>42541</v>
      </c>
      <c r="C24" s="16">
        <v>27226.5</v>
      </c>
      <c r="D24" s="17" t="s">
        <v>442</v>
      </c>
      <c r="E24" s="18">
        <v>42541</v>
      </c>
      <c r="F24" s="19">
        <v>27853.24</v>
      </c>
      <c r="G24" s="20"/>
      <c r="H24" s="24">
        <v>42541</v>
      </c>
      <c r="I24" s="45">
        <v>555</v>
      </c>
      <c r="J24" s="35"/>
      <c r="K24" s="51" t="s">
        <v>270</v>
      </c>
      <c r="L24" s="42">
        <v>0</v>
      </c>
      <c r="M24" s="33">
        <v>72</v>
      </c>
      <c r="N24" s="30"/>
      <c r="O24" s="20"/>
      <c r="P24" s="20"/>
      <c r="Q24" s="20"/>
    </row>
    <row r="25" spans="1:18" x14ac:dyDescent="0.25">
      <c r="A25" s="14"/>
      <c r="B25" s="15">
        <v>42542</v>
      </c>
      <c r="C25" s="16">
        <v>29914.22</v>
      </c>
      <c r="D25" s="259" t="s">
        <v>443</v>
      </c>
      <c r="E25" s="18">
        <v>42542</v>
      </c>
      <c r="F25" s="19">
        <v>30230.86</v>
      </c>
      <c r="G25" s="20"/>
      <c r="H25" s="24">
        <v>42542</v>
      </c>
      <c r="I25" s="45">
        <v>100</v>
      </c>
      <c r="J25" s="26"/>
      <c r="K25" s="50"/>
      <c r="L25" s="42">
        <v>0</v>
      </c>
      <c r="M25" s="33">
        <v>216</v>
      </c>
      <c r="N25" s="21"/>
      <c r="O25" s="20"/>
      <c r="P25" s="20"/>
      <c r="Q25" s="20"/>
    </row>
    <row r="26" spans="1:18" x14ac:dyDescent="0.25">
      <c r="A26" s="14"/>
      <c r="B26" s="15">
        <v>42543</v>
      </c>
      <c r="C26" s="16">
        <v>43312.25</v>
      </c>
      <c r="D26" s="17" t="s">
        <v>444</v>
      </c>
      <c r="E26" s="18">
        <v>42543</v>
      </c>
      <c r="F26" s="19">
        <v>44254.84</v>
      </c>
      <c r="G26" s="20"/>
      <c r="H26" s="24">
        <v>42543</v>
      </c>
      <c r="I26" s="45">
        <v>531.12</v>
      </c>
      <c r="J26" s="52"/>
      <c r="K26" s="50"/>
      <c r="L26" s="42">
        <v>0</v>
      </c>
      <c r="M26" s="33">
        <v>411.5</v>
      </c>
      <c r="N26" s="21"/>
      <c r="O26" s="37"/>
      <c r="P26" s="38"/>
      <c r="Q26" s="20"/>
    </row>
    <row r="27" spans="1:18" x14ac:dyDescent="0.25">
      <c r="A27" s="14"/>
      <c r="B27" s="15">
        <v>42544</v>
      </c>
      <c r="C27" s="16">
        <v>31005.5</v>
      </c>
      <c r="D27" s="17" t="s">
        <v>471</v>
      </c>
      <c r="E27" s="18">
        <v>42544</v>
      </c>
      <c r="F27" s="19">
        <v>31105.63</v>
      </c>
      <c r="G27" s="20"/>
      <c r="H27" s="24">
        <v>42544</v>
      </c>
      <c r="I27" s="45">
        <v>100</v>
      </c>
      <c r="J27" s="26"/>
      <c r="K27" s="53" t="s">
        <v>394</v>
      </c>
      <c r="L27" s="42">
        <v>2500</v>
      </c>
      <c r="M27" s="33">
        <v>0</v>
      </c>
      <c r="N27" s="21"/>
      <c r="O27" s="20"/>
      <c r="P27" s="20"/>
      <c r="Q27" s="20"/>
    </row>
    <row r="28" spans="1:18" x14ac:dyDescent="0.25">
      <c r="A28" s="14"/>
      <c r="B28" s="15">
        <v>42545</v>
      </c>
      <c r="C28" s="16">
        <v>56330.3</v>
      </c>
      <c r="D28" s="17" t="s">
        <v>472</v>
      </c>
      <c r="E28" s="18">
        <v>42545</v>
      </c>
      <c r="F28" s="19">
        <v>69637.33</v>
      </c>
      <c r="G28" s="20"/>
      <c r="H28" s="24">
        <v>42545</v>
      </c>
      <c r="I28" s="45">
        <v>0</v>
      </c>
      <c r="J28" s="26"/>
      <c r="K28" s="298" t="s">
        <v>411</v>
      </c>
      <c r="L28" s="42">
        <v>2500</v>
      </c>
      <c r="M28" s="33">
        <v>307</v>
      </c>
      <c r="N28" s="21"/>
      <c r="O28" s="20"/>
      <c r="P28" s="20"/>
      <c r="Q28" s="20"/>
    </row>
    <row r="29" spans="1:18" x14ac:dyDescent="0.25">
      <c r="A29" s="14"/>
      <c r="B29" s="15">
        <v>42546</v>
      </c>
      <c r="C29" s="16">
        <v>62600</v>
      </c>
      <c r="D29" s="17" t="s">
        <v>474</v>
      </c>
      <c r="E29" s="18">
        <v>42546</v>
      </c>
      <c r="F29" s="19">
        <v>67176.960000000006</v>
      </c>
      <c r="G29" s="20"/>
      <c r="H29" s="24">
        <v>42546</v>
      </c>
      <c r="I29" s="45">
        <v>100</v>
      </c>
      <c r="J29" s="26"/>
      <c r="K29" s="53" t="s">
        <v>478</v>
      </c>
      <c r="L29" s="56">
        <v>3000</v>
      </c>
      <c r="M29" s="33">
        <v>453</v>
      </c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>
        <v>321189</v>
      </c>
      <c r="D30" s="17" t="s">
        <v>475</v>
      </c>
      <c r="E30" s="18">
        <v>42547</v>
      </c>
      <c r="F30" s="19">
        <v>40277.980000000003</v>
      </c>
      <c r="G30" s="20"/>
      <c r="H30" s="24">
        <v>42547</v>
      </c>
      <c r="I30" s="45">
        <v>695</v>
      </c>
      <c r="J30" s="52"/>
      <c r="K30" s="298" t="s">
        <v>373</v>
      </c>
      <c r="L30" s="56">
        <v>0</v>
      </c>
      <c r="M30" s="33">
        <v>414</v>
      </c>
      <c r="N30" s="30"/>
      <c r="O30" s="20"/>
      <c r="P30" s="20"/>
      <c r="Q30" s="20"/>
    </row>
    <row r="31" spans="1:18" x14ac:dyDescent="0.25">
      <c r="A31" s="14"/>
      <c r="B31" s="15">
        <v>42548</v>
      </c>
      <c r="C31" s="16">
        <v>34504</v>
      </c>
      <c r="D31" s="17" t="s">
        <v>476</v>
      </c>
      <c r="E31" s="18">
        <v>42548</v>
      </c>
      <c r="F31" s="19">
        <v>35283.199999999997</v>
      </c>
      <c r="G31" s="20"/>
      <c r="H31" s="24">
        <v>42548</v>
      </c>
      <c r="I31" s="45">
        <v>684</v>
      </c>
      <c r="J31" s="35"/>
      <c r="K31" s="322" t="s">
        <v>473</v>
      </c>
      <c r="L31" s="303">
        <v>13000</v>
      </c>
      <c r="M31" s="33">
        <v>95</v>
      </c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>
        <v>31312.68</v>
      </c>
      <c r="D32" s="17" t="s">
        <v>477</v>
      </c>
      <c r="E32" s="18">
        <v>42549</v>
      </c>
      <c r="F32" s="19">
        <v>31627.1</v>
      </c>
      <c r="G32" s="20"/>
      <c r="H32" s="24">
        <v>42549</v>
      </c>
      <c r="I32" s="45">
        <v>0</v>
      </c>
      <c r="J32" s="26"/>
      <c r="K32" s="53"/>
      <c r="L32" s="304"/>
      <c r="M32" s="33">
        <v>314</v>
      </c>
      <c r="N32" s="30"/>
      <c r="O32" s="20"/>
      <c r="P32" s="20"/>
      <c r="Q32" s="20"/>
    </row>
    <row r="33" spans="1:17" x14ac:dyDescent="0.25">
      <c r="A33" s="14"/>
      <c r="B33" s="15">
        <v>42550</v>
      </c>
      <c r="C33" s="16">
        <v>25976</v>
      </c>
      <c r="D33" s="34" t="s">
        <v>479</v>
      </c>
      <c r="E33" s="18">
        <v>42550</v>
      </c>
      <c r="F33" s="19">
        <v>29075.41</v>
      </c>
      <c r="G33" s="20"/>
      <c r="H33" s="24">
        <v>42550</v>
      </c>
      <c r="I33" s="45">
        <v>100</v>
      </c>
      <c r="J33" s="26"/>
      <c r="K33" s="293"/>
      <c r="L33" s="383">
        <v>0</v>
      </c>
      <c r="M33" s="33">
        <v>0</v>
      </c>
      <c r="N33" s="21"/>
      <c r="O33" s="20"/>
      <c r="P33" s="20"/>
      <c r="Q33" s="20"/>
    </row>
    <row r="34" spans="1:17" x14ac:dyDescent="0.25">
      <c r="A34" s="14"/>
      <c r="B34" s="15">
        <v>42551</v>
      </c>
      <c r="C34" s="16">
        <v>29000</v>
      </c>
      <c r="D34" s="17" t="s">
        <v>479</v>
      </c>
      <c r="E34" s="18">
        <v>42551</v>
      </c>
      <c r="F34" s="19">
        <v>29705.29</v>
      </c>
      <c r="G34" s="20"/>
      <c r="H34" s="24">
        <v>42551</v>
      </c>
      <c r="I34" s="45">
        <v>0</v>
      </c>
      <c r="J34" s="26"/>
      <c r="K34" s="293"/>
      <c r="L34" s="384"/>
      <c r="M34" s="33">
        <v>354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385" t="s">
        <v>434</v>
      </c>
      <c r="L35" s="305">
        <v>3000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85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6925.5</v>
      </c>
    </row>
    <row r="38" spans="1:17" x14ac:dyDescent="0.25">
      <c r="B38" s="82" t="s">
        <v>16</v>
      </c>
      <c r="C38" s="83">
        <f>SUM(C5:C37)</f>
        <v>1629552.0899999999</v>
      </c>
      <c r="E38" s="287" t="s">
        <v>16</v>
      </c>
      <c r="F38" s="85">
        <f>SUM(F5:F37)</f>
        <v>1399825.7000000002</v>
      </c>
      <c r="H38" s="5" t="s">
        <v>16</v>
      </c>
      <c r="I38" s="86">
        <f>SUM(I5:I37)</f>
        <v>7300.62</v>
      </c>
      <c r="J38" s="86"/>
      <c r="K38" s="87" t="s">
        <v>16</v>
      </c>
      <c r="L38" s="88">
        <f>SUM(L5:L37)</f>
        <v>104261.95999999999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289"/>
      <c r="K40" s="354">
        <f>I38+L38</f>
        <v>111562.57999999999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1288263.1200000001</v>
      </c>
      <c r="I41" s="96"/>
      <c r="J41" s="96"/>
    </row>
    <row r="42" spans="1:17" ht="15.75" x14ac:dyDescent="0.25">
      <c r="D42" s="369" t="s">
        <v>193</v>
      </c>
      <c r="E42" s="369"/>
      <c r="F42" s="95">
        <v>-1350107.49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-61844.369999999879</v>
      </c>
      <c r="I44" s="370" t="s">
        <v>22</v>
      </c>
      <c r="J44" s="371"/>
      <c r="K44" s="374">
        <f>F48+L46</f>
        <v>174557.56000000011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24875.96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211525.97</v>
      </c>
      <c r="I46" s="379"/>
      <c r="J46" s="379"/>
      <c r="K46" s="380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361">
        <v>0</v>
      </c>
      <c r="L47" s="362"/>
      <c r="M47" s="152">
        <v>231465.08</v>
      </c>
    </row>
    <row r="48" spans="1:17" ht="17.25" thickTop="1" thickBot="1" x14ac:dyDescent="0.3">
      <c r="E48" s="106" t="s">
        <v>27</v>
      </c>
      <c r="F48" s="107">
        <f>F44+F45+F46</f>
        <v>174557.56000000011</v>
      </c>
    </row>
    <row r="49" spans="2:14" ht="19.5" thickBot="1" x14ac:dyDescent="0.35">
      <c r="B49"/>
      <c r="C49"/>
      <c r="D49" s="363"/>
      <c r="E49" s="363"/>
      <c r="F49" s="67"/>
      <c r="I49" s="364" t="s">
        <v>390</v>
      </c>
      <c r="J49" s="365"/>
      <c r="K49" s="366">
        <f>K44+K47</f>
        <v>174557.56000000011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63"/>
  <sheetViews>
    <sheetView topLeftCell="A13" workbookViewId="0">
      <selection activeCell="E36" sqref="E3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1.42578125" style="323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  <col min="20" max="20" width="12.5703125" bestFit="1" customWidth="1"/>
    <col min="22" max="22" width="15.7109375" customWidth="1"/>
    <col min="25" max="25" width="15.28515625" customWidth="1"/>
  </cols>
  <sheetData>
    <row r="1" spans="1:26" ht="23.25" thickBot="1" x14ac:dyDescent="0.35">
      <c r="B1" s="109" t="s">
        <v>375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86" t="s">
        <v>418</v>
      </c>
      <c r="K1" s="386"/>
      <c r="M1" s="146" t="s">
        <v>46</v>
      </c>
      <c r="N1" s="147"/>
      <c r="O1" s="148"/>
      <c r="P1" s="231">
        <v>42529</v>
      </c>
      <c r="Q1" s="150"/>
      <c r="V1" s="146" t="s">
        <v>46</v>
      </c>
      <c r="W1" s="147"/>
      <c r="X1" s="148"/>
      <c r="Y1" s="306">
        <v>42551</v>
      </c>
      <c r="Z1" s="150"/>
    </row>
    <row r="2" spans="1:26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  <c r="U2" s="151"/>
      <c r="V2" s="152"/>
      <c r="W2" s="151"/>
      <c r="X2" s="153"/>
      <c r="Y2" s="152"/>
      <c r="Z2" s="154"/>
    </row>
    <row r="3" spans="1:26" ht="15.75" x14ac:dyDescent="0.25">
      <c r="A3" s="115">
        <v>42523</v>
      </c>
      <c r="B3" s="123" t="s">
        <v>377</v>
      </c>
      <c r="C3" s="26">
        <v>15146.6</v>
      </c>
      <c r="D3" s="117">
        <v>42536</v>
      </c>
      <c r="E3" s="21">
        <v>15146.6</v>
      </c>
      <c r="F3" s="118">
        <f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  <c r="U3" s="155" t="s">
        <v>47</v>
      </c>
      <c r="V3" s="152" t="s">
        <v>48</v>
      </c>
      <c r="W3" s="151"/>
      <c r="X3" s="153" t="s">
        <v>49</v>
      </c>
      <c r="Y3" s="152" t="s">
        <v>50</v>
      </c>
      <c r="Z3" s="154"/>
    </row>
    <row r="4" spans="1:26" ht="15.75" x14ac:dyDescent="0.25">
      <c r="A4" s="119">
        <v>42523</v>
      </c>
      <c r="B4" s="123" t="s">
        <v>376</v>
      </c>
      <c r="C4" s="21">
        <v>31812</v>
      </c>
      <c r="D4" s="117" t="s">
        <v>420</v>
      </c>
      <c r="E4" s="21">
        <f>18219.52+13592.48</f>
        <v>31812</v>
      </c>
      <c r="F4" s="122">
        <f>C4-E4</f>
        <v>0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  <c r="T4" s="30">
        <v>10600</v>
      </c>
      <c r="U4" s="123" t="s">
        <v>428</v>
      </c>
      <c r="V4" s="21">
        <v>10600</v>
      </c>
      <c r="W4" s="156" t="s">
        <v>51</v>
      </c>
      <c r="X4" s="157">
        <v>3280946</v>
      </c>
      <c r="Y4" s="158">
        <v>29614</v>
      </c>
      <c r="Z4" s="159">
        <v>42542</v>
      </c>
    </row>
    <row r="5" spans="1:26" ht="15.75" x14ac:dyDescent="0.25">
      <c r="A5" s="124">
        <v>42524</v>
      </c>
      <c r="B5" s="123" t="s">
        <v>378</v>
      </c>
      <c r="C5" s="26">
        <v>50844.4</v>
      </c>
      <c r="D5" s="117">
        <v>42536</v>
      </c>
      <c r="E5" s="21">
        <v>50844.4</v>
      </c>
      <c r="F5" s="122">
        <f>C5-E5</f>
        <v>0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  <c r="T5" s="30">
        <f>6436.32+11539</f>
        <v>17975.32</v>
      </c>
      <c r="U5" s="123" t="s">
        <v>429</v>
      </c>
      <c r="V5" s="21">
        <v>17967.419999999998</v>
      </c>
      <c r="W5" s="156" t="s">
        <v>51</v>
      </c>
      <c r="X5" s="157" t="s">
        <v>52</v>
      </c>
      <c r="Y5" s="158">
        <v>31005.5</v>
      </c>
      <c r="Z5" s="159">
        <v>42545</v>
      </c>
    </row>
    <row r="6" spans="1:26" ht="15.75" x14ac:dyDescent="0.25">
      <c r="A6" s="119">
        <v>42525</v>
      </c>
      <c r="B6" s="123" t="s">
        <v>379</v>
      </c>
      <c r="C6" s="21">
        <v>70652.460000000006</v>
      </c>
      <c r="D6" s="117" t="s">
        <v>445</v>
      </c>
      <c r="E6" s="21">
        <f>70559.13+93.33</f>
        <v>70652.460000000006</v>
      </c>
      <c r="F6" s="122">
        <f>C6-E6</f>
        <v>0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  <c r="T6" s="30">
        <f>19466.5+4554.3</f>
        <v>24020.799999999999</v>
      </c>
      <c r="U6" s="123" t="s">
        <v>430</v>
      </c>
      <c r="V6" s="21">
        <v>24020.799999999999</v>
      </c>
      <c r="W6" s="160"/>
      <c r="X6" s="157" t="s">
        <v>52</v>
      </c>
      <c r="Y6" s="158">
        <v>56330</v>
      </c>
      <c r="Z6" s="159">
        <v>42546</v>
      </c>
    </row>
    <row r="7" spans="1:26" ht="15.75" x14ac:dyDescent="0.25">
      <c r="A7" s="119">
        <v>42526</v>
      </c>
      <c r="B7" s="123" t="s">
        <v>402</v>
      </c>
      <c r="C7" s="21">
        <v>32682.65</v>
      </c>
      <c r="D7" s="117">
        <v>42536</v>
      </c>
      <c r="E7" s="21">
        <v>32682.65</v>
      </c>
      <c r="F7" s="122">
        <f t="shared" ref="F7:F37" si="0">C7-E7</f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  <c r="T7" s="30">
        <v>12578.3</v>
      </c>
      <c r="U7" s="123" t="s">
        <v>431</v>
      </c>
      <c r="V7" s="21">
        <v>12578.3</v>
      </c>
      <c r="W7" s="161"/>
      <c r="X7" s="157" t="s">
        <v>52</v>
      </c>
      <c r="Y7" s="158">
        <v>62600</v>
      </c>
      <c r="Z7" s="159">
        <v>42548</v>
      </c>
    </row>
    <row r="8" spans="1:26" ht="15.75" x14ac:dyDescent="0.25">
      <c r="A8" s="119">
        <v>42527</v>
      </c>
      <c r="B8" s="123" t="s">
        <v>403</v>
      </c>
      <c r="C8" s="21">
        <v>32291</v>
      </c>
      <c r="D8" s="117">
        <v>42536</v>
      </c>
      <c r="E8" s="26">
        <v>32291</v>
      </c>
      <c r="F8" s="122">
        <f t="shared" si="0"/>
        <v>0</v>
      </c>
      <c r="K8" s="30">
        <f>14800+20400+9001</f>
        <v>44201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  <c r="T8" s="30">
        <v>37776</v>
      </c>
      <c r="U8" s="123" t="s">
        <v>432</v>
      </c>
      <c r="V8" s="21">
        <v>37776</v>
      </c>
      <c r="W8" s="161"/>
      <c r="X8" s="157" t="s">
        <v>52</v>
      </c>
      <c r="Y8" s="313">
        <v>32119</v>
      </c>
      <c r="Z8" s="163">
        <v>42548</v>
      </c>
    </row>
    <row r="9" spans="1:26" ht="15.75" x14ac:dyDescent="0.25">
      <c r="A9" s="119">
        <v>42528</v>
      </c>
      <c r="B9" s="123" t="s">
        <v>404</v>
      </c>
      <c r="C9" s="21">
        <v>126376</v>
      </c>
      <c r="D9" s="117">
        <v>42536</v>
      </c>
      <c r="E9" s="26">
        <v>126376</v>
      </c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  <c r="T9" s="30">
        <f>14000+27781</f>
        <v>41781</v>
      </c>
      <c r="U9" s="123" t="s">
        <v>451</v>
      </c>
      <c r="V9" s="21">
        <v>41781</v>
      </c>
      <c r="W9" s="160"/>
      <c r="X9" s="157" t="s">
        <v>52</v>
      </c>
      <c r="Y9" s="162">
        <v>2704</v>
      </c>
      <c r="Z9" s="163">
        <v>42545</v>
      </c>
    </row>
    <row r="10" spans="1:26" ht="15.75" x14ac:dyDescent="0.25">
      <c r="A10" s="119">
        <v>42530</v>
      </c>
      <c r="B10" s="123" t="s">
        <v>405</v>
      </c>
      <c r="C10" s="26">
        <v>16130.66</v>
      </c>
      <c r="D10" s="117">
        <v>42536</v>
      </c>
      <c r="E10" s="26">
        <v>16130.66</v>
      </c>
      <c r="F10" s="122">
        <f t="shared" si="0"/>
        <v>0</v>
      </c>
      <c r="K10" s="30">
        <f>20510+11600</f>
        <v>32110</v>
      </c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  <c r="T10" s="30">
        <f>34819+4500</f>
        <v>39319</v>
      </c>
      <c r="U10" s="123" t="s">
        <v>440</v>
      </c>
      <c r="V10" s="21">
        <v>39319</v>
      </c>
      <c r="W10" s="160"/>
      <c r="X10" s="157" t="s">
        <v>52</v>
      </c>
      <c r="Y10" s="162">
        <v>28000</v>
      </c>
      <c r="Z10" s="163">
        <v>42549</v>
      </c>
    </row>
    <row r="11" spans="1:26" ht="15.75" x14ac:dyDescent="0.25">
      <c r="A11" s="119">
        <v>42530</v>
      </c>
      <c r="B11" s="125" t="s">
        <v>406</v>
      </c>
      <c r="C11" s="26">
        <v>1699.08</v>
      </c>
      <c r="D11" s="117">
        <v>42536</v>
      </c>
      <c r="E11" s="26">
        <v>1699.08</v>
      </c>
      <c r="F11" s="127">
        <f t="shared" si="0"/>
        <v>0</v>
      </c>
      <c r="K11" s="30">
        <v>14335.24</v>
      </c>
      <c r="L11" s="123" t="s">
        <v>366</v>
      </c>
      <c r="M11" s="21">
        <v>14335.24</v>
      </c>
      <c r="N11" s="160"/>
      <c r="O11" s="157" t="s">
        <v>52</v>
      </c>
      <c r="P11" s="162">
        <v>43846</v>
      </c>
      <c r="Q11" s="163">
        <v>42523</v>
      </c>
      <c r="T11" s="30">
        <f>7000+2704+3800+28000+3683.2+16285.38</f>
        <v>61472.579999999994</v>
      </c>
      <c r="U11" s="123" t="s">
        <v>441</v>
      </c>
      <c r="V11" s="21">
        <v>61472.18</v>
      </c>
      <c r="W11" s="160"/>
      <c r="X11" s="157" t="s">
        <v>52</v>
      </c>
      <c r="Y11" s="162">
        <v>3800</v>
      </c>
      <c r="Z11" s="163">
        <v>42548</v>
      </c>
    </row>
    <row r="12" spans="1:26" ht="15.75" x14ac:dyDescent="0.25">
      <c r="A12" s="119">
        <v>42531</v>
      </c>
      <c r="B12" s="125" t="s">
        <v>407</v>
      </c>
      <c r="C12" s="26">
        <v>133071.75</v>
      </c>
      <c r="D12" s="117">
        <v>42545</v>
      </c>
      <c r="E12" s="26">
        <v>133071.75</v>
      </c>
      <c r="F12" s="127">
        <f t="shared" si="0"/>
        <v>0</v>
      </c>
      <c r="K12" s="30">
        <f>24500+51009.76</f>
        <v>75509.760000000009</v>
      </c>
      <c r="L12" s="123" t="s">
        <v>367</v>
      </c>
      <c r="M12" s="21">
        <v>75509.759999999995</v>
      </c>
      <c r="N12" s="160"/>
      <c r="O12" s="157" t="s">
        <v>52</v>
      </c>
      <c r="P12" s="162">
        <v>36100</v>
      </c>
      <c r="Q12" s="163">
        <v>42524</v>
      </c>
      <c r="T12" s="30">
        <v>20618.89</v>
      </c>
      <c r="U12" s="123" t="s">
        <v>446</v>
      </c>
      <c r="V12" s="21">
        <v>20618.98</v>
      </c>
      <c r="W12" s="160"/>
      <c r="X12" s="157" t="s">
        <v>52</v>
      </c>
      <c r="Y12" s="162">
        <v>27629</v>
      </c>
      <c r="Z12" s="163">
        <v>42550</v>
      </c>
    </row>
    <row r="13" spans="1:26" ht="15.75" x14ac:dyDescent="0.25">
      <c r="A13" s="119">
        <v>42532</v>
      </c>
      <c r="B13" s="125" t="s">
        <v>422</v>
      </c>
      <c r="C13" s="26">
        <v>39269.5</v>
      </c>
      <c r="D13" s="117">
        <v>42545</v>
      </c>
      <c r="E13" s="26">
        <v>39269.5</v>
      </c>
      <c r="F13" s="127">
        <f t="shared" si="0"/>
        <v>0</v>
      </c>
      <c r="K13" s="30">
        <f>1000+28667</f>
        <v>29667</v>
      </c>
      <c r="L13" s="123" t="s">
        <v>368</v>
      </c>
      <c r="M13" s="21">
        <v>29667</v>
      </c>
      <c r="N13" s="160"/>
      <c r="O13" s="157">
        <v>3280940</v>
      </c>
      <c r="P13" s="162">
        <v>52010</v>
      </c>
      <c r="Q13" s="163">
        <v>42524</v>
      </c>
      <c r="T13" s="30">
        <v>1000</v>
      </c>
      <c r="U13" s="123" t="s">
        <v>447</v>
      </c>
      <c r="V13" s="26">
        <v>1006.72</v>
      </c>
      <c r="W13" s="160" t="s">
        <v>60</v>
      </c>
      <c r="X13" s="157" t="s">
        <v>52</v>
      </c>
      <c r="Y13" s="162">
        <v>3683</v>
      </c>
      <c r="Z13" s="163">
        <v>42549</v>
      </c>
    </row>
    <row r="14" spans="1:26" ht="15.75" x14ac:dyDescent="0.25">
      <c r="A14" s="119">
        <v>42533</v>
      </c>
      <c r="B14" s="125" t="s">
        <v>421</v>
      </c>
      <c r="C14" s="26">
        <v>752.4</v>
      </c>
      <c r="D14" s="117">
        <v>42545</v>
      </c>
      <c r="E14" s="26">
        <v>752.4</v>
      </c>
      <c r="F14" s="127">
        <f t="shared" si="0"/>
        <v>0</v>
      </c>
      <c r="K14" s="30">
        <v>30361.09</v>
      </c>
      <c r="L14" s="123" t="s">
        <v>369</v>
      </c>
      <c r="M14" s="21">
        <v>30351.09</v>
      </c>
      <c r="N14" s="160"/>
      <c r="O14" s="157" t="s">
        <v>52</v>
      </c>
      <c r="P14" s="162">
        <v>1917</v>
      </c>
      <c r="Q14" s="163">
        <v>42521</v>
      </c>
      <c r="T14" s="30">
        <v>10344.1</v>
      </c>
      <c r="U14" s="123" t="s">
        <v>448</v>
      </c>
      <c r="V14" s="26">
        <v>10344.1</v>
      </c>
      <c r="W14" s="160"/>
      <c r="X14" s="157" t="s">
        <v>52</v>
      </c>
      <c r="Y14" s="162"/>
      <c r="Z14" s="163"/>
    </row>
    <row r="15" spans="1:26" ht="15.75" x14ac:dyDescent="0.25">
      <c r="A15" s="124">
        <v>42534</v>
      </c>
      <c r="B15" s="123" t="s">
        <v>427</v>
      </c>
      <c r="C15" s="21">
        <v>44769.120000000003</v>
      </c>
      <c r="D15" s="117">
        <v>42545</v>
      </c>
      <c r="E15" s="26">
        <v>44769.120000000003</v>
      </c>
      <c r="F15" s="127">
        <f t="shared" si="0"/>
        <v>0</v>
      </c>
      <c r="K15" s="30">
        <f>1917+17977+23583.02</f>
        <v>43477.020000000004</v>
      </c>
      <c r="L15" s="123" t="s">
        <v>370</v>
      </c>
      <c r="M15" s="21">
        <v>43477.02</v>
      </c>
      <c r="N15" s="232"/>
      <c r="O15" s="233" t="s">
        <v>52</v>
      </c>
      <c r="P15" s="234">
        <v>77005</v>
      </c>
      <c r="Q15" s="235">
        <v>42527</v>
      </c>
      <c r="T15" s="30"/>
      <c r="U15" s="123"/>
      <c r="V15" s="26"/>
      <c r="W15" s="232"/>
      <c r="X15" s="233" t="s">
        <v>52</v>
      </c>
      <c r="Y15" s="234"/>
      <c r="Z15" s="235"/>
    </row>
    <row r="16" spans="1:26" ht="15.75" x14ac:dyDescent="0.25">
      <c r="A16" s="119">
        <v>42535</v>
      </c>
      <c r="B16" s="125" t="s">
        <v>423</v>
      </c>
      <c r="C16" s="26">
        <v>8909.6</v>
      </c>
      <c r="D16" s="117">
        <v>42545</v>
      </c>
      <c r="E16" s="21">
        <v>8909.6</v>
      </c>
      <c r="F16" s="127">
        <f t="shared" si="0"/>
        <v>0</v>
      </c>
      <c r="K16" s="3">
        <v>18210</v>
      </c>
      <c r="L16" s="123" t="s">
        <v>376</v>
      </c>
      <c r="M16" s="21">
        <v>18219.52</v>
      </c>
      <c r="N16" s="164" t="s">
        <v>91</v>
      </c>
      <c r="O16" s="157" t="s">
        <v>52</v>
      </c>
      <c r="P16" s="158">
        <v>41793</v>
      </c>
      <c r="Q16" s="159">
        <v>42527</v>
      </c>
      <c r="T16" s="3"/>
      <c r="U16" s="123"/>
      <c r="V16" s="26"/>
      <c r="W16" s="164"/>
      <c r="X16" s="157" t="s">
        <v>52</v>
      </c>
      <c r="Y16" s="158"/>
      <c r="Z16" s="159"/>
    </row>
    <row r="17" spans="1:26" ht="15.75" x14ac:dyDescent="0.25">
      <c r="A17" s="124">
        <v>42537</v>
      </c>
      <c r="B17" s="123" t="s">
        <v>424</v>
      </c>
      <c r="C17" s="21">
        <v>34572.800000000003</v>
      </c>
      <c r="D17" s="117">
        <v>42545</v>
      </c>
      <c r="E17" s="21">
        <v>34572.800000000003</v>
      </c>
      <c r="F17" s="127">
        <f t="shared" si="0"/>
        <v>0</v>
      </c>
      <c r="K17" s="3"/>
      <c r="L17" s="123"/>
      <c r="M17" s="26"/>
      <c r="N17" s="164"/>
      <c r="O17" s="157"/>
      <c r="P17" s="158">
        <v>0</v>
      </c>
      <c r="Q17" s="159"/>
      <c r="T17" s="3"/>
      <c r="U17" s="123"/>
      <c r="V17" s="26"/>
      <c r="W17" s="164"/>
      <c r="X17" s="157"/>
      <c r="Y17" s="158">
        <v>0</v>
      </c>
      <c r="Z17" s="159"/>
    </row>
    <row r="18" spans="1:26" ht="15.75" x14ac:dyDescent="0.25">
      <c r="A18" s="124">
        <v>42537</v>
      </c>
      <c r="B18" s="123" t="s">
        <v>425</v>
      </c>
      <c r="C18" s="21">
        <v>56787.7</v>
      </c>
      <c r="D18" s="117">
        <v>42545</v>
      </c>
      <c r="E18" s="21">
        <v>56787.7</v>
      </c>
      <c r="F18" s="127">
        <f t="shared" si="0"/>
        <v>0</v>
      </c>
      <c r="G18" s="268">
        <v>42522</v>
      </c>
      <c r="H18" s="20" t="s">
        <v>392</v>
      </c>
      <c r="I18" s="30">
        <v>25</v>
      </c>
      <c r="K18" s="241">
        <f>SUM(K4:K17)</f>
        <v>502562.92000000004</v>
      </c>
      <c r="L18" s="165"/>
      <c r="M18" s="166"/>
      <c r="N18" s="165"/>
      <c r="O18" s="240"/>
      <c r="P18" s="215">
        <v>0</v>
      </c>
      <c r="Q18" s="163"/>
      <c r="T18" s="241">
        <f>SUM(T4:T17)</f>
        <v>277485.98999999993</v>
      </c>
      <c r="U18" s="165"/>
      <c r="V18" s="166"/>
      <c r="W18" s="165"/>
      <c r="X18" s="240"/>
      <c r="Y18" s="215">
        <v>0</v>
      </c>
      <c r="Z18" s="163"/>
    </row>
    <row r="19" spans="1:26" ht="15.75" x14ac:dyDescent="0.25">
      <c r="A19" s="124">
        <v>42537</v>
      </c>
      <c r="B19" s="123" t="s">
        <v>426</v>
      </c>
      <c r="C19" s="21">
        <v>1269.0999999999999</v>
      </c>
      <c r="D19" s="117">
        <v>42545</v>
      </c>
      <c r="E19" s="21">
        <v>1269.0999999999999</v>
      </c>
      <c r="F19" s="127">
        <f t="shared" si="0"/>
        <v>0</v>
      </c>
      <c r="G19" s="268">
        <v>42523</v>
      </c>
      <c r="H19" s="20" t="s">
        <v>83</v>
      </c>
      <c r="I19" s="30">
        <v>701</v>
      </c>
      <c r="L19" s="196"/>
      <c r="M19" s="26">
        <f>SUM(M4:M18)</f>
        <v>502562.50000000006</v>
      </c>
      <c r="N19" s="43"/>
      <c r="O19" s="219"/>
      <c r="P19" s="220">
        <f>SUM(P4:P18)</f>
        <v>502562.5</v>
      </c>
      <c r="Q19" s="218"/>
      <c r="U19" s="196"/>
      <c r="V19" s="26">
        <f>SUM(V4:V18)</f>
        <v>277484.49999999994</v>
      </c>
      <c r="W19" s="43"/>
      <c r="X19" s="219"/>
      <c r="Y19" s="220">
        <f>SUM(Y4:Y18)</f>
        <v>277484.5</v>
      </c>
      <c r="Z19" s="218"/>
    </row>
    <row r="20" spans="1:26" x14ac:dyDescent="0.25">
      <c r="A20" s="124">
        <v>42538</v>
      </c>
      <c r="B20" s="123" t="s">
        <v>428</v>
      </c>
      <c r="C20" s="21">
        <v>35438.800000000003</v>
      </c>
      <c r="D20" s="121" t="s">
        <v>452</v>
      </c>
      <c r="E20" s="21">
        <f>24838.8+10600</f>
        <v>35438.800000000003</v>
      </c>
      <c r="F20" s="127">
        <f t="shared" si="0"/>
        <v>0</v>
      </c>
      <c r="G20" s="268">
        <v>42525</v>
      </c>
      <c r="H20" s="20" t="s">
        <v>83</v>
      </c>
      <c r="I20" s="30">
        <v>815</v>
      </c>
    </row>
    <row r="21" spans="1:26" x14ac:dyDescent="0.25">
      <c r="A21" s="124">
        <v>42539</v>
      </c>
      <c r="B21" s="123" t="s">
        <v>429</v>
      </c>
      <c r="C21" s="21">
        <v>60436.32</v>
      </c>
      <c r="D21" s="121" t="s">
        <v>452</v>
      </c>
      <c r="E21" s="21">
        <f>42468.9+17967.42</f>
        <v>60436.32</v>
      </c>
      <c r="F21" s="127">
        <f t="shared" si="0"/>
        <v>0</v>
      </c>
      <c r="G21" s="268">
        <v>42526</v>
      </c>
      <c r="H21" s="20" t="s">
        <v>82</v>
      </c>
      <c r="I21" s="30">
        <v>207.5</v>
      </c>
    </row>
    <row r="22" spans="1:26" ht="15.75" thickBot="1" x14ac:dyDescent="0.3">
      <c r="A22" s="124">
        <v>42540</v>
      </c>
      <c r="B22" s="123" t="s">
        <v>430</v>
      </c>
      <c r="C22" s="21">
        <v>24020.799999999999</v>
      </c>
      <c r="D22" s="117">
        <v>42551</v>
      </c>
      <c r="E22" s="21">
        <v>24020.799999999999</v>
      </c>
      <c r="F22" s="127">
        <f t="shared" si="0"/>
        <v>0</v>
      </c>
      <c r="G22" s="269">
        <v>42528</v>
      </c>
      <c r="H22" s="20" t="s">
        <v>83</v>
      </c>
      <c r="I22" s="30">
        <v>672</v>
      </c>
    </row>
    <row r="23" spans="1:26" ht="19.5" thickBot="1" x14ac:dyDescent="0.35">
      <c r="A23" s="124">
        <v>42540</v>
      </c>
      <c r="B23" s="123" t="s">
        <v>431</v>
      </c>
      <c r="C23" s="21">
        <v>12578.3</v>
      </c>
      <c r="D23" s="117">
        <v>42551</v>
      </c>
      <c r="E23" s="21">
        <v>12578.3</v>
      </c>
      <c r="F23" s="127">
        <f t="shared" si="0"/>
        <v>0</v>
      </c>
      <c r="G23" s="268">
        <v>42531</v>
      </c>
      <c r="H23" s="20" t="s">
        <v>120</v>
      </c>
      <c r="I23" s="30">
        <v>951</v>
      </c>
      <c r="M23" s="146" t="s">
        <v>46</v>
      </c>
      <c r="N23" s="147"/>
      <c r="O23" s="148"/>
      <c r="P23" s="195">
        <v>42536</v>
      </c>
      <c r="Q23" s="150"/>
    </row>
    <row r="24" spans="1:26" ht="15.75" x14ac:dyDescent="0.25">
      <c r="A24" s="124">
        <v>42540</v>
      </c>
      <c r="B24" s="123" t="s">
        <v>432</v>
      </c>
      <c r="C24" s="21">
        <v>37776</v>
      </c>
      <c r="D24" s="117">
        <v>42551</v>
      </c>
      <c r="E24" s="21">
        <v>37776</v>
      </c>
      <c r="F24" s="127">
        <f t="shared" si="0"/>
        <v>0</v>
      </c>
      <c r="G24" s="268">
        <v>42532</v>
      </c>
      <c r="H24" s="20" t="s">
        <v>416</v>
      </c>
      <c r="I24" s="30">
        <v>720</v>
      </c>
      <c r="L24" s="151"/>
      <c r="M24" s="152"/>
      <c r="N24" s="151"/>
      <c r="O24" s="153"/>
      <c r="P24" s="152"/>
      <c r="Q24" s="154"/>
    </row>
    <row r="25" spans="1:26" ht="15.75" x14ac:dyDescent="0.25">
      <c r="A25" s="124">
        <v>42541</v>
      </c>
      <c r="B25" s="123" t="s">
        <v>451</v>
      </c>
      <c r="C25" s="21">
        <v>41781</v>
      </c>
      <c r="D25" s="117">
        <v>42551</v>
      </c>
      <c r="E25" s="21">
        <v>41781</v>
      </c>
      <c r="F25" s="127">
        <f t="shared" si="0"/>
        <v>0</v>
      </c>
      <c r="G25" s="268">
        <v>42534</v>
      </c>
      <c r="H25" s="20" t="s">
        <v>120</v>
      </c>
      <c r="I25" s="30">
        <v>1224.5999999999999</v>
      </c>
      <c r="L25" s="155" t="s">
        <v>47</v>
      </c>
      <c r="M25" s="152" t="s">
        <v>48</v>
      </c>
      <c r="N25" s="151"/>
      <c r="O25" s="153" t="s">
        <v>49</v>
      </c>
      <c r="P25" s="152" t="s">
        <v>50</v>
      </c>
      <c r="Q25" s="154"/>
    </row>
    <row r="26" spans="1:26" ht="15.75" x14ac:dyDescent="0.25">
      <c r="A26" s="124">
        <v>42542</v>
      </c>
      <c r="B26" s="123" t="s">
        <v>440</v>
      </c>
      <c r="C26" s="21">
        <v>39319</v>
      </c>
      <c r="D26" s="117">
        <v>42551</v>
      </c>
      <c r="E26" s="21">
        <v>39319</v>
      </c>
      <c r="F26" s="127">
        <f t="shared" si="0"/>
        <v>0</v>
      </c>
      <c r="G26" s="268">
        <v>42536</v>
      </c>
      <c r="H26" s="20" t="s">
        <v>416</v>
      </c>
      <c r="I26" s="30">
        <v>480</v>
      </c>
      <c r="K26" s="30">
        <v>15146.6</v>
      </c>
      <c r="L26" s="123" t="s">
        <v>377</v>
      </c>
      <c r="M26" s="26">
        <v>15146.6</v>
      </c>
      <c r="N26" s="156"/>
      <c r="O26" s="157">
        <v>3280942</v>
      </c>
      <c r="P26" s="158">
        <v>46591</v>
      </c>
      <c r="Q26" s="159">
        <v>42527</v>
      </c>
    </row>
    <row r="27" spans="1:26" ht="15.75" x14ac:dyDescent="0.25">
      <c r="A27" s="124">
        <v>42544</v>
      </c>
      <c r="B27" s="123" t="s">
        <v>441</v>
      </c>
      <c r="C27" s="21">
        <v>61472.18</v>
      </c>
      <c r="D27" s="117">
        <v>42551</v>
      </c>
      <c r="E27" s="36">
        <v>61472.18</v>
      </c>
      <c r="F27" s="127">
        <f t="shared" si="0"/>
        <v>0</v>
      </c>
      <c r="G27" s="268">
        <v>42537</v>
      </c>
      <c r="H27" s="20" t="s">
        <v>83</v>
      </c>
      <c r="I27" s="30">
        <v>628</v>
      </c>
      <c r="K27" s="30">
        <v>13600</v>
      </c>
      <c r="L27" s="123" t="s">
        <v>376</v>
      </c>
      <c r="M27" s="21">
        <v>13592.48</v>
      </c>
      <c r="N27" s="156" t="s">
        <v>51</v>
      </c>
      <c r="O27" s="157" t="s">
        <v>52</v>
      </c>
      <c r="P27" s="158">
        <v>33000</v>
      </c>
      <c r="Q27" s="159">
        <v>42529</v>
      </c>
    </row>
    <row r="28" spans="1:26" ht="15.75" x14ac:dyDescent="0.25">
      <c r="A28" s="124">
        <v>42543</v>
      </c>
      <c r="B28" s="123" t="s">
        <v>446</v>
      </c>
      <c r="C28" s="21">
        <v>20618.98</v>
      </c>
      <c r="D28" s="191">
        <v>42551</v>
      </c>
      <c r="E28" s="36">
        <v>20618.98</v>
      </c>
      <c r="F28" s="127">
        <f t="shared" si="0"/>
        <v>0</v>
      </c>
      <c r="G28" s="268">
        <v>42539</v>
      </c>
      <c r="H28" s="20" t="s">
        <v>83</v>
      </c>
      <c r="I28" s="30">
        <v>957</v>
      </c>
      <c r="K28" s="30">
        <f>17844.4+33000</f>
        <v>50844.4</v>
      </c>
      <c r="L28" s="123" t="s">
        <v>378</v>
      </c>
      <c r="M28" s="26">
        <v>50844.4</v>
      </c>
      <c r="N28" s="160"/>
      <c r="O28" s="157" t="s">
        <v>52</v>
      </c>
      <c r="P28" s="158">
        <v>31350</v>
      </c>
      <c r="Q28" s="159">
        <v>42530</v>
      </c>
    </row>
    <row r="29" spans="1:26" ht="15.75" x14ac:dyDescent="0.25">
      <c r="A29" s="124">
        <v>42545</v>
      </c>
      <c r="B29" s="123" t="s">
        <v>447</v>
      </c>
      <c r="C29" s="26">
        <v>68813.100000000006</v>
      </c>
      <c r="D29" s="130" t="s">
        <v>500</v>
      </c>
      <c r="E29" s="131">
        <f>1006.72+67806.38</f>
        <v>68813.100000000006</v>
      </c>
      <c r="F29" s="127">
        <f t="shared" si="0"/>
        <v>0</v>
      </c>
      <c r="G29" s="268">
        <v>42539</v>
      </c>
      <c r="H29" s="20" t="s">
        <v>82</v>
      </c>
      <c r="I29" s="30">
        <v>285</v>
      </c>
      <c r="K29" s="30">
        <f>31350+37615.5+1584.92</f>
        <v>70550.42</v>
      </c>
      <c r="L29" s="123" t="s">
        <v>379</v>
      </c>
      <c r="M29" s="21">
        <v>70559.13</v>
      </c>
      <c r="N29" s="161" t="s">
        <v>419</v>
      </c>
      <c r="O29" s="157" t="s">
        <v>52</v>
      </c>
      <c r="P29" s="158">
        <v>37615.5</v>
      </c>
      <c r="Q29" s="159">
        <v>42531</v>
      </c>
    </row>
    <row r="30" spans="1:26" ht="15.75" x14ac:dyDescent="0.25">
      <c r="A30" s="132">
        <v>42546</v>
      </c>
      <c r="B30" s="123" t="s">
        <v>448</v>
      </c>
      <c r="C30" s="26">
        <v>10344.1</v>
      </c>
      <c r="D30" s="130">
        <v>42551</v>
      </c>
      <c r="E30" s="131">
        <v>10344.1</v>
      </c>
      <c r="F30" s="127">
        <f>C30-E30</f>
        <v>0</v>
      </c>
      <c r="G30" s="268">
        <v>42542</v>
      </c>
      <c r="H30" t="s">
        <v>82</v>
      </c>
      <c r="I30" s="323">
        <v>299.60000000000002</v>
      </c>
      <c r="K30" s="30">
        <v>32682.65</v>
      </c>
      <c r="L30" s="123" t="s">
        <v>402</v>
      </c>
      <c r="M30" s="21">
        <v>32682.65</v>
      </c>
      <c r="N30" s="161"/>
      <c r="O30" s="157" t="s">
        <v>52</v>
      </c>
      <c r="P30" s="162">
        <v>58267</v>
      </c>
      <c r="Q30" s="163">
        <v>42534</v>
      </c>
    </row>
    <row r="31" spans="1:26" ht="15.75" x14ac:dyDescent="0.25">
      <c r="A31" s="124">
        <v>42547</v>
      </c>
      <c r="B31" s="123" t="s">
        <v>449</v>
      </c>
      <c r="C31" s="26">
        <v>38936.06</v>
      </c>
      <c r="D31" s="130">
        <v>42566</v>
      </c>
      <c r="E31" s="131">
        <v>38936.06</v>
      </c>
      <c r="F31" s="127">
        <f>C31-E31</f>
        <v>0</v>
      </c>
      <c r="G31" s="268">
        <v>42543</v>
      </c>
      <c r="H31" t="s">
        <v>83</v>
      </c>
      <c r="I31" s="323">
        <v>851</v>
      </c>
      <c r="K31" s="30">
        <f>15891+16400</f>
        <v>32291</v>
      </c>
      <c r="L31" s="123" t="s">
        <v>403</v>
      </c>
      <c r="M31" s="21">
        <v>32291</v>
      </c>
      <c r="N31" s="160"/>
      <c r="O31" s="157" t="s">
        <v>52</v>
      </c>
      <c r="P31" s="162">
        <v>6187.5</v>
      </c>
      <c r="Q31" s="163">
        <v>42527</v>
      </c>
    </row>
    <row r="32" spans="1:26" ht="15.75" x14ac:dyDescent="0.25">
      <c r="A32" s="124">
        <v>42548</v>
      </c>
      <c r="B32" s="123" t="s">
        <v>450</v>
      </c>
      <c r="C32" s="26">
        <v>46434.77</v>
      </c>
      <c r="D32" s="130">
        <v>42566</v>
      </c>
      <c r="E32" s="131">
        <v>46434.77</v>
      </c>
      <c r="F32" s="127">
        <f>C32-E32</f>
        <v>0</v>
      </c>
      <c r="G32" s="268">
        <v>42546</v>
      </c>
      <c r="H32" t="s">
        <v>120</v>
      </c>
      <c r="I32" s="323">
        <v>2041.64</v>
      </c>
      <c r="K32" s="30">
        <f>42376+6187.1+8212+57000+12600.9</f>
        <v>126376</v>
      </c>
      <c r="L32" s="123" t="s">
        <v>404</v>
      </c>
      <c r="M32" s="21">
        <v>126376</v>
      </c>
      <c r="N32" s="160"/>
      <c r="O32" s="157" t="s">
        <v>52</v>
      </c>
      <c r="P32" s="162">
        <v>8212</v>
      </c>
      <c r="Q32" s="163">
        <v>42529</v>
      </c>
    </row>
    <row r="33" spans="1:17" ht="15.75" x14ac:dyDescent="0.25">
      <c r="A33" s="124">
        <v>42549</v>
      </c>
      <c r="B33" s="123" t="s">
        <v>453</v>
      </c>
      <c r="C33" s="26">
        <v>37715.9</v>
      </c>
      <c r="D33" s="191">
        <v>42566</v>
      </c>
      <c r="E33" s="36">
        <v>37715.9</v>
      </c>
      <c r="F33" s="127">
        <f>C33-E33</f>
        <v>0</v>
      </c>
      <c r="G33" s="268">
        <v>42550</v>
      </c>
      <c r="H33" t="s">
        <v>83</v>
      </c>
      <c r="I33" s="323">
        <v>836</v>
      </c>
      <c r="K33" s="30">
        <v>16130.66</v>
      </c>
      <c r="L33" s="123" t="s">
        <v>405</v>
      </c>
      <c r="M33" s="26">
        <v>16130.66</v>
      </c>
      <c r="N33" s="160"/>
      <c r="O33" s="157" t="s">
        <v>52</v>
      </c>
      <c r="P33" s="162">
        <v>57000</v>
      </c>
      <c r="Q33" s="163">
        <v>42534</v>
      </c>
    </row>
    <row r="34" spans="1:17" ht="15.75" x14ac:dyDescent="0.25">
      <c r="A34" s="135">
        <v>42550</v>
      </c>
      <c r="B34" s="126" t="s">
        <v>454</v>
      </c>
      <c r="C34" s="21">
        <v>66935.22</v>
      </c>
      <c r="D34" s="130">
        <v>42566</v>
      </c>
      <c r="E34" s="131">
        <v>66935.22</v>
      </c>
      <c r="F34" s="136">
        <f>C34-E34</f>
        <v>0</v>
      </c>
      <c r="G34" s="268">
        <v>42551</v>
      </c>
      <c r="H34" t="s">
        <v>82</v>
      </c>
      <c r="I34" s="323">
        <v>351</v>
      </c>
      <c r="K34" s="30">
        <v>1699.08</v>
      </c>
      <c r="L34" s="125" t="s">
        <v>406</v>
      </c>
      <c r="M34" s="26">
        <v>1699.08</v>
      </c>
      <c r="N34" s="160"/>
      <c r="O34" s="157" t="s">
        <v>52</v>
      </c>
      <c r="P34" s="162">
        <v>50667.5</v>
      </c>
      <c r="Q34" s="163">
        <v>42531</v>
      </c>
    </row>
    <row r="35" spans="1:17" ht="15.75" x14ac:dyDescent="0.25">
      <c r="A35" s="137">
        <v>42551</v>
      </c>
      <c r="B35" s="128" t="s">
        <v>455</v>
      </c>
      <c r="C35" s="26">
        <v>38404.800000000003</v>
      </c>
      <c r="D35" s="326">
        <v>42566</v>
      </c>
      <c r="E35" s="192">
        <v>38404.800000000003</v>
      </c>
      <c r="F35" s="136">
        <f t="shared" si="0"/>
        <v>0</v>
      </c>
      <c r="I35" s="323">
        <v>0</v>
      </c>
      <c r="K35" s="30"/>
      <c r="L35" s="125"/>
      <c r="M35" s="26"/>
      <c r="N35" s="160"/>
      <c r="O35" s="157">
        <v>3280940</v>
      </c>
      <c r="P35" s="162">
        <v>30431.5</v>
      </c>
      <c r="Q35" s="163">
        <v>42535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/>
      <c r="I36" s="86">
        <f>SUM(I18:I35)</f>
        <v>12045.34</v>
      </c>
      <c r="K36" s="30"/>
      <c r="L36" s="125"/>
      <c r="M36" s="26"/>
      <c r="N36" s="160"/>
      <c r="O36" s="157" t="s">
        <v>52</v>
      </c>
      <c r="P36" s="307"/>
      <c r="Q36" s="308"/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/>
      <c r="K37" s="30"/>
      <c r="L37" s="123"/>
      <c r="M37" s="21"/>
      <c r="N37" s="232"/>
      <c r="O37" s="233" t="s">
        <v>52</v>
      </c>
      <c r="P37" s="309"/>
      <c r="Q37" s="310"/>
    </row>
    <row r="38" spans="1:17" ht="16.5" thickTop="1" x14ac:dyDescent="0.25">
      <c r="B38" s="37"/>
      <c r="C38" s="21">
        <f>SUM(C3:C37)</f>
        <v>1338062.1500000001</v>
      </c>
      <c r="D38" s="145"/>
      <c r="E38" s="30">
        <f>SUM(E3:E37)</f>
        <v>1338062.1500000001</v>
      </c>
      <c r="F38" s="30">
        <f>SUM(F3:F37)</f>
        <v>0</v>
      </c>
      <c r="K38" s="3"/>
      <c r="L38" s="123"/>
      <c r="M38" s="21"/>
      <c r="N38" s="164"/>
      <c r="O38" s="157" t="s">
        <v>52</v>
      </c>
      <c r="P38" s="311"/>
      <c r="Q38" s="312"/>
    </row>
    <row r="39" spans="1:17" ht="15.75" x14ac:dyDescent="0.25">
      <c r="A39" s="20"/>
      <c r="K39" s="3"/>
      <c r="L39" s="123"/>
      <c r="M39" s="26"/>
      <c r="N39" s="164"/>
      <c r="O39" s="157"/>
      <c r="P39" s="311">
        <v>0</v>
      </c>
      <c r="Q39" s="312"/>
    </row>
    <row r="40" spans="1:17" ht="15.75" x14ac:dyDescent="0.25">
      <c r="A40" s="269"/>
      <c r="K40" s="241">
        <f>SUM(K26:K39)</f>
        <v>359320.80999999994</v>
      </c>
      <c r="L40" s="165"/>
      <c r="M40" s="166"/>
      <c r="N40" s="165"/>
      <c r="O40" s="240"/>
      <c r="P40" s="213">
        <v>0</v>
      </c>
      <c r="Q40" s="308"/>
    </row>
    <row r="41" spans="1:17" ht="15.75" x14ac:dyDescent="0.25">
      <c r="A41" s="269"/>
      <c r="L41" s="196"/>
      <c r="M41" s="26">
        <f>SUM(M26:M40)</f>
        <v>359322</v>
      </c>
      <c r="N41" s="43"/>
      <c r="O41" s="219"/>
      <c r="P41" s="220">
        <f>SUM(P26:P40)</f>
        <v>359322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306">
        <v>42545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v>100</v>
      </c>
      <c r="L48" s="123" t="s">
        <v>379</v>
      </c>
      <c r="M48" s="21">
        <v>93.33</v>
      </c>
      <c r="N48" s="156" t="s">
        <v>111</v>
      </c>
      <c r="O48" s="157" t="s">
        <v>52</v>
      </c>
      <c r="P48" s="158">
        <v>23172</v>
      </c>
      <c r="Q48" s="159">
        <v>42536</v>
      </c>
    </row>
    <row r="49" spans="1:17" ht="15.75" x14ac:dyDescent="0.25">
      <c r="A49"/>
      <c r="B49"/>
      <c r="C49"/>
      <c r="D49"/>
      <c r="E49"/>
      <c r="F49"/>
      <c r="G49"/>
      <c r="K49" s="30">
        <f>23071.75+35500+49500+6214.4+18785.6</f>
        <v>133071.75</v>
      </c>
      <c r="L49" s="125" t="s">
        <v>407</v>
      </c>
      <c r="M49" s="26">
        <v>133071.75</v>
      </c>
      <c r="N49" s="156"/>
      <c r="O49" s="157" t="s">
        <v>52</v>
      </c>
      <c r="P49" s="158">
        <v>35500</v>
      </c>
      <c r="Q49" s="159">
        <v>42537</v>
      </c>
    </row>
    <row r="50" spans="1:17" ht="15.75" x14ac:dyDescent="0.25">
      <c r="A50"/>
      <c r="B50"/>
      <c r="C50"/>
      <c r="D50"/>
      <c r="E50"/>
      <c r="F50"/>
      <c r="G50"/>
      <c r="K50" s="30">
        <v>39269.5</v>
      </c>
      <c r="L50" s="125" t="s">
        <v>422</v>
      </c>
      <c r="M50" s="26">
        <v>39269.5</v>
      </c>
      <c r="N50" s="160"/>
      <c r="O50" s="157" t="s">
        <v>52</v>
      </c>
      <c r="P50" s="158">
        <v>49500</v>
      </c>
      <c r="Q50" s="159">
        <v>42538</v>
      </c>
    </row>
    <row r="51" spans="1:17" ht="15.75" x14ac:dyDescent="0.25">
      <c r="A51"/>
      <c r="B51"/>
      <c r="C51"/>
      <c r="D51"/>
      <c r="E51"/>
      <c r="F51"/>
      <c r="G51"/>
      <c r="K51" s="30">
        <v>752.4</v>
      </c>
      <c r="L51" s="125" t="s">
        <v>421</v>
      </c>
      <c r="M51" s="26">
        <v>752.4</v>
      </c>
      <c r="N51" s="161"/>
      <c r="O51" s="157" t="s">
        <v>52</v>
      </c>
      <c r="P51" s="158">
        <v>6214</v>
      </c>
      <c r="Q51" s="159">
        <v>42536</v>
      </c>
    </row>
    <row r="52" spans="1:17" ht="15.75" x14ac:dyDescent="0.25">
      <c r="A52"/>
      <c r="B52"/>
      <c r="C52"/>
      <c r="D52"/>
      <c r="E52"/>
      <c r="F52"/>
      <c r="G52"/>
      <c r="K52" s="30">
        <f>20769.12+24000</f>
        <v>44769.119999999995</v>
      </c>
      <c r="L52" s="123" t="s">
        <v>427</v>
      </c>
      <c r="M52" s="21">
        <v>44769.120000000003</v>
      </c>
      <c r="N52" s="161"/>
      <c r="O52" s="157">
        <v>3280945</v>
      </c>
      <c r="P52" s="313">
        <v>79577</v>
      </c>
      <c r="Q52" s="163">
        <v>42538</v>
      </c>
    </row>
    <row r="53" spans="1:17" ht="15.75" x14ac:dyDescent="0.25">
      <c r="A53"/>
      <c r="B53"/>
      <c r="C53"/>
      <c r="D53"/>
      <c r="E53"/>
      <c r="F53"/>
      <c r="G53"/>
      <c r="K53" s="30">
        <v>8909.6</v>
      </c>
      <c r="L53" s="125" t="s">
        <v>423</v>
      </c>
      <c r="M53" s="26">
        <v>8909.6</v>
      </c>
      <c r="N53" s="160"/>
      <c r="O53" s="157" t="s">
        <v>52</v>
      </c>
      <c r="P53" s="162">
        <v>64751.5</v>
      </c>
      <c r="Q53" s="163">
        <v>42541</v>
      </c>
    </row>
    <row r="54" spans="1:17" ht="15.75" x14ac:dyDescent="0.25">
      <c r="A54"/>
      <c r="B54"/>
      <c r="C54"/>
      <c r="D54"/>
      <c r="E54"/>
      <c r="F54"/>
      <c r="G54"/>
      <c r="K54" s="30">
        <f>30572.8+4000</f>
        <v>34572.800000000003</v>
      </c>
      <c r="L54" s="123" t="s">
        <v>424</v>
      </c>
      <c r="M54" s="21">
        <v>34572.800000000003</v>
      </c>
      <c r="N54" s="160"/>
      <c r="O54" s="157" t="s">
        <v>52</v>
      </c>
      <c r="P54" s="162">
        <v>58400</v>
      </c>
      <c r="Q54" s="163">
        <v>42541</v>
      </c>
    </row>
    <row r="55" spans="1:17" ht="15.75" x14ac:dyDescent="0.25">
      <c r="A55"/>
      <c r="B55"/>
      <c r="C55"/>
      <c r="D55"/>
      <c r="E55"/>
      <c r="F55"/>
      <c r="G55"/>
      <c r="K55" s="30">
        <f>54400+2387.7</f>
        <v>56787.7</v>
      </c>
      <c r="L55" s="123" t="s">
        <v>425</v>
      </c>
      <c r="M55" s="21">
        <v>56787.7</v>
      </c>
      <c r="N55" s="160"/>
      <c r="O55" s="157" t="s">
        <v>52</v>
      </c>
      <c r="P55" s="162">
        <v>27227</v>
      </c>
      <c r="Q55" s="163">
        <v>42542</v>
      </c>
    </row>
    <row r="56" spans="1:17" ht="15.75" x14ac:dyDescent="0.25">
      <c r="A56"/>
      <c r="B56"/>
      <c r="C56"/>
      <c r="D56"/>
      <c r="E56"/>
      <c r="F56"/>
      <c r="G56"/>
      <c r="K56" s="30">
        <v>1269.0999999999999</v>
      </c>
      <c r="L56" s="123" t="s">
        <v>426</v>
      </c>
      <c r="M56" s="21">
        <v>1269.0999999999999</v>
      </c>
      <c r="N56" s="160"/>
      <c r="O56" s="157" t="s">
        <v>52</v>
      </c>
      <c r="P56" s="162">
        <v>39000</v>
      </c>
      <c r="Q56" s="163">
        <v>42544</v>
      </c>
    </row>
    <row r="57" spans="1:17" ht="15.75" x14ac:dyDescent="0.25">
      <c r="A57"/>
      <c r="B57"/>
      <c r="C57"/>
      <c r="D57"/>
      <c r="E57"/>
      <c r="F57"/>
      <c r="G57"/>
      <c r="K57" s="30">
        <v>24838.799999999999</v>
      </c>
      <c r="L57" s="123" t="s">
        <v>428</v>
      </c>
      <c r="M57" s="21">
        <v>24838.799999999999</v>
      </c>
      <c r="N57" s="160" t="s">
        <v>91</v>
      </c>
      <c r="O57" s="157" t="s">
        <v>52</v>
      </c>
      <c r="P57" s="162">
        <v>3461.5</v>
      </c>
      <c r="Q57" s="163">
        <v>42541</v>
      </c>
    </row>
    <row r="58" spans="1:17" ht="15.75" x14ac:dyDescent="0.25">
      <c r="A58"/>
      <c r="B58"/>
      <c r="C58"/>
      <c r="D58"/>
      <c r="E58"/>
      <c r="F58"/>
      <c r="G58"/>
      <c r="K58" s="30">
        <f>39000+3461.25</f>
        <v>42461.25</v>
      </c>
      <c r="L58" s="123" t="s">
        <v>429</v>
      </c>
      <c r="M58" s="21">
        <v>42468.9</v>
      </c>
      <c r="N58" s="160" t="s">
        <v>91</v>
      </c>
      <c r="O58" s="157" t="s">
        <v>52</v>
      </c>
      <c r="P58" s="162"/>
      <c r="Q58" s="163"/>
    </row>
    <row r="59" spans="1:17" ht="15.75" x14ac:dyDescent="0.25">
      <c r="A59"/>
      <c r="B59"/>
      <c r="C59"/>
      <c r="D59"/>
      <c r="E59"/>
      <c r="F59"/>
      <c r="G59"/>
      <c r="K59" s="30"/>
      <c r="L59" s="123"/>
      <c r="M59" s="21"/>
      <c r="N59" s="232"/>
      <c r="O59" s="233" t="s">
        <v>52</v>
      </c>
      <c r="P59" s="234"/>
      <c r="Q59" s="235"/>
    </row>
    <row r="60" spans="1:17" ht="15.75" x14ac:dyDescent="0.25">
      <c r="A60"/>
      <c r="B60"/>
      <c r="C60"/>
      <c r="D60"/>
      <c r="E60"/>
      <c r="F60"/>
      <c r="G60"/>
      <c r="K60" s="3"/>
      <c r="L60" s="123"/>
      <c r="M60" s="21"/>
      <c r="N60" s="164"/>
      <c r="O60" s="157" t="s">
        <v>52</v>
      </c>
      <c r="P60" s="158"/>
      <c r="Q60" s="159"/>
    </row>
    <row r="61" spans="1:17" ht="15.75" x14ac:dyDescent="0.25">
      <c r="A61"/>
      <c r="B61"/>
      <c r="C61"/>
      <c r="D61"/>
      <c r="E61"/>
      <c r="F61"/>
      <c r="G61"/>
      <c r="K61" s="3"/>
      <c r="L61" s="123"/>
      <c r="M61" s="26"/>
      <c r="N61" s="164"/>
      <c r="O61" s="157"/>
      <c r="P61" s="158">
        <v>0</v>
      </c>
      <c r="Q61" s="159"/>
    </row>
    <row r="62" spans="1:17" ht="15.75" x14ac:dyDescent="0.25">
      <c r="A62"/>
      <c r="B62"/>
      <c r="C62"/>
      <c r="D62"/>
      <c r="E62"/>
      <c r="F62"/>
      <c r="G62"/>
      <c r="K62" s="241">
        <f>SUM(K48:K61)</f>
        <v>386802.01999999996</v>
      </c>
      <c r="L62" s="165"/>
      <c r="M62" s="166"/>
      <c r="N62" s="165"/>
      <c r="O62" s="240"/>
      <c r="P62" s="215">
        <v>0</v>
      </c>
      <c r="Q62" s="163"/>
    </row>
    <row r="63" spans="1:17" ht="15.75" x14ac:dyDescent="0.25">
      <c r="A63"/>
      <c r="B63"/>
      <c r="C63"/>
      <c r="D63"/>
      <c r="E63"/>
      <c r="F63"/>
      <c r="G63"/>
      <c r="L63" s="196"/>
      <c r="M63" s="26">
        <f>SUM(M48:M62)</f>
        <v>386803</v>
      </c>
      <c r="N63" s="43"/>
      <c r="O63" s="219"/>
      <c r="P63" s="220">
        <f>SUM(P48:P62)</f>
        <v>386803</v>
      </c>
      <c r="Q63" s="218"/>
    </row>
  </sheetData>
  <mergeCells count="1">
    <mergeCell ref="J1:K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8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56" t="s">
        <v>483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211525.97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42552</v>
      </c>
      <c r="C5" s="16">
        <v>55325</v>
      </c>
      <c r="D5" s="17" t="s">
        <v>484</v>
      </c>
      <c r="E5" s="18">
        <v>42552</v>
      </c>
      <c r="F5" s="19">
        <v>50653.7</v>
      </c>
      <c r="G5" s="20"/>
      <c r="H5" s="186">
        <v>42552</v>
      </c>
      <c r="I5" s="187">
        <v>820</v>
      </c>
      <c r="J5" s="176"/>
      <c r="K5" s="188"/>
      <c r="L5" s="189"/>
      <c r="M5" s="190">
        <v>71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42553</v>
      </c>
      <c r="C6" s="16">
        <v>68719.899999999994</v>
      </c>
      <c r="D6" s="22" t="s">
        <v>485</v>
      </c>
      <c r="E6" s="18">
        <v>42553</v>
      </c>
      <c r="F6" s="19">
        <v>67483.86</v>
      </c>
      <c r="G6" s="23"/>
      <c r="H6" s="24">
        <v>42553</v>
      </c>
      <c r="I6" s="25">
        <v>169.4</v>
      </c>
      <c r="J6" s="26"/>
      <c r="K6" s="27" t="s">
        <v>7</v>
      </c>
      <c r="L6" s="28">
        <v>538</v>
      </c>
      <c r="M6" s="33">
        <v>256</v>
      </c>
      <c r="N6" s="30"/>
      <c r="O6" s="20"/>
      <c r="P6" s="20"/>
      <c r="Q6" s="20"/>
    </row>
    <row r="7" spans="1:19" x14ac:dyDescent="0.25">
      <c r="A7" s="14"/>
      <c r="B7" s="15">
        <v>42554</v>
      </c>
      <c r="C7" s="16">
        <v>49370</v>
      </c>
      <c r="D7" s="17" t="s">
        <v>486</v>
      </c>
      <c r="E7" s="18">
        <v>42554</v>
      </c>
      <c r="F7" s="19">
        <v>48483.25</v>
      </c>
      <c r="G7" s="20"/>
      <c r="H7" s="24">
        <v>42554</v>
      </c>
      <c r="I7" s="25">
        <v>400</v>
      </c>
      <c r="J7" s="26"/>
      <c r="K7" s="31" t="s">
        <v>8</v>
      </c>
      <c r="L7" s="28">
        <v>0</v>
      </c>
      <c r="M7" s="33">
        <v>205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42555</v>
      </c>
      <c r="C8" s="16">
        <v>28000</v>
      </c>
      <c r="D8" s="17" t="s">
        <v>487</v>
      </c>
      <c r="E8" s="18">
        <v>42555</v>
      </c>
      <c r="F8" s="19">
        <v>28287.48</v>
      </c>
      <c r="G8" s="20"/>
      <c r="H8" s="24">
        <v>42555</v>
      </c>
      <c r="I8" s="25">
        <v>0</v>
      </c>
      <c r="J8" s="26"/>
      <c r="K8" s="27" t="s">
        <v>10</v>
      </c>
      <c r="L8" s="32">
        <v>28750</v>
      </c>
      <c r="M8" s="33">
        <v>587.5</v>
      </c>
      <c r="N8" s="21"/>
      <c r="O8" s="20"/>
      <c r="P8" s="20"/>
      <c r="Q8" s="20"/>
    </row>
    <row r="9" spans="1:19" x14ac:dyDescent="0.25">
      <c r="A9" s="14"/>
      <c r="B9" s="15">
        <v>42556</v>
      </c>
      <c r="C9" s="16">
        <v>16000</v>
      </c>
      <c r="D9" s="17" t="s">
        <v>488</v>
      </c>
      <c r="E9" s="18">
        <v>42556</v>
      </c>
      <c r="F9" s="19">
        <v>26295.78</v>
      </c>
      <c r="G9" s="20"/>
      <c r="H9" s="24">
        <v>42556</v>
      </c>
      <c r="I9" s="25">
        <v>450</v>
      </c>
      <c r="J9" s="35"/>
      <c r="K9" s="27" t="s">
        <v>400</v>
      </c>
      <c r="L9" s="19">
        <v>11150</v>
      </c>
      <c r="M9" s="33">
        <v>369</v>
      </c>
      <c r="N9" s="21"/>
      <c r="O9" s="37"/>
      <c r="P9" s="20"/>
      <c r="Q9" s="20"/>
    </row>
    <row r="10" spans="1:19" x14ac:dyDescent="0.25">
      <c r="A10" s="14"/>
      <c r="B10" s="15">
        <v>42557</v>
      </c>
      <c r="C10" s="16">
        <v>29259.82</v>
      </c>
      <c r="D10" s="22" t="s">
        <v>491</v>
      </c>
      <c r="E10" s="18">
        <v>42557</v>
      </c>
      <c r="F10" s="19">
        <v>33288.879999999997</v>
      </c>
      <c r="G10" s="20"/>
      <c r="H10" s="24">
        <v>42557</v>
      </c>
      <c r="I10" s="25">
        <v>785.84</v>
      </c>
      <c r="J10" s="35"/>
      <c r="K10" s="27" t="s">
        <v>480</v>
      </c>
      <c r="L10" s="19">
        <v>11150</v>
      </c>
      <c r="M10" s="33">
        <v>93</v>
      </c>
      <c r="N10" s="21"/>
      <c r="O10" s="20"/>
      <c r="P10" s="20"/>
      <c r="Q10" s="20"/>
    </row>
    <row r="11" spans="1:19" x14ac:dyDescent="0.25">
      <c r="A11" s="14"/>
      <c r="B11" s="15">
        <v>42558</v>
      </c>
      <c r="C11" s="16">
        <v>36724</v>
      </c>
      <c r="D11" s="34" t="s">
        <v>492</v>
      </c>
      <c r="E11" s="18">
        <v>42558</v>
      </c>
      <c r="F11" s="19">
        <v>37201.11</v>
      </c>
      <c r="G11" s="20"/>
      <c r="H11" s="24">
        <v>42558</v>
      </c>
      <c r="I11" s="25">
        <v>100</v>
      </c>
      <c r="J11" s="35"/>
      <c r="K11" s="27" t="s">
        <v>481</v>
      </c>
      <c r="L11" s="19">
        <v>11150</v>
      </c>
      <c r="M11" s="33">
        <v>377</v>
      </c>
      <c r="N11" s="36"/>
      <c r="O11" s="20"/>
      <c r="P11" s="20"/>
      <c r="Q11" s="20"/>
    </row>
    <row r="12" spans="1:19" x14ac:dyDescent="0.25">
      <c r="A12" s="14"/>
      <c r="B12" s="15">
        <v>42559</v>
      </c>
      <c r="C12" s="16">
        <v>60929</v>
      </c>
      <c r="D12" s="17" t="s">
        <v>493</v>
      </c>
      <c r="E12" s="18">
        <v>42559</v>
      </c>
      <c r="F12" s="19">
        <v>61233.25</v>
      </c>
      <c r="G12" s="20"/>
      <c r="H12" s="24">
        <v>42559</v>
      </c>
      <c r="I12" s="25">
        <v>0</v>
      </c>
      <c r="J12" s="35"/>
      <c r="K12" s="27" t="s">
        <v>482</v>
      </c>
      <c r="L12" s="19">
        <v>11150</v>
      </c>
      <c r="M12" s="33">
        <v>304</v>
      </c>
      <c r="N12" s="21"/>
      <c r="O12" s="37"/>
      <c r="P12" s="38"/>
      <c r="Q12" s="20"/>
    </row>
    <row r="13" spans="1:19" x14ac:dyDescent="0.25">
      <c r="A13" s="14"/>
      <c r="B13" s="15">
        <v>42560</v>
      </c>
      <c r="C13" s="16">
        <v>58063.67</v>
      </c>
      <c r="D13" s="34" t="s">
        <v>494</v>
      </c>
      <c r="E13" s="18">
        <v>42560</v>
      </c>
      <c r="F13" s="19">
        <v>59011.47</v>
      </c>
      <c r="G13" s="20"/>
      <c r="H13" s="24">
        <v>42560</v>
      </c>
      <c r="I13" s="25">
        <v>400</v>
      </c>
      <c r="J13" s="35"/>
      <c r="K13" s="27" t="s">
        <v>558</v>
      </c>
      <c r="L13" s="19">
        <v>11150</v>
      </c>
      <c r="M13" s="33">
        <v>548</v>
      </c>
      <c r="N13" s="21"/>
      <c r="O13" s="20"/>
      <c r="P13" s="20"/>
      <c r="Q13" s="20"/>
    </row>
    <row r="14" spans="1:19" x14ac:dyDescent="0.25">
      <c r="A14" s="14"/>
      <c r="B14" s="15">
        <v>42561</v>
      </c>
      <c r="C14" s="16">
        <v>34572.5</v>
      </c>
      <c r="D14" s="17" t="s">
        <v>495</v>
      </c>
      <c r="E14" s="18">
        <v>42561</v>
      </c>
      <c r="F14" s="19">
        <v>41622.480000000003</v>
      </c>
      <c r="G14" s="20"/>
      <c r="H14" s="24">
        <v>42561</v>
      </c>
      <c r="I14" s="25">
        <v>0</v>
      </c>
      <c r="J14" s="35"/>
      <c r="K14" s="40" t="s">
        <v>264</v>
      </c>
      <c r="L14" s="19">
        <v>0</v>
      </c>
      <c r="M14" s="33">
        <v>0</v>
      </c>
      <c r="N14" s="21"/>
      <c r="O14" s="20"/>
      <c r="P14" s="20"/>
      <c r="Q14" s="20"/>
    </row>
    <row r="15" spans="1:19" ht="15.75" x14ac:dyDescent="0.25">
      <c r="A15" s="14"/>
      <c r="B15" s="15">
        <v>42562</v>
      </c>
      <c r="C15" s="16">
        <v>39639.94</v>
      </c>
      <c r="D15" s="17" t="s">
        <v>496</v>
      </c>
      <c r="E15" s="18">
        <v>42562</v>
      </c>
      <c r="F15" s="19">
        <v>38843.910000000003</v>
      </c>
      <c r="G15" s="20"/>
      <c r="H15" s="24">
        <v>42562</v>
      </c>
      <c r="I15" s="25">
        <v>184</v>
      </c>
      <c r="J15" s="35"/>
      <c r="K15" s="226" t="s">
        <v>11</v>
      </c>
      <c r="L15" s="19">
        <v>9512</v>
      </c>
      <c r="M15" s="33">
        <v>143</v>
      </c>
      <c r="N15" s="30"/>
      <c r="O15" s="20"/>
      <c r="P15" s="20"/>
      <c r="Q15" s="20"/>
    </row>
    <row r="16" spans="1:19" ht="15.75" x14ac:dyDescent="0.25">
      <c r="A16" s="14"/>
      <c r="B16" s="15">
        <v>42563</v>
      </c>
      <c r="C16" s="16">
        <v>34500</v>
      </c>
      <c r="D16" s="17" t="s">
        <v>497</v>
      </c>
      <c r="E16" s="18">
        <v>42563</v>
      </c>
      <c r="F16" s="19">
        <v>34733.18</v>
      </c>
      <c r="G16" s="20"/>
      <c r="H16" s="24">
        <v>42563</v>
      </c>
      <c r="I16" s="25">
        <v>105.3</v>
      </c>
      <c r="J16" s="35"/>
      <c r="K16" s="325">
        <v>42556</v>
      </c>
      <c r="L16" s="42">
        <v>0</v>
      </c>
      <c r="M16" s="33">
        <v>128</v>
      </c>
      <c r="N16" s="30"/>
      <c r="O16" s="20"/>
      <c r="P16" s="20"/>
      <c r="Q16" s="20"/>
    </row>
    <row r="17" spans="1:18" x14ac:dyDescent="0.25">
      <c r="A17" s="14"/>
      <c r="B17" s="15">
        <v>42564</v>
      </c>
      <c r="C17" s="16">
        <v>47660.44</v>
      </c>
      <c r="D17" s="17" t="s">
        <v>498</v>
      </c>
      <c r="E17" s="18">
        <v>42564</v>
      </c>
      <c r="F17" s="19">
        <v>48658.37</v>
      </c>
      <c r="G17" s="20"/>
      <c r="H17" s="24">
        <v>42564</v>
      </c>
      <c r="I17" s="25">
        <v>200</v>
      </c>
      <c r="J17" s="35"/>
      <c r="K17" s="265" t="s">
        <v>542</v>
      </c>
      <c r="L17" s="19">
        <v>3813.89</v>
      </c>
      <c r="M17" s="33">
        <v>798</v>
      </c>
      <c r="N17" s="30"/>
      <c r="O17" s="20"/>
      <c r="P17" s="20"/>
      <c r="Q17" s="20"/>
    </row>
    <row r="18" spans="1:18" x14ac:dyDescent="0.25">
      <c r="A18" s="14"/>
      <c r="B18" s="15">
        <v>42565</v>
      </c>
      <c r="C18" s="16">
        <v>53803.199999999997</v>
      </c>
      <c r="D18" s="17" t="s">
        <v>506</v>
      </c>
      <c r="E18" s="18">
        <v>42565</v>
      </c>
      <c r="F18" s="19">
        <v>54361.2</v>
      </c>
      <c r="G18" s="20"/>
      <c r="H18" s="24">
        <v>42565</v>
      </c>
      <c r="I18" s="25">
        <v>0</v>
      </c>
      <c r="J18" s="35"/>
      <c r="K18" s="283"/>
      <c r="L18" s="19">
        <v>0</v>
      </c>
      <c r="M18" s="33">
        <v>558</v>
      </c>
      <c r="N18" s="21"/>
      <c r="O18" s="37"/>
      <c r="P18" s="20"/>
      <c r="Q18" s="20"/>
    </row>
    <row r="19" spans="1:18" x14ac:dyDescent="0.25">
      <c r="A19" s="14"/>
      <c r="B19" s="15">
        <v>42566</v>
      </c>
      <c r="C19" s="16">
        <v>57497.48</v>
      </c>
      <c r="D19" s="34" t="s">
        <v>508</v>
      </c>
      <c r="E19" s="18">
        <v>42566</v>
      </c>
      <c r="F19" s="19">
        <v>59585.19</v>
      </c>
      <c r="G19" s="20"/>
      <c r="H19" s="24">
        <v>42566</v>
      </c>
      <c r="I19" s="25">
        <v>0</v>
      </c>
      <c r="J19" s="35"/>
      <c r="K19" s="43"/>
      <c r="L19" s="44">
        <v>0</v>
      </c>
      <c r="M19" s="33">
        <v>88</v>
      </c>
      <c r="N19" s="21"/>
      <c r="O19" s="20"/>
      <c r="P19" s="20"/>
      <c r="Q19" s="20"/>
    </row>
    <row r="20" spans="1:18" x14ac:dyDescent="0.25">
      <c r="A20" s="14"/>
      <c r="B20" s="15">
        <v>42567</v>
      </c>
      <c r="C20" s="16">
        <v>79544</v>
      </c>
      <c r="D20" s="22" t="s">
        <v>509</v>
      </c>
      <c r="E20" s="18">
        <v>42567</v>
      </c>
      <c r="F20" s="19">
        <v>80289.320000000007</v>
      </c>
      <c r="G20" s="20"/>
      <c r="H20" s="24">
        <v>42567</v>
      </c>
      <c r="I20" s="45">
        <v>485</v>
      </c>
      <c r="J20" s="35"/>
      <c r="K20" s="46" t="s">
        <v>14</v>
      </c>
      <c r="L20" s="42">
        <v>0</v>
      </c>
      <c r="M20" s="33">
        <v>260</v>
      </c>
      <c r="N20" s="21"/>
      <c r="O20" s="20"/>
      <c r="P20" s="20"/>
      <c r="Q20" s="20"/>
    </row>
    <row r="21" spans="1:18" x14ac:dyDescent="0.25">
      <c r="A21" s="14"/>
      <c r="B21" s="15">
        <v>42568</v>
      </c>
      <c r="C21" s="16">
        <v>37253.199999999997</v>
      </c>
      <c r="D21" s="17" t="s">
        <v>510</v>
      </c>
      <c r="E21" s="18">
        <v>42568</v>
      </c>
      <c r="F21" s="19">
        <v>45031.38</v>
      </c>
      <c r="G21" s="20"/>
      <c r="H21" s="24">
        <v>42568</v>
      </c>
      <c r="I21" s="45">
        <v>300</v>
      </c>
      <c r="J21" s="35"/>
      <c r="K21" s="47" t="s">
        <v>15</v>
      </c>
      <c r="L21" s="42">
        <v>0</v>
      </c>
      <c r="M21" s="33">
        <v>428</v>
      </c>
      <c r="N21" s="21"/>
      <c r="O21" s="37"/>
      <c r="P21" s="37"/>
      <c r="Q21" s="37"/>
      <c r="R21" s="37"/>
    </row>
    <row r="22" spans="1:18" x14ac:dyDescent="0.25">
      <c r="A22" s="14"/>
      <c r="B22" s="15">
        <v>42569</v>
      </c>
      <c r="C22" s="16">
        <v>23710</v>
      </c>
      <c r="D22" s="17" t="s">
        <v>511</v>
      </c>
      <c r="E22" s="18">
        <v>42569</v>
      </c>
      <c r="F22" s="19">
        <v>23794.639999999999</v>
      </c>
      <c r="G22" s="20"/>
      <c r="H22" s="24">
        <v>42569</v>
      </c>
      <c r="I22" s="45">
        <v>0</v>
      </c>
      <c r="J22" s="48"/>
      <c r="K22" s="49" t="s">
        <v>29</v>
      </c>
      <c r="L22" s="42">
        <v>0</v>
      </c>
      <c r="M22" s="33">
        <v>84.5</v>
      </c>
      <c r="N22" s="30"/>
      <c r="O22" s="20"/>
      <c r="P22" s="20"/>
      <c r="Q22" s="20"/>
    </row>
    <row r="23" spans="1:18" x14ac:dyDescent="0.25">
      <c r="A23" s="14"/>
      <c r="B23" s="15">
        <v>42570</v>
      </c>
      <c r="C23" s="16">
        <v>36500</v>
      </c>
      <c r="D23" s="259" t="s">
        <v>512</v>
      </c>
      <c r="E23" s="18">
        <v>42570</v>
      </c>
      <c r="F23" s="19">
        <v>36687.43</v>
      </c>
      <c r="G23" s="20"/>
      <c r="H23" s="24">
        <v>42570</v>
      </c>
      <c r="I23" s="45">
        <v>0</v>
      </c>
      <c r="J23" s="26"/>
      <c r="K23" s="50"/>
      <c r="L23" s="42">
        <v>0</v>
      </c>
      <c r="M23" s="33">
        <v>187.5</v>
      </c>
      <c r="N23" s="30"/>
      <c r="O23" s="20"/>
      <c r="P23" s="20"/>
      <c r="Q23" s="20"/>
    </row>
    <row r="24" spans="1:18" x14ac:dyDescent="0.25">
      <c r="A24" s="14"/>
      <c r="B24" s="15">
        <v>42571</v>
      </c>
      <c r="C24" s="16">
        <v>45174.2</v>
      </c>
      <c r="D24" s="17" t="s">
        <v>513</v>
      </c>
      <c r="E24" s="18">
        <v>42571</v>
      </c>
      <c r="F24" s="19">
        <v>45885.599999999999</v>
      </c>
      <c r="G24" s="20"/>
      <c r="H24" s="24">
        <v>42571</v>
      </c>
      <c r="I24" s="45">
        <v>638.98</v>
      </c>
      <c r="J24" s="35"/>
      <c r="K24" s="51" t="s">
        <v>270</v>
      </c>
      <c r="L24" s="42">
        <v>0</v>
      </c>
      <c r="M24" s="33">
        <v>72.5</v>
      </c>
      <c r="N24" s="30"/>
      <c r="O24" s="20"/>
      <c r="P24" s="20"/>
      <c r="Q24" s="20"/>
    </row>
    <row r="25" spans="1:18" x14ac:dyDescent="0.25">
      <c r="A25" s="14"/>
      <c r="B25" s="15">
        <v>42572</v>
      </c>
      <c r="C25" s="16">
        <v>27435.200000000001</v>
      </c>
      <c r="D25" s="259" t="s">
        <v>525</v>
      </c>
      <c r="E25" s="18">
        <v>42572</v>
      </c>
      <c r="F25" s="19">
        <v>27535.360000000001</v>
      </c>
      <c r="G25" s="20"/>
      <c r="H25" s="24">
        <v>42572</v>
      </c>
      <c r="I25" s="45">
        <v>100</v>
      </c>
      <c r="J25" s="26"/>
      <c r="K25" s="50"/>
      <c r="L25" s="42">
        <v>0</v>
      </c>
      <c r="M25" s="33">
        <v>0</v>
      </c>
      <c r="N25" s="21"/>
      <c r="O25" s="20"/>
      <c r="P25" s="20"/>
      <c r="Q25" s="20"/>
    </row>
    <row r="26" spans="1:18" x14ac:dyDescent="0.25">
      <c r="A26" s="14"/>
      <c r="B26" s="15">
        <v>42573</v>
      </c>
      <c r="C26" s="16">
        <v>44738.5</v>
      </c>
      <c r="D26" s="17" t="s">
        <v>526</v>
      </c>
      <c r="E26" s="18">
        <v>42573</v>
      </c>
      <c r="F26" s="19">
        <v>44906.27</v>
      </c>
      <c r="G26" s="20"/>
      <c r="H26" s="24">
        <v>42573</v>
      </c>
      <c r="I26" s="45">
        <v>117</v>
      </c>
      <c r="J26" s="52"/>
      <c r="K26" s="50"/>
      <c r="L26" s="42">
        <v>0</v>
      </c>
      <c r="M26" s="33">
        <v>51</v>
      </c>
      <c r="N26" s="21"/>
      <c r="O26" s="37"/>
      <c r="P26" s="38"/>
      <c r="Q26" s="20"/>
    </row>
    <row r="27" spans="1:18" x14ac:dyDescent="0.25">
      <c r="A27" s="14"/>
      <c r="B27" s="15">
        <v>42574</v>
      </c>
      <c r="C27" s="16">
        <v>52300</v>
      </c>
      <c r="D27" s="17" t="s">
        <v>527</v>
      </c>
      <c r="E27" s="18">
        <v>42574</v>
      </c>
      <c r="F27" s="19">
        <v>52696.09</v>
      </c>
      <c r="G27" s="20"/>
      <c r="H27" s="24">
        <v>42574</v>
      </c>
      <c r="I27" s="45">
        <v>197.5</v>
      </c>
      <c r="J27" s="26"/>
      <c r="K27" s="53" t="s">
        <v>490</v>
      </c>
      <c r="L27" s="42">
        <v>2500</v>
      </c>
      <c r="M27" s="33">
        <v>198.5</v>
      </c>
      <c r="N27" s="21"/>
      <c r="O27" s="20"/>
      <c r="P27" s="20"/>
      <c r="Q27" s="20"/>
    </row>
    <row r="28" spans="1:18" x14ac:dyDescent="0.25">
      <c r="A28" s="14"/>
      <c r="B28" s="15">
        <v>42575</v>
      </c>
      <c r="C28" s="16">
        <v>35000</v>
      </c>
      <c r="D28" s="17" t="s">
        <v>528</v>
      </c>
      <c r="E28" s="18">
        <v>42575</v>
      </c>
      <c r="F28" s="19">
        <v>42725.34</v>
      </c>
      <c r="G28" s="20"/>
      <c r="H28" s="24">
        <v>42575</v>
      </c>
      <c r="I28" s="45">
        <v>400</v>
      </c>
      <c r="J28" s="26"/>
      <c r="K28" s="298" t="s">
        <v>507</v>
      </c>
      <c r="L28" s="42">
        <v>2000</v>
      </c>
      <c r="M28" s="33">
        <v>275</v>
      </c>
      <c r="N28" s="30"/>
      <c r="O28" s="20"/>
      <c r="P28" s="20"/>
      <c r="Q28" s="20"/>
    </row>
    <row r="29" spans="1:18" x14ac:dyDescent="0.25">
      <c r="A29" s="14"/>
      <c r="B29" s="15">
        <v>42576</v>
      </c>
      <c r="C29" s="16">
        <v>34618.6</v>
      </c>
      <c r="D29" s="17" t="s">
        <v>529</v>
      </c>
      <c r="E29" s="18">
        <v>42576</v>
      </c>
      <c r="F29" s="19">
        <v>34676.25</v>
      </c>
      <c r="G29" s="20"/>
      <c r="H29" s="24">
        <v>42576</v>
      </c>
      <c r="I29" s="45">
        <v>0</v>
      </c>
      <c r="J29" s="26"/>
      <c r="K29" s="55" t="s">
        <v>372</v>
      </c>
      <c r="L29" s="56">
        <v>0</v>
      </c>
      <c r="M29" s="33">
        <v>57.5</v>
      </c>
      <c r="N29" s="30"/>
      <c r="O29" s="20"/>
      <c r="P29" s="20"/>
      <c r="Q29" s="20"/>
    </row>
    <row r="30" spans="1:18" ht="15.75" thickBot="1" x14ac:dyDescent="0.3">
      <c r="A30" s="14"/>
      <c r="B30" s="15">
        <v>42577</v>
      </c>
      <c r="C30" s="16">
        <v>26236</v>
      </c>
      <c r="D30" s="17" t="s">
        <v>530</v>
      </c>
      <c r="E30" s="18">
        <v>42577</v>
      </c>
      <c r="F30" s="19">
        <v>26849.85</v>
      </c>
      <c r="G30" s="20"/>
      <c r="H30" s="24">
        <v>42577</v>
      </c>
      <c r="I30" s="45">
        <v>100</v>
      </c>
      <c r="J30" s="52"/>
      <c r="K30" s="54" t="s">
        <v>373</v>
      </c>
      <c r="L30" s="56">
        <v>0</v>
      </c>
      <c r="M30" s="33">
        <v>514</v>
      </c>
      <c r="N30" s="30"/>
      <c r="O30" s="20"/>
      <c r="P30" s="20"/>
      <c r="Q30" s="20"/>
    </row>
    <row r="31" spans="1:18" x14ac:dyDescent="0.25">
      <c r="A31" s="14"/>
      <c r="B31" s="15">
        <v>42578</v>
      </c>
      <c r="C31" s="16">
        <v>36709.599999999999</v>
      </c>
      <c r="D31" s="17" t="s">
        <v>531</v>
      </c>
      <c r="E31" s="18">
        <v>42578</v>
      </c>
      <c r="F31" s="19">
        <v>37060.370000000003</v>
      </c>
      <c r="G31" s="20"/>
      <c r="H31" s="24">
        <v>42578</v>
      </c>
      <c r="I31" s="45">
        <v>0</v>
      </c>
      <c r="J31" s="35"/>
      <c r="K31" s="57" t="s">
        <v>374</v>
      </c>
      <c r="L31" s="303">
        <v>0</v>
      </c>
      <c r="M31" s="33">
        <v>351</v>
      </c>
      <c r="N31" s="21"/>
      <c r="O31" s="20"/>
      <c r="P31" s="20"/>
      <c r="Q31" s="20"/>
    </row>
    <row r="32" spans="1:18" ht="15.75" thickBot="1" x14ac:dyDescent="0.3">
      <c r="A32" s="14"/>
      <c r="B32" s="15">
        <v>42579</v>
      </c>
      <c r="C32" s="16">
        <v>32071</v>
      </c>
      <c r="D32" s="17" t="s">
        <v>532</v>
      </c>
      <c r="E32" s="18">
        <v>42579</v>
      </c>
      <c r="F32" s="19">
        <v>32222.05</v>
      </c>
      <c r="G32" s="20"/>
      <c r="H32" s="24">
        <v>42579</v>
      </c>
      <c r="I32" s="45">
        <v>130</v>
      </c>
      <c r="J32" s="26"/>
      <c r="K32" s="53"/>
      <c r="L32" s="304"/>
      <c r="M32" s="33">
        <v>21</v>
      </c>
      <c r="N32" s="30"/>
      <c r="O32" s="20"/>
      <c r="P32" s="20"/>
      <c r="Q32" s="20"/>
    </row>
    <row r="33" spans="1:17" x14ac:dyDescent="0.25">
      <c r="A33" s="14"/>
      <c r="B33" s="15">
        <v>42580</v>
      </c>
      <c r="C33" s="16">
        <v>50592.4</v>
      </c>
      <c r="D33" s="34" t="s">
        <v>533</v>
      </c>
      <c r="E33" s="18">
        <v>42580</v>
      </c>
      <c r="F33" s="19">
        <v>50625.99</v>
      </c>
      <c r="G33" s="20"/>
      <c r="H33" s="24">
        <v>42580</v>
      </c>
      <c r="I33" s="45">
        <v>0</v>
      </c>
      <c r="J33" s="26"/>
      <c r="K33" s="293"/>
      <c r="L33" s="383">
        <v>0</v>
      </c>
      <c r="M33" s="33">
        <v>33.5</v>
      </c>
      <c r="N33" s="21"/>
      <c r="O33" s="20"/>
      <c r="P33" s="20"/>
      <c r="Q33" s="20"/>
    </row>
    <row r="34" spans="1:17" x14ac:dyDescent="0.25">
      <c r="A34" s="14"/>
      <c r="B34" s="15">
        <v>42581</v>
      </c>
      <c r="C34" s="16">
        <v>60652.1</v>
      </c>
      <c r="D34" s="17" t="s">
        <v>556</v>
      </c>
      <c r="E34" s="18">
        <v>42581</v>
      </c>
      <c r="F34" s="19">
        <v>61068.52</v>
      </c>
      <c r="G34" s="20"/>
      <c r="H34" s="24">
        <v>42581</v>
      </c>
      <c r="I34" s="45">
        <v>100</v>
      </c>
      <c r="J34" s="26"/>
      <c r="K34" s="293"/>
      <c r="L34" s="384"/>
      <c r="M34" s="33">
        <v>316.5</v>
      </c>
      <c r="N34" s="21"/>
      <c r="O34" s="20"/>
    </row>
    <row r="35" spans="1:17" ht="15.75" thickBot="1" x14ac:dyDescent="0.3">
      <c r="A35" s="14"/>
      <c r="B35" s="15">
        <v>42582</v>
      </c>
      <c r="C35" s="16">
        <v>32000</v>
      </c>
      <c r="D35" s="34" t="s">
        <v>557</v>
      </c>
      <c r="E35" s="18">
        <v>42582</v>
      </c>
      <c r="F35" s="19">
        <v>39537.69</v>
      </c>
      <c r="G35" s="20"/>
      <c r="H35" s="24">
        <v>42582</v>
      </c>
      <c r="I35" s="45">
        <v>300</v>
      </c>
      <c r="J35" s="26"/>
      <c r="K35" s="387"/>
      <c r="L35" s="28">
        <v>0</v>
      </c>
      <c r="M35" s="33">
        <v>187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87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7563</v>
      </c>
    </row>
    <row r="38" spans="1:17" x14ac:dyDescent="0.25">
      <c r="B38" s="82" t="s">
        <v>16</v>
      </c>
      <c r="C38" s="83">
        <f>SUM(C5:C37)</f>
        <v>1324599.75</v>
      </c>
      <c r="E38" s="315" t="s">
        <v>16</v>
      </c>
      <c r="F38" s="85">
        <f>SUM(F5:F37)</f>
        <v>1371335.2600000005</v>
      </c>
      <c r="H38" s="5" t="s">
        <v>16</v>
      </c>
      <c r="I38" s="86">
        <f>SUM(I5:I37)</f>
        <v>6483.02</v>
      </c>
      <c r="J38" s="86"/>
      <c r="K38" s="87" t="s">
        <v>16</v>
      </c>
      <c r="L38" s="88">
        <f>SUM(L5:L37)</f>
        <v>102863.89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317"/>
      <c r="K40" s="354">
        <f>I38+L38</f>
        <v>109346.91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1261988.3500000006</v>
      </c>
      <c r="I41" s="96"/>
      <c r="J41" s="96"/>
    </row>
    <row r="42" spans="1:17" ht="15.75" x14ac:dyDescent="0.25">
      <c r="D42" s="369" t="s">
        <v>193</v>
      </c>
      <c r="E42" s="369"/>
      <c r="F42" s="95">
        <v>-1336879.8700000001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-74891.519999999553</v>
      </c>
      <c r="I44" s="370" t="s">
        <v>22</v>
      </c>
      <c r="J44" s="371"/>
      <c r="K44" s="374">
        <f>F48+L46</f>
        <v>132687.01000000045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30106.720000000001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177471.81</v>
      </c>
      <c r="I46" s="379"/>
      <c r="J46" s="379"/>
      <c r="K46" s="380"/>
      <c r="L46" s="102"/>
    </row>
    <row r="47" spans="1:17" ht="19.5" thickBot="1" x14ac:dyDescent="0.35">
      <c r="C47" s="85"/>
      <c r="D47" s="315"/>
      <c r="E47" s="315"/>
      <c r="F47" s="103"/>
      <c r="H47" s="104"/>
      <c r="I47" s="316" t="s">
        <v>26</v>
      </c>
      <c r="J47" s="316"/>
      <c r="K47" s="361">
        <v>0</v>
      </c>
      <c r="L47" s="362"/>
      <c r="M47" s="152">
        <v>211525.97</v>
      </c>
    </row>
    <row r="48" spans="1:17" ht="17.25" thickTop="1" thickBot="1" x14ac:dyDescent="0.3">
      <c r="E48" s="106" t="s">
        <v>27</v>
      </c>
      <c r="F48" s="107">
        <f>F44+F45+F46</f>
        <v>132687.01000000045</v>
      </c>
    </row>
    <row r="49" spans="2:14" ht="19.5" thickBot="1" x14ac:dyDescent="0.35">
      <c r="B49"/>
      <c r="C49"/>
      <c r="D49" s="363"/>
      <c r="E49" s="363"/>
      <c r="F49" s="67"/>
      <c r="I49" s="364" t="s">
        <v>559</v>
      </c>
      <c r="J49" s="365"/>
      <c r="K49" s="366">
        <f>K44+K47</f>
        <v>132687.01000000045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7"/>
  <sheetViews>
    <sheetView topLeftCell="F1" workbookViewId="0">
      <selection activeCell="M1" sqref="M1:S23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1.42578125" style="323"/>
    <col min="11" max="11" width="12.5703125" bestFit="1" customWidth="1"/>
    <col min="12" max="12" width="13.28515625" customWidth="1"/>
    <col min="13" max="13" width="12.5703125" bestFit="1" customWidth="1"/>
    <col min="14" max="14" width="11.42578125" customWidth="1"/>
    <col min="15" max="16" width="16.7109375" customWidth="1"/>
    <col min="17" max="17" width="8.5703125" customWidth="1"/>
    <col min="18" max="18" width="20.140625" bestFit="1" customWidth="1"/>
    <col min="19" max="19" width="11.42578125" bestFit="1" customWidth="1"/>
    <col min="20" max="20" width="16.28515625" customWidth="1"/>
    <col min="23" max="23" width="13.85546875" bestFit="1" customWidth="1"/>
    <col min="24" max="24" width="9.85546875" bestFit="1" customWidth="1"/>
    <col min="25" max="25" width="14.85546875" customWidth="1"/>
    <col min="27" max="27" width="16.28515625" customWidth="1"/>
    <col min="28" max="28" width="20.140625" bestFit="1" customWidth="1"/>
  </cols>
  <sheetData>
    <row r="1" spans="1:29" ht="23.25" thickBot="1" x14ac:dyDescent="0.35">
      <c r="B1" s="109" t="s">
        <v>456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86" t="s">
        <v>460</v>
      </c>
      <c r="K1" s="386"/>
      <c r="O1" s="146" t="s">
        <v>46</v>
      </c>
      <c r="P1" s="147"/>
      <c r="Q1" s="148"/>
      <c r="R1" s="195">
        <v>42566</v>
      </c>
      <c r="S1" s="150"/>
      <c r="Y1" s="146" t="s">
        <v>46</v>
      </c>
      <c r="Z1" s="147"/>
      <c r="AA1" s="148"/>
      <c r="AB1" s="332">
        <v>42581</v>
      </c>
      <c r="AC1" s="150"/>
    </row>
    <row r="2" spans="1:29" ht="16.5" thickBot="1" x14ac:dyDescent="0.3">
      <c r="A2" s="112"/>
      <c r="B2" s="113"/>
      <c r="C2" s="114"/>
      <c r="D2" s="113"/>
      <c r="E2" s="114"/>
      <c r="F2" s="114"/>
      <c r="N2" s="151"/>
      <c r="O2" s="152"/>
      <c r="P2" s="151"/>
      <c r="Q2" s="153"/>
      <c r="R2" s="152"/>
      <c r="S2" s="154"/>
      <c r="X2" s="151"/>
      <c r="Y2" s="152"/>
      <c r="Z2" s="151"/>
      <c r="AA2" s="153"/>
      <c r="AB2" s="152"/>
      <c r="AC2" s="154"/>
    </row>
    <row r="3" spans="1:29" ht="15.75" x14ac:dyDescent="0.25">
      <c r="A3" s="115">
        <v>42552</v>
      </c>
      <c r="B3" s="123" t="s">
        <v>457</v>
      </c>
      <c r="C3" s="26">
        <v>58355.02</v>
      </c>
      <c r="D3" s="117">
        <v>42566</v>
      </c>
      <c r="E3" s="21">
        <v>58355.02</v>
      </c>
      <c r="F3" s="118">
        <f>C3-E3</f>
        <v>0</v>
      </c>
      <c r="N3" s="155" t="s">
        <v>47</v>
      </c>
      <c r="O3" s="152" t="s">
        <v>48</v>
      </c>
      <c r="P3" s="151"/>
      <c r="Q3" s="153" t="s">
        <v>49</v>
      </c>
      <c r="R3" s="152" t="s">
        <v>50</v>
      </c>
      <c r="S3" s="154"/>
      <c r="X3" s="155" t="s">
        <v>47</v>
      </c>
      <c r="Y3" s="152" t="s">
        <v>48</v>
      </c>
      <c r="Z3" s="151"/>
      <c r="AA3" s="153" t="s">
        <v>49</v>
      </c>
      <c r="AB3" s="152" t="s">
        <v>50</v>
      </c>
      <c r="AC3" s="154"/>
    </row>
    <row r="4" spans="1:29" ht="15.75" x14ac:dyDescent="0.25">
      <c r="A4" s="119">
        <v>42553</v>
      </c>
      <c r="B4" s="123" t="s">
        <v>458</v>
      </c>
      <c r="C4" s="21">
        <v>49211.17</v>
      </c>
      <c r="D4" s="117">
        <v>42566</v>
      </c>
      <c r="E4" s="21">
        <v>49211.17</v>
      </c>
      <c r="F4" s="122">
        <f>C4-E4</f>
        <v>0</v>
      </c>
      <c r="K4" s="30"/>
      <c r="M4" s="324">
        <f>25140+29000+13673.1</f>
        <v>67813.100000000006</v>
      </c>
      <c r="N4" s="123" t="s">
        <v>447</v>
      </c>
      <c r="O4" s="26">
        <v>67806.38</v>
      </c>
      <c r="P4" s="156" t="s">
        <v>111</v>
      </c>
      <c r="Q4" s="157">
        <v>3280942</v>
      </c>
      <c r="R4" s="238">
        <v>25140</v>
      </c>
      <c r="S4" s="239">
        <v>42551</v>
      </c>
      <c r="V4" s="327">
        <f>22010.6+17038.5</f>
        <v>39049.1</v>
      </c>
      <c r="W4" s="324">
        <v>17038.5</v>
      </c>
      <c r="X4" s="125" t="s">
        <v>502</v>
      </c>
      <c r="Y4" s="26">
        <v>16738.599999999999</v>
      </c>
      <c r="Z4" s="156" t="s">
        <v>51</v>
      </c>
      <c r="AA4" s="157" t="s">
        <v>52</v>
      </c>
      <c r="AB4" s="238">
        <v>27057</v>
      </c>
      <c r="AC4" s="239">
        <v>42573</v>
      </c>
    </row>
    <row r="5" spans="1:29" ht="15.75" x14ac:dyDescent="0.25">
      <c r="A5" s="124">
        <v>42554</v>
      </c>
      <c r="B5" s="123" t="s">
        <v>459</v>
      </c>
      <c r="C5" s="26">
        <v>53110.52</v>
      </c>
      <c r="D5" s="117">
        <v>42566</v>
      </c>
      <c r="E5" s="21">
        <v>53110.52</v>
      </c>
      <c r="F5" s="122">
        <f>C5-E5</f>
        <v>0</v>
      </c>
      <c r="K5" s="30"/>
      <c r="M5" s="30">
        <f>3248.4+35687.66</f>
        <v>38936.060000000005</v>
      </c>
      <c r="N5" s="123" t="s">
        <v>449</v>
      </c>
      <c r="O5" s="26">
        <v>38936.06</v>
      </c>
      <c r="P5" s="156"/>
      <c r="Q5" s="157" t="s">
        <v>52</v>
      </c>
      <c r="R5" s="238">
        <v>29000</v>
      </c>
      <c r="S5" s="239">
        <v>42552</v>
      </c>
      <c r="V5" s="327">
        <v>3013.2</v>
      </c>
      <c r="W5" s="30">
        <v>3013.2</v>
      </c>
      <c r="X5" s="125" t="s">
        <v>503</v>
      </c>
      <c r="Y5" s="26">
        <v>3013.2</v>
      </c>
      <c r="Z5" s="156"/>
      <c r="AA5" s="157" t="s">
        <v>52</v>
      </c>
      <c r="AB5" s="238">
        <v>44738.5</v>
      </c>
      <c r="AC5" s="239">
        <v>42576</v>
      </c>
    </row>
    <row r="6" spans="1:29" ht="15.75" x14ac:dyDescent="0.25">
      <c r="A6" s="119">
        <v>42555</v>
      </c>
      <c r="B6" s="123" t="s">
        <v>461</v>
      </c>
      <c r="C6" s="21">
        <v>55332.5</v>
      </c>
      <c r="D6" s="117">
        <v>42566</v>
      </c>
      <c r="E6" s="21">
        <v>55332.5</v>
      </c>
      <c r="F6" s="122">
        <f>C6-E6</f>
        <v>0</v>
      </c>
      <c r="K6" s="30"/>
      <c r="M6" s="30">
        <f>33000+13434.77</f>
        <v>46434.770000000004</v>
      </c>
      <c r="N6" s="123" t="s">
        <v>450</v>
      </c>
      <c r="O6" s="26">
        <v>46434.77</v>
      </c>
      <c r="P6" s="160"/>
      <c r="Q6" s="157" t="s">
        <v>52</v>
      </c>
      <c r="R6" s="238">
        <v>52076.5</v>
      </c>
      <c r="S6" s="239">
        <v>42553</v>
      </c>
      <c r="V6" s="327">
        <f>7005.5+40200.4</f>
        <v>47205.9</v>
      </c>
      <c r="W6" s="30">
        <f>7005.5+35052.5</f>
        <v>42058</v>
      </c>
      <c r="X6" s="125" t="s">
        <v>501</v>
      </c>
      <c r="Y6" s="26">
        <v>42322.720000000001</v>
      </c>
      <c r="Z6" s="161" t="s">
        <v>51</v>
      </c>
      <c r="AA6" s="157" t="s">
        <v>52</v>
      </c>
      <c r="AB6" s="238">
        <v>51000</v>
      </c>
      <c r="AC6" s="239">
        <v>42577</v>
      </c>
    </row>
    <row r="7" spans="1:29" ht="15.75" x14ac:dyDescent="0.25">
      <c r="A7" s="119">
        <v>42556</v>
      </c>
      <c r="B7" s="123" t="s">
        <v>462</v>
      </c>
      <c r="C7" s="21">
        <v>11891.64</v>
      </c>
      <c r="D7" s="117">
        <v>42566</v>
      </c>
      <c r="E7" s="21">
        <v>11891.64</v>
      </c>
      <c r="F7" s="122">
        <f t="shared" ref="F7:F33" si="0">C7-E7</f>
        <v>0</v>
      </c>
      <c r="K7" s="30"/>
      <c r="M7" s="30">
        <f>2716+34999.9</f>
        <v>37715.9</v>
      </c>
      <c r="N7" s="123" t="s">
        <v>453</v>
      </c>
      <c r="O7" s="26">
        <v>37715.9</v>
      </c>
      <c r="P7" s="161"/>
      <c r="Q7" s="157" t="s">
        <v>52</v>
      </c>
      <c r="R7" s="238">
        <v>3248.5</v>
      </c>
      <c r="S7" s="239">
        <v>42551</v>
      </c>
      <c r="W7" s="30">
        <f>9686+51000+15000</f>
        <v>75686</v>
      </c>
      <c r="X7" s="125" t="s">
        <v>504</v>
      </c>
      <c r="Y7" s="26">
        <v>75686.75</v>
      </c>
      <c r="Z7" s="161"/>
      <c r="AA7" s="157">
        <v>3280947</v>
      </c>
      <c r="AB7" s="238">
        <v>35000</v>
      </c>
      <c r="AC7" s="239">
        <v>42577</v>
      </c>
    </row>
    <row r="8" spans="1:29" ht="15.75" x14ac:dyDescent="0.25">
      <c r="A8" s="119">
        <v>42556</v>
      </c>
      <c r="B8" s="123" t="s">
        <v>463</v>
      </c>
      <c r="C8" s="21">
        <v>41710</v>
      </c>
      <c r="D8" s="117">
        <v>42573</v>
      </c>
      <c r="E8" s="26">
        <v>41710</v>
      </c>
      <c r="F8" s="122">
        <f t="shared" si="0"/>
        <v>0</v>
      </c>
      <c r="K8" s="30"/>
      <c r="M8" s="30">
        <f>35935.22+28000+3000</f>
        <v>66935.22</v>
      </c>
      <c r="N8" s="126" t="s">
        <v>454</v>
      </c>
      <c r="O8" s="21">
        <v>66935.22</v>
      </c>
      <c r="P8" s="161"/>
      <c r="Q8" s="157" t="s">
        <v>52</v>
      </c>
      <c r="R8" s="313">
        <v>68000</v>
      </c>
      <c r="S8" s="318">
        <v>42555</v>
      </c>
      <c r="V8" s="323"/>
      <c r="W8" s="30">
        <f>20000+18862.6</f>
        <v>38862.6</v>
      </c>
      <c r="X8" s="125" t="s">
        <v>505</v>
      </c>
      <c r="Y8" s="26">
        <v>38862.6</v>
      </c>
      <c r="Z8" s="161"/>
      <c r="AA8" s="157" t="s">
        <v>52</v>
      </c>
      <c r="AB8" s="313">
        <v>25162.5</v>
      </c>
      <c r="AC8" s="318">
        <v>42579</v>
      </c>
    </row>
    <row r="9" spans="1:29" ht="15.75" x14ac:dyDescent="0.25">
      <c r="A9" s="119">
        <v>42558</v>
      </c>
      <c r="B9" s="123" t="s">
        <v>464</v>
      </c>
      <c r="C9" s="21">
        <v>39471.599999999999</v>
      </c>
      <c r="D9" s="117">
        <v>42566</v>
      </c>
      <c r="E9" s="26">
        <v>39471.599999999999</v>
      </c>
      <c r="F9" s="122">
        <f t="shared" si="0"/>
        <v>0</v>
      </c>
      <c r="K9" s="30"/>
      <c r="M9" s="30">
        <f>13000+25404.8</f>
        <v>38404.800000000003</v>
      </c>
      <c r="N9" s="128" t="s">
        <v>455</v>
      </c>
      <c r="O9" s="26">
        <v>38404.800000000003</v>
      </c>
      <c r="P9" s="160"/>
      <c r="Q9" s="157" t="s">
        <v>52</v>
      </c>
      <c r="R9" s="313">
        <v>49370</v>
      </c>
      <c r="S9" s="318">
        <v>42555</v>
      </c>
      <c r="V9" s="323"/>
      <c r="W9" s="30">
        <f>3008+6448+6300+22339.26</f>
        <v>38095.259999999995</v>
      </c>
      <c r="X9" s="125" t="s">
        <v>515</v>
      </c>
      <c r="Y9" s="26">
        <v>38095.26</v>
      </c>
      <c r="Z9" s="160"/>
      <c r="AA9" s="157" t="s">
        <v>52</v>
      </c>
      <c r="AB9" s="313">
        <v>6448</v>
      </c>
      <c r="AC9" s="318">
        <v>42576</v>
      </c>
    </row>
    <row r="10" spans="1:29" ht="15.75" x14ac:dyDescent="0.25">
      <c r="A10" s="119">
        <v>42558</v>
      </c>
      <c r="B10" s="123" t="s">
        <v>465</v>
      </c>
      <c r="C10" s="26">
        <v>86920.98</v>
      </c>
      <c r="D10" s="117">
        <v>42573</v>
      </c>
      <c r="E10" s="26">
        <v>86920.98</v>
      </c>
      <c r="F10" s="122">
        <f t="shared" si="0"/>
        <v>0</v>
      </c>
      <c r="K10" s="30"/>
      <c r="M10" s="30">
        <f>3855.02+3033.6+1790.4+31900+17776</f>
        <v>58355.020000000004</v>
      </c>
      <c r="N10" s="123" t="s">
        <v>457</v>
      </c>
      <c r="O10" s="26">
        <v>58355.02</v>
      </c>
      <c r="P10" s="160"/>
      <c r="Q10" s="157" t="s">
        <v>52</v>
      </c>
      <c r="R10" s="313">
        <v>28000</v>
      </c>
      <c r="S10" s="318">
        <v>42556</v>
      </c>
      <c r="W10" s="30">
        <f>3896.83+35500+28500</f>
        <v>67896.83</v>
      </c>
      <c r="X10" s="123" t="s">
        <v>516</v>
      </c>
      <c r="Y10" s="21">
        <v>67896.83</v>
      </c>
      <c r="Z10" s="160"/>
      <c r="AA10" s="157" t="s">
        <v>52</v>
      </c>
      <c r="AB10" s="313">
        <v>3008</v>
      </c>
      <c r="AC10" s="318">
        <v>42573</v>
      </c>
    </row>
    <row r="11" spans="1:29" ht="15.75" x14ac:dyDescent="0.25">
      <c r="A11" s="119">
        <v>42559</v>
      </c>
      <c r="B11" s="125" t="s">
        <v>466</v>
      </c>
      <c r="C11" s="26">
        <v>3406.2</v>
      </c>
      <c r="D11" s="117">
        <v>42566</v>
      </c>
      <c r="E11" s="26">
        <v>3406.2</v>
      </c>
      <c r="F11" s="127">
        <f t="shared" si="0"/>
        <v>0</v>
      </c>
      <c r="K11" s="30"/>
      <c r="M11" s="30">
        <f>42000+7211.17</f>
        <v>49211.17</v>
      </c>
      <c r="N11" s="123" t="s">
        <v>458</v>
      </c>
      <c r="O11" s="21">
        <v>49211.17</v>
      </c>
      <c r="P11" s="160"/>
      <c r="Q11" s="157" t="s">
        <v>52</v>
      </c>
      <c r="R11" s="313">
        <v>16000</v>
      </c>
      <c r="S11" s="318">
        <v>42557</v>
      </c>
      <c r="W11" s="30">
        <f>3571+45850+2524.8+2217.6</f>
        <v>54163.4</v>
      </c>
      <c r="X11" s="123" t="s">
        <v>517</v>
      </c>
      <c r="Y11" s="21">
        <v>54197.04</v>
      </c>
      <c r="Z11" s="160" t="s">
        <v>60</v>
      </c>
      <c r="AA11" s="157" t="s">
        <v>52</v>
      </c>
      <c r="AB11" s="313">
        <v>26235</v>
      </c>
      <c r="AC11" s="318">
        <v>42579</v>
      </c>
    </row>
    <row r="12" spans="1:29" ht="15.75" x14ac:dyDescent="0.25">
      <c r="A12" s="119">
        <v>42560</v>
      </c>
      <c r="B12" s="125" t="s">
        <v>467</v>
      </c>
      <c r="C12" s="26">
        <v>44868.44</v>
      </c>
      <c r="D12" s="121" t="s">
        <v>514</v>
      </c>
      <c r="E12" s="26">
        <f>41874.72+2993.72</f>
        <v>44868.44</v>
      </c>
      <c r="F12" s="127">
        <f t="shared" si="0"/>
        <v>0</v>
      </c>
      <c r="K12" s="30"/>
      <c r="M12" s="30">
        <f>50000+3110.5</f>
        <v>53110.5</v>
      </c>
      <c r="N12" s="123" t="s">
        <v>459</v>
      </c>
      <c r="O12" s="26">
        <v>53110.52</v>
      </c>
      <c r="P12" s="160"/>
      <c r="Q12" s="157" t="s">
        <v>52</v>
      </c>
      <c r="R12" s="313">
        <v>29260</v>
      </c>
      <c r="S12" s="318">
        <v>42558</v>
      </c>
      <c r="W12" s="30"/>
      <c r="X12" s="123"/>
      <c r="Y12" s="21"/>
      <c r="Z12" s="160"/>
      <c r="AA12" s="157" t="s">
        <v>52</v>
      </c>
      <c r="AB12" s="313">
        <v>35500</v>
      </c>
      <c r="AC12" s="318">
        <v>42580</v>
      </c>
    </row>
    <row r="13" spans="1:29" ht="15.75" x14ac:dyDescent="0.25">
      <c r="A13" s="119">
        <v>42560</v>
      </c>
      <c r="B13" s="125" t="s">
        <v>468</v>
      </c>
      <c r="C13" s="26">
        <v>37695.42</v>
      </c>
      <c r="D13" s="117">
        <v>42573</v>
      </c>
      <c r="E13" s="26">
        <v>37695.42</v>
      </c>
      <c r="F13" s="127">
        <f t="shared" si="0"/>
        <v>0</v>
      </c>
      <c r="K13" s="30"/>
      <c r="M13" s="30">
        <f>31462+23870.5</f>
        <v>55332.5</v>
      </c>
      <c r="N13" s="123" t="s">
        <v>461</v>
      </c>
      <c r="O13" s="21">
        <v>55332.5</v>
      </c>
      <c r="P13" s="160"/>
      <c r="Q13" s="157">
        <v>3280940</v>
      </c>
      <c r="R13" s="313">
        <v>1790.5</v>
      </c>
      <c r="S13" s="318">
        <v>42558</v>
      </c>
      <c r="V13" s="323"/>
      <c r="W13" s="30"/>
      <c r="X13" s="123"/>
      <c r="Y13" s="21"/>
      <c r="Z13" s="160"/>
      <c r="AA13" s="157" t="s">
        <v>52</v>
      </c>
      <c r="AB13" s="313">
        <v>32071</v>
      </c>
      <c r="AC13" s="318">
        <v>42581</v>
      </c>
    </row>
    <row r="14" spans="1:29" ht="15.75" x14ac:dyDescent="0.25">
      <c r="A14" s="119">
        <v>42562</v>
      </c>
      <c r="B14" s="125" t="s">
        <v>469</v>
      </c>
      <c r="C14" s="26">
        <v>38900.400000000001</v>
      </c>
      <c r="D14" s="117">
        <v>42573</v>
      </c>
      <c r="E14" s="26">
        <v>38900.400000000001</v>
      </c>
      <c r="F14" s="127">
        <f t="shared" si="0"/>
        <v>0</v>
      </c>
      <c r="K14" s="30"/>
      <c r="M14" s="30">
        <v>11891.64</v>
      </c>
      <c r="N14" s="123" t="s">
        <v>462</v>
      </c>
      <c r="O14" s="21">
        <v>11891.64</v>
      </c>
      <c r="P14" s="160"/>
      <c r="Q14" s="157" t="s">
        <v>52</v>
      </c>
      <c r="R14" s="313">
        <v>3033.5</v>
      </c>
      <c r="S14" s="318">
        <v>42556</v>
      </c>
      <c r="V14" s="323"/>
      <c r="W14" s="30"/>
      <c r="X14" s="123"/>
      <c r="Y14" s="21"/>
      <c r="Z14" s="232"/>
      <c r="AA14" s="233" t="s">
        <v>52</v>
      </c>
      <c r="AB14" s="319">
        <v>45850</v>
      </c>
      <c r="AC14" s="320">
        <v>42581</v>
      </c>
    </row>
    <row r="15" spans="1:29" ht="15.75" x14ac:dyDescent="0.25">
      <c r="A15" s="124">
        <v>42562</v>
      </c>
      <c r="B15" s="123" t="s">
        <v>470</v>
      </c>
      <c r="C15" s="21">
        <v>61423.6</v>
      </c>
      <c r="D15" s="117">
        <v>42573</v>
      </c>
      <c r="E15" s="26">
        <v>61423.6</v>
      </c>
      <c r="F15" s="127">
        <f t="shared" si="0"/>
        <v>0</v>
      </c>
      <c r="K15" s="30"/>
      <c r="M15" s="3">
        <f>471.6+34500+4500</f>
        <v>39471.599999999999</v>
      </c>
      <c r="N15" s="123" t="s">
        <v>464</v>
      </c>
      <c r="O15" s="21">
        <v>39471.599999999999</v>
      </c>
      <c r="P15" s="232"/>
      <c r="Q15" s="233" t="s">
        <v>52</v>
      </c>
      <c r="R15" s="319">
        <v>31900</v>
      </c>
      <c r="S15" s="320">
        <v>42559</v>
      </c>
      <c r="V15" s="323"/>
      <c r="W15" s="3"/>
      <c r="X15" s="123"/>
      <c r="Y15" s="21"/>
      <c r="Z15" s="160"/>
      <c r="AA15" s="157" t="s">
        <v>52</v>
      </c>
      <c r="AB15" s="313">
        <v>2525</v>
      </c>
      <c r="AC15" s="318">
        <v>42577</v>
      </c>
    </row>
    <row r="16" spans="1:29" ht="15.75" x14ac:dyDescent="0.25">
      <c r="A16" s="119">
        <v>42566</v>
      </c>
      <c r="B16" s="125" t="s">
        <v>502</v>
      </c>
      <c r="C16" s="26">
        <v>38749.199999999997</v>
      </c>
      <c r="D16" s="117" t="s">
        <v>534</v>
      </c>
      <c r="E16" s="21">
        <f>22010.6+16738.6</f>
        <v>38749.199999999997</v>
      </c>
      <c r="F16" s="127">
        <f t="shared" si="0"/>
        <v>0</v>
      </c>
      <c r="K16" s="3"/>
      <c r="M16" s="3">
        <v>3406.2</v>
      </c>
      <c r="N16" s="125" t="s">
        <v>466</v>
      </c>
      <c r="O16" s="26">
        <v>3406.2</v>
      </c>
      <c r="P16" s="164"/>
      <c r="Q16" s="157" t="s">
        <v>52</v>
      </c>
      <c r="R16" s="238">
        <v>59776</v>
      </c>
      <c r="S16" s="239">
        <v>42560</v>
      </c>
      <c r="W16" s="241"/>
      <c r="X16" s="123"/>
      <c r="Y16" s="21"/>
      <c r="Z16" s="165"/>
      <c r="AA16" s="240" t="s">
        <v>52</v>
      </c>
      <c r="AB16" s="321">
        <v>2218</v>
      </c>
      <c r="AC16" s="318">
        <v>42578</v>
      </c>
    </row>
    <row r="17" spans="1:29" ht="15.75" x14ac:dyDescent="0.25">
      <c r="A17" s="119">
        <v>42567</v>
      </c>
      <c r="B17" s="125" t="s">
        <v>503</v>
      </c>
      <c r="C17" s="26">
        <v>3013.2</v>
      </c>
      <c r="D17" s="117">
        <v>42573</v>
      </c>
      <c r="E17" s="21">
        <v>3013.2</v>
      </c>
      <c r="F17" s="127">
        <f t="shared" si="0"/>
        <v>0</v>
      </c>
      <c r="K17" s="3"/>
      <c r="M17" s="3">
        <v>41868.44</v>
      </c>
      <c r="N17" s="125" t="s">
        <v>467</v>
      </c>
      <c r="O17" s="26">
        <v>41874.720000000001</v>
      </c>
      <c r="P17" s="164" t="s">
        <v>91</v>
      </c>
      <c r="Q17" s="157" t="s">
        <v>52</v>
      </c>
      <c r="R17" s="238">
        <v>57211</v>
      </c>
      <c r="S17" s="239">
        <v>42562</v>
      </c>
      <c r="X17" s="123"/>
      <c r="Y17" s="21"/>
      <c r="Z17" s="164"/>
      <c r="AA17" s="237"/>
      <c r="AB17" s="313">
        <v>0</v>
      </c>
      <c r="AC17" s="318"/>
    </row>
    <row r="18" spans="1:29" ht="15.75" x14ac:dyDescent="0.25">
      <c r="A18" s="119">
        <v>42567</v>
      </c>
      <c r="B18" s="125" t="s">
        <v>501</v>
      </c>
      <c r="C18" s="26">
        <v>82258</v>
      </c>
      <c r="D18" s="117" t="s">
        <v>540</v>
      </c>
      <c r="E18" s="21">
        <f>39905.28+42322.72+30</f>
        <v>82258</v>
      </c>
      <c r="F18" s="127">
        <f t="shared" si="0"/>
        <v>0</v>
      </c>
      <c r="H18" s="14">
        <v>42553</v>
      </c>
      <c r="I18" t="s">
        <v>416</v>
      </c>
      <c r="J18" s="323">
        <v>720</v>
      </c>
      <c r="K18" s="3"/>
      <c r="M18" s="30"/>
      <c r="N18" s="123"/>
      <c r="O18" s="21"/>
      <c r="P18" s="164"/>
      <c r="Q18" s="157" t="s">
        <v>52</v>
      </c>
      <c r="R18" s="238">
        <v>34572.5</v>
      </c>
      <c r="S18" s="239">
        <v>42562</v>
      </c>
      <c r="X18" s="123"/>
      <c r="Y18" s="21"/>
      <c r="Z18" s="165"/>
      <c r="AA18" s="165"/>
      <c r="AB18" s="313">
        <v>0</v>
      </c>
      <c r="AC18" s="165"/>
    </row>
    <row r="19" spans="1:29" ht="15.75" x14ac:dyDescent="0.25">
      <c r="A19" s="119">
        <v>42568</v>
      </c>
      <c r="B19" s="125" t="s">
        <v>504</v>
      </c>
      <c r="C19" s="26">
        <v>75686.75</v>
      </c>
      <c r="D19" s="117">
        <v>42581</v>
      </c>
      <c r="E19" s="21">
        <v>75686.75</v>
      </c>
      <c r="F19" s="127">
        <f t="shared" si="0"/>
        <v>0</v>
      </c>
      <c r="H19" s="14">
        <v>42557</v>
      </c>
      <c r="I19" t="s">
        <v>115</v>
      </c>
      <c r="J19" s="323">
        <v>650</v>
      </c>
      <c r="K19" s="3"/>
      <c r="M19" s="3"/>
      <c r="N19" s="123"/>
      <c r="O19" s="26"/>
      <c r="P19" s="164"/>
      <c r="Q19" s="157" t="s">
        <v>52</v>
      </c>
      <c r="R19" s="238">
        <v>39639.5</v>
      </c>
      <c r="S19" s="239">
        <v>42563</v>
      </c>
      <c r="X19" s="165"/>
      <c r="Y19" s="236">
        <v>0</v>
      </c>
      <c r="Z19" s="165"/>
      <c r="AA19" s="165"/>
      <c r="AB19" s="313">
        <v>0</v>
      </c>
      <c r="AC19" s="165"/>
    </row>
    <row r="20" spans="1:29" ht="15.75" x14ac:dyDescent="0.25">
      <c r="A20" s="119">
        <v>42569</v>
      </c>
      <c r="B20" s="125" t="s">
        <v>505</v>
      </c>
      <c r="C20" s="26">
        <v>38862.6</v>
      </c>
      <c r="D20" s="117">
        <v>42581</v>
      </c>
      <c r="E20" s="21">
        <v>38862.6</v>
      </c>
      <c r="F20" s="127">
        <f t="shared" si="0"/>
        <v>0</v>
      </c>
      <c r="H20" s="14">
        <v>42559</v>
      </c>
      <c r="I20" t="s">
        <v>489</v>
      </c>
      <c r="J20" s="323">
        <v>1153</v>
      </c>
      <c r="K20" s="3"/>
      <c r="M20" s="3"/>
      <c r="N20" s="125"/>
      <c r="O20" s="26"/>
      <c r="P20" s="164"/>
      <c r="Q20" s="157" t="s">
        <v>52</v>
      </c>
      <c r="R20" s="238">
        <v>34500</v>
      </c>
      <c r="S20" s="239">
        <v>42564</v>
      </c>
      <c r="W20" s="333">
        <f t="shared" ref="W20:Y20" si="1">SUM(W4:W19)</f>
        <v>336813.79000000004</v>
      </c>
      <c r="X20" s="333"/>
      <c r="Y20" s="333">
        <f t="shared" si="1"/>
        <v>336813</v>
      </c>
      <c r="Z20" s="333"/>
      <c r="AA20" s="333"/>
      <c r="AB20" s="333">
        <f>SUM(AB4:AB19)</f>
        <v>336813</v>
      </c>
      <c r="AC20" s="165"/>
    </row>
    <row r="21" spans="1:29" ht="15.75" x14ac:dyDescent="0.25">
      <c r="A21" s="119">
        <v>42570</v>
      </c>
      <c r="B21" s="125" t="s">
        <v>515</v>
      </c>
      <c r="C21" s="26">
        <v>38095.26</v>
      </c>
      <c r="D21" s="117">
        <v>42581</v>
      </c>
      <c r="E21" s="21">
        <v>38095.26</v>
      </c>
      <c r="F21" s="127">
        <f t="shared" si="0"/>
        <v>0</v>
      </c>
      <c r="H21" s="14">
        <v>42564</v>
      </c>
      <c r="I21" t="s">
        <v>499</v>
      </c>
      <c r="J21" s="323">
        <v>1292</v>
      </c>
      <c r="K21" s="3"/>
      <c r="M21" s="3"/>
      <c r="N21" s="125"/>
      <c r="O21" s="26"/>
      <c r="P21" s="164"/>
      <c r="Q21" s="157" t="s">
        <v>52</v>
      </c>
      <c r="R21" s="238">
        <v>46368.5</v>
      </c>
      <c r="S21" s="239">
        <v>42565</v>
      </c>
    </row>
    <row r="22" spans="1:29" ht="15.75" x14ac:dyDescent="0.25">
      <c r="A22" s="124">
        <v>42572</v>
      </c>
      <c r="B22" s="123" t="s">
        <v>516</v>
      </c>
      <c r="C22" s="21">
        <v>67896.83</v>
      </c>
      <c r="D22" s="117">
        <v>42581</v>
      </c>
      <c r="E22" s="21">
        <v>67896.83</v>
      </c>
      <c r="F22" s="127">
        <f t="shared" si="0"/>
        <v>0</v>
      </c>
      <c r="G22" s="268"/>
      <c r="H22" s="268">
        <v>42566</v>
      </c>
      <c r="I22" s="324" t="s">
        <v>82</v>
      </c>
      <c r="J22" s="323">
        <v>379.5</v>
      </c>
      <c r="K22" s="241"/>
      <c r="M22" s="241">
        <f>SUM(M4:M21)</f>
        <v>608886.91999999993</v>
      </c>
      <c r="N22" s="165"/>
      <c r="O22" s="166"/>
      <c r="P22" s="165"/>
      <c r="Q22" s="240"/>
      <c r="R22" s="321">
        <v>0</v>
      </c>
      <c r="S22" s="318"/>
    </row>
    <row r="23" spans="1:29" ht="15.75" x14ac:dyDescent="0.25">
      <c r="A23" s="124">
        <v>42573</v>
      </c>
      <c r="B23" s="123" t="s">
        <v>517</v>
      </c>
      <c r="C23" s="21">
        <v>61570.8</v>
      </c>
      <c r="D23" s="121" t="s">
        <v>541</v>
      </c>
      <c r="E23" s="21">
        <f>54197.04+7373.76</f>
        <v>61570.8</v>
      </c>
      <c r="F23" s="127">
        <f t="shared" si="0"/>
        <v>0</v>
      </c>
      <c r="G23" s="268"/>
      <c r="H23" s="268">
        <v>42567</v>
      </c>
      <c r="I23" s="324" t="s">
        <v>115</v>
      </c>
      <c r="J23" s="323">
        <v>801</v>
      </c>
      <c r="N23" s="196"/>
      <c r="O23" s="26">
        <f>SUM(O4:O22)</f>
        <v>608886.5</v>
      </c>
      <c r="P23" s="43"/>
      <c r="Q23" s="219"/>
      <c r="R23" s="220">
        <f>SUM(R4:R22)</f>
        <v>608886.5</v>
      </c>
      <c r="S23" s="218"/>
    </row>
    <row r="24" spans="1:29" x14ac:dyDescent="0.25">
      <c r="A24" s="124">
        <v>42574</v>
      </c>
      <c r="B24" s="123" t="s">
        <v>518</v>
      </c>
      <c r="C24" s="21">
        <v>49768.2</v>
      </c>
      <c r="D24" s="117">
        <v>42588</v>
      </c>
      <c r="E24" s="21">
        <v>49768.2</v>
      </c>
      <c r="F24" s="127">
        <f t="shared" si="0"/>
        <v>0</v>
      </c>
      <c r="G24" s="268"/>
      <c r="H24" s="268">
        <v>42571</v>
      </c>
      <c r="I24" s="324" t="s">
        <v>115</v>
      </c>
      <c r="J24" s="323">
        <v>740</v>
      </c>
    </row>
    <row r="25" spans="1:29" x14ac:dyDescent="0.25">
      <c r="A25" s="124">
        <v>42574</v>
      </c>
      <c r="B25" s="123" t="s">
        <v>519</v>
      </c>
      <c r="C25" s="21">
        <v>36009.199999999997</v>
      </c>
      <c r="D25" s="117">
        <v>42588</v>
      </c>
      <c r="E25" s="21">
        <v>36009.199999999997</v>
      </c>
      <c r="F25" s="127">
        <f t="shared" si="0"/>
        <v>0</v>
      </c>
      <c r="G25" s="268"/>
      <c r="H25" s="20"/>
      <c r="I25" s="30"/>
      <c r="J25" s="323">
        <v>0</v>
      </c>
    </row>
    <row r="26" spans="1:29" ht="15.75" thickBot="1" x14ac:dyDescent="0.3">
      <c r="A26" s="124">
        <v>42574</v>
      </c>
      <c r="B26" s="123" t="s">
        <v>520</v>
      </c>
      <c r="C26" s="21">
        <v>12163.5</v>
      </c>
      <c r="D26" s="117">
        <v>42588</v>
      </c>
      <c r="E26" s="21">
        <v>12163.5</v>
      </c>
      <c r="F26" s="127">
        <f t="shared" si="0"/>
        <v>0</v>
      </c>
      <c r="G26" s="269"/>
      <c r="H26" s="268">
        <v>42572</v>
      </c>
      <c r="I26" s="324" t="s">
        <v>123</v>
      </c>
      <c r="J26" s="323">
        <v>378</v>
      </c>
    </row>
    <row r="27" spans="1:29" ht="19.5" thickBot="1" x14ac:dyDescent="0.35">
      <c r="A27" s="119">
        <v>42576</v>
      </c>
      <c r="B27" s="123" t="s">
        <v>521</v>
      </c>
      <c r="C27" s="21">
        <v>35338.68</v>
      </c>
      <c r="D27" s="117">
        <v>42588</v>
      </c>
      <c r="E27" s="21">
        <v>35338.68</v>
      </c>
      <c r="F27" s="329">
        <f t="shared" si="0"/>
        <v>0</v>
      </c>
      <c r="H27" s="14">
        <v>42574</v>
      </c>
      <c r="I27" s="30" t="s">
        <v>385</v>
      </c>
      <c r="J27" s="323">
        <v>1300</v>
      </c>
      <c r="K27" s="30"/>
      <c r="O27" s="146" t="s">
        <v>46</v>
      </c>
      <c r="P27" s="147"/>
      <c r="Q27" s="148"/>
      <c r="R27" s="207">
        <v>42573</v>
      </c>
      <c r="S27" s="150"/>
    </row>
    <row r="28" spans="1:29" ht="15.75" x14ac:dyDescent="0.25">
      <c r="A28" s="119">
        <v>42577</v>
      </c>
      <c r="B28" s="123" t="s">
        <v>522</v>
      </c>
      <c r="C28" s="21">
        <v>7878.04</v>
      </c>
      <c r="D28" s="117">
        <v>42588</v>
      </c>
      <c r="E28" s="21">
        <v>7878.04</v>
      </c>
      <c r="F28" s="329">
        <f t="shared" si="0"/>
        <v>0</v>
      </c>
      <c r="H28" s="14">
        <v>42578</v>
      </c>
      <c r="I28" t="s">
        <v>120</v>
      </c>
      <c r="J28" s="323">
        <v>1209.5999999999999</v>
      </c>
      <c r="K28" s="3"/>
      <c r="N28" s="151"/>
      <c r="O28" s="152"/>
      <c r="P28" s="151"/>
      <c r="Q28" s="153"/>
      <c r="R28" s="152"/>
      <c r="S28" s="154"/>
    </row>
    <row r="29" spans="1:29" ht="15.75" x14ac:dyDescent="0.25">
      <c r="A29" s="331">
        <v>42579</v>
      </c>
      <c r="B29" s="123" t="s">
        <v>523</v>
      </c>
      <c r="C29" s="21">
        <v>69001.2</v>
      </c>
      <c r="D29" s="117" t="s">
        <v>555</v>
      </c>
      <c r="E29" s="21">
        <f>29903.12+39098.08</f>
        <v>69001.2</v>
      </c>
      <c r="F29" s="329">
        <f t="shared" si="0"/>
        <v>0</v>
      </c>
      <c r="H29" s="14">
        <v>42581</v>
      </c>
      <c r="I29" s="30" t="s">
        <v>82</v>
      </c>
      <c r="J29" s="323">
        <v>313</v>
      </c>
      <c r="K29" s="3"/>
      <c r="N29" s="155" t="s">
        <v>47</v>
      </c>
      <c r="O29" s="152" t="s">
        <v>48</v>
      </c>
      <c r="P29" s="151"/>
      <c r="Q29" s="153" t="s">
        <v>49</v>
      </c>
      <c r="R29" s="152" t="s">
        <v>50</v>
      </c>
      <c r="S29" s="154"/>
    </row>
    <row r="30" spans="1:29" ht="15.75" x14ac:dyDescent="0.25">
      <c r="A30" s="119">
        <v>42579</v>
      </c>
      <c r="B30" s="123" t="s">
        <v>524</v>
      </c>
      <c r="C30" s="21">
        <v>33096.5</v>
      </c>
      <c r="D30" s="117">
        <v>42588</v>
      </c>
      <c r="E30" s="21">
        <v>33096.5</v>
      </c>
      <c r="F30" s="329">
        <f t="shared" si="0"/>
        <v>0</v>
      </c>
      <c r="J30" s="323">
        <v>0</v>
      </c>
      <c r="K30" s="241"/>
      <c r="M30" s="324">
        <f>21500+20210</f>
        <v>41710</v>
      </c>
      <c r="N30" s="123" t="s">
        <v>463</v>
      </c>
      <c r="O30" s="21">
        <v>41710</v>
      </c>
      <c r="P30" s="156"/>
      <c r="Q30" s="157" t="s">
        <v>52</v>
      </c>
      <c r="R30" s="238">
        <v>47000</v>
      </c>
      <c r="S30" s="239">
        <v>42566</v>
      </c>
    </row>
    <row r="31" spans="1:29" ht="15.75" x14ac:dyDescent="0.25">
      <c r="A31" s="119">
        <v>42580</v>
      </c>
      <c r="B31" s="123" t="s">
        <v>535</v>
      </c>
      <c r="C31" s="21">
        <v>1160</v>
      </c>
      <c r="D31" s="117">
        <v>42594</v>
      </c>
      <c r="E31" s="30">
        <v>1160</v>
      </c>
      <c r="F31" s="329">
        <f t="shared" si="0"/>
        <v>0</v>
      </c>
      <c r="J31" s="323">
        <f>SUM(J18:J30)</f>
        <v>8936.1</v>
      </c>
      <c r="M31" s="30">
        <f>44000+3456+3347.2+36118</f>
        <v>86921.2</v>
      </c>
      <c r="N31" s="123" t="s">
        <v>465</v>
      </c>
      <c r="O31" s="26">
        <v>86920.98</v>
      </c>
      <c r="P31" s="156"/>
      <c r="Q31" s="157" t="s">
        <v>52</v>
      </c>
      <c r="R31" s="238">
        <v>3347</v>
      </c>
      <c r="S31" s="239">
        <v>42562</v>
      </c>
    </row>
    <row r="32" spans="1:29" ht="15.75" x14ac:dyDescent="0.25">
      <c r="A32" s="119">
        <v>42581</v>
      </c>
      <c r="B32" s="123" t="s">
        <v>536</v>
      </c>
      <c r="C32" s="21">
        <v>34136.199999999997</v>
      </c>
      <c r="D32" s="117">
        <v>42594</v>
      </c>
      <c r="E32" s="30">
        <v>34136.199999999997</v>
      </c>
      <c r="F32" s="329">
        <f t="shared" si="0"/>
        <v>0</v>
      </c>
      <c r="M32" s="30">
        <v>3000</v>
      </c>
      <c r="N32" s="125" t="s">
        <v>467</v>
      </c>
      <c r="O32" s="26">
        <v>2993.72</v>
      </c>
      <c r="P32" s="161" t="s">
        <v>51</v>
      </c>
      <c r="Q32" s="157" t="s">
        <v>52</v>
      </c>
      <c r="R32" s="238">
        <v>3456</v>
      </c>
      <c r="S32" s="239">
        <v>42563</v>
      </c>
    </row>
    <row r="33" spans="1:19" ht="15.75" x14ac:dyDescent="0.25">
      <c r="A33" s="119">
        <v>42582</v>
      </c>
      <c r="B33" s="123" t="s">
        <v>537</v>
      </c>
      <c r="C33" s="21">
        <v>60962.12</v>
      </c>
      <c r="D33" s="117">
        <v>42594</v>
      </c>
      <c r="E33" s="30">
        <v>60962.12</v>
      </c>
      <c r="F33" s="329">
        <f t="shared" si="0"/>
        <v>0</v>
      </c>
      <c r="M33" s="30">
        <f>21000+16695.42</f>
        <v>37695.42</v>
      </c>
      <c r="N33" s="125" t="s">
        <v>468</v>
      </c>
      <c r="O33" s="26">
        <v>37695.42</v>
      </c>
      <c r="P33" s="161"/>
      <c r="Q33" s="157">
        <v>3280947</v>
      </c>
      <c r="R33" s="238">
        <v>57118</v>
      </c>
      <c r="S33" s="239">
        <v>42566</v>
      </c>
    </row>
    <row r="34" spans="1:19" ht="16.5" thickBot="1" x14ac:dyDescent="0.3">
      <c r="A34" s="330"/>
      <c r="B34" s="328"/>
      <c r="C34" s="142">
        <v>0</v>
      </c>
      <c r="D34" s="143"/>
      <c r="E34" s="144">
        <v>0</v>
      </c>
      <c r="F34" s="136">
        <f>C34-E34</f>
        <v>0</v>
      </c>
      <c r="L34" s="323"/>
      <c r="M34" s="30">
        <f>38900.4+4147.2+19000+15753.2</f>
        <v>77800.800000000003</v>
      </c>
      <c r="N34" s="125" t="s">
        <v>469</v>
      </c>
      <c r="O34" s="26">
        <v>38900.400000000001</v>
      </c>
      <c r="P34" s="161"/>
      <c r="Q34" s="157" t="s">
        <v>52</v>
      </c>
      <c r="R34" s="313">
        <v>74595</v>
      </c>
      <c r="S34" s="318">
        <v>42569</v>
      </c>
    </row>
    <row r="35" spans="1:19" ht="16.5" thickTop="1" x14ac:dyDescent="0.25">
      <c r="B35" s="37"/>
      <c r="C35" s="21">
        <f>SUM(C3:C34)</f>
        <v>1327943.7699999998</v>
      </c>
      <c r="D35" s="145"/>
      <c r="E35" s="30">
        <f>SUM(E3:E34)</f>
        <v>1327943.7699999998</v>
      </c>
      <c r="F35" s="30">
        <f>SUM(F3:F34)</f>
        <v>0</v>
      </c>
      <c r="L35" s="323"/>
      <c r="M35" s="30">
        <f>3500+36500+22423.6</f>
        <v>62423.6</v>
      </c>
      <c r="N35" s="123" t="s">
        <v>470</v>
      </c>
      <c r="O35" s="21">
        <v>61423.6</v>
      </c>
      <c r="P35" s="160"/>
      <c r="Q35" s="157" t="s">
        <v>52</v>
      </c>
      <c r="R35" s="313">
        <v>4147</v>
      </c>
      <c r="S35" s="318">
        <v>42566</v>
      </c>
    </row>
    <row r="36" spans="1:19" ht="15.75" x14ac:dyDescent="0.25">
      <c r="L36" s="327">
        <f>22010.6+17038.5</f>
        <v>39049.1</v>
      </c>
      <c r="M36" s="30">
        <f>3553+5257.6+13200</f>
        <v>22010.6</v>
      </c>
      <c r="N36" s="125" t="s">
        <v>502</v>
      </c>
      <c r="O36" s="26">
        <v>22010.6</v>
      </c>
      <c r="P36" s="160" t="s">
        <v>60</v>
      </c>
      <c r="Q36" s="157" t="s">
        <v>52</v>
      </c>
      <c r="R36" s="313">
        <v>37253</v>
      </c>
      <c r="S36" s="318">
        <v>42569</v>
      </c>
    </row>
    <row r="37" spans="1:19" ht="15.75" x14ac:dyDescent="0.25">
      <c r="L37" s="327">
        <v>3013.2</v>
      </c>
      <c r="M37" s="30"/>
      <c r="N37" s="125"/>
      <c r="O37" s="26"/>
      <c r="P37" s="160"/>
      <c r="Q37" s="157" t="s">
        <v>52</v>
      </c>
      <c r="R37" s="313">
        <v>23710</v>
      </c>
      <c r="S37" s="318">
        <v>42570</v>
      </c>
    </row>
    <row r="38" spans="1:19" ht="15.75" x14ac:dyDescent="0.25">
      <c r="K38" s="30"/>
      <c r="L38" s="327">
        <f>7005.5+40200.4</f>
        <v>47205.9</v>
      </c>
      <c r="M38" s="30"/>
      <c r="N38" s="125" t="s">
        <v>501</v>
      </c>
      <c r="O38" s="26">
        <v>39905.279999999999</v>
      </c>
      <c r="P38" s="160" t="s">
        <v>60</v>
      </c>
      <c r="Q38" s="157" t="s">
        <v>52</v>
      </c>
      <c r="R38" s="313">
        <v>36500</v>
      </c>
      <c r="S38" s="318">
        <v>42571</v>
      </c>
    </row>
    <row r="39" spans="1:19" ht="15.75" x14ac:dyDescent="0.25">
      <c r="A39"/>
      <c r="B39"/>
      <c r="C39"/>
      <c r="D39"/>
      <c r="E39"/>
      <c r="F39"/>
      <c r="G39"/>
      <c r="K39" s="30"/>
      <c r="L39" s="323"/>
      <c r="M39" s="30"/>
      <c r="N39" s="125"/>
      <c r="O39" s="26"/>
      <c r="P39" s="160"/>
      <c r="Q39" s="157" t="s">
        <v>52</v>
      </c>
      <c r="R39" s="313">
        <v>5257.5</v>
      </c>
      <c r="S39" s="318">
        <v>42569</v>
      </c>
    </row>
    <row r="40" spans="1:19" ht="15.75" x14ac:dyDescent="0.25">
      <c r="A40"/>
      <c r="B40"/>
      <c r="C40"/>
      <c r="D40"/>
      <c r="E40"/>
      <c r="F40"/>
      <c r="G40"/>
      <c r="K40" s="30"/>
      <c r="L40" s="323"/>
      <c r="M40" s="30"/>
      <c r="N40" s="125"/>
      <c r="O40" s="26"/>
      <c r="P40" s="160"/>
      <c r="Q40" s="157" t="s">
        <v>52</v>
      </c>
      <c r="R40" s="313">
        <v>3553</v>
      </c>
      <c r="S40" s="318">
        <v>42570</v>
      </c>
    </row>
    <row r="41" spans="1:19" ht="15.75" x14ac:dyDescent="0.25">
      <c r="A41"/>
      <c r="B41"/>
      <c r="C41"/>
      <c r="D41"/>
      <c r="E41"/>
      <c r="F41"/>
      <c r="G41"/>
      <c r="K41" s="30"/>
      <c r="L41" s="323"/>
      <c r="M41" s="3"/>
      <c r="N41" s="123"/>
      <c r="O41" s="21"/>
      <c r="P41" s="232"/>
      <c r="Q41" s="233" t="s">
        <v>52</v>
      </c>
      <c r="R41" s="319">
        <v>35623.5</v>
      </c>
      <c r="S41" s="320">
        <v>42572</v>
      </c>
    </row>
    <row r="42" spans="1:19" ht="15.75" x14ac:dyDescent="0.25">
      <c r="A42"/>
      <c r="B42"/>
      <c r="C42"/>
      <c r="D42"/>
      <c r="E42"/>
      <c r="F42"/>
      <c r="G42"/>
      <c r="K42" s="30"/>
      <c r="M42" s="241">
        <f>SUM(M30:M41)</f>
        <v>331561.61999999994</v>
      </c>
      <c r="N42" s="165"/>
      <c r="O42" s="166"/>
      <c r="P42" s="165"/>
      <c r="Q42" s="240"/>
      <c r="R42" s="321">
        <v>0</v>
      </c>
      <c r="S42" s="318"/>
    </row>
    <row r="43" spans="1:19" ht="15.75" x14ac:dyDescent="0.25">
      <c r="A43"/>
      <c r="B43"/>
      <c r="C43"/>
      <c r="D43"/>
      <c r="E43"/>
      <c r="F43"/>
      <c r="G43"/>
      <c r="K43" s="30"/>
      <c r="N43" s="196"/>
      <c r="O43" s="26">
        <f>SUM(O30:O42)</f>
        <v>331560</v>
      </c>
      <c r="P43" s="43"/>
      <c r="Q43" s="219"/>
      <c r="R43" s="220">
        <f>SUM(R30:R42)</f>
        <v>331560</v>
      </c>
      <c r="S43" s="218"/>
    </row>
    <row r="44" spans="1:19" x14ac:dyDescent="0.25">
      <c r="A44"/>
      <c r="B44"/>
      <c r="C44"/>
      <c r="D44"/>
      <c r="E44"/>
      <c r="F44"/>
      <c r="G44"/>
      <c r="K44" s="3"/>
    </row>
    <row r="45" spans="1:19" x14ac:dyDescent="0.25">
      <c r="A45"/>
      <c r="B45"/>
      <c r="C45"/>
      <c r="D45"/>
      <c r="E45"/>
      <c r="F45"/>
      <c r="G45"/>
      <c r="K45" s="3"/>
    </row>
    <row r="46" spans="1:19" x14ac:dyDescent="0.25">
      <c r="A46"/>
      <c r="B46"/>
      <c r="C46"/>
      <c r="D46"/>
      <c r="E46"/>
      <c r="F46"/>
      <c r="G46"/>
      <c r="K46" s="241"/>
    </row>
    <row r="47" spans="1:19" x14ac:dyDescent="0.25">
      <c r="A47"/>
      <c r="B47"/>
      <c r="C47"/>
      <c r="D47"/>
      <c r="E47"/>
      <c r="F47"/>
      <c r="G47"/>
    </row>
  </sheetData>
  <sortState ref="A15:C20">
    <sortCondition ref="B15:B20"/>
  </sortState>
  <mergeCells count="1">
    <mergeCell ref="J1:K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10" workbookViewId="0">
      <selection activeCell="C30" sqref="C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356" t="s">
        <v>538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177471.81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42583</v>
      </c>
      <c r="C5" s="16">
        <v>20273.2</v>
      </c>
      <c r="D5" s="17" t="s">
        <v>560</v>
      </c>
      <c r="E5" s="18">
        <v>42583</v>
      </c>
      <c r="F5" s="19">
        <v>34498.589999999997</v>
      </c>
      <c r="G5" s="20"/>
      <c r="H5" s="186">
        <v>42583</v>
      </c>
      <c r="I5" s="187">
        <v>450</v>
      </c>
      <c r="J5" s="176"/>
      <c r="K5" s="188"/>
      <c r="L5" s="189"/>
      <c r="M5" s="190">
        <v>287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42584</v>
      </c>
      <c r="C6" s="16">
        <v>36716.720000000001</v>
      </c>
      <c r="D6" s="22" t="s">
        <v>561</v>
      </c>
      <c r="E6" s="18">
        <v>42584</v>
      </c>
      <c r="F6" s="19">
        <v>24141.59</v>
      </c>
      <c r="G6" s="23"/>
      <c r="H6" s="24">
        <v>42584</v>
      </c>
      <c r="I6" s="25">
        <v>1144.72</v>
      </c>
      <c r="J6" s="26"/>
      <c r="K6" s="27" t="s">
        <v>7</v>
      </c>
      <c r="L6" s="28">
        <v>538</v>
      </c>
      <c r="M6" s="33">
        <v>606.5</v>
      </c>
      <c r="N6" s="30"/>
      <c r="O6" s="20"/>
      <c r="P6" s="20"/>
      <c r="Q6" s="20"/>
    </row>
    <row r="7" spans="1:19" x14ac:dyDescent="0.25">
      <c r="A7" s="14"/>
      <c r="B7" s="15">
        <v>42585</v>
      </c>
      <c r="C7" s="16">
        <v>33996.5</v>
      </c>
      <c r="D7" s="17" t="s">
        <v>562</v>
      </c>
      <c r="E7" s="18">
        <v>42585</v>
      </c>
      <c r="F7" s="19">
        <v>32805.980000000003</v>
      </c>
      <c r="G7" s="20"/>
      <c r="H7" s="24">
        <v>42585</v>
      </c>
      <c r="I7" s="25">
        <v>104</v>
      </c>
      <c r="J7" s="26"/>
      <c r="K7" s="31" t="s">
        <v>8</v>
      </c>
      <c r="L7" s="28">
        <v>14029.5</v>
      </c>
      <c r="M7" s="33">
        <v>21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42586</v>
      </c>
      <c r="C8" s="16">
        <v>30102.5</v>
      </c>
      <c r="D8" s="17" t="s">
        <v>563</v>
      </c>
      <c r="E8" s="18">
        <v>42586</v>
      </c>
      <c r="F8" s="19">
        <v>30456.87</v>
      </c>
      <c r="G8" s="20"/>
      <c r="H8" s="24">
        <v>42586</v>
      </c>
      <c r="I8" s="25">
        <v>140</v>
      </c>
      <c r="J8" s="26"/>
      <c r="K8" s="27" t="s">
        <v>10</v>
      </c>
      <c r="L8" s="32">
        <v>28750</v>
      </c>
      <c r="M8" s="33">
        <v>214</v>
      </c>
      <c r="N8" s="21"/>
      <c r="O8" s="20"/>
      <c r="P8" s="20"/>
      <c r="Q8" s="20"/>
    </row>
    <row r="9" spans="1:19" x14ac:dyDescent="0.25">
      <c r="A9" s="14"/>
      <c r="B9" s="15">
        <v>42587</v>
      </c>
      <c r="C9" s="16">
        <v>56261.2</v>
      </c>
      <c r="D9" s="17" t="s">
        <v>564</v>
      </c>
      <c r="E9" s="18">
        <v>42587</v>
      </c>
      <c r="F9" s="19">
        <v>56433.36</v>
      </c>
      <c r="G9" s="20"/>
      <c r="H9" s="24">
        <v>42587</v>
      </c>
      <c r="I9" s="25">
        <v>0</v>
      </c>
      <c r="J9" s="35"/>
      <c r="K9" s="27" t="s">
        <v>566</v>
      </c>
      <c r="L9" s="19">
        <v>11150</v>
      </c>
      <c r="M9" s="33">
        <v>172</v>
      </c>
      <c r="N9" s="21"/>
      <c r="O9" s="37"/>
      <c r="P9" s="20"/>
      <c r="Q9" s="20"/>
    </row>
    <row r="10" spans="1:19" x14ac:dyDescent="0.25">
      <c r="A10" s="14"/>
      <c r="B10" s="15">
        <v>42588</v>
      </c>
      <c r="C10" s="16">
        <v>52136.2</v>
      </c>
      <c r="D10" s="22" t="s">
        <v>565</v>
      </c>
      <c r="E10" s="18">
        <v>42588</v>
      </c>
      <c r="F10" s="19">
        <v>52546.57</v>
      </c>
      <c r="G10" s="20"/>
      <c r="H10" s="24">
        <v>42588</v>
      </c>
      <c r="I10" s="25">
        <v>1350</v>
      </c>
      <c r="J10" s="35"/>
      <c r="K10" s="27" t="s">
        <v>567</v>
      </c>
      <c r="L10" s="19">
        <v>11150</v>
      </c>
      <c r="M10" s="33">
        <v>417.5</v>
      </c>
      <c r="N10" s="21"/>
      <c r="O10" s="20"/>
      <c r="P10" s="20"/>
      <c r="Q10" s="20"/>
    </row>
    <row r="11" spans="1:19" x14ac:dyDescent="0.25">
      <c r="A11" s="14"/>
      <c r="B11" s="15">
        <v>42589</v>
      </c>
      <c r="C11" s="16">
        <v>30392</v>
      </c>
      <c r="D11" s="34" t="s">
        <v>570</v>
      </c>
      <c r="E11" s="18">
        <v>42589</v>
      </c>
      <c r="F11" s="19">
        <v>34825.769999999997</v>
      </c>
      <c r="G11" s="20"/>
      <c r="H11" s="24">
        <v>42589</v>
      </c>
      <c r="I11" s="25">
        <v>300</v>
      </c>
      <c r="J11" s="35"/>
      <c r="K11" s="27" t="s">
        <v>568</v>
      </c>
      <c r="L11" s="19">
        <v>8447</v>
      </c>
      <c r="M11" s="33">
        <v>13</v>
      </c>
      <c r="N11" s="36"/>
      <c r="O11" s="20"/>
      <c r="P11" s="20"/>
      <c r="Q11" s="20"/>
    </row>
    <row r="12" spans="1:19" x14ac:dyDescent="0.25">
      <c r="A12" s="14"/>
      <c r="B12" s="15">
        <v>42590</v>
      </c>
      <c r="C12" s="16">
        <v>21173</v>
      </c>
      <c r="D12" s="17" t="s">
        <v>571</v>
      </c>
      <c r="E12" s="18">
        <v>42590</v>
      </c>
      <c r="F12" s="19">
        <v>21599.19</v>
      </c>
      <c r="G12" s="20"/>
      <c r="H12" s="24">
        <v>42590</v>
      </c>
      <c r="I12" s="25">
        <v>100</v>
      </c>
      <c r="J12" s="35"/>
      <c r="K12" s="27" t="s">
        <v>569</v>
      </c>
      <c r="L12" s="19">
        <v>0</v>
      </c>
      <c r="M12" s="33">
        <v>326</v>
      </c>
      <c r="N12" s="21"/>
      <c r="O12" s="37"/>
      <c r="P12" s="38"/>
      <c r="Q12" s="20"/>
    </row>
    <row r="13" spans="1:19" x14ac:dyDescent="0.25">
      <c r="A13" s="14"/>
      <c r="B13" s="15">
        <v>42591</v>
      </c>
      <c r="C13" s="16">
        <v>42703.8</v>
      </c>
      <c r="D13" s="34" t="s">
        <v>572</v>
      </c>
      <c r="E13" s="18">
        <v>42591</v>
      </c>
      <c r="F13" s="19">
        <v>43126.73</v>
      </c>
      <c r="G13" s="20"/>
      <c r="H13" s="24">
        <v>42591</v>
      </c>
      <c r="I13" s="25">
        <v>0</v>
      </c>
      <c r="J13" s="35"/>
      <c r="K13" s="27" t="s">
        <v>316</v>
      </c>
      <c r="L13" s="19">
        <v>0</v>
      </c>
      <c r="M13" s="33">
        <v>423</v>
      </c>
      <c r="N13" s="21"/>
      <c r="O13" s="20"/>
      <c r="P13" s="20"/>
      <c r="Q13" s="20"/>
    </row>
    <row r="14" spans="1:19" x14ac:dyDescent="0.25">
      <c r="A14" s="14"/>
      <c r="B14" s="15">
        <v>42592</v>
      </c>
      <c r="C14" s="16">
        <v>21720</v>
      </c>
      <c r="D14" s="17" t="s">
        <v>575</v>
      </c>
      <c r="E14" s="18">
        <v>42592</v>
      </c>
      <c r="F14" s="19">
        <v>25237.51</v>
      </c>
      <c r="G14" s="20"/>
      <c r="H14" s="24">
        <v>42592</v>
      </c>
      <c r="I14" s="25">
        <v>355</v>
      </c>
      <c r="J14" s="35"/>
      <c r="K14" s="40" t="s">
        <v>264</v>
      </c>
      <c r="L14" s="19">
        <v>0</v>
      </c>
      <c r="M14" s="33">
        <v>29</v>
      </c>
      <c r="N14" s="21"/>
      <c r="O14" s="20"/>
      <c r="P14" s="20"/>
      <c r="Q14" s="20"/>
    </row>
    <row r="15" spans="1:19" ht="15.75" x14ac:dyDescent="0.25">
      <c r="A15" s="14"/>
      <c r="B15" s="15">
        <v>42593</v>
      </c>
      <c r="C15" s="16">
        <v>33868.75</v>
      </c>
      <c r="D15" s="17" t="s">
        <v>592</v>
      </c>
      <c r="E15" s="18">
        <v>42593</v>
      </c>
      <c r="F15" s="19">
        <v>34635.71</v>
      </c>
      <c r="G15" s="20"/>
      <c r="H15" s="24">
        <v>42593</v>
      </c>
      <c r="I15" s="25">
        <v>0</v>
      </c>
      <c r="J15" s="35"/>
      <c r="K15" s="226" t="s">
        <v>11</v>
      </c>
      <c r="L15" s="19">
        <v>0</v>
      </c>
      <c r="M15" s="33">
        <v>229</v>
      </c>
      <c r="N15" s="30"/>
      <c r="O15" s="20"/>
      <c r="P15" s="20"/>
      <c r="Q15" s="20"/>
    </row>
    <row r="16" spans="1:19" ht="15.75" x14ac:dyDescent="0.25">
      <c r="A16" s="14"/>
      <c r="B16" s="15">
        <v>42594</v>
      </c>
      <c r="C16" s="16">
        <v>47339.7</v>
      </c>
      <c r="D16" s="17" t="s">
        <v>593</v>
      </c>
      <c r="E16" s="18">
        <v>42594</v>
      </c>
      <c r="F16" s="19">
        <v>47578.02</v>
      </c>
      <c r="G16" s="20"/>
      <c r="H16" s="24">
        <v>42594</v>
      </c>
      <c r="I16" s="25">
        <v>184</v>
      </c>
      <c r="J16" s="35"/>
      <c r="K16" s="325"/>
      <c r="L16" s="42">
        <v>0</v>
      </c>
      <c r="M16" s="33">
        <v>54</v>
      </c>
      <c r="N16" s="30"/>
      <c r="O16" s="20"/>
      <c r="P16" s="20"/>
      <c r="Q16" s="20"/>
    </row>
    <row r="17" spans="1:18" x14ac:dyDescent="0.25">
      <c r="A17" s="14"/>
      <c r="B17" s="15">
        <v>42595</v>
      </c>
      <c r="C17" s="16">
        <v>65701.679999999993</v>
      </c>
      <c r="D17" s="17" t="s">
        <v>594</v>
      </c>
      <c r="E17" s="18">
        <v>42595</v>
      </c>
      <c r="F17" s="19">
        <v>73357.53</v>
      </c>
      <c r="G17" s="20"/>
      <c r="H17" s="24">
        <v>42595</v>
      </c>
      <c r="I17" s="25">
        <v>300</v>
      </c>
      <c r="J17" s="35"/>
      <c r="K17" s="265" t="s">
        <v>573</v>
      </c>
      <c r="L17" s="19">
        <v>3814</v>
      </c>
      <c r="M17" s="33">
        <v>356</v>
      </c>
      <c r="N17" s="208">
        <v>10000</v>
      </c>
      <c r="O17" s="350" t="s">
        <v>598</v>
      </c>
      <c r="P17" s="20"/>
      <c r="Q17" s="20"/>
    </row>
    <row r="18" spans="1:18" x14ac:dyDescent="0.25">
      <c r="A18" s="14"/>
      <c r="B18" s="15">
        <v>42596</v>
      </c>
      <c r="C18" s="16">
        <v>36148</v>
      </c>
      <c r="D18" s="17" t="s">
        <v>595</v>
      </c>
      <c r="E18" s="18">
        <v>42596</v>
      </c>
      <c r="F18" s="19">
        <v>35021.43</v>
      </c>
      <c r="G18" s="20"/>
      <c r="H18" s="24">
        <v>42596</v>
      </c>
      <c r="I18" s="25">
        <v>661.45</v>
      </c>
      <c r="J18" s="35"/>
      <c r="K18" s="283" t="s">
        <v>574</v>
      </c>
      <c r="L18" s="19">
        <v>0</v>
      </c>
      <c r="M18" s="33">
        <v>117</v>
      </c>
      <c r="N18" s="21"/>
      <c r="O18" s="37"/>
      <c r="P18" s="20"/>
      <c r="Q18" s="20"/>
    </row>
    <row r="19" spans="1:18" x14ac:dyDescent="0.25">
      <c r="A19" s="14"/>
      <c r="B19" s="15">
        <v>42597</v>
      </c>
      <c r="C19" s="16">
        <v>28526.5</v>
      </c>
      <c r="D19" s="34" t="s">
        <v>596</v>
      </c>
      <c r="E19" s="18">
        <v>42597</v>
      </c>
      <c r="F19" s="19">
        <v>28733.360000000001</v>
      </c>
      <c r="G19" s="20"/>
      <c r="H19" s="24">
        <v>42597</v>
      </c>
      <c r="I19" s="25">
        <v>0</v>
      </c>
      <c r="J19" s="35"/>
      <c r="K19" s="43"/>
      <c r="L19" s="44">
        <v>0</v>
      </c>
      <c r="M19" s="33">
        <v>207</v>
      </c>
      <c r="N19" s="21"/>
      <c r="O19" s="20"/>
      <c r="P19" s="20"/>
      <c r="Q19" s="20"/>
    </row>
    <row r="20" spans="1:18" x14ac:dyDescent="0.25">
      <c r="A20" s="14"/>
      <c r="B20" s="15">
        <v>42598</v>
      </c>
      <c r="C20" s="16">
        <v>28112</v>
      </c>
      <c r="D20" s="22" t="s">
        <v>597</v>
      </c>
      <c r="E20" s="18">
        <v>42598</v>
      </c>
      <c r="F20" s="19">
        <v>28458.14</v>
      </c>
      <c r="G20" s="20"/>
      <c r="H20" s="24">
        <v>42598</v>
      </c>
      <c r="I20" s="45">
        <v>0</v>
      </c>
      <c r="J20" s="35"/>
      <c r="K20" s="46" t="s">
        <v>14</v>
      </c>
      <c r="L20" s="42">
        <v>0</v>
      </c>
      <c r="M20" s="33">
        <v>346</v>
      </c>
      <c r="N20" s="21"/>
      <c r="O20" s="20"/>
      <c r="P20" s="20"/>
      <c r="Q20" s="20"/>
    </row>
    <row r="21" spans="1:18" x14ac:dyDescent="0.25">
      <c r="A21" s="14"/>
      <c r="B21" s="15">
        <v>42599</v>
      </c>
      <c r="C21" s="16">
        <v>37462.199999999997</v>
      </c>
      <c r="D21" s="17" t="s">
        <v>600</v>
      </c>
      <c r="E21" s="18">
        <v>42599</v>
      </c>
      <c r="F21" s="19">
        <v>38285.03</v>
      </c>
      <c r="G21" s="20"/>
      <c r="H21" s="24">
        <v>42599</v>
      </c>
      <c r="I21" s="45">
        <v>0</v>
      </c>
      <c r="J21" s="35"/>
      <c r="K21" s="47" t="s">
        <v>15</v>
      </c>
      <c r="L21" s="42">
        <v>0</v>
      </c>
      <c r="M21" s="33">
        <v>823</v>
      </c>
      <c r="N21" s="21"/>
      <c r="O21" s="37"/>
      <c r="P21" s="37"/>
      <c r="Q21" s="37"/>
      <c r="R21" s="37"/>
    </row>
    <row r="22" spans="1:18" x14ac:dyDescent="0.25">
      <c r="A22" s="14"/>
      <c r="B22" s="15">
        <v>42600</v>
      </c>
      <c r="C22" s="16">
        <v>28000</v>
      </c>
      <c r="D22" s="17" t="s">
        <v>601</v>
      </c>
      <c r="E22" s="18">
        <v>42600</v>
      </c>
      <c r="F22" s="19">
        <v>28261.13</v>
      </c>
      <c r="G22" s="20"/>
      <c r="H22" s="24">
        <v>42600</v>
      </c>
      <c r="I22" s="45">
        <v>100</v>
      </c>
      <c r="J22" s="48"/>
      <c r="K22" s="49" t="s">
        <v>29</v>
      </c>
      <c r="L22" s="42">
        <v>0</v>
      </c>
      <c r="M22" s="33">
        <v>161</v>
      </c>
      <c r="N22" s="30"/>
      <c r="O22" s="20"/>
      <c r="P22" s="20"/>
      <c r="Q22" s="20"/>
    </row>
    <row r="23" spans="1:18" x14ac:dyDescent="0.25">
      <c r="A23" s="14"/>
      <c r="B23" s="15">
        <v>42601</v>
      </c>
      <c r="C23" s="16">
        <v>63369</v>
      </c>
      <c r="D23" s="259" t="s">
        <v>602</v>
      </c>
      <c r="E23" s="18">
        <v>42601</v>
      </c>
      <c r="F23" s="19">
        <v>65734.12</v>
      </c>
      <c r="G23" s="20"/>
      <c r="H23" s="24">
        <v>42601</v>
      </c>
      <c r="I23" s="45">
        <v>350</v>
      </c>
      <c r="J23" s="26"/>
      <c r="K23" s="50"/>
      <c r="L23" s="42">
        <v>0</v>
      </c>
      <c r="M23" s="33">
        <v>15</v>
      </c>
      <c r="N23" s="30"/>
      <c r="O23" s="20"/>
      <c r="P23" s="20"/>
      <c r="Q23" s="20"/>
    </row>
    <row r="24" spans="1:18" x14ac:dyDescent="0.25">
      <c r="A24" s="14"/>
      <c r="B24" s="15">
        <v>42602</v>
      </c>
      <c r="C24" s="16">
        <v>44772.5</v>
      </c>
      <c r="D24" s="17" t="s">
        <v>603</v>
      </c>
      <c r="E24" s="18">
        <v>42602</v>
      </c>
      <c r="F24" s="19">
        <v>45211.66</v>
      </c>
      <c r="G24" s="20"/>
      <c r="H24" s="24">
        <v>42602</v>
      </c>
      <c r="I24" s="45">
        <v>355</v>
      </c>
      <c r="J24" s="35"/>
      <c r="K24" s="51" t="s">
        <v>270</v>
      </c>
      <c r="L24" s="42">
        <v>0</v>
      </c>
      <c r="M24" s="33">
        <v>84</v>
      </c>
      <c r="N24" s="30"/>
      <c r="O24" s="20"/>
      <c r="P24" s="20"/>
      <c r="Q24" s="20"/>
    </row>
    <row r="25" spans="1:18" x14ac:dyDescent="0.25">
      <c r="A25" s="14"/>
      <c r="B25" s="15">
        <v>42603</v>
      </c>
      <c r="C25" s="16">
        <v>37785</v>
      </c>
      <c r="D25" s="259" t="s">
        <v>604</v>
      </c>
      <c r="E25" s="18">
        <v>42603</v>
      </c>
      <c r="F25" s="19">
        <v>45525.72</v>
      </c>
      <c r="G25" s="20"/>
      <c r="H25" s="24">
        <v>42603</v>
      </c>
      <c r="I25" s="45">
        <v>530</v>
      </c>
      <c r="J25" s="26"/>
      <c r="K25" s="50"/>
      <c r="L25" s="42">
        <v>0</v>
      </c>
      <c r="M25" s="33">
        <v>389</v>
      </c>
      <c r="N25" s="21"/>
      <c r="O25" s="20"/>
      <c r="P25" s="20"/>
      <c r="Q25" s="20"/>
    </row>
    <row r="26" spans="1:18" x14ac:dyDescent="0.25">
      <c r="A26" s="14"/>
      <c r="B26" s="15">
        <v>42604</v>
      </c>
      <c r="C26" s="16">
        <v>26734.400000000001</v>
      </c>
      <c r="D26" s="17" t="s">
        <v>607</v>
      </c>
      <c r="E26" s="18">
        <v>42604</v>
      </c>
      <c r="F26" s="19">
        <v>29372.720000000001</v>
      </c>
      <c r="G26" s="20"/>
      <c r="H26" s="24">
        <v>42604</v>
      </c>
      <c r="I26" s="45">
        <v>100</v>
      </c>
      <c r="J26" s="52"/>
      <c r="K26" s="50"/>
      <c r="L26" s="42">
        <v>0</v>
      </c>
      <c r="M26" s="33">
        <v>38</v>
      </c>
      <c r="N26" s="21"/>
      <c r="O26" s="37"/>
      <c r="P26" s="38"/>
      <c r="Q26" s="20"/>
    </row>
    <row r="27" spans="1:18" x14ac:dyDescent="0.25">
      <c r="A27" s="14"/>
      <c r="B27" s="15">
        <v>42605</v>
      </c>
      <c r="C27" s="16">
        <v>35574.26</v>
      </c>
      <c r="D27" s="17" t="s">
        <v>608</v>
      </c>
      <c r="E27" s="18">
        <v>42605</v>
      </c>
      <c r="F27" s="19">
        <v>35715.99</v>
      </c>
      <c r="G27" s="20"/>
      <c r="H27" s="24">
        <v>42605</v>
      </c>
      <c r="I27" s="45">
        <v>15.5</v>
      </c>
      <c r="J27" s="26"/>
      <c r="K27" s="53" t="s">
        <v>606</v>
      </c>
      <c r="L27" s="42">
        <v>2500</v>
      </c>
      <c r="M27" s="33">
        <v>126</v>
      </c>
      <c r="N27" s="21"/>
      <c r="O27" s="20"/>
      <c r="P27" s="20"/>
      <c r="Q27" s="20"/>
    </row>
    <row r="28" spans="1:18" x14ac:dyDescent="0.25">
      <c r="A28" s="14"/>
      <c r="B28" s="15">
        <v>42606</v>
      </c>
      <c r="C28" s="16">
        <v>32312.959999999999</v>
      </c>
      <c r="D28" s="17" t="s">
        <v>609</v>
      </c>
      <c r="E28" s="18">
        <v>42606</v>
      </c>
      <c r="F28" s="19">
        <v>33179.1</v>
      </c>
      <c r="G28" s="20"/>
      <c r="H28" s="24">
        <v>42606</v>
      </c>
      <c r="I28" s="45">
        <v>673.9</v>
      </c>
      <c r="J28" s="26"/>
      <c r="K28" s="298" t="s">
        <v>605</v>
      </c>
      <c r="L28" s="42">
        <v>0</v>
      </c>
      <c r="M28" s="33">
        <v>192</v>
      </c>
      <c r="N28" s="30"/>
      <c r="O28" s="20"/>
      <c r="P28" s="20"/>
      <c r="Q28" s="20"/>
    </row>
    <row r="29" spans="1:18" x14ac:dyDescent="0.25">
      <c r="A29" s="14"/>
      <c r="B29" s="15">
        <v>42607</v>
      </c>
      <c r="C29" s="16">
        <v>19239</v>
      </c>
      <c r="D29" s="17" t="s">
        <v>610</v>
      </c>
      <c r="E29" s="18">
        <v>42607</v>
      </c>
      <c r="F29" s="19">
        <v>19295.84</v>
      </c>
      <c r="G29" s="20"/>
      <c r="H29" s="24">
        <v>42607</v>
      </c>
      <c r="I29" s="45">
        <v>0</v>
      </c>
      <c r="J29" s="26"/>
      <c r="K29" s="55" t="s">
        <v>372</v>
      </c>
      <c r="L29" s="56">
        <v>0</v>
      </c>
      <c r="M29" s="33">
        <v>57</v>
      </c>
      <c r="N29" s="30"/>
      <c r="O29" s="20"/>
      <c r="P29" s="20"/>
      <c r="Q29" s="20"/>
    </row>
    <row r="30" spans="1:18" ht="15.75" thickBot="1" x14ac:dyDescent="0.3">
      <c r="A30" s="14"/>
      <c r="B30" s="15">
        <v>42608</v>
      </c>
      <c r="C30" s="351">
        <v>46747.5</v>
      </c>
      <c r="D30" s="17" t="s">
        <v>612</v>
      </c>
      <c r="E30" s="18">
        <v>42608</v>
      </c>
      <c r="F30" s="19">
        <v>47238.52</v>
      </c>
      <c r="G30" s="20"/>
      <c r="H30" s="24">
        <v>42608</v>
      </c>
      <c r="I30" s="45">
        <v>400</v>
      </c>
      <c r="J30" s="52"/>
      <c r="K30" s="54" t="s">
        <v>373</v>
      </c>
      <c r="L30" s="56">
        <v>0</v>
      </c>
      <c r="M30" s="33">
        <v>91</v>
      </c>
      <c r="N30" s="30"/>
      <c r="O30" s="20"/>
      <c r="P30" s="20"/>
      <c r="Q30" s="20"/>
    </row>
    <row r="31" spans="1:18" x14ac:dyDescent="0.25">
      <c r="A31" s="14"/>
      <c r="B31" s="15">
        <v>42609</v>
      </c>
      <c r="C31" s="16"/>
      <c r="D31" s="17"/>
      <c r="E31" s="18">
        <v>42609</v>
      </c>
      <c r="F31" s="19"/>
      <c r="G31" s="20"/>
      <c r="H31" s="24">
        <v>42609</v>
      </c>
      <c r="I31" s="45"/>
      <c r="J31" s="35"/>
      <c r="K31" s="57" t="s">
        <v>374</v>
      </c>
      <c r="L31" s="303">
        <v>0</v>
      </c>
      <c r="M31" s="33"/>
      <c r="N31" s="21"/>
      <c r="O31" s="20"/>
      <c r="P31" s="20"/>
      <c r="Q31" s="20"/>
    </row>
    <row r="32" spans="1:18" ht="15.75" thickBot="1" x14ac:dyDescent="0.3">
      <c r="A32" s="14"/>
      <c r="B32" s="15">
        <v>42610</v>
      </c>
      <c r="C32" s="16"/>
      <c r="D32" s="17"/>
      <c r="E32" s="18">
        <v>42610</v>
      </c>
      <c r="F32" s="19"/>
      <c r="G32" s="20"/>
      <c r="H32" s="24">
        <v>42610</v>
      </c>
      <c r="I32" s="45"/>
      <c r="J32" s="26"/>
      <c r="K32" s="53"/>
      <c r="L32" s="304"/>
      <c r="M32" s="33"/>
      <c r="N32" s="30"/>
      <c r="O32" s="20"/>
      <c r="P32" s="20"/>
      <c r="Q32" s="20"/>
    </row>
    <row r="33" spans="1:17" x14ac:dyDescent="0.25">
      <c r="A33" s="14"/>
      <c r="B33" s="15">
        <v>42611</v>
      </c>
      <c r="C33" s="16"/>
      <c r="D33" s="34"/>
      <c r="E33" s="18">
        <v>42611</v>
      </c>
      <c r="F33" s="19"/>
      <c r="G33" s="20"/>
      <c r="H33" s="24">
        <v>42611</v>
      </c>
      <c r="I33" s="45"/>
      <c r="J33" s="26"/>
      <c r="K33" s="293"/>
      <c r="L33" s="383">
        <v>0</v>
      </c>
      <c r="M33" s="33"/>
      <c r="N33" s="21"/>
      <c r="O33" s="20"/>
      <c r="P33" s="20"/>
      <c r="Q33" s="20"/>
    </row>
    <row r="34" spans="1:17" x14ac:dyDescent="0.25">
      <c r="A34" s="14"/>
      <c r="B34" s="15">
        <v>42612</v>
      </c>
      <c r="C34" s="16"/>
      <c r="D34" s="17"/>
      <c r="E34" s="18">
        <v>42612</v>
      </c>
      <c r="F34" s="19"/>
      <c r="G34" s="20"/>
      <c r="H34" s="24">
        <v>42612</v>
      </c>
      <c r="I34" s="45"/>
      <c r="J34" s="26"/>
      <c r="K34" s="293"/>
      <c r="L34" s="384"/>
      <c r="M34" s="33"/>
      <c r="N34" s="21"/>
      <c r="O34" s="20"/>
    </row>
    <row r="35" spans="1:17" ht="15.75" thickBot="1" x14ac:dyDescent="0.3">
      <c r="A35" s="14"/>
      <c r="B35" s="15">
        <v>42613</v>
      </c>
      <c r="C35" s="16"/>
      <c r="D35" s="34"/>
      <c r="E35" s="18">
        <v>42613</v>
      </c>
      <c r="F35" s="19"/>
      <c r="G35" s="20"/>
      <c r="H35" s="24">
        <v>42613</v>
      </c>
      <c r="I35" s="45"/>
      <c r="J35" s="26"/>
      <c r="K35" s="387"/>
      <c r="L35" s="28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87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5794</v>
      </c>
    </row>
    <row r="38" spans="1:17" x14ac:dyDescent="0.25">
      <c r="B38" s="82" t="s">
        <v>16</v>
      </c>
      <c r="C38" s="83">
        <f>SUM(C5:C37)</f>
        <v>957168.57</v>
      </c>
      <c r="E38" s="335" t="s">
        <v>16</v>
      </c>
      <c r="F38" s="85">
        <f>SUM(F5:F37)</f>
        <v>991276.18</v>
      </c>
      <c r="H38" s="5" t="s">
        <v>16</v>
      </c>
      <c r="I38" s="86">
        <f>SUM(I5:I37)</f>
        <v>7613.57</v>
      </c>
      <c r="J38" s="86"/>
      <c r="K38" s="87" t="s">
        <v>16</v>
      </c>
      <c r="L38" s="88">
        <f>SUM(L5:L37)</f>
        <v>80378.5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334"/>
      <c r="K40" s="354">
        <f>I38+L38</f>
        <v>87992.07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903284.1100000001</v>
      </c>
      <c r="I41" s="96"/>
      <c r="J41" s="96"/>
    </row>
    <row r="42" spans="1:17" ht="15.75" x14ac:dyDescent="0.25">
      <c r="D42" s="369" t="s">
        <v>193</v>
      </c>
      <c r="E42" s="369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903284.1100000001</v>
      </c>
      <c r="I44" s="370" t="s">
        <v>22</v>
      </c>
      <c r="J44" s="371"/>
      <c r="K44" s="374">
        <f>F48+L46</f>
        <v>903284.1100000001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0</v>
      </c>
      <c r="I46" s="379"/>
      <c r="J46" s="379"/>
      <c r="K46" s="380"/>
      <c r="L46" s="102"/>
    </row>
    <row r="47" spans="1:17" ht="19.5" thickBot="1" x14ac:dyDescent="0.35">
      <c r="C47" s="85"/>
      <c r="D47" s="335"/>
      <c r="E47" s="335"/>
      <c r="F47" s="103"/>
      <c r="H47" s="104"/>
      <c r="I47" s="336" t="s">
        <v>26</v>
      </c>
      <c r="J47" s="336"/>
      <c r="K47" s="388">
        <v>0</v>
      </c>
      <c r="L47" s="388"/>
      <c r="M47" s="337">
        <f>C4</f>
        <v>177471.81</v>
      </c>
    </row>
    <row r="48" spans="1:17" ht="17.25" thickTop="1" thickBot="1" x14ac:dyDescent="0.3">
      <c r="E48" s="106" t="s">
        <v>27</v>
      </c>
      <c r="F48" s="107">
        <f>F44+F45+F46</f>
        <v>903284.1100000001</v>
      </c>
    </row>
    <row r="49" spans="2:14" ht="19.5" thickBot="1" x14ac:dyDescent="0.35">
      <c r="B49"/>
      <c r="C49"/>
      <c r="D49" s="363"/>
      <c r="E49" s="363"/>
      <c r="F49" s="67"/>
      <c r="I49" s="364" t="s">
        <v>28</v>
      </c>
      <c r="J49" s="365"/>
      <c r="K49" s="366">
        <f>K44+K47</f>
        <v>903284.1100000001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2"/>
  <sheetViews>
    <sheetView tabSelected="1" topLeftCell="A21" workbookViewId="0">
      <selection activeCell="A33" sqref="A33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1.42578125" style="323"/>
    <col min="11" max="11" width="15.140625" customWidth="1"/>
    <col min="12" max="12" width="13.28515625" customWidth="1"/>
    <col min="14" max="14" width="20.140625" bestFit="1" customWidth="1"/>
    <col min="19" max="19" width="12.5703125" bestFit="1" customWidth="1"/>
    <col min="21" max="21" width="13.5703125" customWidth="1"/>
    <col min="24" max="24" width="20.140625" bestFit="1" customWidth="1"/>
  </cols>
  <sheetData>
    <row r="1" spans="1:25" ht="23.25" thickBot="1" x14ac:dyDescent="0.35">
      <c r="B1" s="109" t="s">
        <v>539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86" t="s">
        <v>460</v>
      </c>
      <c r="K1" s="386"/>
      <c r="U1" s="146" t="s">
        <v>46</v>
      </c>
      <c r="V1" s="147"/>
      <c r="W1" s="148"/>
      <c r="X1" s="338">
        <v>42609</v>
      </c>
      <c r="Y1" s="150"/>
    </row>
    <row r="2" spans="1:25" ht="16.5" thickBot="1" x14ac:dyDescent="0.3">
      <c r="A2" s="112"/>
      <c r="B2" s="113"/>
      <c r="C2" s="114"/>
      <c r="D2" s="113"/>
      <c r="E2" s="114"/>
      <c r="F2" s="114"/>
      <c r="T2" s="151"/>
      <c r="U2" s="152"/>
      <c r="V2" s="151"/>
      <c r="W2" s="153"/>
      <c r="X2" s="152"/>
      <c r="Y2" s="154"/>
    </row>
    <row r="3" spans="1:25" ht="19.5" thickBot="1" x14ac:dyDescent="0.35">
      <c r="A3" s="115">
        <v>42584</v>
      </c>
      <c r="B3" s="123" t="s">
        <v>544</v>
      </c>
      <c r="C3" s="26">
        <v>8852.2000000000007</v>
      </c>
      <c r="D3" s="117">
        <v>42594</v>
      </c>
      <c r="E3" s="21">
        <v>8852.2000000000007</v>
      </c>
      <c r="F3" s="118">
        <f>C3-E3</f>
        <v>0</v>
      </c>
      <c r="J3"/>
      <c r="K3" s="146" t="s">
        <v>46</v>
      </c>
      <c r="L3" s="147"/>
      <c r="M3" s="148"/>
      <c r="N3" s="195">
        <v>42588</v>
      </c>
      <c r="O3" s="150"/>
      <c r="T3" s="155" t="s">
        <v>47</v>
      </c>
      <c r="U3" s="152" t="s">
        <v>48</v>
      </c>
      <c r="V3" s="151"/>
      <c r="W3" s="153" t="s">
        <v>49</v>
      </c>
      <c r="X3" s="152" t="s">
        <v>50</v>
      </c>
      <c r="Y3" s="154"/>
    </row>
    <row r="4" spans="1:25" ht="15.75" x14ac:dyDescent="0.25">
      <c r="A4" s="119">
        <v>42584</v>
      </c>
      <c r="B4" s="123" t="s">
        <v>545</v>
      </c>
      <c r="C4" s="21">
        <v>1545.6</v>
      </c>
      <c r="D4" s="117">
        <v>42594</v>
      </c>
      <c r="E4" s="21">
        <v>1545.6</v>
      </c>
      <c r="F4" s="122">
        <f>C4-E4</f>
        <v>0</v>
      </c>
      <c r="J4" s="151"/>
      <c r="K4" s="152"/>
      <c r="L4" s="151"/>
      <c r="M4" s="153"/>
      <c r="N4" s="152"/>
      <c r="O4" s="154"/>
      <c r="S4" s="324">
        <v>0</v>
      </c>
      <c r="T4" s="125"/>
      <c r="U4" s="26">
        <v>0</v>
      </c>
      <c r="V4" s="156"/>
      <c r="W4" s="157" t="s">
        <v>52</v>
      </c>
      <c r="X4" s="238">
        <v>28000</v>
      </c>
      <c r="Y4" s="239">
        <v>42604</v>
      </c>
    </row>
    <row r="5" spans="1:25" ht="15.75" x14ac:dyDescent="0.25">
      <c r="A5" s="124">
        <v>42585</v>
      </c>
      <c r="B5" s="123" t="s">
        <v>546</v>
      </c>
      <c r="C5" s="26">
        <v>22973.1</v>
      </c>
      <c r="D5" s="117">
        <v>42594</v>
      </c>
      <c r="E5" s="21">
        <v>22973.1</v>
      </c>
      <c r="F5" s="122">
        <f>C5-E5</f>
        <v>0</v>
      </c>
      <c r="J5" s="155" t="s">
        <v>47</v>
      </c>
      <c r="K5" s="152" t="s">
        <v>48</v>
      </c>
      <c r="L5" s="151"/>
      <c r="M5" s="153" t="s">
        <v>49</v>
      </c>
      <c r="N5" s="152" t="s">
        <v>50</v>
      </c>
      <c r="O5" s="154"/>
      <c r="S5" s="30">
        <f>28000+10875</f>
        <v>38875</v>
      </c>
      <c r="T5" s="123" t="s">
        <v>576</v>
      </c>
      <c r="U5" s="21">
        <v>38875</v>
      </c>
      <c r="V5" s="156"/>
      <c r="W5" s="157" t="s">
        <v>52</v>
      </c>
      <c r="X5" s="238">
        <v>46687</v>
      </c>
      <c r="Y5" s="239">
        <v>42604</v>
      </c>
    </row>
    <row r="6" spans="1:25" ht="15.75" x14ac:dyDescent="0.25">
      <c r="A6" s="119">
        <v>42586</v>
      </c>
      <c r="B6" s="125" t="s">
        <v>543</v>
      </c>
      <c r="C6" s="26">
        <v>40805.75</v>
      </c>
      <c r="D6" s="117" t="s">
        <v>582</v>
      </c>
      <c r="E6" s="21">
        <f>21002.2+19803.55</f>
        <v>40805.75</v>
      </c>
      <c r="F6" s="122">
        <f>C6-E6</f>
        <v>0</v>
      </c>
      <c r="I6" s="324">
        <v>30</v>
      </c>
      <c r="J6" s="125" t="s">
        <v>501</v>
      </c>
      <c r="K6" s="26">
        <v>30</v>
      </c>
      <c r="L6" s="156" t="s">
        <v>51</v>
      </c>
      <c r="M6" s="157" t="s">
        <v>52</v>
      </c>
      <c r="N6" s="238">
        <v>60339</v>
      </c>
      <c r="O6" s="239">
        <v>42584</v>
      </c>
      <c r="S6" s="30">
        <f>9000+44400+11752.5</f>
        <v>65152.5</v>
      </c>
      <c r="T6" s="123" t="s">
        <v>578</v>
      </c>
      <c r="U6" s="21">
        <v>65152.5</v>
      </c>
      <c r="V6" s="160"/>
      <c r="W6" s="157" t="s">
        <v>52</v>
      </c>
      <c r="X6" s="238">
        <v>16682</v>
      </c>
      <c r="Y6" s="239">
        <v>42600</v>
      </c>
    </row>
    <row r="7" spans="1:25" ht="15.75" x14ac:dyDescent="0.25">
      <c r="A7" s="119">
        <v>42586</v>
      </c>
      <c r="B7" s="123" t="s">
        <v>548</v>
      </c>
      <c r="C7" s="21">
        <v>53062.7</v>
      </c>
      <c r="D7" s="117">
        <v>42601</v>
      </c>
      <c r="E7" s="21">
        <v>53062.7</v>
      </c>
      <c r="F7" s="122">
        <f t="shared" ref="F7:F37" si="0">C7-E7</f>
        <v>0</v>
      </c>
      <c r="I7" s="30">
        <v>7377.4</v>
      </c>
      <c r="J7" s="123" t="s">
        <v>517</v>
      </c>
      <c r="K7" s="26">
        <v>7373.76</v>
      </c>
      <c r="L7" s="156" t="s">
        <v>51</v>
      </c>
      <c r="M7" s="157" t="s">
        <v>52</v>
      </c>
      <c r="N7" s="238">
        <v>32000</v>
      </c>
      <c r="O7" s="239">
        <v>42584</v>
      </c>
      <c r="S7" s="30">
        <f>26812.4+16682</f>
        <v>43494.400000000001</v>
      </c>
      <c r="T7" s="123" t="s">
        <v>579</v>
      </c>
      <c r="U7" s="21">
        <v>43493.9</v>
      </c>
      <c r="V7" s="161"/>
      <c r="W7" s="157" t="s">
        <v>52</v>
      </c>
      <c r="X7" s="238">
        <v>44400</v>
      </c>
      <c r="Y7" s="239">
        <v>42604</v>
      </c>
    </row>
    <row r="8" spans="1:25" ht="15.75" x14ac:dyDescent="0.25">
      <c r="A8" s="119">
        <v>42587</v>
      </c>
      <c r="B8" s="123" t="s">
        <v>547</v>
      </c>
      <c r="C8" s="21">
        <v>32830</v>
      </c>
      <c r="D8" s="117">
        <v>42594</v>
      </c>
      <c r="E8" s="26">
        <v>32830</v>
      </c>
      <c r="F8" s="122">
        <f t="shared" si="0"/>
        <v>0</v>
      </c>
      <c r="I8" s="30">
        <v>49768.2</v>
      </c>
      <c r="J8" s="123" t="s">
        <v>518</v>
      </c>
      <c r="K8" s="21">
        <v>49768.2</v>
      </c>
      <c r="L8" s="160"/>
      <c r="M8" s="157" t="s">
        <v>52</v>
      </c>
      <c r="N8" s="238">
        <v>19509</v>
      </c>
      <c r="O8" s="239">
        <v>42586</v>
      </c>
      <c r="S8" s="30">
        <v>19782.5</v>
      </c>
      <c r="T8" s="123" t="s">
        <v>580</v>
      </c>
      <c r="U8" s="21">
        <v>19782.5</v>
      </c>
      <c r="V8" s="161"/>
      <c r="W8" s="157" t="s">
        <v>52</v>
      </c>
      <c r="X8" s="313">
        <v>37785</v>
      </c>
      <c r="Y8" s="318">
        <v>42604</v>
      </c>
    </row>
    <row r="9" spans="1:25" ht="15.75" x14ac:dyDescent="0.25">
      <c r="A9" s="119">
        <v>42588</v>
      </c>
      <c r="B9" s="123" t="s">
        <v>549</v>
      </c>
      <c r="C9" s="21">
        <v>34541.68</v>
      </c>
      <c r="D9" s="117">
        <v>42601</v>
      </c>
      <c r="E9" s="26">
        <v>34541.68</v>
      </c>
      <c r="F9" s="122">
        <f t="shared" si="0"/>
        <v>0</v>
      </c>
      <c r="I9" s="30">
        <f>23000+13009.2</f>
        <v>36009.199999999997</v>
      </c>
      <c r="J9" s="123" t="s">
        <v>519</v>
      </c>
      <c r="K9" s="21">
        <v>36009.199999999997</v>
      </c>
      <c r="L9" s="161"/>
      <c r="M9" s="157" t="s">
        <v>52</v>
      </c>
      <c r="N9" s="238">
        <v>14326.5</v>
      </c>
      <c r="O9" s="239">
        <v>42583</v>
      </c>
      <c r="S9" s="30">
        <f>6250+26000+5123.7</f>
        <v>37373.699999999997</v>
      </c>
      <c r="T9" s="123" t="s">
        <v>581</v>
      </c>
      <c r="U9" s="21">
        <v>37373.699999999997</v>
      </c>
      <c r="V9" s="160"/>
      <c r="W9" s="157" t="s">
        <v>52</v>
      </c>
      <c r="X9" s="313">
        <v>26000</v>
      </c>
      <c r="Y9" s="318">
        <v>42605</v>
      </c>
    </row>
    <row r="10" spans="1:25" ht="15.75" x14ac:dyDescent="0.25">
      <c r="A10" s="119">
        <v>42589</v>
      </c>
      <c r="B10" s="123" t="s">
        <v>550</v>
      </c>
      <c r="C10" s="21">
        <v>33660</v>
      </c>
      <c r="D10" s="117">
        <v>42601</v>
      </c>
      <c r="E10" s="26">
        <v>33660</v>
      </c>
      <c r="F10" s="122">
        <f t="shared" si="0"/>
        <v>0</v>
      </c>
      <c r="I10" s="30">
        <f>3163.5+9000</f>
        <v>12163.5</v>
      </c>
      <c r="J10" s="123" t="s">
        <v>520</v>
      </c>
      <c r="K10" s="21">
        <v>12163.5</v>
      </c>
      <c r="L10" s="161"/>
      <c r="M10" s="157" t="s">
        <v>52</v>
      </c>
      <c r="N10" s="313">
        <v>22390</v>
      </c>
      <c r="O10" s="318">
        <v>42586</v>
      </c>
      <c r="S10" s="30">
        <f>23600+6850.56+23804.64</f>
        <v>54255.199999999997</v>
      </c>
      <c r="T10" s="123" t="s">
        <v>583</v>
      </c>
      <c r="U10" s="21">
        <v>54255.199999999997</v>
      </c>
      <c r="V10" s="160"/>
      <c r="W10" s="157" t="s">
        <v>52</v>
      </c>
      <c r="X10" s="313">
        <v>28724</v>
      </c>
      <c r="Y10" s="318">
        <v>42606</v>
      </c>
    </row>
    <row r="11" spans="1:25" ht="15.75" x14ac:dyDescent="0.25">
      <c r="A11" s="119">
        <v>42589</v>
      </c>
      <c r="B11" s="123" t="s">
        <v>551</v>
      </c>
      <c r="C11" s="26">
        <v>53026.3</v>
      </c>
      <c r="D11" s="117">
        <v>42601</v>
      </c>
      <c r="E11" s="26">
        <v>53026.3</v>
      </c>
      <c r="F11" s="127">
        <f t="shared" si="0"/>
        <v>0</v>
      </c>
      <c r="I11" s="30">
        <f>6500+14512.28+14326.4</f>
        <v>35338.68</v>
      </c>
      <c r="J11" s="123" t="s">
        <v>521</v>
      </c>
      <c r="K11" s="21">
        <v>35338.68</v>
      </c>
      <c r="L11" s="160"/>
      <c r="M11" s="157" t="s">
        <v>52</v>
      </c>
      <c r="N11" s="313">
        <v>33996.5</v>
      </c>
      <c r="O11" s="318">
        <v>42587</v>
      </c>
      <c r="S11" s="30">
        <f>2488.32+5500+18900</f>
        <v>26888.32</v>
      </c>
      <c r="T11" s="123" t="s">
        <v>584</v>
      </c>
      <c r="U11" s="21">
        <v>26888.7</v>
      </c>
      <c r="V11" s="160" t="s">
        <v>91</v>
      </c>
      <c r="W11" s="157" t="s">
        <v>52</v>
      </c>
      <c r="X11" s="313">
        <v>6850.5</v>
      </c>
      <c r="Y11" s="318">
        <v>42604</v>
      </c>
    </row>
    <row r="12" spans="1:25" ht="15.75" x14ac:dyDescent="0.25">
      <c r="A12" s="119">
        <v>42590</v>
      </c>
      <c r="B12" s="125" t="s">
        <v>552</v>
      </c>
      <c r="C12" s="26">
        <v>30438.16</v>
      </c>
      <c r="D12" s="345"/>
      <c r="E12" s="346"/>
      <c r="F12" s="347">
        <f t="shared" si="0"/>
        <v>30438.16</v>
      </c>
      <c r="I12" s="30">
        <v>7878.04</v>
      </c>
      <c r="J12" s="123" t="s">
        <v>522</v>
      </c>
      <c r="K12" s="21">
        <v>7878.04</v>
      </c>
      <c r="L12" s="160"/>
      <c r="M12" s="157" t="s">
        <v>52</v>
      </c>
      <c r="N12" s="313">
        <v>29000</v>
      </c>
      <c r="O12" s="318">
        <v>42587</v>
      </c>
      <c r="S12" s="30">
        <v>0</v>
      </c>
      <c r="T12" s="123"/>
      <c r="U12" s="21">
        <v>0</v>
      </c>
      <c r="V12" s="160"/>
      <c r="W12" s="157" t="s">
        <v>52</v>
      </c>
      <c r="X12" s="313">
        <v>29304.5</v>
      </c>
      <c r="Y12" s="318">
        <v>42607</v>
      </c>
    </row>
    <row r="13" spans="1:25" ht="15.75" x14ac:dyDescent="0.25">
      <c r="A13" s="119">
        <v>42591</v>
      </c>
      <c r="B13" s="125" t="s">
        <v>553</v>
      </c>
      <c r="C13" s="26">
        <v>11147.9</v>
      </c>
      <c r="D13" s="117">
        <v>42601</v>
      </c>
      <c r="E13" s="26">
        <v>11147.9</v>
      </c>
      <c r="F13" s="127">
        <f t="shared" si="0"/>
        <v>0</v>
      </c>
      <c r="I13" s="30">
        <f>900+29000</f>
        <v>29900</v>
      </c>
      <c r="J13" s="123" t="s">
        <v>523</v>
      </c>
      <c r="K13" s="21">
        <v>29903.119999999999</v>
      </c>
      <c r="L13" s="160" t="s">
        <v>91</v>
      </c>
      <c r="M13" s="157" t="s">
        <v>52</v>
      </c>
      <c r="N13" s="313"/>
      <c r="O13" s="318"/>
      <c r="S13" s="30">
        <v>0</v>
      </c>
      <c r="T13" s="123"/>
      <c r="U13" s="21">
        <v>0</v>
      </c>
      <c r="V13" s="160"/>
      <c r="W13" s="157">
        <v>3280940</v>
      </c>
      <c r="X13" s="313">
        <v>2488.5</v>
      </c>
      <c r="Y13" s="318">
        <v>42605</v>
      </c>
    </row>
    <row r="14" spans="1:25" ht="15.75" x14ac:dyDescent="0.25">
      <c r="A14" s="119">
        <v>42593</v>
      </c>
      <c r="B14" s="125" t="s">
        <v>554</v>
      </c>
      <c r="C14" s="26">
        <v>54144.9</v>
      </c>
      <c r="D14" s="117">
        <v>42601</v>
      </c>
      <c r="E14" s="26">
        <v>54144.9</v>
      </c>
      <c r="F14" s="127">
        <f t="shared" si="0"/>
        <v>0</v>
      </c>
      <c r="I14" s="30">
        <v>33096.5</v>
      </c>
      <c r="J14" s="123" t="s">
        <v>524</v>
      </c>
      <c r="K14" s="21">
        <v>33096.5</v>
      </c>
      <c r="L14" s="160"/>
      <c r="M14" s="157" t="s">
        <v>52</v>
      </c>
      <c r="N14" s="313"/>
      <c r="O14" s="318"/>
      <c r="S14" s="30">
        <v>0</v>
      </c>
      <c r="T14" s="126"/>
      <c r="U14" s="21">
        <v>0</v>
      </c>
      <c r="V14" s="232"/>
      <c r="W14" s="233" t="s">
        <v>52</v>
      </c>
      <c r="X14" s="319">
        <v>18900</v>
      </c>
      <c r="Y14" s="320">
        <v>42608</v>
      </c>
    </row>
    <row r="15" spans="1:25" ht="15.75" x14ac:dyDescent="0.25">
      <c r="A15" s="124">
        <v>42594</v>
      </c>
      <c r="B15" s="123" t="s">
        <v>576</v>
      </c>
      <c r="C15" s="21">
        <v>38875</v>
      </c>
      <c r="D15" s="117">
        <v>42609</v>
      </c>
      <c r="E15" s="21">
        <v>38875</v>
      </c>
      <c r="F15" s="127">
        <f t="shared" si="0"/>
        <v>0</v>
      </c>
      <c r="G15" s="268"/>
      <c r="H15" s="268"/>
      <c r="I15" s="241">
        <f>SUM(I6:I14)</f>
        <v>211561.52</v>
      </c>
      <c r="J15" s="165"/>
      <c r="K15" s="166"/>
      <c r="L15" s="165"/>
      <c r="M15" s="240"/>
      <c r="N15" s="321">
        <v>0</v>
      </c>
      <c r="O15" s="318"/>
      <c r="S15" s="344">
        <f>SUM(S4:S14)</f>
        <v>285821.62</v>
      </c>
      <c r="T15" s="339"/>
      <c r="U15" s="340">
        <v>0</v>
      </c>
      <c r="V15" s="339"/>
      <c r="W15" s="341"/>
      <c r="X15" s="342">
        <v>0</v>
      </c>
      <c r="Y15" s="343"/>
    </row>
    <row r="16" spans="1:25" ht="15.75" x14ac:dyDescent="0.25">
      <c r="A16" s="124">
        <v>42595</v>
      </c>
      <c r="B16" s="123" t="s">
        <v>577</v>
      </c>
      <c r="C16" s="21">
        <v>15817.3</v>
      </c>
      <c r="D16" s="117">
        <v>42601</v>
      </c>
      <c r="E16" s="21">
        <v>15817.3</v>
      </c>
      <c r="F16" s="127">
        <f t="shared" si="0"/>
        <v>0</v>
      </c>
      <c r="G16" s="268"/>
      <c r="H16" s="20"/>
      <c r="J16" s="196"/>
      <c r="K16" s="26">
        <f>SUM(K6:K15)</f>
        <v>211561</v>
      </c>
      <c r="L16" s="43"/>
      <c r="M16" s="219"/>
      <c r="N16" s="220">
        <f>SUM(N6:N15)</f>
        <v>211561</v>
      </c>
      <c r="O16" s="218"/>
      <c r="T16" s="196"/>
      <c r="U16" s="26">
        <f>SUM(U4:U15)</f>
        <v>285821.5</v>
      </c>
      <c r="V16" s="43"/>
      <c r="W16" s="219"/>
      <c r="X16" s="220">
        <f>SUM(X4:X15)</f>
        <v>285821.5</v>
      </c>
      <c r="Y16" s="218"/>
    </row>
    <row r="17" spans="1:25" ht="15.75" x14ac:dyDescent="0.25">
      <c r="A17" s="124">
        <v>42596</v>
      </c>
      <c r="B17" s="123" t="s">
        <v>578</v>
      </c>
      <c r="C17" s="21">
        <v>65152.5</v>
      </c>
      <c r="D17" s="117">
        <v>42609</v>
      </c>
      <c r="E17" s="21">
        <v>65152.5</v>
      </c>
      <c r="F17" s="127">
        <f t="shared" si="0"/>
        <v>0</v>
      </c>
      <c r="G17" s="269"/>
      <c r="H17" s="268"/>
      <c r="J17"/>
      <c r="S17" s="3"/>
      <c r="T17" s="196"/>
      <c r="U17" s="26"/>
      <c r="V17" s="43"/>
      <c r="W17" s="198"/>
      <c r="X17" s="275"/>
      <c r="Y17" s="276"/>
    </row>
    <row r="18" spans="1:25" ht="15.75" x14ac:dyDescent="0.25">
      <c r="A18" s="119">
        <v>42596</v>
      </c>
      <c r="B18" s="123" t="s">
        <v>579</v>
      </c>
      <c r="C18" s="21">
        <v>43493.9</v>
      </c>
      <c r="D18" s="117">
        <v>42609</v>
      </c>
      <c r="E18" s="30">
        <v>43493.9</v>
      </c>
      <c r="F18" s="329">
        <f t="shared" si="0"/>
        <v>0</v>
      </c>
      <c r="H18" s="14"/>
      <c r="I18" s="30"/>
      <c r="K18" s="30"/>
      <c r="S18" s="30"/>
      <c r="T18" s="196"/>
      <c r="U18" s="26"/>
      <c r="V18" s="43"/>
      <c r="W18" s="198"/>
      <c r="X18" s="275"/>
      <c r="Y18" s="276"/>
    </row>
    <row r="19" spans="1:25" ht="15.75" x14ac:dyDescent="0.25">
      <c r="A19" s="119">
        <v>42598</v>
      </c>
      <c r="B19" s="123" t="s">
        <v>580</v>
      </c>
      <c r="C19" s="21">
        <v>19782.5</v>
      </c>
      <c r="D19" s="117">
        <v>42609</v>
      </c>
      <c r="E19" s="30">
        <v>19782.5</v>
      </c>
      <c r="F19" s="329">
        <f t="shared" si="0"/>
        <v>0</v>
      </c>
      <c r="H19" s="14"/>
      <c r="I19" s="30"/>
      <c r="K19" s="30"/>
      <c r="S19" s="3"/>
      <c r="T19" s="196"/>
      <c r="U19" s="26"/>
      <c r="V19" s="43"/>
      <c r="W19" s="198"/>
      <c r="X19" s="275"/>
      <c r="Y19" s="276"/>
    </row>
    <row r="20" spans="1:25" ht="16.5" thickBot="1" x14ac:dyDescent="0.3">
      <c r="A20" s="119">
        <v>42599</v>
      </c>
      <c r="B20" s="123" t="s">
        <v>581</v>
      </c>
      <c r="C20" s="21">
        <v>37373.699999999997</v>
      </c>
      <c r="D20" s="117">
        <v>42609</v>
      </c>
      <c r="E20" s="30">
        <v>37373.699999999997</v>
      </c>
      <c r="F20" s="329">
        <f t="shared" si="0"/>
        <v>0</v>
      </c>
      <c r="H20" s="14"/>
      <c r="I20" s="30"/>
      <c r="K20" s="30"/>
      <c r="S20" s="3"/>
      <c r="T20" s="272"/>
      <c r="U20" s="26"/>
      <c r="V20" s="43"/>
      <c r="W20" s="198"/>
      <c r="X20" s="275"/>
      <c r="Y20" s="276"/>
    </row>
    <row r="21" spans="1:25" ht="19.5" thickBot="1" x14ac:dyDescent="0.35">
      <c r="A21" s="119">
        <v>42600</v>
      </c>
      <c r="B21" s="123" t="s">
        <v>583</v>
      </c>
      <c r="C21" s="21">
        <v>54255.199999999997</v>
      </c>
      <c r="D21" s="117">
        <v>42609</v>
      </c>
      <c r="E21" s="30">
        <v>54255.199999999997</v>
      </c>
      <c r="F21" s="329">
        <f t="shared" si="0"/>
        <v>0</v>
      </c>
      <c r="H21" s="14"/>
      <c r="J21"/>
      <c r="K21" s="146" t="s">
        <v>46</v>
      </c>
      <c r="L21" s="147"/>
      <c r="M21" s="148"/>
      <c r="N21" s="231">
        <v>42594</v>
      </c>
      <c r="O21" s="150"/>
      <c r="S21" s="3"/>
      <c r="T21" s="272"/>
      <c r="U21" s="26"/>
      <c r="V21" s="43"/>
      <c r="W21" s="198"/>
      <c r="X21" s="275"/>
      <c r="Y21" s="276"/>
    </row>
    <row r="22" spans="1:25" ht="15.75" x14ac:dyDescent="0.25">
      <c r="A22" s="119">
        <v>42601</v>
      </c>
      <c r="B22" s="123" t="s">
        <v>584</v>
      </c>
      <c r="C22" s="21">
        <v>32724</v>
      </c>
      <c r="D22" s="117">
        <v>42609</v>
      </c>
      <c r="E22" s="348">
        <v>26888.7</v>
      </c>
      <c r="F22" s="349">
        <f t="shared" si="0"/>
        <v>5835.2999999999993</v>
      </c>
      <c r="H22" s="14"/>
      <c r="J22" s="151"/>
      <c r="K22" s="152"/>
      <c r="L22" s="151"/>
      <c r="M22" s="153"/>
      <c r="N22" s="152"/>
      <c r="O22" s="154"/>
    </row>
    <row r="23" spans="1:25" ht="15.75" x14ac:dyDescent="0.25">
      <c r="A23" s="119">
        <v>42601</v>
      </c>
      <c r="B23" s="123" t="s">
        <v>585</v>
      </c>
      <c r="C23" s="21">
        <v>8231.7999999999993</v>
      </c>
      <c r="D23" s="117"/>
      <c r="F23" s="329">
        <f t="shared" si="0"/>
        <v>8231.7999999999993</v>
      </c>
      <c r="H23" s="14"/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</row>
    <row r="24" spans="1:25" ht="15.75" x14ac:dyDescent="0.25">
      <c r="A24" s="119">
        <v>42602</v>
      </c>
      <c r="B24" s="123" t="s">
        <v>587</v>
      </c>
      <c r="C24" s="21">
        <v>24780.2</v>
      </c>
      <c r="D24" s="117"/>
      <c r="F24" s="329">
        <f t="shared" si="0"/>
        <v>24780.2</v>
      </c>
      <c r="H24" s="14"/>
      <c r="I24" s="324">
        <v>39101.199999999997</v>
      </c>
      <c r="J24" s="123" t="s">
        <v>523</v>
      </c>
      <c r="K24" s="26">
        <v>39098.080000000002</v>
      </c>
      <c r="L24" s="156" t="s">
        <v>51</v>
      </c>
      <c r="M24" s="157" t="s">
        <v>52</v>
      </c>
      <c r="N24" s="238">
        <v>56261</v>
      </c>
      <c r="O24" s="239">
        <v>42590</v>
      </c>
    </row>
    <row r="25" spans="1:25" ht="15.75" x14ac:dyDescent="0.25">
      <c r="A25" s="119">
        <v>42603</v>
      </c>
      <c r="B25" s="123" t="s">
        <v>586</v>
      </c>
      <c r="C25" s="21">
        <v>67831.199999999997</v>
      </c>
      <c r="D25" s="117"/>
      <c r="F25" s="329">
        <f t="shared" si="0"/>
        <v>67831.199999999997</v>
      </c>
      <c r="H25" s="14"/>
      <c r="I25" s="30">
        <v>1160</v>
      </c>
      <c r="J25" s="123" t="s">
        <v>535</v>
      </c>
      <c r="K25" s="21">
        <v>1160</v>
      </c>
      <c r="L25" s="156"/>
      <c r="M25" s="157" t="s">
        <v>52</v>
      </c>
      <c r="N25" s="238">
        <v>52136</v>
      </c>
      <c r="O25" s="239">
        <v>42590</v>
      </c>
    </row>
    <row r="26" spans="1:25" ht="15.75" x14ac:dyDescent="0.25">
      <c r="A26" s="119">
        <v>42605</v>
      </c>
      <c r="B26" s="123" t="s">
        <v>588</v>
      </c>
      <c r="C26" s="21">
        <v>5122.53</v>
      </c>
      <c r="D26" s="117"/>
      <c r="F26" s="329">
        <f t="shared" si="0"/>
        <v>5122.53</v>
      </c>
      <c r="H26" s="14"/>
      <c r="I26" s="30">
        <f>16000+18136.2</f>
        <v>34136.199999999997</v>
      </c>
      <c r="J26" s="123" t="s">
        <v>536</v>
      </c>
      <c r="K26" s="21">
        <v>34136.199999999997</v>
      </c>
      <c r="L26" s="160"/>
      <c r="M26" s="157" t="s">
        <v>52</v>
      </c>
      <c r="N26" s="238">
        <v>30392</v>
      </c>
      <c r="O26" s="239">
        <v>42590</v>
      </c>
    </row>
    <row r="27" spans="1:25" ht="15.75" x14ac:dyDescent="0.25">
      <c r="A27" s="119">
        <v>42606</v>
      </c>
      <c r="B27" s="123" t="s">
        <v>589</v>
      </c>
      <c r="C27" s="21">
        <v>63846</v>
      </c>
      <c r="D27" s="117"/>
      <c r="F27" s="329">
        <f t="shared" si="0"/>
        <v>63846</v>
      </c>
      <c r="H27" s="14"/>
      <c r="I27" s="30">
        <f>34000+26962</f>
        <v>60962</v>
      </c>
      <c r="J27" s="123" t="s">
        <v>537</v>
      </c>
      <c r="K27" s="21">
        <v>60962.12</v>
      </c>
      <c r="L27" s="161"/>
      <c r="M27" s="157" t="s">
        <v>52</v>
      </c>
      <c r="N27" s="238">
        <v>20800</v>
      </c>
      <c r="O27" s="239">
        <v>42591</v>
      </c>
    </row>
    <row r="28" spans="1:25" ht="15.75" x14ac:dyDescent="0.25">
      <c r="A28" s="119">
        <v>42606</v>
      </c>
      <c r="B28" s="123" t="s">
        <v>590</v>
      </c>
      <c r="C28" s="21">
        <v>44953.8</v>
      </c>
      <c r="D28" s="117"/>
      <c r="F28" s="329">
        <f t="shared" si="0"/>
        <v>44953.8</v>
      </c>
      <c r="H28" s="14"/>
      <c r="I28" s="30">
        <v>8852.2000000000007</v>
      </c>
      <c r="J28" s="123" t="s">
        <v>544</v>
      </c>
      <c r="K28" s="26">
        <v>8852.2000000000007</v>
      </c>
      <c r="L28" s="161"/>
      <c r="M28" s="157" t="s">
        <v>52</v>
      </c>
      <c r="N28" s="313">
        <v>3097.5</v>
      </c>
      <c r="O28" s="318">
        <v>42591</v>
      </c>
    </row>
    <row r="29" spans="1:25" ht="15.75" x14ac:dyDescent="0.25">
      <c r="A29" s="119">
        <v>42608</v>
      </c>
      <c r="B29" s="123" t="s">
        <v>613</v>
      </c>
      <c r="C29" s="21">
        <v>4077.4</v>
      </c>
      <c r="D29" s="117"/>
      <c r="F29" s="329">
        <f t="shared" si="0"/>
        <v>4077.4</v>
      </c>
      <c r="H29" s="14"/>
      <c r="I29" s="30">
        <v>1545.6</v>
      </c>
      <c r="J29" s="123" t="s">
        <v>545</v>
      </c>
      <c r="K29" s="21">
        <v>1545.6</v>
      </c>
      <c r="L29" s="161"/>
      <c r="M29" s="157" t="s">
        <v>52</v>
      </c>
      <c r="N29" s="313">
        <v>7910.5</v>
      </c>
      <c r="O29" s="318">
        <v>42591</v>
      </c>
    </row>
    <row r="30" spans="1:25" ht="15.75" x14ac:dyDescent="0.25">
      <c r="A30" s="119">
        <v>42609</v>
      </c>
      <c r="B30" s="123" t="s">
        <v>614</v>
      </c>
      <c r="C30" s="21">
        <v>28476.9</v>
      </c>
      <c r="D30" s="117"/>
      <c r="F30" s="329">
        <f t="shared" si="0"/>
        <v>28476.9</v>
      </c>
      <c r="H30" s="14"/>
      <c r="I30" s="30">
        <f>7910.4+3097.6+11965</f>
        <v>22973</v>
      </c>
      <c r="J30" s="123" t="s">
        <v>546</v>
      </c>
      <c r="K30" s="26">
        <v>22973.1</v>
      </c>
      <c r="L30" s="161"/>
      <c r="M30" s="157" t="s">
        <v>52</v>
      </c>
      <c r="N30" s="313">
        <v>2509</v>
      </c>
      <c r="O30" s="318">
        <v>42586</v>
      </c>
    </row>
    <row r="31" spans="1:25" ht="15.75" x14ac:dyDescent="0.25">
      <c r="A31" s="119">
        <v>42610</v>
      </c>
      <c r="B31" s="123" t="s">
        <v>615</v>
      </c>
      <c r="C31" s="21">
        <v>67432.5</v>
      </c>
      <c r="D31" s="117"/>
      <c r="F31" s="329">
        <f t="shared" si="0"/>
        <v>67432.5</v>
      </c>
      <c r="H31" s="14"/>
      <c r="I31" s="30">
        <v>21000</v>
      </c>
      <c r="J31" s="123" t="s">
        <v>543</v>
      </c>
      <c r="K31" s="21">
        <v>21002.2</v>
      </c>
      <c r="L31" s="161" t="s">
        <v>91</v>
      </c>
      <c r="M31" s="157" t="s">
        <v>52</v>
      </c>
      <c r="N31" s="313">
        <v>28453.5</v>
      </c>
      <c r="O31" s="318">
        <v>42592</v>
      </c>
    </row>
    <row r="32" spans="1:25" ht="15.75" x14ac:dyDescent="0.25">
      <c r="A32" s="119">
        <v>42610</v>
      </c>
      <c r="B32" s="123" t="s">
        <v>616</v>
      </c>
      <c r="C32" s="21">
        <v>34624.6</v>
      </c>
      <c r="D32" s="117"/>
      <c r="F32" s="329">
        <f t="shared" si="0"/>
        <v>34624.6</v>
      </c>
      <c r="H32" s="14"/>
      <c r="I32" s="30">
        <f>3430+20800+2508.8+6091.2</f>
        <v>32830</v>
      </c>
      <c r="J32" s="123" t="s">
        <v>547</v>
      </c>
      <c r="K32" s="21">
        <v>32830</v>
      </c>
      <c r="L32" s="161"/>
      <c r="M32" s="157" t="s">
        <v>52</v>
      </c>
      <c r="N32" s="313">
        <v>21000</v>
      </c>
      <c r="O32" s="318">
        <v>42593</v>
      </c>
    </row>
    <row r="33" spans="1:15" ht="15.75" x14ac:dyDescent="0.25">
      <c r="A33" s="119">
        <v>42612</v>
      </c>
      <c r="B33" s="123" t="s">
        <v>617</v>
      </c>
      <c r="C33" s="21">
        <v>15579.3</v>
      </c>
      <c r="D33" s="117"/>
      <c r="F33" s="329">
        <f t="shared" si="0"/>
        <v>15579.3</v>
      </c>
      <c r="I33" s="241">
        <f>SUM(I24:I32)</f>
        <v>222560.2</v>
      </c>
      <c r="J33" s="165"/>
      <c r="K33" s="166"/>
      <c r="L33" s="165"/>
      <c r="M33" s="240"/>
      <c r="N33" s="321">
        <v>0</v>
      </c>
      <c r="O33" s="318"/>
    </row>
    <row r="34" spans="1:15" ht="15.75" x14ac:dyDescent="0.25">
      <c r="A34" s="119">
        <v>42613</v>
      </c>
      <c r="B34" s="123" t="s">
        <v>618</v>
      </c>
      <c r="C34" s="21">
        <v>25526.67</v>
      </c>
      <c r="D34" s="117"/>
      <c r="F34" s="329">
        <f t="shared" si="0"/>
        <v>25526.67</v>
      </c>
      <c r="J34" s="196"/>
      <c r="K34" s="26">
        <f>SUM(K24:K33)</f>
        <v>222559.50000000003</v>
      </c>
      <c r="L34" s="43"/>
      <c r="M34" s="219"/>
      <c r="N34" s="220">
        <f>SUM(N24:N33)</f>
        <v>222559.5</v>
      </c>
      <c r="O34" s="218"/>
    </row>
    <row r="35" spans="1:15" x14ac:dyDescent="0.25">
      <c r="A35" s="119"/>
      <c r="B35" s="123"/>
      <c r="C35" s="21"/>
      <c r="D35" s="117"/>
      <c r="F35" s="329">
        <f t="shared" si="0"/>
        <v>0</v>
      </c>
      <c r="J35"/>
    </row>
    <row r="36" spans="1:15" x14ac:dyDescent="0.25">
      <c r="A36" s="119"/>
      <c r="B36" s="123"/>
      <c r="C36" s="21"/>
      <c r="D36" s="117"/>
      <c r="F36" s="329">
        <f t="shared" si="0"/>
        <v>0</v>
      </c>
    </row>
    <row r="37" spans="1:15" ht="15.75" thickBot="1" x14ac:dyDescent="0.3">
      <c r="A37" s="119"/>
      <c r="B37" s="123"/>
      <c r="C37" s="21"/>
      <c r="D37" s="117"/>
      <c r="F37" s="329">
        <f t="shared" si="0"/>
        <v>0</v>
      </c>
    </row>
    <row r="38" spans="1:15" ht="19.5" thickBot="1" x14ac:dyDescent="0.35">
      <c r="A38" s="330"/>
      <c r="B38" s="328"/>
      <c r="C38" s="142">
        <v>0</v>
      </c>
      <c r="D38" s="143"/>
      <c r="E38" s="144">
        <v>0</v>
      </c>
      <c r="F38" s="136">
        <f>C38-E38</f>
        <v>0</v>
      </c>
      <c r="J38"/>
      <c r="K38" s="146" t="s">
        <v>46</v>
      </c>
      <c r="L38" s="147"/>
      <c r="M38" s="148"/>
      <c r="N38" s="195">
        <v>42601</v>
      </c>
      <c r="O38" s="150"/>
    </row>
    <row r="39" spans="1:15" ht="16.5" thickTop="1" x14ac:dyDescent="0.25">
      <c r="B39" s="37"/>
      <c r="C39" s="21">
        <f>SUM(C3:C38)</f>
        <v>1074985.2899999998</v>
      </c>
      <c r="D39" s="145"/>
      <c r="E39" s="30">
        <f>SUM(E3:E38)</f>
        <v>648228.92999999993</v>
      </c>
      <c r="F39" s="30">
        <f>SUM(F3:F38)</f>
        <v>426756.35999999993</v>
      </c>
      <c r="J39" s="151"/>
      <c r="K39" s="152"/>
      <c r="L39" s="151"/>
      <c r="M39" s="153"/>
      <c r="N39" s="152"/>
      <c r="O39" s="154"/>
    </row>
    <row r="40" spans="1:15" ht="15.75" x14ac:dyDescent="0.25">
      <c r="J40" s="155" t="s">
        <v>47</v>
      </c>
      <c r="K40" s="152" t="s">
        <v>48</v>
      </c>
      <c r="L40" s="151"/>
      <c r="M40" s="153" t="s">
        <v>49</v>
      </c>
      <c r="N40" s="152" t="s">
        <v>50</v>
      </c>
      <c r="O40" s="154"/>
    </row>
    <row r="41" spans="1:15" ht="15.75" x14ac:dyDescent="0.25">
      <c r="I41" s="324">
        <v>19805</v>
      </c>
      <c r="J41" s="125" t="s">
        <v>543</v>
      </c>
      <c r="K41" s="26">
        <v>19803.55</v>
      </c>
      <c r="L41" s="156" t="s">
        <v>51</v>
      </c>
      <c r="M41" s="157" t="s">
        <v>52</v>
      </c>
      <c r="N41" s="238">
        <v>33869</v>
      </c>
      <c r="O41" s="239">
        <v>42594</v>
      </c>
    </row>
    <row r="42" spans="1:15" ht="15.75" x14ac:dyDescent="0.25">
      <c r="B42" s="268">
        <v>42583</v>
      </c>
      <c r="C42" s="30">
        <v>764</v>
      </c>
      <c r="D42" s="20" t="s">
        <v>115</v>
      </c>
      <c r="I42" s="30">
        <f>14063+33794.9+5204.8</f>
        <v>53062.700000000004</v>
      </c>
      <c r="J42" s="123" t="s">
        <v>548</v>
      </c>
      <c r="K42" s="21">
        <v>53062.7</v>
      </c>
      <c r="L42" s="156"/>
      <c r="M42" s="157" t="s">
        <v>52</v>
      </c>
      <c r="N42" s="238">
        <v>41295</v>
      </c>
      <c r="O42" s="239">
        <v>42597</v>
      </c>
    </row>
    <row r="43" spans="1:15" ht="15.75" x14ac:dyDescent="0.25">
      <c r="A43"/>
      <c r="B43" s="14">
        <v>42586</v>
      </c>
      <c r="C43" s="323">
        <f>754+348.5</f>
        <v>1102.5</v>
      </c>
      <c r="D43" t="s">
        <v>591</v>
      </c>
      <c r="E43"/>
      <c r="F43"/>
      <c r="G43"/>
      <c r="I43" s="30">
        <f>7500+27041.68</f>
        <v>34541.68</v>
      </c>
      <c r="J43" s="123" t="s">
        <v>549</v>
      </c>
      <c r="K43" s="21">
        <v>34541.68</v>
      </c>
      <c r="L43" s="160"/>
      <c r="M43" s="157" t="s">
        <v>52</v>
      </c>
      <c r="N43" s="238">
        <v>5205</v>
      </c>
      <c r="O43" s="239">
        <v>42593</v>
      </c>
    </row>
    <row r="44" spans="1:15" ht="15.75" x14ac:dyDescent="0.25">
      <c r="A44"/>
      <c r="B44" s="14">
        <v>42590</v>
      </c>
      <c r="C44" s="323">
        <v>373</v>
      </c>
      <c r="D44" t="s">
        <v>123</v>
      </c>
      <c r="E44"/>
      <c r="F44"/>
      <c r="G44"/>
      <c r="I44" s="30">
        <v>33660</v>
      </c>
      <c r="J44" s="123" t="s">
        <v>550</v>
      </c>
      <c r="K44" s="21">
        <v>33660</v>
      </c>
      <c r="L44" s="161"/>
      <c r="M44" s="157" t="s">
        <v>59</v>
      </c>
      <c r="N44" s="238">
        <v>65702</v>
      </c>
      <c r="O44" s="239">
        <v>42597</v>
      </c>
    </row>
    <row r="45" spans="1:15" ht="15.75" x14ac:dyDescent="0.25">
      <c r="A45"/>
      <c r="B45" s="14">
        <v>42591</v>
      </c>
      <c r="C45" s="323">
        <v>733</v>
      </c>
      <c r="D45" t="s">
        <v>122</v>
      </c>
      <c r="E45"/>
      <c r="F45"/>
      <c r="G45"/>
      <c r="I45" s="30">
        <f>30000+23026.5</f>
        <v>53026.5</v>
      </c>
      <c r="J45" s="123" t="s">
        <v>551</v>
      </c>
      <c r="K45" s="26">
        <v>53026.3</v>
      </c>
      <c r="L45" s="161"/>
      <c r="M45" s="157" t="s">
        <v>59</v>
      </c>
      <c r="N45" s="313">
        <v>36148</v>
      </c>
      <c r="O45" s="318">
        <v>42597</v>
      </c>
    </row>
    <row r="46" spans="1:15" ht="15.75" x14ac:dyDescent="0.25">
      <c r="A46"/>
      <c r="B46" s="14">
        <v>42592</v>
      </c>
      <c r="C46" s="323">
        <v>720</v>
      </c>
      <c r="D46" t="s">
        <v>385</v>
      </c>
      <c r="E46"/>
      <c r="F46"/>
      <c r="G46"/>
      <c r="I46" s="30">
        <f>5000+6148</f>
        <v>11148</v>
      </c>
      <c r="J46" s="125" t="s">
        <v>553</v>
      </c>
      <c r="K46" s="26">
        <v>11147.9</v>
      </c>
      <c r="L46" s="160"/>
      <c r="M46" s="157" t="s">
        <v>52</v>
      </c>
      <c r="N46" s="313">
        <v>28526.5</v>
      </c>
      <c r="O46" s="318">
        <v>42598</v>
      </c>
    </row>
    <row r="47" spans="1:15" ht="15.75" x14ac:dyDescent="0.25">
      <c r="A47"/>
      <c r="B47" s="14">
        <v>42594</v>
      </c>
      <c r="C47" s="323">
        <v>840</v>
      </c>
      <c r="D47" t="s">
        <v>66</v>
      </c>
      <c r="E47"/>
      <c r="F47"/>
      <c r="G47"/>
      <c r="I47" s="30">
        <f>5500+27000+2398.4+19246.5</f>
        <v>54144.9</v>
      </c>
      <c r="J47" s="125" t="s">
        <v>554</v>
      </c>
      <c r="K47" s="26">
        <v>54144.9</v>
      </c>
      <c r="L47" s="160"/>
      <c r="M47" s="157" t="s">
        <v>52</v>
      </c>
      <c r="N47" s="313">
        <v>27000</v>
      </c>
      <c r="O47" s="318">
        <v>42599</v>
      </c>
    </row>
    <row r="48" spans="1:15" ht="15.75" x14ac:dyDescent="0.25">
      <c r="A48"/>
      <c r="B48" s="14">
        <v>42598</v>
      </c>
      <c r="C48" s="323">
        <v>1112</v>
      </c>
      <c r="D48" t="s">
        <v>599</v>
      </c>
      <c r="E48"/>
      <c r="F48"/>
      <c r="G48"/>
      <c r="I48" s="30">
        <v>15817.3</v>
      </c>
      <c r="J48" s="123" t="s">
        <v>577</v>
      </c>
      <c r="K48" s="21">
        <v>15817.3</v>
      </c>
      <c r="L48" s="160"/>
      <c r="M48" s="157" t="s">
        <v>52</v>
      </c>
      <c r="N48" s="313">
        <v>35063.5</v>
      </c>
      <c r="O48" s="318">
        <v>42600</v>
      </c>
    </row>
    <row r="49" spans="1:15" ht="15.75" x14ac:dyDescent="0.25">
      <c r="A49"/>
      <c r="B49" s="14">
        <v>42602</v>
      </c>
      <c r="C49" s="323">
        <v>372.5</v>
      </c>
      <c r="D49" t="s">
        <v>123</v>
      </c>
      <c r="E49"/>
      <c r="F49"/>
      <c r="G49"/>
      <c r="I49" s="30"/>
      <c r="J49" s="123"/>
      <c r="K49" s="21"/>
      <c r="L49" s="160"/>
      <c r="M49" s="157" t="s">
        <v>52</v>
      </c>
      <c r="N49" s="313">
        <v>2398.5</v>
      </c>
      <c r="O49" s="318">
        <v>42597</v>
      </c>
    </row>
    <row r="50" spans="1:15" ht="15.75" x14ac:dyDescent="0.25">
      <c r="B50" s="268">
        <v>42604</v>
      </c>
      <c r="C50" s="30">
        <v>734.4</v>
      </c>
      <c r="D50" s="20" t="s">
        <v>83</v>
      </c>
      <c r="I50" s="241">
        <f>SUM(I41:I49)</f>
        <v>275206.08</v>
      </c>
      <c r="J50" s="165"/>
      <c r="K50" s="166"/>
      <c r="L50" s="165"/>
      <c r="M50" s="240"/>
      <c r="N50" s="321">
        <v>0</v>
      </c>
      <c r="O50" s="318"/>
    </row>
    <row r="51" spans="1:15" ht="15.75" x14ac:dyDescent="0.25">
      <c r="B51" s="268">
        <v>42606</v>
      </c>
      <c r="C51" s="30">
        <v>520</v>
      </c>
      <c r="D51" s="20" t="s">
        <v>416</v>
      </c>
      <c r="J51" s="196"/>
      <c r="K51" s="26">
        <f>SUM(K41:K50)</f>
        <v>275204.32999999996</v>
      </c>
      <c r="L51" s="43"/>
      <c r="M51" s="219"/>
      <c r="N51" s="220">
        <f>SUM(N41:N50)</f>
        <v>275207.5</v>
      </c>
      <c r="O51" s="218"/>
    </row>
    <row r="52" spans="1:15" x14ac:dyDescent="0.25">
      <c r="B52" s="268">
        <v>42607</v>
      </c>
      <c r="C52" s="30">
        <v>339</v>
      </c>
      <c r="D52" s="20" t="s">
        <v>611</v>
      </c>
    </row>
  </sheetData>
  <sortState ref="A23:C25">
    <sortCondition ref="B23:B25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I28" sqref="I28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42449</v>
      </c>
      <c r="C13" s="215"/>
      <c r="D13" s="165"/>
      <c r="E13" s="215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>
        <v>42535</v>
      </c>
      <c r="J21" s="215">
        <v>3300</v>
      </c>
      <c r="K21" s="165"/>
      <c r="L21" s="214"/>
      <c r="M21" s="254">
        <f>J21</f>
        <v>3300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>
        <v>42549</v>
      </c>
      <c r="J22" s="215"/>
      <c r="K22" s="165"/>
      <c r="L22" s="214">
        <v>600</v>
      </c>
      <c r="M22" s="254">
        <f t="shared" si="1"/>
        <v>2700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>
        <v>42554</v>
      </c>
      <c r="J23" s="314"/>
      <c r="K23" s="165"/>
      <c r="L23" s="214">
        <v>500</v>
      </c>
      <c r="M23" s="254">
        <f t="shared" si="1"/>
        <v>2200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>
        <v>42561</v>
      </c>
      <c r="J24" s="215"/>
      <c r="K24" s="165"/>
      <c r="L24" s="214">
        <v>500</v>
      </c>
      <c r="M24" s="254">
        <f t="shared" si="1"/>
        <v>1700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>
        <v>42568</v>
      </c>
      <c r="J25" s="165"/>
      <c r="K25" s="165"/>
      <c r="L25" s="214">
        <v>500</v>
      </c>
      <c r="M25" s="254">
        <f t="shared" si="1"/>
        <v>1200</v>
      </c>
    </row>
    <row r="26" spans="2:13" x14ac:dyDescent="0.25">
      <c r="B26" s="257"/>
      <c r="C26" s="165"/>
      <c r="D26" s="165"/>
      <c r="E26" s="214"/>
      <c r="F26" s="165"/>
      <c r="I26" s="253">
        <v>42575</v>
      </c>
      <c r="J26" s="165"/>
      <c r="K26" s="165"/>
      <c r="L26" s="214">
        <v>500</v>
      </c>
      <c r="M26" s="254">
        <f t="shared" si="1"/>
        <v>700</v>
      </c>
    </row>
    <row r="27" spans="2:13" x14ac:dyDescent="0.25">
      <c r="B27" s="165"/>
      <c r="C27" s="165"/>
      <c r="D27" s="165"/>
      <c r="E27" s="214"/>
      <c r="F27" s="165"/>
      <c r="I27" s="253">
        <v>42586</v>
      </c>
      <c r="J27" s="165"/>
      <c r="K27" s="165"/>
      <c r="L27" s="214">
        <v>400</v>
      </c>
      <c r="M27" s="254">
        <f t="shared" si="1"/>
        <v>300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>
        <v>300</v>
      </c>
      <c r="M28" s="25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56" t="s">
        <v>102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381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382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383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384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185"/>
      <c r="K40" s="354">
        <f>I38+L38</f>
        <v>103546.62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1373954.38</v>
      </c>
      <c r="I41" s="96"/>
      <c r="J41" s="96"/>
    </row>
    <row r="42" spans="1:17" ht="15.75" x14ac:dyDescent="0.25">
      <c r="D42" s="369" t="s">
        <v>19</v>
      </c>
      <c r="E42" s="369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370" t="s">
        <v>22</v>
      </c>
      <c r="J44" s="371"/>
      <c r="K44" s="374">
        <f>F48+L46</f>
        <v>216330.54999999984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114962.92</v>
      </c>
      <c r="I46" s="379"/>
      <c r="J46" s="379"/>
      <c r="K46" s="380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361">
        <f>-C4</f>
        <v>-170511.25</v>
      </c>
      <c r="L47" s="362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363"/>
      <c r="E49" s="363"/>
      <c r="F49" s="67"/>
      <c r="I49" s="364" t="s">
        <v>28</v>
      </c>
      <c r="J49" s="365"/>
      <c r="K49" s="366">
        <f>K44+K47</f>
        <v>45819.299999999843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56" t="s">
        <v>170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381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382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383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384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229"/>
      <c r="K40" s="354">
        <f>I38+L38</f>
        <v>113053.86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1271880.1999999995</v>
      </c>
      <c r="I41" s="96"/>
      <c r="J41" s="96"/>
    </row>
    <row r="42" spans="1:17" ht="15.75" x14ac:dyDescent="0.25">
      <c r="D42" s="369" t="s">
        <v>193</v>
      </c>
      <c r="E42" s="369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370" t="s">
        <v>22</v>
      </c>
      <c r="J44" s="371"/>
      <c r="K44" s="374">
        <f>F48+L46</f>
        <v>159841.28999999951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215429.42</v>
      </c>
      <c r="I46" s="379"/>
      <c r="J46" s="379"/>
      <c r="K46" s="380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361">
        <f>-C4</f>
        <v>-114962.92</v>
      </c>
      <c r="L47" s="362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363"/>
      <c r="E49" s="363"/>
      <c r="F49" s="67"/>
      <c r="I49" s="364" t="s">
        <v>28</v>
      </c>
      <c r="J49" s="365"/>
      <c r="K49" s="366">
        <f>K44+K47</f>
        <v>44878.369999999515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56" t="s">
        <v>242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381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382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383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384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262"/>
      <c r="K40" s="354">
        <f>I38+L38</f>
        <v>99719.72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1241938.8000000003</v>
      </c>
      <c r="I41" s="96"/>
      <c r="J41" s="96"/>
    </row>
    <row r="42" spans="1:17" ht="15.75" x14ac:dyDescent="0.25">
      <c r="D42" s="369" t="s">
        <v>193</v>
      </c>
      <c r="E42" s="369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370" t="s">
        <v>22</v>
      </c>
      <c r="J44" s="371"/>
      <c r="K44" s="374">
        <f>F48+L46</f>
        <v>285854.91000000027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187283.53</v>
      </c>
      <c r="I46" s="379"/>
      <c r="J46" s="379"/>
      <c r="K46" s="380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361">
        <f>-C4</f>
        <v>-215429.42</v>
      </c>
      <c r="L47" s="362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363"/>
      <c r="E49" s="363"/>
      <c r="F49" s="67"/>
      <c r="I49" s="364" t="s">
        <v>28</v>
      </c>
      <c r="J49" s="365"/>
      <c r="K49" s="366">
        <f>K44+K47</f>
        <v>70425.490000000253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topLeftCell="A31" workbookViewId="0">
      <selection activeCell="M51" sqref="M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56" t="s">
        <v>296</v>
      </c>
      <c r="D1" s="356"/>
      <c r="E1" s="356"/>
      <c r="F1" s="356"/>
      <c r="G1" s="356"/>
      <c r="H1" s="356"/>
      <c r="I1" s="356"/>
      <c r="J1" s="356"/>
      <c r="K1" s="356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357" t="s">
        <v>3</v>
      </c>
      <c r="F4" s="358"/>
      <c r="I4" s="359" t="s">
        <v>4</v>
      </c>
      <c r="J4" s="360"/>
      <c r="K4" s="360"/>
      <c r="L4" s="360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389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/>
      <c r="L13" s="19"/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388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380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297">
        <v>2000</v>
      </c>
      <c r="M31" s="291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381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292">
        <v>0</v>
      </c>
      <c r="M32" s="291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382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293"/>
      <c r="L33" s="296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383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293"/>
      <c r="L34" s="296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384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294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294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295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109821</v>
      </c>
    </row>
    <row r="40" spans="1:17" ht="15.75" x14ac:dyDescent="0.25">
      <c r="A40" s="89"/>
      <c r="B40" s="90"/>
      <c r="C40" s="26"/>
      <c r="D40" s="91"/>
      <c r="E40" s="92"/>
      <c r="F40" s="67"/>
      <c r="H40" s="352" t="s">
        <v>17</v>
      </c>
      <c r="I40" s="353"/>
      <c r="J40" s="282"/>
      <c r="K40" s="354">
        <f>I38+L38</f>
        <v>117040.11</v>
      </c>
      <c r="L40" s="355"/>
    </row>
    <row r="41" spans="1:17" ht="15.75" x14ac:dyDescent="0.25">
      <c r="B41" s="94"/>
      <c r="C41" s="67"/>
      <c r="D41" s="368" t="s">
        <v>18</v>
      </c>
      <c r="E41" s="368"/>
      <c r="F41" s="95">
        <f>F38-K40</f>
        <v>1308119.1599999997</v>
      </c>
      <c r="I41" s="96"/>
      <c r="J41" s="96"/>
    </row>
    <row r="42" spans="1:17" ht="15.75" x14ac:dyDescent="0.25">
      <c r="D42" s="369" t="s">
        <v>193</v>
      </c>
      <c r="E42" s="369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-86052.94000000041</v>
      </c>
      <c r="I44" s="370" t="s">
        <v>22</v>
      </c>
      <c r="J44" s="371"/>
      <c r="K44" s="374">
        <f>F48+L46</f>
        <v>169588.46999999956</v>
      </c>
      <c r="L44" s="375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372"/>
      <c r="J45" s="373"/>
      <c r="K45" s="376"/>
      <c r="L45" s="377"/>
    </row>
    <row r="46" spans="1:17" ht="17.25" thickTop="1" thickBot="1" x14ac:dyDescent="0.3">
      <c r="C46" s="85"/>
      <c r="D46" s="378" t="s">
        <v>25</v>
      </c>
      <c r="E46" s="378"/>
      <c r="F46" s="101">
        <v>231465.08</v>
      </c>
      <c r="I46" s="379"/>
      <c r="J46" s="379"/>
      <c r="K46" s="380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361">
        <v>0</v>
      </c>
      <c r="L47" s="362"/>
      <c r="M47" s="152">
        <v>187283.53</v>
      </c>
    </row>
    <row r="48" spans="1:17" ht="17.25" thickTop="1" thickBot="1" x14ac:dyDescent="0.3">
      <c r="E48" s="106" t="s">
        <v>27</v>
      </c>
      <c r="F48" s="107">
        <f>F44+F45+F46</f>
        <v>169588.46999999956</v>
      </c>
    </row>
    <row r="49" spans="2:14" ht="19.5" thickBot="1" x14ac:dyDescent="0.35">
      <c r="B49"/>
      <c r="C49"/>
      <c r="D49" s="363"/>
      <c r="E49" s="363"/>
      <c r="F49" s="67"/>
      <c r="I49" s="364" t="s">
        <v>559</v>
      </c>
      <c r="J49" s="365"/>
      <c r="K49" s="366">
        <f>K44+K47</f>
        <v>169588.46999999956</v>
      </c>
      <c r="L49" s="36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J U L I O    2016</vt:lpstr>
      <vt:lpstr>REMISIONES JULIO  2016</vt:lpstr>
      <vt:lpstr>A G O S T O   2016   </vt:lpstr>
      <vt:lpstr>REMISIONES AGOSTO 2016  </vt:lpstr>
      <vt:lpstr>Hoja6</vt:lpstr>
      <vt:lpstr>Hoja5</vt:lpstr>
      <vt:lpstr>Hoja4</vt:lpstr>
      <vt:lpstr>Hoja3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2016-08-26T21:35:25Z</cp:lastPrinted>
  <dcterms:created xsi:type="dcterms:W3CDTF">2016-01-05T21:47:31Z</dcterms:created>
  <dcterms:modified xsi:type="dcterms:W3CDTF">2016-09-03T14:30:36Z</dcterms:modified>
</cp:coreProperties>
</file>