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900" windowWidth="22995" windowHeight="9180" activeTab="2"/>
  </bookViews>
  <sheets>
    <sheet name="may" sheetId="1" r:id="rId1"/>
    <sheet name="septiembre 16" sheetId="2" r:id="rId2"/>
    <sheet name="octubre 16" sheetId="3" r:id="rId3"/>
  </sheets>
  <calcPr calcId="152511"/>
</workbook>
</file>

<file path=xl/calcChain.xml><?xml version="1.0" encoding="utf-8"?>
<calcChain xmlns="http://schemas.openxmlformats.org/spreadsheetml/2006/main">
  <c r="U84" i="3" l="1"/>
  <c r="S84" i="3"/>
  <c r="R84" i="3"/>
  <c r="G84" i="3"/>
  <c r="H84" i="3" s="1"/>
  <c r="U83" i="3"/>
  <c r="S83" i="3"/>
  <c r="R83" i="3"/>
  <c r="H83" i="3"/>
  <c r="G83" i="3"/>
  <c r="W81" i="3"/>
  <c r="P81" i="3"/>
  <c r="F81" i="3"/>
  <c r="H81" i="3" s="1"/>
  <c r="U80" i="3"/>
  <c r="S80" i="3"/>
  <c r="R80" i="3"/>
  <c r="H80" i="3"/>
  <c r="G80" i="3"/>
  <c r="U79" i="3"/>
  <c r="S79" i="3"/>
  <c r="W79" i="3" s="1"/>
  <c r="T79" i="3" s="1"/>
  <c r="R79" i="3"/>
  <c r="G79" i="3"/>
  <c r="H79" i="3" s="1"/>
  <c r="W78" i="3"/>
  <c r="T78" i="3" s="1"/>
  <c r="P78" i="3"/>
  <c r="F78" i="3"/>
  <c r="H78" i="3" s="1"/>
  <c r="X77" i="3"/>
  <c r="Y77" i="3" s="1"/>
  <c r="W77" i="3"/>
  <c r="H77" i="3"/>
  <c r="U76" i="3"/>
  <c r="S76" i="3"/>
  <c r="R76" i="3"/>
  <c r="G76" i="3"/>
  <c r="H76" i="3" s="1"/>
  <c r="U75" i="3"/>
  <c r="S75" i="3"/>
  <c r="R75" i="3"/>
  <c r="H75" i="3"/>
  <c r="G75" i="3"/>
  <c r="Y74" i="3"/>
  <c r="W74" i="3"/>
  <c r="T74" i="3" s="1"/>
  <c r="X74" i="3" s="1"/>
  <c r="H74" i="3"/>
  <c r="F74" i="3"/>
  <c r="W73" i="3"/>
  <c r="P73" i="3"/>
  <c r="F73" i="3"/>
  <c r="H73" i="3" s="1"/>
  <c r="U72" i="3"/>
  <c r="S72" i="3"/>
  <c r="R72" i="3"/>
  <c r="H72" i="3"/>
  <c r="P71" i="3"/>
  <c r="W71" i="3" s="1"/>
  <c r="H71" i="3"/>
  <c r="F71" i="3"/>
  <c r="W70" i="3"/>
  <c r="T70" i="3" s="1"/>
  <c r="X70" i="3" s="1"/>
  <c r="Y70" i="3" s="1"/>
  <c r="F70" i="3"/>
  <c r="H70" i="3" s="1"/>
  <c r="P69" i="3"/>
  <c r="W69" i="3" s="1"/>
  <c r="T69" i="3" s="1"/>
  <c r="F69" i="3"/>
  <c r="H69" i="3" s="1"/>
  <c r="U68" i="3"/>
  <c r="S68" i="3"/>
  <c r="R68" i="3"/>
  <c r="G68" i="3"/>
  <c r="H68" i="3" s="1"/>
  <c r="P67" i="3"/>
  <c r="F67" i="3"/>
  <c r="H67" i="3" s="1"/>
  <c r="U66" i="3"/>
  <c r="H66" i="3"/>
  <c r="G66" i="3"/>
  <c r="F66" i="3"/>
  <c r="E66" i="3"/>
  <c r="R66" i="3" s="1"/>
  <c r="U65" i="3"/>
  <c r="S65" i="3"/>
  <c r="R65" i="3"/>
  <c r="Q64" i="3"/>
  <c r="G64" i="3"/>
  <c r="F64" i="3"/>
  <c r="E64" i="3"/>
  <c r="R64" i="3" s="1"/>
  <c r="X62" i="3"/>
  <c r="Y62" i="3" s="1"/>
  <c r="W62" i="3"/>
  <c r="H62" i="3"/>
  <c r="F62" i="3"/>
  <c r="Y61" i="3"/>
  <c r="X61" i="3"/>
  <c r="W61" i="3"/>
  <c r="H61" i="3"/>
  <c r="U60" i="3"/>
  <c r="S60" i="3"/>
  <c r="R60" i="3"/>
  <c r="H60" i="3"/>
  <c r="U59" i="3"/>
  <c r="S59" i="3"/>
  <c r="R59" i="3"/>
  <c r="H59" i="3"/>
  <c r="Y58" i="3"/>
  <c r="X58" i="3"/>
  <c r="W58" i="3"/>
  <c r="H58" i="3"/>
  <c r="P57" i="3"/>
  <c r="F57" i="3"/>
  <c r="H57" i="3" s="1"/>
  <c r="U56" i="3"/>
  <c r="S56" i="3"/>
  <c r="R56" i="3"/>
  <c r="H56" i="3"/>
  <c r="Q55" i="3"/>
  <c r="G55" i="3"/>
  <c r="H55" i="3" s="1"/>
  <c r="F55" i="3"/>
  <c r="E55" i="3"/>
  <c r="R55" i="3" s="1"/>
  <c r="W54" i="3"/>
  <c r="F54" i="3"/>
  <c r="H54" i="3" s="1"/>
  <c r="P53" i="3"/>
  <c r="H53" i="3"/>
  <c r="F53" i="3"/>
  <c r="U52" i="3"/>
  <c r="S52" i="3"/>
  <c r="R52" i="3"/>
  <c r="H52" i="3"/>
  <c r="U51" i="3"/>
  <c r="S51" i="3"/>
  <c r="R51" i="3"/>
  <c r="H51" i="3"/>
  <c r="P50" i="3"/>
  <c r="F50" i="3"/>
  <c r="H50" i="3" s="1"/>
  <c r="U49" i="3"/>
  <c r="S49" i="3"/>
  <c r="R49" i="3"/>
  <c r="H49" i="3"/>
  <c r="G49" i="3"/>
  <c r="W48" i="3"/>
  <c r="H48" i="3"/>
  <c r="F48" i="3"/>
  <c r="W47" i="3"/>
  <c r="T47" i="3" s="1"/>
  <c r="P47" i="3"/>
  <c r="F47" i="3"/>
  <c r="H47" i="3" s="1"/>
  <c r="P46" i="3"/>
  <c r="H46" i="3"/>
  <c r="F46" i="3"/>
  <c r="Y45" i="3"/>
  <c r="X45" i="3"/>
  <c r="W45" i="3"/>
  <c r="H45" i="3"/>
  <c r="X44" i="3"/>
  <c r="W44" i="3"/>
  <c r="F44" i="3"/>
  <c r="H44" i="3" s="1"/>
  <c r="U43" i="3"/>
  <c r="S43" i="3"/>
  <c r="R43" i="3"/>
  <c r="H43" i="3"/>
  <c r="G43" i="3"/>
  <c r="U42" i="3"/>
  <c r="S42" i="3"/>
  <c r="W42" i="3" s="1"/>
  <c r="T42" i="3" s="1"/>
  <c r="R42" i="3"/>
  <c r="G42" i="3"/>
  <c r="H42" i="3" s="1"/>
  <c r="S41" i="3"/>
  <c r="Q41" i="3"/>
  <c r="J41" i="3"/>
  <c r="G41" i="3"/>
  <c r="F41" i="3"/>
  <c r="H41" i="3" s="1"/>
  <c r="E41" i="3"/>
  <c r="R41" i="3" s="1"/>
  <c r="Y39" i="3"/>
  <c r="X39" i="3"/>
  <c r="W39" i="3"/>
  <c r="H39" i="3"/>
  <c r="P38" i="3"/>
  <c r="F38" i="3"/>
  <c r="H38" i="3" s="1"/>
  <c r="S37" i="3"/>
  <c r="Q37" i="3"/>
  <c r="J37" i="3"/>
  <c r="G37" i="3"/>
  <c r="H37" i="3" s="1"/>
  <c r="F37" i="3"/>
  <c r="E37" i="3"/>
  <c r="R37" i="3" s="1"/>
  <c r="P36" i="3"/>
  <c r="F36" i="3"/>
  <c r="H36" i="3" s="1"/>
  <c r="U35" i="3"/>
  <c r="S35" i="3"/>
  <c r="R35" i="3"/>
  <c r="H35" i="3"/>
  <c r="U34" i="3"/>
  <c r="S34" i="3"/>
  <c r="R34" i="3"/>
  <c r="H34" i="3"/>
  <c r="P33" i="3"/>
  <c r="W33" i="3" s="1"/>
  <c r="T33" i="3" s="1"/>
  <c r="X33" i="3" s="1"/>
  <c r="Y33" i="3" s="1"/>
  <c r="F33" i="3"/>
  <c r="H33" i="3" s="1"/>
  <c r="U32" i="3"/>
  <c r="S32" i="3"/>
  <c r="R32" i="3"/>
  <c r="W32" i="3" s="1"/>
  <c r="T32" i="3" s="1"/>
  <c r="H32" i="3"/>
  <c r="Q31" i="3"/>
  <c r="G31" i="3"/>
  <c r="F31" i="3"/>
  <c r="E31" i="3"/>
  <c r="U31" i="3" s="1"/>
  <c r="P30" i="3"/>
  <c r="F30" i="3"/>
  <c r="H30" i="3" s="1"/>
  <c r="U29" i="3"/>
  <c r="S29" i="3"/>
  <c r="R29" i="3"/>
  <c r="G29" i="3"/>
  <c r="H29" i="3" s="1"/>
  <c r="P28" i="3"/>
  <c r="W28" i="3" s="1"/>
  <c r="T28" i="3" s="1"/>
  <c r="F28" i="3"/>
  <c r="H28" i="3" s="1"/>
  <c r="P27" i="3"/>
  <c r="F27" i="3"/>
  <c r="H27" i="3" s="1"/>
  <c r="U26" i="3"/>
  <c r="S26" i="3"/>
  <c r="R26" i="3"/>
  <c r="G26" i="3"/>
  <c r="H26" i="3" s="1"/>
  <c r="X25" i="3"/>
  <c r="W25" i="3"/>
  <c r="F25" i="3"/>
  <c r="H25" i="3" s="1"/>
  <c r="G24" i="3"/>
  <c r="F24" i="3"/>
  <c r="E24" i="3"/>
  <c r="R24" i="3" s="1"/>
  <c r="P22" i="3"/>
  <c r="F22" i="3"/>
  <c r="H22" i="3" s="1"/>
  <c r="U21" i="3"/>
  <c r="S21" i="3"/>
  <c r="R21" i="3"/>
  <c r="H21" i="3"/>
  <c r="U20" i="3"/>
  <c r="S20" i="3"/>
  <c r="R20" i="3"/>
  <c r="H20" i="3"/>
  <c r="P19" i="3"/>
  <c r="F19" i="3"/>
  <c r="H19" i="3" s="1"/>
  <c r="U18" i="3"/>
  <c r="S18" i="3"/>
  <c r="R18" i="3"/>
  <c r="H18" i="3"/>
  <c r="U17" i="3"/>
  <c r="S17" i="3"/>
  <c r="R17" i="3"/>
  <c r="H17" i="3"/>
  <c r="W16" i="3"/>
  <c r="T16" i="3" s="1"/>
  <c r="P16" i="3"/>
  <c r="X16" i="3" s="1"/>
  <c r="Y16" i="3" s="1"/>
  <c r="H16" i="3"/>
  <c r="F16" i="3"/>
  <c r="X15" i="3"/>
  <c r="Y15" i="3" s="1"/>
  <c r="W15" i="3"/>
  <c r="H15" i="3"/>
  <c r="U14" i="3"/>
  <c r="S14" i="3"/>
  <c r="R14" i="3"/>
  <c r="W14" i="3" s="1"/>
  <c r="T14" i="3" s="1"/>
  <c r="H14" i="3"/>
  <c r="Q13" i="3"/>
  <c r="G13" i="3"/>
  <c r="H13" i="3" s="1"/>
  <c r="F13" i="3"/>
  <c r="E13" i="3"/>
  <c r="U13" i="3" s="1"/>
  <c r="U12" i="3"/>
  <c r="S12" i="3"/>
  <c r="R12" i="3"/>
  <c r="H12" i="3"/>
  <c r="G12" i="3"/>
  <c r="W11" i="3"/>
  <c r="T11" i="3" s="1"/>
  <c r="X11" i="3" s="1"/>
  <c r="Y11" i="3" s="1"/>
  <c r="P11" i="3"/>
  <c r="H11" i="3"/>
  <c r="F11" i="3"/>
  <c r="X10" i="3"/>
  <c r="Y10" i="3" s="1"/>
  <c r="W10" i="3"/>
  <c r="H10" i="3"/>
  <c r="F10" i="3"/>
  <c r="U9" i="3"/>
  <c r="S9" i="3"/>
  <c r="R9" i="3"/>
  <c r="G9" i="3"/>
  <c r="H9" i="3" s="1"/>
  <c r="G8" i="3"/>
  <c r="H8" i="3" s="1"/>
  <c r="E8" i="3"/>
  <c r="S8" i="3" s="1"/>
  <c r="W6" i="3"/>
  <c r="P6" i="3"/>
  <c r="F6" i="3"/>
  <c r="H6" i="3" s="1"/>
  <c r="P5" i="3"/>
  <c r="W5" i="3" s="1"/>
  <c r="T5" i="3" s="1"/>
  <c r="X5" i="3" s="1"/>
  <c r="Y5" i="3" s="1"/>
  <c r="H5" i="3"/>
  <c r="F5" i="3"/>
  <c r="P4" i="3"/>
  <c r="F4" i="3"/>
  <c r="H4" i="3" s="1"/>
  <c r="P3" i="3"/>
  <c r="W3" i="3" s="1"/>
  <c r="T3" i="3" s="1"/>
  <c r="X3" i="3" s="1"/>
  <c r="Y3" i="3" s="1"/>
  <c r="H3" i="3"/>
  <c r="F3" i="3"/>
  <c r="X78" i="3" l="1"/>
  <c r="Y78" i="3" s="1"/>
  <c r="W17" i="3"/>
  <c r="T17" i="3" s="1"/>
  <c r="X17" i="3" s="1"/>
  <c r="Y17" i="3" s="1"/>
  <c r="W30" i="3"/>
  <c r="T30" i="3" s="1"/>
  <c r="X30" i="3" s="1"/>
  <c r="Y30" i="3" s="1"/>
  <c r="W35" i="3"/>
  <c r="T35" i="3" s="1"/>
  <c r="W43" i="3"/>
  <c r="T43" i="3" s="1"/>
  <c r="X43" i="3" s="1"/>
  <c r="Y43" i="3" s="1"/>
  <c r="T54" i="3"/>
  <c r="X54" i="3" s="1"/>
  <c r="Y54" i="3" s="1"/>
  <c r="S64" i="3"/>
  <c r="S66" i="3"/>
  <c r="W67" i="3"/>
  <c r="T67" i="3" s="1"/>
  <c r="X67" i="3" s="1"/>
  <c r="Y67" i="3" s="1"/>
  <c r="W76" i="3"/>
  <c r="T76" i="3" s="1"/>
  <c r="X76" i="3" s="1"/>
  <c r="Y76" i="3" s="1"/>
  <c r="W80" i="3"/>
  <c r="T80" i="3" s="1"/>
  <c r="W83" i="3"/>
  <c r="T83" i="3" s="1"/>
  <c r="X28" i="3"/>
  <c r="Y28" i="3" s="1"/>
  <c r="T6" i="3"/>
  <c r="X6" i="3" s="1"/>
  <c r="Y6" i="3" s="1"/>
  <c r="W9" i="3"/>
  <c r="T9" i="3" s="1"/>
  <c r="X9" i="3" s="1"/>
  <c r="Y9" i="3" s="1"/>
  <c r="R13" i="3"/>
  <c r="R31" i="3"/>
  <c r="W31" i="3" s="1"/>
  <c r="T31" i="3" s="1"/>
  <c r="X35" i="3"/>
  <c r="Y35" i="3" s="1"/>
  <c r="S55" i="3"/>
  <c r="X80" i="3"/>
  <c r="Y80" i="3" s="1"/>
  <c r="T81" i="3"/>
  <c r="X81" i="3" s="1"/>
  <c r="Y81" i="3" s="1"/>
  <c r="X83" i="3"/>
  <c r="Y83" i="3" s="1"/>
  <c r="X69" i="3"/>
  <c r="Y69" i="3" s="1"/>
  <c r="W12" i="3"/>
  <c r="T12" i="3" s="1"/>
  <c r="X12" i="3" s="1"/>
  <c r="Y12" i="3" s="1"/>
  <c r="H24" i="3"/>
  <c r="Y25" i="3"/>
  <c r="T48" i="3"/>
  <c r="X48" i="3" s="1"/>
  <c r="Y48" i="3" s="1"/>
  <c r="H64" i="3"/>
  <c r="T71" i="3"/>
  <c r="X71" i="3" s="1"/>
  <c r="Y71" i="3" s="1"/>
  <c r="X14" i="3"/>
  <c r="Y14" i="3" s="1"/>
  <c r="H31" i="3"/>
  <c r="W34" i="3"/>
  <c r="T34" i="3" s="1"/>
  <c r="X34" i="3" s="1"/>
  <c r="Y34" i="3" s="1"/>
  <c r="X42" i="3"/>
  <c r="Y42" i="3" s="1"/>
  <c r="Y44" i="3"/>
  <c r="X50" i="3"/>
  <c r="Y50" i="3" s="1"/>
  <c r="W50" i="3"/>
  <c r="T50" i="3" s="1"/>
  <c r="W56" i="3"/>
  <c r="T56" i="3" s="1"/>
  <c r="X56" i="3" s="1"/>
  <c r="Y56" i="3" s="1"/>
  <c r="W64" i="3"/>
  <c r="T64" i="3" s="1"/>
  <c r="X64" i="3" s="1"/>
  <c r="Y64" i="3" s="1"/>
  <c r="W72" i="3"/>
  <c r="T72" i="3" s="1"/>
  <c r="W75" i="3"/>
  <c r="T75" i="3" s="1"/>
  <c r="X75" i="3" s="1"/>
  <c r="Y75" i="3" s="1"/>
  <c r="X79" i="3"/>
  <c r="Y79" i="3" s="1"/>
  <c r="X26" i="3"/>
  <c r="Y26" i="3" s="1"/>
  <c r="W4" i="3"/>
  <c r="T4" i="3" s="1"/>
  <c r="X4" i="3" s="1"/>
  <c r="Y4" i="3" s="1"/>
  <c r="X38" i="3"/>
  <c r="Y38" i="3" s="1"/>
  <c r="W38" i="3"/>
  <c r="T38" i="3" s="1"/>
  <c r="W57" i="3"/>
  <c r="T57" i="3" s="1"/>
  <c r="X57" i="3" s="1"/>
  <c r="Y57" i="3" s="1"/>
  <c r="W68" i="3"/>
  <c r="T68" i="3" s="1"/>
  <c r="X68" i="3" s="1"/>
  <c r="Y68" i="3" s="1"/>
  <c r="X72" i="3"/>
  <c r="Y72" i="3" s="1"/>
  <c r="T73" i="3"/>
  <c r="X73" i="3" s="1"/>
  <c r="Y73" i="3" s="1"/>
  <c r="W19" i="3"/>
  <c r="T19" i="3" s="1"/>
  <c r="X19" i="3" s="1"/>
  <c r="Y19" i="3" s="1"/>
  <c r="U24" i="3"/>
  <c r="S24" i="3"/>
  <c r="R8" i="3"/>
  <c r="U8" i="3"/>
  <c r="W18" i="3"/>
  <c r="T18" i="3" s="1"/>
  <c r="X18" i="3" s="1"/>
  <c r="Y18" i="3" s="1"/>
  <c r="X27" i="3"/>
  <c r="Y27" i="3" s="1"/>
  <c r="X32" i="3"/>
  <c r="Y32" i="3" s="1"/>
  <c r="X36" i="3"/>
  <c r="Y36" i="3" s="1"/>
  <c r="W36" i="3"/>
  <c r="T36" i="3" s="1"/>
  <c r="X47" i="3"/>
  <c r="Y47" i="3" s="1"/>
  <c r="W49" i="3"/>
  <c r="T49" i="3" s="1"/>
  <c r="X49" i="3" s="1"/>
  <c r="Y49" i="3" s="1"/>
  <c r="S13" i="3"/>
  <c r="W22" i="3"/>
  <c r="T22" i="3" s="1"/>
  <c r="X22" i="3" s="1"/>
  <c r="Y22" i="3" s="1"/>
  <c r="W27" i="3"/>
  <c r="T27" i="3" s="1"/>
  <c r="W29" i="3"/>
  <c r="T29" i="3" s="1"/>
  <c r="X29" i="3" s="1"/>
  <c r="Y29" i="3" s="1"/>
  <c r="S31" i="3"/>
  <c r="W46" i="3"/>
  <c r="T46" i="3" s="1"/>
  <c r="X46" i="3" s="1"/>
  <c r="Y46" i="3" s="1"/>
  <c r="W53" i="3"/>
  <c r="T53" i="3" s="1"/>
  <c r="X53" i="3" s="1"/>
  <c r="Y53" i="3" s="1"/>
  <c r="W66" i="3"/>
  <c r="T66" i="3" s="1"/>
  <c r="X66" i="3" s="1"/>
  <c r="Y66" i="3" s="1"/>
  <c r="W20" i="3"/>
  <c r="T20" i="3" s="1"/>
  <c r="X20" i="3" s="1"/>
  <c r="Y20" i="3" s="1"/>
  <c r="W21" i="3"/>
  <c r="T21" i="3" s="1"/>
  <c r="X21" i="3" s="1"/>
  <c r="Y21" i="3" s="1"/>
  <c r="W26" i="3"/>
  <c r="T26" i="3" s="1"/>
  <c r="U37" i="3"/>
  <c r="W37" i="3" s="1"/>
  <c r="T37" i="3" s="1"/>
  <c r="X37" i="3" s="1"/>
  <c r="Y37" i="3" s="1"/>
  <c r="U41" i="3"/>
  <c r="W41" i="3" s="1"/>
  <c r="T41" i="3" s="1"/>
  <c r="X41" i="3" s="1"/>
  <c r="Y41" i="3" s="1"/>
  <c r="W51" i="3"/>
  <c r="T51" i="3" s="1"/>
  <c r="X51" i="3" s="1"/>
  <c r="Y51" i="3" s="1"/>
  <c r="W52" i="3"/>
  <c r="T52" i="3" s="1"/>
  <c r="X52" i="3" s="1"/>
  <c r="Y52" i="3" s="1"/>
  <c r="U55" i="3"/>
  <c r="W55" i="3" s="1"/>
  <c r="T55" i="3" s="1"/>
  <c r="X55" i="3" s="1"/>
  <c r="Y55" i="3" s="1"/>
  <c r="W59" i="3"/>
  <c r="T59" i="3" s="1"/>
  <c r="X59" i="3" s="1"/>
  <c r="Y59" i="3" s="1"/>
  <c r="W60" i="3"/>
  <c r="T60" i="3" s="1"/>
  <c r="X60" i="3" s="1"/>
  <c r="Y60" i="3" s="1"/>
  <c r="U64" i="3"/>
  <c r="W65" i="3"/>
  <c r="T65" i="3" s="1"/>
  <c r="X65" i="3" s="1"/>
  <c r="Y65" i="3" s="1"/>
  <c r="W84" i="3"/>
  <c r="T84" i="3" s="1"/>
  <c r="X84" i="3" s="1"/>
  <c r="Y84" i="3" s="1"/>
  <c r="U94" i="2"/>
  <c r="S94" i="2"/>
  <c r="R94" i="2"/>
  <c r="H94" i="2"/>
  <c r="U93" i="2"/>
  <c r="S93" i="2"/>
  <c r="R93" i="2"/>
  <c r="H93" i="2"/>
  <c r="U92" i="2"/>
  <c r="S92" i="2"/>
  <c r="R92" i="2"/>
  <c r="F92" i="2"/>
  <c r="Q91" i="2"/>
  <c r="G91" i="2"/>
  <c r="H91" i="2" s="1"/>
  <c r="F91" i="2"/>
  <c r="E91" i="2"/>
  <c r="U91" i="2" s="1"/>
  <c r="W90" i="2"/>
  <c r="T90" i="2" s="1"/>
  <c r="X90" i="2" s="1"/>
  <c r="Y90" i="2" s="1"/>
  <c r="F90" i="2"/>
  <c r="H90" i="2" s="1"/>
  <c r="P89" i="2"/>
  <c r="W89" i="2" s="1"/>
  <c r="T89" i="2" s="1"/>
  <c r="X89" i="2" s="1"/>
  <c r="Y89" i="2" s="1"/>
  <c r="H89" i="2"/>
  <c r="F89" i="2"/>
  <c r="X88" i="2"/>
  <c r="Y88" i="2" s="1"/>
  <c r="W88" i="2"/>
  <c r="H88" i="2"/>
  <c r="U87" i="2"/>
  <c r="S87" i="2"/>
  <c r="R87" i="2"/>
  <c r="W87" i="2" s="1"/>
  <c r="T87" i="2" s="1"/>
  <c r="H87" i="2"/>
  <c r="S86" i="2"/>
  <c r="R86" i="2"/>
  <c r="Q86" i="2"/>
  <c r="G86" i="2"/>
  <c r="H86" i="2" s="1"/>
  <c r="F86" i="2"/>
  <c r="W86" i="2" s="1"/>
  <c r="T86" i="2" s="1"/>
  <c r="E86" i="2"/>
  <c r="U86" i="2" s="1"/>
  <c r="W85" i="2"/>
  <c r="T85" i="2" s="1"/>
  <c r="X85" i="2" s="1"/>
  <c r="Y85" i="2" s="1"/>
  <c r="F85" i="2"/>
  <c r="H85" i="2" s="1"/>
  <c r="U84" i="2"/>
  <c r="S84" i="2"/>
  <c r="R84" i="2"/>
  <c r="G84" i="2"/>
  <c r="H84" i="2" s="1"/>
  <c r="W83" i="2"/>
  <c r="T83" i="2"/>
  <c r="X83" i="2" s="1"/>
  <c r="Y83" i="2" s="1"/>
  <c r="P83" i="2"/>
  <c r="F83" i="2"/>
  <c r="H83" i="2" s="1"/>
  <c r="P82" i="2"/>
  <c r="F82" i="2"/>
  <c r="H82" i="2" s="1"/>
  <c r="U81" i="2"/>
  <c r="S81" i="2"/>
  <c r="R81" i="2"/>
  <c r="G81" i="2"/>
  <c r="H81" i="2" s="1"/>
  <c r="F81" i="2"/>
  <c r="U80" i="2"/>
  <c r="S80" i="2"/>
  <c r="R80" i="2"/>
  <c r="H80" i="2"/>
  <c r="G80" i="2"/>
  <c r="W78" i="2"/>
  <c r="T78" i="2" s="1"/>
  <c r="X78" i="2" s="1"/>
  <c r="Y78" i="2" s="1"/>
  <c r="P78" i="2"/>
  <c r="F78" i="2"/>
  <c r="H78" i="2" s="1"/>
  <c r="W77" i="2"/>
  <c r="T77" i="2"/>
  <c r="X77" i="2" s="1"/>
  <c r="Y77" i="2" s="1"/>
  <c r="P77" i="2"/>
  <c r="F77" i="2"/>
  <c r="H77" i="2" s="1"/>
  <c r="P76" i="2"/>
  <c r="F76" i="2"/>
  <c r="H76" i="2" s="1"/>
  <c r="U75" i="2"/>
  <c r="S75" i="2"/>
  <c r="X75" i="2" s="1"/>
  <c r="Y75" i="2" s="1"/>
  <c r="R75" i="2"/>
  <c r="W75" i="2" s="1"/>
  <c r="T75" i="2" s="1"/>
  <c r="H75" i="2"/>
  <c r="U74" i="2"/>
  <c r="S74" i="2"/>
  <c r="X74" i="2" s="1"/>
  <c r="Y74" i="2" s="1"/>
  <c r="R74" i="2"/>
  <c r="W74" i="2" s="1"/>
  <c r="T74" i="2" s="1"/>
  <c r="H74" i="2"/>
  <c r="P73" i="2"/>
  <c r="W73" i="2" s="1"/>
  <c r="T73" i="2" s="1"/>
  <c r="X73" i="2" s="1"/>
  <c r="Y73" i="2" s="1"/>
  <c r="H73" i="2"/>
  <c r="F73" i="2"/>
  <c r="X72" i="2"/>
  <c r="Y72" i="2" s="1"/>
  <c r="W72" i="2"/>
  <c r="H72" i="2"/>
  <c r="U71" i="2"/>
  <c r="S71" i="2"/>
  <c r="R71" i="2"/>
  <c r="W71" i="2" s="1"/>
  <c r="T71" i="2" s="1"/>
  <c r="G71" i="2"/>
  <c r="H71" i="2" s="1"/>
  <c r="U70" i="2"/>
  <c r="S70" i="2"/>
  <c r="R70" i="2"/>
  <c r="W70" i="2" s="1"/>
  <c r="T70" i="2" s="1"/>
  <c r="G70" i="2"/>
  <c r="H70" i="2" s="1"/>
  <c r="P69" i="2"/>
  <c r="F69" i="2"/>
  <c r="H69" i="2" s="1"/>
  <c r="P68" i="2"/>
  <c r="W68" i="2" s="1"/>
  <c r="T68" i="2" s="1"/>
  <c r="X68" i="2" s="1"/>
  <c r="Y68" i="2" s="1"/>
  <c r="H68" i="2"/>
  <c r="F68" i="2"/>
  <c r="U67" i="2"/>
  <c r="S67" i="2"/>
  <c r="R67" i="2"/>
  <c r="W67" i="2" s="1"/>
  <c r="T67" i="2" s="1"/>
  <c r="G67" i="2"/>
  <c r="H67" i="2" s="1"/>
  <c r="P66" i="2"/>
  <c r="W66" i="2" s="1"/>
  <c r="T66" i="2" s="1"/>
  <c r="X66" i="2" s="1"/>
  <c r="Y66" i="2" s="1"/>
  <c r="H66" i="2"/>
  <c r="F66" i="2"/>
  <c r="U65" i="2"/>
  <c r="S65" i="2"/>
  <c r="R65" i="2"/>
  <c r="W65" i="2" s="1"/>
  <c r="T65" i="2" s="1"/>
  <c r="G65" i="2"/>
  <c r="H65" i="2" s="1"/>
  <c r="R64" i="2"/>
  <c r="Q64" i="2"/>
  <c r="H64" i="2"/>
  <c r="F64" i="2"/>
  <c r="R63" i="2"/>
  <c r="Q63" i="2"/>
  <c r="H63" i="2"/>
  <c r="F63" i="2"/>
  <c r="P62" i="2"/>
  <c r="W62" i="2" s="1"/>
  <c r="T62" i="2" s="1"/>
  <c r="X62" i="2" s="1"/>
  <c r="Y62" i="2" s="1"/>
  <c r="H62" i="2"/>
  <c r="F62" i="2"/>
  <c r="W61" i="2"/>
  <c r="T61" i="2" s="1"/>
  <c r="X61" i="2" s="1"/>
  <c r="Y61" i="2" s="1"/>
  <c r="P61" i="2"/>
  <c r="F61" i="2"/>
  <c r="H61" i="2" s="1"/>
  <c r="U60" i="2"/>
  <c r="S60" i="2"/>
  <c r="R60" i="2"/>
  <c r="H60" i="2"/>
  <c r="U59" i="2"/>
  <c r="S59" i="2"/>
  <c r="R59" i="2"/>
  <c r="H59" i="2"/>
  <c r="Q58" i="2"/>
  <c r="G58" i="2"/>
  <c r="F58" i="2"/>
  <c r="H58" i="2" s="1"/>
  <c r="E58" i="2"/>
  <c r="U58" i="2" s="1"/>
  <c r="U56" i="2"/>
  <c r="S56" i="2"/>
  <c r="R56" i="2"/>
  <c r="H56" i="2"/>
  <c r="Q55" i="2"/>
  <c r="G55" i="2"/>
  <c r="F55" i="2"/>
  <c r="H55" i="2" s="1"/>
  <c r="E55" i="2"/>
  <c r="U55" i="2" s="1"/>
  <c r="W54" i="2"/>
  <c r="T54" i="2"/>
  <c r="P54" i="2"/>
  <c r="X54" i="2" s="1"/>
  <c r="Y54" i="2" s="1"/>
  <c r="F54" i="2"/>
  <c r="H54" i="2" s="1"/>
  <c r="P53" i="2"/>
  <c r="F53" i="2"/>
  <c r="H53" i="2" s="1"/>
  <c r="P52" i="2"/>
  <c r="W52" i="2" s="1"/>
  <c r="T52" i="2" s="1"/>
  <c r="X52" i="2" s="1"/>
  <c r="Y52" i="2" s="1"/>
  <c r="H52" i="2"/>
  <c r="F52" i="2"/>
  <c r="U51" i="2"/>
  <c r="S51" i="2"/>
  <c r="R51" i="2"/>
  <c r="W51" i="2" s="1"/>
  <c r="T51" i="2" s="1"/>
  <c r="H51" i="2"/>
  <c r="G51" i="2"/>
  <c r="P50" i="2"/>
  <c r="W50" i="2" s="1"/>
  <c r="T50" i="2" s="1"/>
  <c r="X50" i="2" s="1"/>
  <c r="Y50" i="2" s="1"/>
  <c r="H50" i="2"/>
  <c r="F50" i="2"/>
  <c r="W49" i="2"/>
  <c r="T49" i="2" s="1"/>
  <c r="X49" i="2" s="1"/>
  <c r="Y49" i="2" s="1"/>
  <c r="P49" i="2"/>
  <c r="F49" i="2"/>
  <c r="H49" i="2" s="1"/>
  <c r="W48" i="2"/>
  <c r="T48" i="2"/>
  <c r="P48" i="2"/>
  <c r="X48" i="2" s="1"/>
  <c r="Y48" i="2" s="1"/>
  <c r="F48" i="2"/>
  <c r="H48" i="2" s="1"/>
  <c r="U47" i="2"/>
  <c r="S47" i="2"/>
  <c r="R47" i="2"/>
  <c r="H47" i="2"/>
  <c r="Q46" i="2"/>
  <c r="H46" i="2"/>
  <c r="G46" i="2"/>
  <c r="F46" i="2"/>
  <c r="E46" i="2"/>
  <c r="S46" i="2" s="1"/>
  <c r="W45" i="2"/>
  <c r="T45" i="2"/>
  <c r="X45" i="2" s="1"/>
  <c r="Y45" i="2" s="1"/>
  <c r="H45" i="2"/>
  <c r="F45" i="2"/>
  <c r="X44" i="2"/>
  <c r="Y44" i="2" s="1"/>
  <c r="W44" i="2"/>
  <c r="F44" i="2"/>
  <c r="H44" i="2" s="1"/>
  <c r="U43" i="2"/>
  <c r="S43" i="2"/>
  <c r="R43" i="2"/>
  <c r="W43" i="2" s="1"/>
  <c r="T43" i="2" s="1"/>
  <c r="H43" i="2"/>
  <c r="S42" i="2"/>
  <c r="Q42" i="2"/>
  <c r="G42" i="2"/>
  <c r="H42" i="2" s="1"/>
  <c r="F42" i="2"/>
  <c r="E42" i="2"/>
  <c r="R42" i="2" s="1"/>
  <c r="P41" i="2"/>
  <c r="W41" i="2" s="1"/>
  <c r="T41" i="2" s="1"/>
  <c r="X41" i="2" s="1"/>
  <c r="Y41" i="2" s="1"/>
  <c r="H41" i="2"/>
  <c r="F41" i="2"/>
  <c r="W40" i="2"/>
  <c r="T40" i="2" s="1"/>
  <c r="X40" i="2" s="1"/>
  <c r="Y40" i="2" s="1"/>
  <c r="P40" i="2"/>
  <c r="F40" i="2"/>
  <c r="H40" i="2" s="1"/>
  <c r="W39" i="2"/>
  <c r="T39" i="2"/>
  <c r="P39" i="2"/>
  <c r="X39" i="2" s="1"/>
  <c r="Y39" i="2" s="1"/>
  <c r="F39" i="2"/>
  <c r="H39" i="2" s="1"/>
  <c r="Y38" i="2"/>
  <c r="X38" i="2"/>
  <c r="W38" i="2"/>
  <c r="H38" i="2"/>
  <c r="Y37" i="2"/>
  <c r="X37" i="2"/>
  <c r="W37" i="2"/>
  <c r="H37" i="2"/>
  <c r="U36" i="2"/>
  <c r="S36" i="2"/>
  <c r="R36" i="2"/>
  <c r="G36" i="2"/>
  <c r="H36" i="2" s="1"/>
  <c r="U35" i="2"/>
  <c r="S35" i="2"/>
  <c r="R35" i="2"/>
  <c r="H35" i="2"/>
  <c r="G35" i="2"/>
  <c r="W33" i="2"/>
  <c r="T33" i="2" s="1"/>
  <c r="X33" i="2" s="1"/>
  <c r="Y33" i="2" s="1"/>
  <c r="P33" i="2"/>
  <c r="F33" i="2"/>
  <c r="H33" i="2" s="1"/>
  <c r="W32" i="2"/>
  <c r="T32" i="2"/>
  <c r="P32" i="2"/>
  <c r="X32" i="2" s="1"/>
  <c r="Y32" i="2" s="1"/>
  <c r="F32" i="2"/>
  <c r="H32" i="2" s="1"/>
  <c r="U31" i="2"/>
  <c r="S31" i="2"/>
  <c r="X31" i="2" s="1"/>
  <c r="Y31" i="2" s="1"/>
  <c r="R31" i="2"/>
  <c r="W31" i="2" s="1"/>
  <c r="T31" i="2" s="1"/>
  <c r="H31" i="2"/>
  <c r="Q30" i="2"/>
  <c r="H30" i="2"/>
  <c r="G30" i="2"/>
  <c r="F30" i="2"/>
  <c r="E30" i="2"/>
  <c r="S30" i="2" s="1"/>
  <c r="P29" i="2"/>
  <c r="H29" i="2"/>
  <c r="F29" i="2"/>
  <c r="U28" i="2"/>
  <c r="S28" i="2"/>
  <c r="X28" i="2" s="1"/>
  <c r="Y28" i="2" s="1"/>
  <c r="R28" i="2"/>
  <c r="W28" i="2" s="1"/>
  <c r="T28" i="2" s="1"/>
  <c r="H28" i="2"/>
  <c r="S27" i="2"/>
  <c r="R27" i="2"/>
  <c r="Q27" i="2"/>
  <c r="G27" i="2"/>
  <c r="H27" i="2" s="1"/>
  <c r="F27" i="2"/>
  <c r="E27" i="2"/>
  <c r="U27" i="2" s="1"/>
  <c r="P26" i="2"/>
  <c r="W26" i="2" s="1"/>
  <c r="T26" i="2" s="1"/>
  <c r="X26" i="2" s="1"/>
  <c r="Y26" i="2" s="1"/>
  <c r="H26" i="2"/>
  <c r="F26" i="2"/>
  <c r="W25" i="2"/>
  <c r="T25" i="2" s="1"/>
  <c r="X25" i="2" s="1"/>
  <c r="Y25" i="2" s="1"/>
  <c r="P25" i="2"/>
  <c r="F25" i="2"/>
  <c r="H25" i="2" s="1"/>
  <c r="U24" i="2"/>
  <c r="S24" i="2"/>
  <c r="R24" i="2"/>
  <c r="H24" i="2"/>
  <c r="U23" i="2"/>
  <c r="W23" i="2" s="1"/>
  <c r="T23" i="2" s="1"/>
  <c r="R23" i="2"/>
  <c r="Q23" i="2"/>
  <c r="H23" i="2"/>
  <c r="G23" i="2"/>
  <c r="F23" i="2"/>
  <c r="E23" i="2"/>
  <c r="S23" i="2" s="1"/>
  <c r="W22" i="2"/>
  <c r="T22" i="2" s="1"/>
  <c r="P22" i="2"/>
  <c r="F22" i="2"/>
  <c r="H22" i="2" s="1"/>
  <c r="P21" i="2"/>
  <c r="W21" i="2" s="1"/>
  <c r="T21" i="2" s="1"/>
  <c r="H21" i="2"/>
  <c r="F21" i="2"/>
  <c r="U20" i="2"/>
  <c r="S20" i="2"/>
  <c r="R20" i="2"/>
  <c r="H20" i="2"/>
  <c r="G20" i="2"/>
  <c r="P19" i="2"/>
  <c r="W19" i="2" s="1"/>
  <c r="T19" i="2" s="1"/>
  <c r="X19" i="2" s="1"/>
  <c r="Y19" i="2" s="1"/>
  <c r="H19" i="2"/>
  <c r="F19" i="2"/>
  <c r="W18" i="2"/>
  <c r="T18" i="2" s="1"/>
  <c r="X18" i="2" s="1"/>
  <c r="Y18" i="2" s="1"/>
  <c r="P18" i="2"/>
  <c r="F18" i="2"/>
  <c r="H18" i="2" s="1"/>
  <c r="U17" i="2"/>
  <c r="S17" i="2"/>
  <c r="R17" i="2"/>
  <c r="W17" i="2" s="1"/>
  <c r="T17" i="2" s="1"/>
  <c r="H17" i="2"/>
  <c r="U16" i="2"/>
  <c r="H16" i="2"/>
  <c r="G16" i="2"/>
  <c r="F16" i="2"/>
  <c r="E16" i="2"/>
  <c r="R16" i="2" s="1"/>
  <c r="X14" i="2"/>
  <c r="W14" i="2"/>
  <c r="F14" i="2"/>
  <c r="H14" i="2" s="1"/>
  <c r="W13" i="2"/>
  <c r="T13" i="2"/>
  <c r="P13" i="2"/>
  <c r="X13" i="2" s="1"/>
  <c r="Y13" i="2" s="1"/>
  <c r="F13" i="2"/>
  <c r="H13" i="2" s="1"/>
  <c r="P12" i="2"/>
  <c r="H12" i="2"/>
  <c r="F12" i="2"/>
  <c r="P11" i="2"/>
  <c r="W11" i="2" s="1"/>
  <c r="T11" i="2" s="1"/>
  <c r="X11" i="2" s="1"/>
  <c r="Y11" i="2" s="1"/>
  <c r="H11" i="2"/>
  <c r="F11" i="2"/>
  <c r="W10" i="2"/>
  <c r="T10" i="2" s="1"/>
  <c r="X10" i="2" s="1"/>
  <c r="Y10" i="2" s="1"/>
  <c r="F10" i="2"/>
  <c r="H10" i="2" s="1"/>
  <c r="U9" i="2"/>
  <c r="X9" i="2" s="1"/>
  <c r="Y9" i="2" s="1"/>
  <c r="H9" i="2"/>
  <c r="U8" i="2"/>
  <c r="S8" i="2"/>
  <c r="R8" i="2"/>
  <c r="H8" i="2"/>
  <c r="G8" i="2"/>
  <c r="W7" i="2"/>
  <c r="T7" i="2" s="1"/>
  <c r="X7" i="2" s="1"/>
  <c r="Y7" i="2" s="1"/>
  <c r="P7" i="2"/>
  <c r="F7" i="2"/>
  <c r="H7" i="2" s="1"/>
  <c r="U6" i="2"/>
  <c r="S6" i="2"/>
  <c r="R6" i="2"/>
  <c r="W6" i="2" s="1"/>
  <c r="T6" i="2" s="1"/>
  <c r="H6" i="2"/>
  <c r="Q5" i="2"/>
  <c r="G5" i="2"/>
  <c r="F5" i="2"/>
  <c r="E5" i="2"/>
  <c r="U5" i="2" s="1"/>
  <c r="W4" i="2"/>
  <c r="T4" i="2"/>
  <c r="P4" i="2"/>
  <c r="X4" i="2" s="1"/>
  <c r="Y4" i="2" s="1"/>
  <c r="F4" i="2"/>
  <c r="H4" i="2" s="1"/>
  <c r="X31" i="3" l="1"/>
  <c r="Y31" i="3" s="1"/>
  <c r="W24" i="3"/>
  <c r="T24" i="3" s="1"/>
  <c r="X24" i="3" s="1"/>
  <c r="Y24" i="3" s="1"/>
  <c r="W8" i="3"/>
  <c r="T8" i="3" s="1"/>
  <c r="X8" i="3" s="1"/>
  <c r="Y8" i="3" s="1"/>
  <c r="W13" i="3"/>
  <c r="T13" i="3" s="1"/>
  <c r="X13" i="3" s="1"/>
  <c r="Y13" i="3" s="1"/>
  <c r="X20" i="2"/>
  <c r="Y20" i="2" s="1"/>
  <c r="X8" i="2"/>
  <c r="Y8" i="2" s="1"/>
  <c r="R5" i="2"/>
  <c r="W8" i="2"/>
  <c r="T8" i="2" s="1"/>
  <c r="S5" i="2"/>
  <c r="W5" i="2" s="1"/>
  <c r="T5" i="2" s="1"/>
  <c r="X6" i="2"/>
  <c r="Y6" i="2" s="1"/>
  <c r="W9" i="2"/>
  <c r="W12" i="2"/>
  <c r="T12" i="2" s="1"/>
  <c r="X12" i="2" s="1"/>
  <c r="Y12" i="2" s="1"/>
  <c r="S16" i="2"/>
  <c r="W16" i="2" s="1"/>
  <c r="T16" i="2" s="1"/>
  <c r="X17" i="2"/>
  <c r="Y17" i="2" s="1"/>
  <c r="X22" i="2"/>
  <c r="Y22" i="2" s="1"/>
  <c r="X60" i="2"/>
  <c r="Y60" i="2" s="1"/>
  <c r="H5" i="2"/>
  <c r="X21" i="2"/>
  <c r="Y21" i="2" s="1"/>
  <c r="X23" i="2"/>
  <c r="Y23" i="2" s="1"/>
  <c r="X35" i="2"/>
  <c r="Y35" i="2" s="1"/>
  <c r="X43" i="2"/>
  <c r="Y43" i="2" s="1"/>
  <c r="X84" i="2"/>
  <c r="Y84" i="2" s="1"/>
  <c r="Y14" i="2"/>
  <c r="W20" i="2"/>
  <c r="T20" i="2" s="1"/>
  <c r="X53" i="2"/>
  <c r="Y53" i="2" s="1"/>
  <c r="W27" i="2"/>
  <c r="T27" i="2" s="1"/>
  <c r="X27" i="2" s="1"/>
  <c r="Y27" i="2" s="1"/>
  <c r="X64" i="2"/>
  <c r="Y64" i="2" s="1"/>
  <c r="X70" i="2"/>
  <c r="Y70" i="2" s="1"/>
  <c r="W24" i="2"/>
  <c r="T24" i="2" s="1"/>
  <c r="X24" i="2" s="1"/>
  <c r="Y24" i="2" s="1"/>
  <c r="U30" i="2"/>
  <c r="W30" i="2" s="1"/>
  <c r="T30" i="2" s="1"/>
  <c r="X30" i="2" s="1"/>
  <c r="Y30" i="2" s="1"/>
  <c r="W35" i="2"/>
  <c r="T35" i="2" s="1"/>
  <c r="U46" i="2"/>
  <c r="X51" i="2"/>
  <c r="Y51" i="2" s="1"/>
  <c r="R55" i="2"/>
  <c r="W55" i="2" s="1"/>
  <c r="T55" i="2" s="1"/>
  <c r="W56" i="2"/>
  <c r="T56" i="2" s="1"/>
  <c r="X56" i="2" s="1"/>
  <c r="Y56" i="2" s="1"/>
  <c r="R58" i="2"/>
  <c r="W58" i="2"/>
  <c r="T58" i="2" s="1"/>
  <c r="W59" i="2"/>
  <c r="T59" i="2" s="1"/>
  <c r="X59" i="2" s="1"/>
  <c r="Y59" i="2" s="1"/>
  <c r="W60" i="2"/>
  <c r="T60" i="2" s="1"/>
  <c r="X65" i="2"/>
  <c r="Y65" i="2" s="1"/>
  <c r="X67" i="2"/>
  <c r="Y67" i="2" s="1"/>
  <c r="X71" i="2"/>
  <c r="Y71" i="2" s="1"/>
  <c r="W80" i="2"/>
  <c r="T80" i="2" s="1"/>
  <c r="X80" i="2" s="1"/>
  <c r="Y80" i="2" s="1"/>
  <c r="X86" i="2"/>
  <c r="Y86" i="2" s="1"/>
  <c r="X87" i="2"/>
  <c r="Y87" i="2" s="1"/>
  <c r="R91" i="2"/>
  <c r="H92" i="2"/>
  <c r="W29" i="2"/>
  <c r="T29" i="2" s="1"/>
  <c r="X29" i="2" s="1"/>
  <c r="Y29" i="2" s="1"/>
  <c r="R30" i="2"/>
  <c r="W36" i="2"/>
  <c r="T36" i="2" s="1"/>
  <c r="X36" i="2" s="1"/>
  <c r="Y36" i="2" s="1"/>
  <c r="U42" i="2"/>
  <c r="W42" i="2" s="1"/>
  <c r="T42" i="2" s="1"/>
  <c r="X42" i="2" s="1"/>
  <c r="Y42" i="2" s="1"/>
  <c r="R46" i="2"/>
  <c r="W46" i="2" s="1"/>
  <c r="T46" i="2" s="1"/>
  <c r="W47" i="2"/>
  <c r="T47" i="2" s="1"/>
  <c r="X47" i="2" s="1"/>
  <c r="Y47" i="2" s="1"/>
  <c r="W53" i="2"/>
  <c r="T53" i="2" s="1"/>
  <c r="S55" i="2"/>
  <c r="S58" i="2"/>
  <c r="X58" i="2" s="1"/>
  <c r="Y58" i="2" s="1"/>
  <c r="W69" i="2"/>
  <c r="T69" i="2" s="1"/>
  <c r="X69" i="2" s="1"/>
  <c r="Y69" i="2" s="1"/>
  <c r="W76" i="2"/>
  <c r="T76" i="2" s="1"/>
  <c r="X76" i="2" s="1"/>
  <c r="Y76" i="2" s="1"/>
  <c r="W82" i="2"/>
  <c r="T82" i="2" s="1"/>
  <c r="X82" i="2" s="1"/>
  <c r="Y82" i="2" s="1"/>
  <c r="W84" i="2"/>
  <c r="T84" i="2" s="1"/>
  <c r="S91" i="2"/>
  <c r="W92" i="2"/>
  <c r="T92" i="2" s="1"/>
  <c r="X92" i="2" s="1"/>
  <c r="Y92" i="2" s="1"/>
  <c r="W93" i="2"/>
  <c r="T93" i="2" s="1"/>
  <c r="X93" i="2" s="1"/>
  <c r="Y93" i="2" s="1"/>
  <c r="W94" i="2"/>
  <c r="T94" i="2" s="1"/>
  <c r="X94" i="2" s="1"/>
  <c r="Y94" i="2" s="1"/>
  <c r="W63" i="2"/>
  <c r="T63" i="2" s="1"/>
  <c r="X63" i="2" s="1"/>
  <c r="Y63" i="2" s="1"/>
  <c r="W64" i="2"/>
  <c r="T64" i="2" s="1"/>
  <c r="W81" i="2"/>
  <c r="T81" i="2" s="1"/>
  <c r="X81" i="2" s="1"/>
  <c r="Y81" i="2" s="1"/>
  <c r="U106" i="1"/>
  <c r="S106" i="1"/>
  <c r="R106" i="1"/>
  <c r="G106" i="1"/>
  <c r="H106" i="1" s="1"/>
  <c r="P105" i="1"/>
  <c r="F105" i="1"/>
  <c r="H105" i="1" s="1"/>
  <c r="P104" i="1"/>
  <c r="F104" i="1"/>
  <c r="H104" i="1" s="1"/>
  <c r="X103" i="1"/>
  <c r="Y103" i="1" s="1"/>
  <c r="W103" i="1"/>
  <c r="H103" i="1"/>
  <c r="U102" i="1"/>
  <c r="S102" i="1"/>
  <c r="R102" i="1"/>
  <c r="G102" i="1"/>
  <c r="H102" i="1" s="1"/>
  <c r="U101" i="1"/>
  <c r="S101" i="1"/>
  <c r="R101" i="1"/>
  <c r="G101" i="1"/>
  <c r="H101" i="1" s="1"/>
  <c r="P99" i="1"/>
  <c r="F99" i="1"/>
  <c r="H99" i="1" s="1"/>
  <c r="P98" i="1"/>
  <c r="F98" i="1"/>
  <c r="H98" i="1" s="1"/>
  <c r="X97" i="1"/>
  <c r="Y97" i="1" s="1"/>
  <c r="W97" i="1"/>
  <c r="H97" i="1"/>
  <c r="X96" i="1"/>
  <c r="Y96" i="1" s="1"/>
  <c r="W96" i="1"/>
  <c r="H96" i="1"/>
  <c r="U95" i="1"/>
  <c r="S95" i="1"/>
  <c r="R95" i="1"/>
  <c r="G95" i="1"/>
  <c r="H95" i="1" s="1"/>
  <c r="U94" i="1"/>
  <c r="S94" i="1"/>
  <c r="R94" i="1"/>
  <c r="G94" i="1"/>
  <c r="H94" i="1" s="1"/>
  <c r="P93" i="1"/>
  <c r="F93" i="1"/>
  <c r="H93" i="1" s="1"/>
  <c r="W92" i="1"/>
  <c r="F92" i="1"/>
  <c r="T92" i="1" s="1"/>
  <c r="X92" i="1" s="1"/>
  <c r="Y92" i="1" s="1"/>
  <c r="P91" i="1"/>
  <c r="F91" i="1"/>
  <c r="H91" i="1" s="1"/>
  <c r="U90" i="1"/>
  <c r="S90" i="1"/>
  <c r="R90" i="1"/>
  <c r="H90" i="1"/>
  <c r="U89" i="1"/>
  <c r="S89" i="1"/>
  <c r="R89" i="1"/>
  <c r="H89" i="1"/>
  <c r="W88" i="1"/>
  <c r="F88" i="1"/>
  <c r="T88" i="1" s="1"/>
  <c r="X88" i="1" s="1"/>
  <c r="Y88" i="1" s="1"/>
  <c r="P87" i="1"/>
  <c r="F87" i="1"/>
  <c r="H87" i="1" s="1"/>
  <c r="U86" i="1"/>
  <c r="S86" i="1"/>
  <c r="R86" i="1"/>
  <c r="H86" i="1"/>
  <c r="P85" i="1"/>
  <c r="F85" i="1"/>
  <c r="H85" i="1" s="1"/>
  <c r="X84" i="1"/>
  <c r="Y84" i="1" s="1"/>
  <c r="W84" i="1"/>
  <c r="H84" i="1"/>
  <c r="X83" i="1"/>
  <c r="Y83" i="1" s="1"/>
  <c r="W83" i="1"/>
  <c r="H83" i="1"/>
  <c r="U82" i="1"/>
  <c r="S82" i="1"/>
  <c r="R82" i="1"/>
  <c r="G82" i="1"/>
  <c r="H82" i="1" s="1"/>
  <c r="P81" i="1"/>
  <c r="F81" i="1"/>
  <c r="H81" i="1" s="1"/>
  <c r="P80" i="1"/>
  <c r="F80" i="1"/>
  <c r="H80" i="1" s="1"/>
  <c r="G79" i="1"/>
  <c r="H79" i="1" s="1"/>
  <c r="E79" i="1"/>
  <c r="U79" i="1" s="1"/>
  <c r="U78" i="1"/>
  <c r="S78" i="1"/>
  <c r="R78" i="1"/>
  <c r="G78" i="1"/>
  <c r="H78" i="1" s="1"/>
  <c r="U77" i="1"/>
  <c r="S77" i="1"/>
  <c r="R77" i="1"/>
  <c r="G77" i="1"/>
  <c r="H77" i="1" s="1"/>
  <c r="P75" i="1"/>
  <c r="F75" i="1"/>
  <c r="H75" i="1" s="1"/>
  <c r="P74" i="1"/>
  <c r="F74" i="1"/>
  <c r="H74" i="1" s="1"/>
  <c r="U73" i="1"/>
  <c r="S73" i="1"/>
  <c r="R73" i="1"/>
  <c r="H73" i="1"/>
  <c r="U72" i="1"/>
  <c r="S72" i="1"/>
  <c r="R72" i="1"/>
  <c r="H72" i="1"/>
  <c r="X71" i="1"/>
  <c r="Y71" i="1" s="1"/>
  <c r="W71" i="1"/>
  <c r="H71" i="1"/>
  <c r="P70" i="1"/>
  <c r="F70" i="1"/>
  <c r="H70" i="1" s="1"/>
  <c r="P69" i="1"/>
  <c r="F69" i="1"/>
  <c r="H69" i="1" s="1"/>
  <c r="P68" i="1"/>
  <c r="F68" i="1"/>
  <c r="H68" i="1" s="1"/>
  <c r="U67" i="1"/>
  <c r="S67" i="1"/>
  <c r="R67" i="1"/>
  <c r="G67" i="1"/>
  <c r="H67" i="1" s="1"/>
  <c r="U66" i="1"/>
  <c r="S66" i="1"/>
  <c r="R66" i="1"/>
  <c r="G66" i="1"/>
  <c r="H66" i="1" s="1"/>
  <c r="W65" i="1"/>
  <c r="F65" i="1"/>
  <c r="T65" i="1" s="1"/>
  <c r="X65" i="1" s="1"/>
  <c r="Y65" i="1" s="1"/>
  <c r="P64" i="1"/>
  <c r="F64" i="1"/>
  <c r="H64" i="1" s="1"/>
  <c r="U63" i="1"/>
  <c r="S63" i="1"/>
  <c r="R63" i="1"/>
  <c r="G63" i="1"/>
  <c r="H63" i="1" s="1"/>
  <c r="P62" i="1"/>
  <c r="F62" i="1"/>
  <c r="H62" i="1" s="1"/>
  <c r="U61" i="1"/>
  <c r="S61" i="1"/>
  <c r="R61" i="1"/>
  <c r="G61" i="1"/>
  <c r="H61" i="1" s="1"/>
  <c r="W60" i="1"/>
  <c r="F60" i="1"/>
  <c r="P59" i="1"/>
  <c r="F59" i="1"/>
  <c r="H59" i="1" s="1"/>
  <c r="P58" i="1"/>
  <c r="F58" i="1"/>
  <c r="H58" i="1" s="1"/>
  <c r="X57" i="1"/>
  <c r="Y57" i="1" s="1"/>
  <c r="W57" i="1"/>
  <c r="H57" i="1"/>
  <c r="U56" i="1"/>
  <c r="S56" i="1"/>
  <c r="R56" i="1"/>
  <c r="G56" i="1"/>
  <c r="H56" i="1" s="1"/>
  <c r="U55" i="1"/>
  <c r="S55" i="1"/>
  <c r="R55" i="1"/>
  <c r="H55" i="1"/>
  <c r="U54" i="1"/>
  <c r="S54" i="1"/>
  <c r="R54" i="1"/>
  <c r="H54" i="1"/>
  <c r="P52" i="1"/>
  <c r="F52" i="1"/>
  <c r="H52" i="1" s="1"/>
  <c r="X51" i="1"/>
  <c r="Y51" i="1" s="1"/>
  <c r="W51" i="1"/>
  <c r="H51" i="1"/>
  <c r="X50" i="1"/>
  <c r="Y50" i="1" s="1"/>
  <c r="W50" i="1"/>
  <c r="H50" i="1"/>
  <c r="P49" i="1"/>
  <c r="F49" i="1"/>
  <c r="H49" i="1" s="1"/>
  <c r="G48" i="1"/>
  <c r="F48" i="1"/>
  <c r="E48" i="1"/>
  <c r="U47" i="1"/>
  <c r="S47" i="1"/>
  <c r="R47" i="1"/>
  <c r="G47" i="1"/>
  <c r="H47" i="1" s="1"/>
  <c r="P46" i="1"/>
  <c r="F46" i="1"/>
  <c r="H46" i="1" s="1"/>
  <c r="P45" i="1"/>
  <c r="F45" i="1"/>
  <c r="H45" i="1" s="1"/>
  <c r="P44" i="1"/>
  <c r="F44" i="1"/>
  <c r="H44" i="1" s="1"/>
  <c r="U43" i="1"/>
  <c r="S43" i="1"/>
  <c r="R43" i="1"/>
  <c r="H43" i="1"/>
  <c r="U42" i="1"/>
  <c r="S42" i="1"/>
  <c r="R42" i="1"/>
  <c r="H42" i="1"/>
  <c r="P41" i="1"/>
  <c r="F41" i="1"/>
  <c r="H41" i="1" s="1"/>
  <c r="P40" i="1"/>
  <c r="F40" i="1"/>
  <c r="H40" i="1" s="1"/>
  <c r="U39" i="1"/>
  <c r="S39" i="1"/>
  <c r="R39" i="1"/>
  <c r="G39" i="1"/>
  <c r="H39" i="1" s="1"/>
  <c r="P38" i="1"/>
  <c r="F38" i="1"/>
  <c r="H38" i="1" s="1"/>
  <c r="U37" i="1"/>
  <c r="S37" i="1"/>
  <c r="R37" i="1"/>
  <c r="G37" i="1"/>
  <c r="H37" i="1" s="1"/>
  <c r="P36" i="1"/>
  <c r="F36" i="1"/>
  <c r="H36" i="1" s="1"/>
  <c r="P35" i="1"/>
  <c r="F35" i="1"/>
  <c r="H35" i="1" s="1"/>
  <c r="X34" i="1"/>
  <c r="Y34" i="1" s="1"/>
  <c r="W34" i="1"/>
  <c r="H34" i="1"/>
  <c r="X33" i="1"/>
  <c r="Y33" i="1" s="1"/>
  <c r="W33" i="1"/>
  <c r="H33" i="1"/>
  <c r="X32" i="1"/>
  <c r="Y32" i="1" s="1"/>
  <c r="W32" i="1"/>
  <c r="H32" i="1"/>
  <c r="U31" i="1"/>
  <c r="S31" i="1"/>
  <c r="R31" i="1"/>
  <c r="G31" i="1"/>
  <c r="H31" i="1" s="1"/>
  <c r="U30" i="1"/>
  <c r="S30" i="1"/>
  <c r="R30" i="1"/>
  <c r="G30" i="1"/>
  <c r="H30" i="1" s="1"/>
  <c r="U29" i="1"/>
  <c r="S29" i="1"/>
  <c r="R29" i="1"/>
  <c r="G29" i="1"/>
  <c r="H29" i="1" s="1"/>
  <c r="P27" i="1"/>
  <c r="G27" i="1"/>
  <c r="F27" i="1"/>
  <c r="P26" i="1"/>
  <c r="F26" i="1"/>
  <c r="H26" i="1" s="1"/>
  <c r="X25" i="1"/>
  <c r="Y25" i="1" s="1"/>
  <c r="W25" i="1"/>
  <c r="H25" i="1"/>
  <c r="U24" i="1"/>
  <c r="S24" i="1"/>
  <c r="R24" i="1"/>
  <c r="H24" i="1"/>
  <c r="U23" i="1"/>
  <c r="S23" i="1"/>
  <c r="R23" i="1"/>
  <c r="H23" i="1"/>
  <c r="P22" i="1"/>
  <c r="F22" i="1"/>
  <c r="H22" i="1" s="1"/>
  <c r="G21" i="1"/>
  <c r="W21" i="1" s="1"/>
  <c r="F21" i="1"/>
  <c r="P20" i="1"/>
  <c r="G20" i="1"/>
  <c r="F20" i="1"/>
  <c r="U19" i="1"/>
  <c r="S19" i="1"/>
  <c r="R19" i="1"/>
  <c r="H19" i="1"/>
  <c r="U18" i="1"/>
  <c r="S18" i="1"/>
  <c r="R18" i="1"/>
  <c r="H18" i="1"/>
  <c r="P17" i="1"/>
  <c r="F17" i="1"/>
  <c r="H17" i="1" s="1"/>
  <c r="P16" i="1"/>
  <c r="F16" i="1"/>
  <c r="H16" i="1" s="1"/>
  <c r="X15" i="1"/>
  <c r="Y15" i="1" s="1"/>
  <c r="W15" i="1"/>
  <c r="H15" i="1"/>
  <c r="U14" i="1"/>
  <c r="S14" i="1"/>
  <c r="R14" i="1"/>
  <c r="G14" i="1"/>
  <c r="H14" i="1" s="1"/>
  <c r="P13" i="1"/>
  <c r="F13" i="1"/>
  <c r="H13" i="1" s="1"/>
  <c r="U12" i="1"/>
  <c r="S12" i="1"/>
  <c r="R12" i="1"/>
  <c r="G12" i="1"/>
  <c r="H12" i="1" s="1"/>
  <c r="P11" i="1"/>
  <c r="F11" i="1"/>
  <c r="H11" i="1" s="1"/>
  <c r="P10" i="1"/>
  <c r="F10" i="1"/>
  <c r="H10" i="1" s="1"/>
  <c r="X9" i="1"/>
  <c r="Y9" i="1" s="1"/>
  <c r="W9" i="1"/>
  <c r="H9" i="1"/>
  <c r="U8" i="1"/>
  <c r="S8" i="1"/>
  <c r="R8" i="1"/>
  <c r="G8" i="1"/>
  <c r="H8" i="1" s="1"/>
  <c r="X7" i="1"/>
  <c r="Y7" i="1" s="1"/>
  <c r="W7" i="1"/>
  <c r="H7" i="1"/>
  <c r="X6" i="1"/>
  <c r="Y6" i="1" s="1"/>
  <c r="W6" i="1"/>
  <c r="H6" i="1"/>
  <c r="U5" i="1"/>
  <c r="S5" i="1"/>
  <c r="R5" i="1"/>
  <c r="H5" i="1"/>
  <c r="P4" i="1"/>
  <c r="F4" i="1"/>
  <c r="H4" i="1" s="1"/>
  <c r="X91" i="2" l="1"/>
  <c r="Y91" i="2" s="1"/>
  <c r="X16" i="2"/>
  <c r="Y16" i="2" s="1"/>
  <c r="W91" i="2"/>
  <c r="T91" i="2" s="1"/>
  <c r="X46" i="2"/>
  <c r="Y46" i="2" s="1"/>
  <c r="X55" i="2"/>
  <c r="Y55" i="2" s="1"/>
  <c r="X5" i="2"/>
  <c r="Y5" i="2" s="1"/>
  <c r="X5" i="1"/>
  <c r="Y5" i="1" s="1"/>
  <c r="T60" i="1"/>
  <c r="X60" i="1" s="1"/>
  <c r="Y60" i="1" s="1"/>
  <c r="H20" i="1"/>
  <c r="T21" i="1"/>
  <c r="X21" i="1" s="1"/>
  <c r="Y21" i="1" s="1"/>
  <c r="H27" i="1"/>
  <c r="W4" i="1"/>
  <c r="T4" i="1" s="1"/>
  <c r="X4" i="1" s="1"/>
  <c r="Y4" i="1" s="1"/>
  <c r="W5" i="1"/>
  <c r="W8" i="1"/>
  <c r="T8" i="1" s="1"/>
  <c r="X8" i="1" s="1"/>
  <c r="Y8" i="1" s="1"/>
  <c r="W10" i="1"/>
  <c r="T10" i="1" s="1"/>
  <c r="X10" i="1" s="1"/>
  <c r="Y10" i="1" s="1"/>
  <c r="W11" i="1"/>
  <c r="T11" i="1" s="1"/>
  <c r="X11" i="1" s="1"/>
  <c r="Y11" i="1" s="1"/>
  <c r="W12" i="1"/>
  <c r="T12" i="1" s="1"/>
  <c r="X12" i="1" s="1"/>
  <c r="Y12" i="1" s="1"/>
  <c r="W13" i="1"/>
  <c r="T13" i="1" s="1"/>
  <c r="X13" i="1" s="1"/>
  <c r="Y13" i="1" s="1"/>
  <c r="W14" i="1"/>
  <c r="T14" i="1" s="1"/>
  <c r="X14" i="1" s="1"/>
  <c r="Y14" i="1" s="1"/>
  <c r="W16" i="1"/>
  <c r="T16" i="1" s="1"/>
  <c r="X16" i="1" s="1"/>
  <c r="Y16" i="1" s="1"/>
  <c r="W17" i="1"/>
  <c r="T17" i="1" s="1"/>
  <c r="X17" i="1" s="1"/>
  <c r="Y17" i="1" s="1"/>
  <c r="W18" i="1"/>
  <c r="T18" i="1" s="1"/>
  <c r="X18" i="1" s="1"/>
  <c r="Y18" i="1" s="1"/>
  <c r="W19" i="1"/>
  <c r="T19" i="1" s="1"/>
  <c r="X19" i="1" s="1"/>
  <c r="Y19" i="1" s="1"/>
  <c r="W20" i="1"/>
  <c r="T20" i="1" s="1"/>
  <c r="X20" i="1" s="1"/>
  <c r="Y20" i="1" s="1"/>
  <c r="H21" i="1"/>
  <c r="W22" i="1"/>
  <c r="T22" i="1" s="1"/>
  <c r="X22" i="1" s="1"/>
  <c r="Y22" i="1" s="1"/>
  <c r="W23" i="1"/>
  <c r="T23" i="1" s="1"/>
  <c r="X23" i="1" s="1"/>
  <c r="Y23" i="1" s="1"/>
  <c r="W24" i="1"/>
  <c r="T24" i="1" s="1"/>
  <c r="X24" i="1" s="1"/>
  <c r="Y24" i="1" s="1"/>
  <c r="W26" i="1"/>
  <c r="T26" i="1" s="1"/>
  <c r="X26" i="1" s="1"/>
  <c r="Y26" i="1" s="1"/>
  <c r="W27" i="1"/>
  <c r="T27" i="1" s="1"/>
  <c r="X27" i="1" s="1"/>
  <c r="Y27" i="1" s="1"/>
  <c r="W29" i="1"/>
  <c r="T29" i="1" s="1"/>
  <c r="X29" i="1" s="1"/>
  <c r="Y29" i="1" s="1"/>
  <c r="W30" i="1"/>
  <c r="T30" i="1" s="1"/>
  <c r="X30" i="1" s="1"/>
  <c r="Y30" i="1" s="1"/>
  <c r="W31" i="1"/>
  <c r="T31" i="1" s="1"/>
  <c r="X31" i="1" s="1"/>
  <c r="Y31" i="1" s="1"/>
  <c r="W35" i="1"/>
  <c r="T35" i="1" s="1"/>
  <c r="X35" i="1" s="1"/>
  <c r="Y35" i="1" s="1"/>
  <c r="W36" i="1"/>
  <c r="T36" i="1" s="1"/>
  <c r="X36" i="1" s="1"/>
  <c r="Y36" i="1" s="1"/>
  <c r="W37" i="1"/>
  <c r="T37" i="1" s="1"/>
  <c r="X37" i="1" s="1"/>
  <c r="Y37" i="1" s="1"/>
  <c r="W38" i="1"/>
  <c r="T38" i="1" s="1"/>
  <c r="X38" i="1" s="1"/>
  <c r="Y38" i="1" s="1"/>
  <c r="W39" i="1"/>
  <c r="T39" i="1" s="1"/>
  <c r="X39" i="1" s="1"/>
  <c r="Y39" i="1" s="1"/>
  <c r="W40" i="1"/>
  <c r="T40" i="1" s="1"/>
  <c r="X40" i="1" s="1"/>
  <c r="Y40" i="1" s="1"/>
  <c r="W41" i="1"/>
  <c r="T41" i="1" s="1"/>
  <c r="X41" i="1" s="1"/>
  <c r="Y41" i="1" s="1"/>
  <c r="W42" i="1"/>
  <c r="T42" i="1" s="1"/>
  <c r="X42" i="1" s="1"/>
  <c r="Y42" i="1" s="1"/>
  <c r="W43" i="1"/>
  <c r="T43" i="1" s="1"/>
  <c r="X43" i="1" s="1"/>
  <c r="Y43" i="1" s="1"/>
  <c r="W44" i="1"/>
  <c r="T44" i="1" s="1"/>
  <c r="X44" i="1" s="1"/>
  <c r="Y44" i="1" s="1"/>
  <c r="W45" i="1"/>
  <c r="T45" i="1" s="1"/>
  <c r="X45" i="1" s="1"/>
  <c r="Y45" i="1" s="1"/>
  <c r="W46" i="1"/>
  <c r="T46" i="1" s="1"/>
  <c r="X46" i="1" s="1"/>
  <c r="Y46" i="1" s="1"/>
  <c r="W47" i="1"/>
  <c r="T47" i="1" s="1"/>
  <c r="X47" i="1" s="1"/>
  <c r="Y47" i="1" s="1"/>
  <c r="U48" i="1"/>
  <c r="S48" i="1"/>
  <c r="R48" i="1"/>
  <c r="W48" i="1"/>
  <c r="T48" i="1" s="1"/>
  <c r="X48" i="1" s="1"/>
  <c r="Y48" i="1" s="1"/>
  <c r="H48" i="1"/>
  <c r="W49" i="1"/>
  <c r="T49" i="1" s="1"/>
  <c r="X49" i="1" s="1"/>
  <c r="Y49" i="1" s="1"/>
  <c r="W52" i="1"/>
  <c r="T52" i="1" s="1"/>
  <c r="X52" i="1" s="1"/>
  <c r="Y52" i="1" s="1"/>
  <c r="W54" i="1"/>
  <c r="T54" i="1" s="1"/>
  <c r="X54" i="1" s="1"/>
  <c r="Y54" i="1" s="1"/>
  <c r="W55" i="1"/>
  <c r="T55" i="1" s="1"/>
  <c r="X55" i="1" s="1"/>
  <c r="Y55" i="1" s="1"/>
  <c r="W56" i="1"/>
  <c r="T56" i="1" s="1"/>
  <c r="X56" i="1" s="1"/>
  <c r="Y56" i="1" s="1"/>
  <c r="W58" i="1"/>
  <c r="T58" i="1" s="1"/>
  <c r="X58" i="1" s="1"/>
  <c r="Y58" i="1" s="1"/>
  <c r="W59" i="1"/>
  <c r="T59" i="1" s="1"/>
  <c r="X59" i="1" s="1"/>
  <c r="Y59" i="1" s="1"/>
  <c r="H60" i="1"/>
  <c r="W61" i="1"/>
  <c r="T61" i="1" s="1"/>
  <c r="X61" i="1" s="1"/>
  <c r="Y61" i="1" s="1"/>
  <c r="W62" i="1"/>
  <c r="T62" i="1" s="1"/>
  <c r="X62" i="1" s="1"/>
  <c r="Y62" i="1" s="1"/>
  <c r="W63" i="1"/>
  <c r="T63" i="1" s="1"/>
  <c r="X63" i="1" s="1"/>
  <c r="Y63" i="1" s="1"/>
  <c r="W64" i="1"/>
  <c r="T64" i="1" s="1"/>
  <c r="X64" i="1" s="1"/>
  <c r="Y64" i="1" s="1"/>
  <c r="H65" i="1"/>
  <c r="W66" i="1"/>
  <c r="T66" i="1" s="1"/>
  <c r="X66" i="1" s="1"/>
  <c r="Y66" i="1" s="1"/>
  <c r="W67" i="1"/>
  <c r="T67" i="1" s="1"/>
  <c r="X67" i="1" s="1"/>
  <c r="Y67" i="1" s="1"/>
  <c r="W68" i="1"/>
  <c r="T68" i="1" s="1"/>
  <c r="X68" i="1" s="1"/>
  <c r="Y68" i="1" s="1"/>
  <c r="W69" i="1"/>
  <c r="T69" i="1" s="1"/>
  <c r="X69" i="1" s="1"/>
  <c r="Y69" i="1" s="1"/>
  <c r="W70" i="1"/>
  <c r="T70" i="1" s="1"/>
  <c r="X70" i="1" s="1"/>
  <c r="Y70" i="1" s="1"/>
  <c r="W72" i="1"/>
  <c r="T72" i="1" s="1"/>
  <c r="X72" i="1" s="1"/>
  <c r="Y72" i="1" s="1"/>
  <c r="W73" i="1"/>
  <c r="T73" i="1" s="1"/>
  <c r="X73" i="1" s="1"/>
  <c r="Y73" i="1" s="1"/>
  <c r="W74" i="1"/>
  <c r="T74" i="1" s="1"/>
  <c r="X74" i="1" s="1"/>
  <c r="Y74" i="1" s="1"/>
  <c r="W75" i="1"/>
  <c r="T75" i="1" s="1"/>
  <c r="X75" i="1" s="1"/>
  <c r="Y75" i="1" s="1"/>
  <c r="W77" i="1"/>
  <c r="T77" i="1" s="1"/>
  <c r="X77" i="1" s="1"/>
  <c r="Y77" i="1" s="1"/>
  <c r="W78" i="1"/>
  <c r="T78" i="1" s="1"/>
  <c r="X78" i="1" s="1"/>
  <c r="Y78" i="1" s="1"/>
  <c r="R79" i="1"/>
  <c r="S79" i="1"/>
  <c r="W80" i="1"/>
  <c r="T80" i="1" s="1"/>
  <c r="X80" i="1" s="1"/>
  <c r="Y80" i="1" s="1"/>
  <c r="W81" i="1"/>
  <c r="T81" i="1" s="1"/>
  <c r="X81" i="1" s="1"/>
  <c r="Y81" i="1" s="1"/>
  <c r="W82" i="1"/>
  <c r="T82" i="1" s="1"/>
  <c r="X82" i="1" s="1"/>
  <c r="Y82" i="1" s="1"/>
  <c r="W85" i="1"/>
  <c r="T85" i="1" s="1"/>
  <c r="X85" i="1" s="1"/>
  <c r="Y85" i="1" s="1"/>
  <c r="W86" i="1"/>
  <c r="T86" i="1" s="1"/>
  <c r="X86" i="1" s="1"/>
  <c r="Y86" i="1" s="1"/>
  <c r="W87" i="1"/>
  <c r="T87" i="1" s="1"/>
  <c r="X87" i="1" s="1"/>
  <c r="Y87" i="1" s="1"/>
  <c r="H88" i="1"/>
  <c r="W89" i="1"/>
  <c r="T89" i="1" s="1"/>
  <c r="X89" i="1" s="1"/>
  <c r="Y89" i="1" s="1"/>
  <c r="W90" i="1"/>
  <c r="T90" i="1" s="1"/>
  <c r="X90" i="1" s="1"/>
  <c r="Y90" i="1" s="1"/>
  <c r="W91" i="1"/>
  <c r="T91" i="1" s="1"/>
  <c r="X91" i="1" s="1"/>
  <c r="Y91" i="1" s="1"/>
  <c r="H92" i="1"/>
  <c r="W93" i="1"/>
  <c r="T93" i="1" s="1"/>
  <c r="X93" i="1" s="1"/>
  <c r="Y93" i="1" s="1"/>
  <c r="W94" i="1"/>
  <c r="T94" i="1" s="1"/>
  <c r="X94" i="1" s="1"/>
  <c r="Y94" i="1" s="1"/>
  <c r="W95" i="1"/>
  <c r="T95" i="1" s="1"/>
  <c r="X95" i="1" s="1"/>
  <c r="Y95" i="1" s="1"/>
  <c r="W98" i="1"/>
  <c r="T98" i="1" s="1"/>
  <c r="X98" i="1" s="1"/>
  <c r="Y98" i="1" s="1"/>
  <c r="W99" i="1"/>
  <c r="T99" i="1" s="1"/>
  <c r="X99" i="1" s="1"/>
  <c r="Y99" i="1" s="1"/>
  <c r="W101" i="1"/>
  <c r="T101" i="1" s="1"/>
  <c r="X101" i="1" s="1"/>
  <c r="Y101" i="1" s="1"/>
  <c r="W102" i="1"/>
  <c r="T102" i="1" s="1"/>
  <c r="X102" i="1" s="1"/>
  <c r="Y102" i="1" s="1"/>
  <c r="W104" i="1"/>
  <c r="T104" i="1" s="1"/>
  <c r="X104" i="1" s="1"/>
  <c r="Y104" i="1" s="1"/>
  <c r="W105" i="1"/>
  <c r="T105" i="1" s="1"/>
  <c r="X105" i="1" s="1"/>
  <c r="Y105" i="1" s="1"/>
  <c r="W106" i="1"/>
  <c r="T106" i="1" s="1"/>
  <c r="X106" i="1" s="1"/>
  <c r="Y106" i="1" s="1"/>
  <c r="W79" i="1" l="1"/>
  <c r="T79" i="1" s="1"/>
  <c r="X79" i="1" s="1"/>
  <c r="Y79" i="1" s="1"/>
</calcChain>
</file>

<file path=xl/comments1.xml><?xml version="1.0" encoding="utf-8"?>
<comments xmlns="http://schemas.openxmlformats.org/spreadsheetml/2006/main">
  <authors>
    <author>Usuario</author>
    <author>octavio-cic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98" authorId="1">
      <text>
        <r>
          <rPr>
            <b/>
            <sz val="9"/>
            <color indexed="81"/>
            <rFont val="Tahoma"/>
            <charset val="1"/>
          </rPr>
          <t xml:space="preserve">carga con colitas, $18,600.00 cobraron extra por mordida para pasar carga. Repone Indiana con NC
</t>
        </r>
      </text>
    </comment>
    <comment ref="F10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0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2.xml><?xml version="1.0" encoding="utf-8"?>
<comments xmlns="http://schemas.openxmlformats.org/spreadsheetml/2006/main">
  <authors>
    <author>Usuario</author>
    <author>octavio-cic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3.xml><?xml version="1.0" encoding="utf-8"?>
<comments xmlns="http://schemas.openxmlformats.org/spreadsheetml/2006/main">
  <authors>
    <author>Usuario</author>
    <author>octavio-cic</author>
  </authors>
  <commentList>
    <comment ref="F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<sst xmlns="http://schemas.openxmlformats.org/spreadsheetml/2006/main" count="1791" uniqueCount="507">
  <si>
    <t>Producto</t>
  </si>
  <si>
    <t>Marca</t>
  </si>
  <si>
    <t>Proveedor</t>
  </si>
  <si>
    <t>unidades</t>
  </si>
  <si>
    <t>Peso total factura</t>
  </si>
  <si>
    <t>Peso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</si>
  <si>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</si>
  <si>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</si>
  <si>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</si>
  <si>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</si>
  <si>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</si>
  <si>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</si>
  <si>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</si>
  <si>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</si>
  <si>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</si>
  <si>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</si>
  <si>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$ aduanal / matanzas</t>
  </si>
  <si>
    <t>tipo cambio / visceras</t>
  </si>
  <si>
    <t>seguro carga</t>
  </si>
  <si>
    <t>cargada</t>
  </si>
  <si>
    <t>com</t>
  </si>
  <si>
    <t>costo integrado</t>
  </si>
  <si>
    <t>costo real</t>
  </si>
  <si>
    <t>$ carga total</t>
  </si>
  <si>
    <t>Pernil con piel</t>
  </si>
  <si>
    <t>Seaboard</t>
  </si>
  <si>
    <t>21 combos</t>
  </si>
  <si>
    <t>Sanchez</t>
  </si>
  <si>
    <t>ma</t>
  </si>
  <si>
    <t>Farmland</t>
  </si>
  <si>
    <t>Cuero Belly Fco</t>
  </si>
  <si>
    <t>2 combos</t>
  </si>
  <si>
    <t>20 combos</t>
  </si>
  <si>
    <t>Tamez</t>
  </si>
  <si>
    <t>Indiana</t>
  </si>
  <si>
    <t>19 combos</t>
  </si>
  <si>
    <t>Canal de cerdo</t>
  </si>
  <si>
    <t>Nu3</t>
  </si>
  <si>
    <t>Cruz</t>
  </si>
  <si>
    <t>mi</t>
  </si>
  <si>
    <t>Cano</t>
  </si>
  <si>
    <t>ju</t>
  </si>
  <si>
    <t>Flores</t>
  </si>
  <si>
    <t>Agrop La Chemita</t>
  </si>
  <si>
    <t>vi</t>
  </si>
  <si>
    <t>Swift</t>
  </si>
  <si>
    <t>Ryc Alimentos</t>
  </si>
  <si>
    <t>sa</t>
  </si>
  <si>
    <t>do</t>
  </si>
  <si>
    <t>lu</t>
  </si>
  <si>
    <t>Agrop La Gaby</t>
  </si>
  <si>
    <t>Viansa</t>
  </si>
  <si>
    <t>Agrop El Dorado</t>
  </si>
  <si>
    <t>Porc Soto</t>
  </si>
  <si>
    <t>Menudo</t>
  </si>
  <si>
    <t>Adams</t>
  </si>
  <si>
    <t>Lengua de res</t>
  </si>
  <si>
    <t>4 combos</t>
  </si>
  <si>
    <t>50 cajas</t>
  </si>
  <si>
    <t>686 cajas</t>
  </si>
  <si>
    <t>Contra</t>
  </si>
  <si>
    <t>Buche</t>
  </si>
  <si>
    <t>IBP</t>
  </si>
  <si>
    <t>Exos</t>
  </si>
  <si>
    <t>Porc Paso Blanco</t>
  </si>
  <si>
    <t>Sukarne</t>
  </si>
  <si>
    <t>Mayo 2016</t>
  </si>
  <si>
    <t>nlse16-83</t>
  </si>
  <si>
    <t>hoja + 10.5 ma 26 abr</t>
  </si>
  <si>
    <t xml:space="preserve">Gan Rancho Sn Felipe </t>
  </si>
  <si>
    <t>fact 89</t>
  </si>
  <si>
    <t>ROBADO</t>
  </si>
  <si>
    <t xml:space="preserve">259 cajas </t>
  </si>
  <si>
    <t>fact 37836</t>
  </si>
  <si>
    <t>Filete Basa</t>
  </si>
  <si>
    <t>Vietnam</t>
  </si>
  <si>
    <t>1600 cajas</t>
  </si>
  <si>
    <t>fact 12200</t>
  </si>
  <si>
    <t>fact 285</t>
  </si>
  <si>
    <t>Corbata vacio</t>
  </si>
  <si>
    <t>ALB&amp;CIA</t>
  </si>
  <si>
    <t>229 cajas</t>
  </si>
  <si>
    <t>rem 2813</t>
  </si>
  <si>
    <t>nl16-42</t>
  </si>
  <si>
    <t>hoja + 10 ju 28 abr</t>
  </si>
  <si>
    <t>nlin16-35</t>
  </si>
  <si>
    <t>hoja + 10.75 mi 27 abr</t>
  </si>
  <si>
    <t>Agrop El Topete</t>
  </si>
  <si>
    <t>fact 4443</t>
  </si>
  <si>
    <t>nlse16-84</t>
  </si>
  <si>
    <t>hoja + 10.5 ju 28 abr</t>
  </si>
  <si>
    <t>fact 4365</t>
  </si>
  <si>
    <t>Frigosor</t>
  </si>
  <si>
    <t>fact 41530</t>
  </si>
  <si>
    <t>nlse16-85</t>
  </si>
  <si>
    <t>hoja + 10.5 vi 29 abr</t>
  </si>
  <si>
    <t>nlse16-86</t>
  </si>
  <si>
    <t>fact 1830</t>
  </si>
  <si>
    <t>fact 4366</t>
  </si>
  <si>
    <t>nlse16-87</t>
  </si>
  <si>
    <t>hoja + 10.5 lu 25 abr</t>
  </si>
  <si>
    <t>nlse16-88</t>
  </si>
  <si>
    <t>nl16-43</t>
  </si>
  <si>
    <t>hoja + 10 vi 29 abr</t>
  </si>
  <si>
    <t>fact 1833</t>
  </si>
  <si>
    <t>fact 267</t>
  </si>
  <si>
    <t>Cuero Belly fco</t>
  </si>
  <si>
    <t>fact 41657</t>
  </si>
  <si>
    <t>nlin16-36</t>
  </si>
  <si>
    <t>hoja + 10.75 lu 2 may</t>
  </si>
  <si>
    <t>nlse16-89</t>
  </si>
  <si>
    <t>hoja + 10.5 ma 3 may</t>
  </si>
  <si>
    <t>fact 2729</t>
  </si>
  <si>
    <t>fact 4382</t>
  </si>
  <si>
    <t>fact 274</t>
  </si>
  <si>
    <t>Sesos de copa</t>
  </si>
  <si>
    <t>200 cajas</t>
  </si>
  <si>
    <t>fact 41668</t>
  </si>
  <si>
    <t>Sesos marqueta</t>
  </si>
  <si>
    <t>292 cajas</t>
  </si>
  <si>
    <t>Jamon Rebanado</t>
  </si>
  <si>
    <t>De Hector</t>
  </si>
  <si>
    <t>56 cajas</t>
  </si>
  <si>
    <t>fact 1110</t>
  </si>
  <si>
    <t>nl16-44</t>
  </si>
  <si>
    <t>hoja + 10 ju 5 may</t>
  </si>
  <si>
    <t>nlin16-37</t>
  </si>
  <si>
    <t>hoja + 10.75 mi 4 may</t>
  </si>
  <si>
    <t>fact 2732</t>
  </si>
  <si>
    <t>nlse16-90</t>
  </si>
  <si>
    <t>hoja + 10.5 ju 5 may</t>
  </si>
  <si>
    <t>fact 2734</t>
  </si>
  <si>
    <t>nlse16-91</t>
  </si>
  <si>
    <t>hoja + 10.5 vi 6 may</t>
  </si>
  <si>
    <t>nlse16-92</t>
  </si>
  <si>
    <t>fact 4387</t>
  </si>
  <si>
    <t>fact 4457</t>
  </si>
  <si>
    <t>nlse16-93</t>
  </si>
  <si>
    <t>hoja + 10.5 lu 9 may</t>
  </si>
  <si>
    <t>nlse16-94</t>
  </si>
  <si>
    <t>nl16-45</t>
  </si>
  <si>
    <t>hoja + 10 vi 6 may</t>
  </si>
  <si>
    <t>fact 280</t>
  </si>
  <si>
    <t>Topete y Dorado</t>
  </si>
  <si>
    <t>fact 4462, 313</t>
  </si>
  <si>
    <t>nlin16-38</t>
  </si>
  <si>
    <t>hoja + 10.75 lu 9 may</t>
  </si>
  <si>
    <t>fact 41813</t>
  </si>
  <si>
    <t xml:space="preserve">Contra </t>
  </si>
  <si>
    <t>Excel</t>
  </si>
  <si>
    <t>Carnes Ali</t>
  </si>
  <si>
    <t xml:space="preserve">481 cajas </t>
  </si>
  <si>
    <t>fact 60520</t>
  </si>
  <si>
    <t>nlse16-95 ALB</t>
  </si>
  <si>
    <t>hoja + 10.5 ma 10 may</t>
  </si>
  <si>
    <t>Agro El Topete</t>
  </si>
  <si>
    <t>fact 4465</t>
  </si>
  <si>
    <t>Nu2</t>
  </si>
  <si>
    <t>fact 1843</t>
  </si>
  <si>
    <t>fact 4468</t>
  </si>
  <si>
    <t>175 cajas</t>
  </si>
  <si>
    <t>fact 60595</t>
  </si>
  <si>
    <t>nl16-46</t>
  </si>
  <si>
    <t>hoja + 10 ju 12 may</t>
  </si>
  <si>
    <t>nlin16-39</t>
  </si>
  <si>
    <t>hoja + 10.75 mi 11 may</t>
  </si>
  <si>
    <t>Papa</t>
  </si>
  <si>
    <t>Cavendish</t>
  </si>
  <si>
    <t>Export Packers</t>
  </si>
  <si>
    <t>1025 cajas</t>
  </si>
  <si>
    <t>fact 4395</t>
  </si>
  <si>
    <t>nlse16-96</t>
  </si>
  <si>
    <t>hoja + 10.5 ju 12 may</t>
  </si>
  <si>
    <t>fact 4400</t>
  </si>
  <si>
    <t>nlse16-97</t>
  </si>
  <si>
    <t>hoja + 10.5 vi 13 may</t>
  </si>
  <si>
    <t>nlse16-98</t>
  </si>
  <si>
    <t>fact 4403</t>
  </si>
  <si>
    <t>fact 2744</t>
  </si>
  <si>
    <t>nlse16-99</t>
  </si>
  <si>
    <t>hoja + 10.5 lu 16 may</t>
  </si>
  <si>
    <t>nlse16-100</t>
  </si>
  <si>
    <t>nl16-47</t>
  </si>
  <si>
    <t>hoja + 10 vi 13 may</t>
  </si>
  <si>
    <t>fact 41971</t>
  </si>
  <si>
    <t>Agrop Las Reses</t>
  </si>
  <si>
    <t>fact 5438</t>
  </si>
  <si>
    <t>fact 4475</t>
  </si>
  <si>
    <t>nlin16-40</t>
  </si>
  <si>
    <t>hoja + 10.75 lu 16 may</t>
  </si>
  <si>
    <t>nlse16-101</t>
  </si>
  <si>
    <t>hoja + 10.5 ma 17 may</t>
  </si>
  <si>
    <t>fact 289, 290</t>
  </si>
  <si>
    <t>fact 4407, 4408</t>
  </si>
  <si>
    <t>fact 4487</t>
  </si>
  <si>
    <t>nl16-48</t>
  </si>
  <si>
    <t>hoja + 10 ju 19 may</t>
  </si>
  <si>
    <t>nlin16-41</t>
  </si>
  <si>
    <t>hoja + 10.75 mi 18 may</t>
  </si>
  <si>
    <t>fact 293, 294</t>
  </si>
  <si>
    <t>fact 42019</t>
  </si>
  <si>
    <t>294 cajas</t>
  </si>
  <si>
    <t>fact 42040</t>
  </si>
  <si>
    <t>nlse16-102</t>
  </si>
  <si>
    <t>hoja + 10.5 ju 19 may</t>
  </si>
  <si>
    <t>fact 296, 297</t>
  </si>
  <si>
    <t>nlse16-103</t>
  </si>
  <si>
    <t>hoja + 10.5 vi 20 may</t>
  </si>
  <si>
    <t>nlse16-104</t>
  </si>
  <si>
    <t>fact 305</t>
  </si>
  <si>
    <t>fact 4493</t>
  </si>
  <si>
    <t>nlse16-105</t>
  </si>
  <si>
    <t>hoja + 10.5 lu 23 may</t>
  </si>
  <si>
    <t>nlse16-106</t>
  </si>
  <si>
    <t>nl16-49</t>
  </si>
  <si>
    <t>hoja + 10 vi 20 may</t>
  </si>
  <si>
    <t>fact 4418</t>
  </si>
  <si>
    <t>Excel 86M</t>
  </si>
  <si>
    <t>Kavaliy</t>
  </si>
  <si>
    <t>fact 403</t>
  </si>
  <si>
    <t>nlin16-42</t>
  </si>
  <si>
    <t>hoja + 10.75 lu 23 may</t>
  </si>
  <si>
    <t>nlse16-107</t>
  </si>
  <si>
    <t>hoja + 10.5 ma 24 may</t>
  </si>
  <si>
    <t>fact 322, 323</t>
  </si>
  <si>
    <t>fact 330, 331</t>
  </si>
  <si>
    <t>Queso Gouda</t>
  </si>
  <si>
    <t>Provex</t>
  </si>
  <si>
    <t>fact 861401</t>
  </si>
  <si>
    <t>nl16-50</t>
  </si>
  <si>
    <t>hoja + 10 ju 26 may</t>
  </si>
  <si>
    <t>nlin16-43</t>
  </si>
  <si>
    <t>hoja + 10.75 mi 25 may</t>
  </si>
  <si>
    <t>fact 5444, 5445</t>
  </si>
  <si>
    <t>77.7% rend</t>
  </si>
  <si>
    <t>ROBADA</t>
  </si>
  <si>
    <t>CARGA ROBADA</t>
  </si>
  <si>
    <t>septiembre 2016</t>
  </si>
  <si>
    <t>nlse16-175</t>
  </si>
  <si>
    <t>hoja + 10.5 vi 26 ago</t>
  </si>
  <si>
    <t>fact 2923, 2924</t>
  </si>
  <si>
    <t>P 36.80  R C05419</t>
  </si>
  <si>
    <t>fact 2925, 2926</t>
  </si>
  <si>
    <t>nl16-89</t>
  </si>
  <si>
    <t>hoja + 10 vi 26 ago</t>
  </si>
  <si>
    <t>fact 2931,2932</t>
  </si>
  <si>
    <t>P 36.60  R C05554</t>
  </si>
  <si>
    <t>GF</t>
  </si>
  <si>
    <t>Granjero Feliz</t>
  </si>
  <si>
    <t>fact 8490</t>
  </si>
  <si>
    <t>nlse16-176</t>
  </si>
  <si>
    <t>nlin16-59</t>
  </si>
  <si>
    <t>hoja + 10.75 lu 29 ago</t>
  </si>
  <si>
    <t>ALB 37.80</t>
  </si>
  <si>
    <t>nl16-90</t>
  </si>
  <si>
    <t>hoja + 10 lu 29 ago</t>
  </si>
  <si>
    <t>nlse16-177</t>
  </si>
  <si>
    <t>hoja + 10.5 ma 30 ago</t>
  </si>
  <si>
    <t>Esp Cordero</t>
  </si>
  <si>
    <t>Wagstaff</t>
  </si>
  <si>
    <t>108 cajas</t>
  </si>
  <si>
    <t>fact 44681, 44682</t>
  </si>
  <si>
    <t>Chemita y las Reses</t>
  </si>
  <si>
    <t>fact 2939,2940,5675,5676</t>
  </si>
  <si>
    <t>P 36  R C05842</t>
  </si>
  <si>
    <t>fact 2941,2942</t>
  </si>
  <si>
    <t>nl16-91</t>
  </si>
  <si>
    <t>hoja + 10 ju 1 sep</t>
  </si>
  <si>
    <t>nlse16-179</t>
  </si>
  <si>
    <t>hoja + 10.5 ju 1 sep</t>
  </si>
  <si>
    <t>fact 2944, 2945</t>
  </si>
  <si>
    <t>P 36.10  R C06086</t>
  </si>
  <si>
    <t>nlse16-180</t>
  </si>
  <si>
    <t>hoja + 10.5 ju 25 ago</t>
  </si>
  <si>
    <t>nl16-92</t>
  </si>
  <si>
    <t>fact 5684,5685</t>
  </si>
  <si>
    <t>P 36.10  R C06101</t>
  </si>
  <si>
    <t>fact 218, 219</t>
  </si>
  <si>
    <t>nlse16-181</t>
  </si>
  <si>
    <t>hoja + 10.5 vi 2 sep</t>
  </si>
  <si>
    <t>reclamo por pierna con colitas  $400 usd, pagado 15 sep</t>
  </si>
  <si>
    <t>nlse16-182</t>
  </si>
  <si>
    <t>fact 2954, 2955</t>
  </si>
  <si>
    <t>fact 5688,5689</t>
  </si>
  <si>
    <t>P 36.10  RC06323</t>
  </si>
  <si>
    <t>nlse16-183</t>
  </si>
  <si>
    <t>hoja + 10 lu 5 sep</t>
  </si>
  <si>
    <t>fact 228,229</t>
  </si>
  <si>
    <t>fact 4681, 4682</t>
  </si>
  <si>
    <t>P 36.20  R C06327</t>
  </si>
  <si>
    <t>nlin16-60</t>
  </si>
  <si>
    <t>hoja + 10.75 lu 5 sep</t>
  </si>
  <si>
    <t>ALB 38.50</t>
  </si>
  <si>
    <t>nlse16-184</t>
  </si>
  <si>
    <t>hoja + 10.5 ma 6 sep</t>
  </si>
  <si>
    <t>reclamo por pierna pintada $200 usd, pagado 15 sep</t>
  </si>
  <si>
    <t>fact 475,476</t>
  </si>
  <si>
    <t>P 36.00  R C06649</t>
  </si>
  <si>
    <t>Porc San Bernardo</t>
  </si>
  <si>
    <t>fact 2092,2093</t>
  </si>
  <si>
    <t>P 36.00  R C06676</t>
  </si>
  <si>
    <t>Grupo America</t>
  </si>
  <si>
    <t>fact 16689</t>
  </si>
  <si>
    <t xml:space="preserve">60 cajas </t>
  </si>
  <si>
    <t>fact 1434</t>
  </si>
  <si>
    <t>nl16--93</t>
  </si>
  <si>
    <t>hoja + 10 ju 8 sep</t>
  </si>
  <si>
    <t>nlse16-185</t>
  </si>
  <si>
    <t>hoja + 10.5 ju 8 sep</t>
  </si>
  <si>
    <t>nlse16-186</t>
  </si>
  <si>
    <t>fact 2097,2098</t>
  </si>
  <si>
    <t>fact 478,479</t>
  </si>
  <si>
    <t>P 36.20 C06971</t>
  </si>
  <si>
    <t>3 combos</t>
  </si>
  <si>
    <t>fact 44881</t>
  </si>
  <si>
    <t>nlse16-191</t>
  </si>
  <si>
    <t>fact 2102, 2103</t>
  </si>
  <si>
    <t>fact 4695, 4696</t>
  </si>
  <si>
    <t>P 36.40  C06972</t>
  </si>
  <si>
    <t>nlse16-187</t>
  </si>
  <si>
    <t>nlse16-188</t>
  </si>
  <si>
    <t>hoja + 10.5 vi 9 sep</t>
  </si>
  <si>
    <t>nlse16-189</t>
  </si>
  <si>
    <t>fact 2105,2106</t>
  </si>
  <si>
    <t>P  36.30  R C07151</t>
  </si>
  <si>
    <t>nlse16-190</t>
  </si>
  <si>
    <t>nlin16-61</t>
  </si>
  <si>
    <t>hoja + 10.75 vi 9 sep</t>
  </si>
  <si>
    <t>ALB 39.90</t>
  </si>
  <si>
    <t>nl16-94</t>
  </si>
  <si>
    <t>hoja + 10 vi 9 sep</t>
  </si>
  <si>
    <t>Fact 2974,2975</t>
  </si>
  <si>
    <t>P 36.40   R C07152</t>
  </si>
  <si>
    <t>NU3</t>
  </si>
  <si>
    <t>fact 2110,2111</t>
  </si>
  <si>
    <t>fact 2976,2977</t>
  </si>
  <si>
    <t>P 35.80  R C07498</t>
  </si>
  <si>
    <t>Gan Rancho Sn Felipe</t>
  </si>
  <si>
    <t>fact 241,242</t>
  </si>
  <si>
    <t>fact 2978,2979</t>
  </si>
  <si>
    <t>nl16-95</t>
  </si>
  <si>
    <t>hoja + 10 ju 15 sep</t>
  </si>
  <si>
    <t>nlse16-192</t>
  </si>
  <si>
    <t>hoja + 10.5 ju 15 sep</t>
  </si>
  <si>
    <t>corbata vacio</t>
  </si>
  <si>
    <t>474 cajas</t>
  </si>
  <si>
    <t>nlcong16-04</t>
  </si>
  <si>
    <t>error en facturacion, correo con queja 26/09; se compensa 30/09/16</t>
  </si>
  <si>
    <t>667 cajas</t>
  </si>
  <si>
    <t>fact 2980,2981</t>
  </si>
  <si>
    <t>P 35.90  R C07744</t>
  </si>
  <si>
    <t>nlse16-193</t>
  </si>
  <si>
    <t>fact 5704,5705</t>
  </si>
  <si>
    <t>P 36.10  R C07745</t>
  </si>
  <si>
    <t>nlse16-194</t>
  </si>
  <si>
    <t>hoja + 10.5 vi 26 sep</t>
  </si>
  <si>
    <t>nlse16-195</t>
  </si>
  <si>
    <t>fact 248 y 249</t>
  </si>
  <si>
    <t>fact 513 y 514</t>
  </si>
  <si>
    <t>P 36.20 R C07896</t>
  </si>
  <si>
    <t>fact 45045</t>
  </si>
  <si>
    <t>nlse16-196</t>
  </si>
  <si>
    <t>hoja + 10.5 lu 19 sep</t>
  </si>
  <si>
    <t>fact 251,252</t>
  </si>
  <si>
    <t>fact 5707, 5708</t>
  </si>
  <si>
    <t>P 36.30  R C08027</t>
  </si>
  <si>
    <t>nlin16-62</t>
  </si>
  <si>
    <t>hoja + 9.75 lu 19 sep</t>
  </si>
  <si>
    <t>nl16-96</t>
  </si>
  <si>
    <t>hoja + 10 lu 19 sep</t>
  </si>
  <si>
    <t>nlse16-197</t>
  </si>
  <si>
    <t>hoja + 10.5 ma 20 sep</t>
  </si>
  <si>
    <t>fact 4717,4718</t>
  </si>
  <si>
    <t>P 35.90  R C08332</t>
  </si>
  <si>
    <t>fact 255,256</t>
  </si>
  <si>
    <t>P 35.90  R  C08334</t>
  </si>
  <si>
    <t>nl16-97</t>
  </si>
  <si>
    <t>hoja + 10 ju 22 sep</t>
  </si>
  <si>
    <t>nlse16-198</t>
  </si>
  <si>
    <t>hoja + 10.5 ju 22 sep</t>
  </si>
  <si>
    <t>fact 2993,2994</t>
  </si>
  <si>
    <t>P 36.0  R C08573</t>
  </si>
  <si>
    <t>nlse16-199</t>
  </si>
  <si>
    <t>fact 4722,4723</t>
  </si>
  <si>
    <t>fact 2999, 3000</t>
  </si>
  <si>
    <t>P 35.60  R C08574</t>
  </si>
  <si>
    <t>Esp de Cordero</t>
  </si>
  <si>
    <t>106 cajas</t>
  </si>
  <si>
    <t>fact 45169</t>
  </si>
  <si>
    <t>nlse16-200</t>
  </si>
  <si>
    <t>hoja + 10.5 vi 23 sep</t>
  </si>
  <si>
    <t>nlse16-201</t>
  </si>
  <si>
    <t>fact 4726,4727</t>
  </si>
  <si>
    <t>fact 269,270</t>
  </si>
  <si>
    <t>P 35.40  R C08727</t>
  </si>
  <si>
    <t>fact 275,276</t>
  </si>
  <si>
    <t>fact 3014,3015</t>
  </si>
  <si>
    <t>P 35.60 R C08875</t>
  </si>
  <si>
    <t>octubre 2016</t>
  </si>
  <si>
    <t>nlse16-202</t>
  </si>
  <si>
    <t>hoja + 10.5 lu 26 sep</t>
  </si>
  <si>
    <t>nlin16-63</t>
  </si>
  <si>
    <t>hoja + 9.75 lu 26 sep</t>
  </si>
  <si>
    <t>nl16-98</t>
  </si>
  <si>
    <t>hoja + 10 lu 26 sep</t>
  </si>
  <si>
    <t>nlse16-203</t>
  </si>
  <si>
    <t>hoja + 10.5 ma 27 sep</t>
  </si>
  <si>
    <t>fact 4741,4742</t>
  </si>
  <si>
    <t>fact 525,526</t>
  </si>
  <si>
    <t>Ryc</t>
  </si>
  <si>
    <t>521 cajas</t>
  </si>
  <si>
    <t>fact 894311</t>
  </si>
  <si>
    <t>nl16-99</t>
  </si>
  <si>
    <t>hoja + 10 ju 29 sep</t>
  </si>
  <si>
    <t>fact 3022,3023</t>
  </si>
  <si>
    <t>fact 5729,5730</t>
  </si>
  <si>
    <t>fact 530,531</t>
  </si>
  <si>
    <t>fact 45333</t>
  </si>
  <si>
    <t>nlse16-205</t>
  </si>
  <si>
    <t>hoja + 10.5 vi 30 sep</t>
  </si>
  <si>
    <t>fact 535,536</t>
  </si>
  <si>
    <t>fact 3030,3031</t>
  </si>
  <si>
    <t>nlse16-206</t>
  </si>
  <si>
    <t>hoja + 10.5 lu 3 oct</t>
  </si>
  <si>
    <t>fact 543,544</t>
  </si>
  <si>
    <t>fact 541,542</t>
  </si>
  <si>
    <t>nl16-100</t>
  </si>
  <si>
    <t>hoja + 10 lu 3 oct</t>
  </si>
  <si>
    <t>Agrop Chemi y Soto</t>
  </si>
  <si>
    <t>fact 3036,3037,550,551</t>
  </si>
  <si>
    <t>fact 554,555</t>
  </si>
  <si>
    <t>nl16-101</t>
  </si>
  <si>
    <t>hoja + 10 ju 6 oct</t>
  </si>
  <si>
    <t>nlse16-207</t>
  </si>
  <si>
    <t>hoja + 10.5 ju 6 oct</t>
  </si>
  <si>
    <t>fact 4763, 474764</t>
  </si>
  <si>
    <t>nlse16-208</t>
  </si>
  <si>
    <t>fact 3043,3044</t>
  </si>
  <si>
    <t>fact 559 y 560</t>
  </si>
  <si>
    <t>nlse16-209</t>
  </si>
  <si>
    <t>hoja + 10.5 vi 7 oct</t>
  </si>
  <si>
    <t>fact 564, 565</t>
  </si>
  <si>
    <t>fact 566,567</t>
  </si>
  <si>
    <t>nlse16-211</t>
  </si>
  <si>
    <t>hoja + 10.5 lu 10 oct</t>
  </si>
  <si>
    <t>fact 571,572</t>
  </si>
  <si>
    <t>nl16-102</t>
  </si>
  <si>
    <t>hoja + 10 lu 10 oct</t>
  </si>
  <si>
    <t>Farmer John</t>
  </si>
  <si>
    <t>Andes</t>
  </si>
  <si>
    <t>fact 10549</t>
  </si>
  <si>
    <t>fact 578,579,580,581</t>
  </si>
  <si>
    <t>fact 582,583</t>
  </si>
  <si>
    <t>fact 5755,5756</t>
  </si>
  <si>
    <t>cuero belly fco</t>
  </si>
  <si>
    <t>fact 45631</t>
  </si>
  <si>
    <t>34 cajas</t>
  </si>
  <si>
    <t>nl16-103</t>
  </si>
  <si>
    <t>hoja + 10 ju 13 oct</t>
  </si>
  <si>
    <t>nlse16-212</t>
  </si>
  <si>
    <t>hoja + 10.5 ju 13 oct</t>
  </si>
  <si>
    <t>nlse16-210</t>
  </si>
  <si>
    <t>fact 585,586</t>
  </si>
  <si>
    <t>nlse16-213</t>
  </si>
  <si>
    <t>fact 589,590</t>
  </si>
  <si>
    <t>fact 591, 592</t>
  </si>
  <si>
    <t>nlse16-214</t>
  </si>
  <si>
    <t>hoja + 10.5 vi 14 oct</t>
  </si>
  <si>
    <t>nlse16-215</t>
  </si>
  <si>
    <t>fact 3050, 3051</t>
  </si>
  <si>
    <t>fact 593, 594</t>
  </si>
  <si>
    <t>nlse16-216</t>
  </si>
  <si>
    <t>hoja + 10.5 lu 17 oct</t>
  </si>
  <si>
    <t>fact 899380</t>
  </si>
  <si>
    <t>fact 3052,3053</t>
  </si>
  <si>
    <t>fact 596,597</t>
  </si>
  <si>
    <t>fact 1247</t>
  </si>
  <si>
    <t>fact 45788</t>
  </si>
  <si>
    <t>fact 553, 554</t>
  </si>
  <si>
    <t>fact 603,604</t>
  </si>
  <si>
    <t>fact 614,615, 612,613</t>
  </si>
  <si>
    <t>200+130</t>
  </si>
  <si>
    <t xml:space="preserve">       </t>
  </si>
  <si>
    <t>nlse16-217</t>
  </si>
  <si>
    <t>hoja + 10.5 ju 20 oct</t>
  </si>
  <si>
    <t>fact 4774,4775</t>
  </si>
  <si>
    <t>nl16-104</t>
  </si>
  <si>
    <t>hoja + 10 vi 21 oct</t>
  </si>
  <si>
    <t>nl16-105</t>
  </si>
  <si>
    <t>nlse16-218</t>
  </si>
  <si>
    <t>fact 623,624</t>
  </si>
  <si>
    <t>nlse16-219</t>
  </si>
  <si>
    <t>hoja + 10.5 vi 21 oct</t>
  </si>
  <si>
    <t>nlse16-220</t>
  </si>
  <si>
    <t>fact 626, 627</t>
  </si>
  <si>
    <t>fact 559, 560</t>
  </si>
  <si>
    <t>Esp de cordero</t>
  </si>
  <si>
    <t>fact 45887</t>
  </si>
  <si>
    <t>nlse16-221</t>
  </si>
  <si>
    <t>hoja + 10.5 lu 24 oct</t>
  </si>
  <si>
    <t>fact 4786,4787</t>
  </si>
  <si>
    <t>fact564, 565</t>
  </si>
  <si>
    <t>nl16-106</t>
  </si>
  <si>
    <t>hoja + 10 lu 24 oct</t>
  </si>
  <si>
    <t>fact 570,571</t>
  </si>
  <si>
    <t>Porc  Soto</t>
  </si>
  <si>
    <t>fact 636,637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</si>
</sst>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&quot;$&quot;#,##0.000"/>
    <numFmt numFmtId="166" formatCode="&quot;$&quot;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6E10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7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17" fontId="0" fillId="0" borderId="0" xfId="0" quotePrefix="1" applyNumberFormat="1"/>
    <xf numFmtId="0" fontId="0" fillId="0" borderId="1" xfId="0" applyFont="1" applyBorder="1"/>
    <xf numFmtId="0" fontId="0" fillId="0" borderId="1" xfId="0" applyFont="1" applyFill="1" applyBorder="1"/>
    <xf numFmtId="4" fontId="0" fillId="0" borderId="1" xfId="0" applyNumberFormat="1" applyFont="1" applyFill="1" applyBorder="1" applyAlignment="1">
      <alignment wrapText="1"/>
    </xf>
    <xf numFmtId="3" fontId="0" fillId="0" borderId="1" xfId="0" applyNumberFormat="1" applyFont="1" applyFill="1" applyBorder="1"/>
    <xf numFmtId="15" fontId="0" fillId="0" borderId="1" xfId="0" applyNumberFormat="1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164" fontId="0" fillId="0" borderId="1" xfId="0" applyNumberFormat="1" applyFont="1" applyFill="1" applyBorder="1" applyAlignment="1">
      <alignment wrapText="1"/>
    </xf>
    <xf numFmtId="44" fontId="0" fillId="0" borderId="1" xfId="1" applyFont="1" applyFill="1" applyBorder="1"/>
    <xf numFmtId="0" fontId="0" fillId="0" borderId="0" xfId="0" applyFont="1"/>
    <xf numFmtId="0" fontId="0" fillId="0" borderId="3" xfId="0" applyFont="1" applyFill="1" applyBorder="1"/>
    <xf numFmtId="0" fontId="2" fillId="0" borderId="0" xfId="0" applyFont="1" applyFill="1" applyBorder="1"/>
    <xf numFmtId="0" fontId="0" fillId="0" borderId="0" xfId="0" applyFont="1" applyFill="1" applyBorder="1"/>
    <xf numFmtId="4" fontId="2" fillId="0" borderId="0" xfId="0" applyNumberFormat="1" applyFont="1" applyFill="1" applyBorder="1"/>
    <xf numFmtId="4" fontId="0" fillId="0" borderId="0" xfId="0" applyNumberFormat="1" applyFont="1" applyFill="1" applyBorder="1"/>
    <xf numFmtId="0" fontId="0" fillId="2" borderId="0" xfId="0" applyFont="1" applyFill="1" applyBorder="1"/>
    <xf numFmtId="15" fontId="0" fillId="0" borderId="0" xfId="0" applyNumberFormat="1" applyFont="1" applyFill="1" applyBorder="1"/>
    <xf numFmtId="164" fontId="0" fillId="0" borderId="0" xfId="0" applyNumberFormat="1" applyFont="1" applyFill="1" applyBorder="1"/>
    <xf numFmtId="166" fontId="0" fillId="0" borderId="0" xfId="0" applyNumberFormat="1" applyFont="1" applyFill="1" applyBorder="1"/>
    <xf numFmtId="164" fontId="0" fillId="3" borderId="0" xfId="0" applyNumberFormat="1" applyFont="1" applyFill="1" applyBorder="1"/>
    <xf numFmtId="165" fontId="2" fillId="0" borderId="0" xfId="0" applyNumberFormat="1" applyFont="1" applyFill="1" applyBorder="1"/>
    <xf numFmtId="44" fontId="0" fillId="0" borderId="0" xfId="1" applyFont="1" applyFill="1" applyBorder="1"/>
    <xf numFmtId="14" fontId="0" fillId="0" borderId="4" xfId="0" applyNumberFormat="1" applyFont="1" applyFill="1" applyBorder="1"/>
    <xf numFmtId="165" fontId="0" fillId="0" borderId="0" xfId="0" applyNumberFormat="1" applyFont="1" applyFill="1" applyBorder="1"/>
    <xf numFmtId="164" fontId="2" fillId="0" borderId="0" xfId="0" applyNumberFormat="1" applyFont="1" applyFill="1" applyBorder="1"/>
    <xf numFmtId="0" fontId="0" fillId="0" borderId="5" xfId="0" applyFont="1" applyFill="1" applyBorder="1"/>
    <xf numFmtId="4" fontId="0" fillId="0" borderId="1" xfId="0" applyNumberFormat="1" applyFont="1" applyFill="1" applyBorder="1"/>
    <xf numFmtId="14" fontId="0" fillId="0" borderId="6" xfId="0" applyNumberFormat="1" applyFont="1" applyFill="1" applyBorder="1"/>
    <xf numFmtId="0" fontId="0" fillId="0" borderId="0" xfId="0" applyFont="1" applyFill="1"/>
    <xf numFmtId="0" fontId="0" fillId="4" borderId="0" xfId="0" applyFont="1" applyFill="1"/>
    <xf numFmtId="0" fontId="0" fillId="4" borderId="0" xfId="0" applyFont="1" applyFill="1" applyBorder="1"/>
    <xf numFmtId="44" fontId="0" fillId="0" borderId="0" xfId="1" applyFont="1"/>
    <xf numFmtId="0" fontId="0" fillId="7" borderId="2" xfId="0" applyFont="1" applyFill="1" applyBorder="1" applyAlignment="1">
      <alignment textRotation="255"/>
    </xf>
    <xf numFmtId="0" fontId="0" fillId="6" borderId="0" xfId="0" applyFont="1" applyFill="1" applyBorder="1"/>
    <xf numFmtId="0" fontId="0" fillId="8" borderId="0" xfId="0" applyFont="1" applyFill="1" applyBorder="1"/>
    <xf numFmtId="0" fontId="0" fillId="6" borderId="2" xfId="0" applyFont="1" applyFill="1" applyBorder="1" applyAlignment="1">
      <alignment textRotation="255"/>
    </xf>
    <xf numFmtId="0" fontId="0" fillId="9" borderId="0" xfId="0" applyFont="1" applyFill="1" applyBorder="1"/>
    <xf numFmtId="0" fontId="0" fillId="10" borderId="2" xfId="0" applyFont="1" applyFill="1" applyBorder="1" applyAlignment="1">
      <alignment textRotation="255"/>
    </xf>
    <xf numFmtId="0" fontId="0" fillId="11" borderId="2" xfId="0" applyFont="1" applyFill="1" applyBorder="1" applyAlignment="1">
      <alignment textRotation="255"/>
    </xf>
    <xf numFmtId="164" fontId="0" fillId="12" borderId="0" xfId="0" applyNumberFormat="1" applyFont="1" applyFill="1" applyBorder="1"/>
    <xf numFmtId="165" fontId="2" fillId="5" borderId="0" xfId="0" applyNumberFormat="1" applyFont="1" applyFill="1" applyBorder="1"/>
    <xf numFmtId="0" fontId="0" fillId="3" borderId="2" xfId="0" applyFont="1" applyFill="1" applyBorder="1" applyAlignment="1">
      <alignment textRotation="255"/>
    </xf>
    <xf numFmtId="0" fontId="0" fillId="5" borderId="0" xfId="0" applyFont="1" applyFill="1" applyBorder="1"/>
    <xf numFmtId="0" fontId="0" fillId="6" borderId="0" xfId="0" applyFont="1" applyFill="1"/>
    <xf numFmtId="0" fontId="0" fillId="13" borderId="2" xfId="0" applyFont="1" applyFill="1" applyBorder="1" applyAlignment="1">
      <alignment textRotation="255"/>
    </xf>
    <xf numFmtId="164" fontId="2" fillId="12" borderId="0" xfId="0" applyNumberFormat="1" applyFont="1" applyFill="1" applyBorder="1"/>
    <xf numFmtId="44" fontId="0" fillId="0" borderId="0" xfId="1" applyFont="1" applyFill="1"/>
    <xf numFmtId="164" fontId="2" fillId="14" borderId="0" xfId="0" applyNumberFormat="1" applyFont="1" applyFill="1" applyBorder="1"/>
    <xf numFmtId="0" fontId="0" fillId="15" borderId="2" xfId="0" applyFont="1" applyFill="1" applyBorder="1" applyAlignment="1">
      <alignment textRotation="255"/>
    </xf>
    <xf numFmtId="44" fontId="0" fillId="5" borderId="0" xfId="1" applyFont="1" applyFill="1"/>
    <xf numFmtId="0" fontId="0" fillId="16" borderId="0" xfId="0" applyFont="1" applyFill="1"/>
    <xf numFmtId="0" fontId="0" fillId="17" borderId="2" xfId="0" applyFont="1" applyFill="1" applyBorder="1" applyAlignment="1">
      <alignment textRotation="255"/>
    </xf>
    <xf numFmtId="0" fontId="0" fillId="18" borderId="0" xfId="0" applyFont="1" applyFill="1" applyBorder="1"/>
    <xf numFmtId="0" fontId="0" fillId="0" borderId="2" xfId="0" applyFont="1" applyFill="1" applyBorder="1" applyAlignment="1">
      <alignment textRotation="255"/>
    </xf>
    <xf numFmtId="44" fontId="0" fillId="10" borderId="0" xfId="1" applyFont="1" applyFill="1"/>
    <xf numFmtId="44" fontId="0" fillId="16" borderId="0" xfId="1" applyFont="1" applyFill="1"/>
    <xf numFmtId="0" fontId="0" fillId="19" borderId="2" xfId="0" applyFont="1" applyFill="1" applyBorder="1" applyAlignment="1">
      <alignment textRotation="255"/>
    </xf>
    <xf numFmtId="0" fontId="0" fillId="20" borderId="2" xfId="0" applyFont="1" applyFill="1" applyBorder="1" applyAlignment="1">
      <alignment textRotation="255"/>
    </xf>
    <xf numFmtId="4" fontId="0" fillId="18" borderId="0" xfId="0" applyNumberFormat="1" applyFont="1" applyFill="1" applyBorder="1"/>
    <xf numFmtId="0" fontId="0" fillId="21" borderId="2" xfId="0" applyFont="1" applyFill="1" applyBorder="1" applyAlignment="1">
      <alignment textRotation="255"/>
    </xf>
    <xf numFmtId="0" fontId="0" fillId="22" borderId="2" xfId="0" applyFont="1" applyFill="1" applyBorder="1" applyAlignment="1">
      <alignment textRotation="255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107"/>
  <sheetViews>
    <sheetView zoomScale="75" zoomScaleNormal="75" workbookViewId="0">
      <selection activeCell="AB9" sqref="AB9"/>
    </sheetView>
  </sheetViews>
  <sheetFormatPr baseColWidth="10" defaultRowHeight="15" x14ac:dyDescent="0.25"/>
  <cols>
    <col min="1" max="1" width="2" customWidth="1"/>
    <col min="2" max="2" width="16" customWidth="1"/>
    <col min="3" max="3" width="11" bestFit="1" customWidth="1"/>
    <col min="4" max="4" width="19.7109375" customWidth="1"/>
    <col min="5" max="5" width="11" bestFit="1" customWidth="1"/>
    <col min="8" max="8" width="9.7109375" bestFit="1" customWidth="1"/>
    <col min="9" max="9" width="14.140625" customWidth="1"/>
    <col min="10" max="11" width="0" hidden="1" customWidth="1"/>
    <col min="13" max="13" width="4.42578125" customWidth="1"/>
    <col min="14" max="16" width="0" hidden="1" customWidth="1"/>
    <col min="17" max="18" width="12.5703125" hidden="1" customWidth="1"/>
    <col min="19" max="19" width="13.85546875" hidden="1" customWidth="1"/>
    <col min="20" max="22" width="0" hidden="1" customWidth="1"/>
    <col min="23" max="23" width="11.42578125" hidden="1" customWidth="1"/>
    <col min="25" max="25" width="15.7109375" style="33" customWidth="1"/>
    <col min="26" max="26" width="12.5703125" customWidth="1"/>
  </cols>
  <sheetData>
    <row r="2" spans="1:27" x14ac:dyDescent="0.25">
      <c r="A2" s="1" t="s">
        <v>66</v>
      </c>
    </row>
    <row r="3" spans="1:27" s="11" customFormat="1" ht="30.75" thickBot="1" x14ac:dyDescent="0.3">
      <c r="A3" s="2"/>
      <c r="B3" s="3" t="s">
        <v>0</v>
      </c>
      <c r="C3" s="3" t="s">
        <v>1</v>
      </c>
      <c r="D3" s="3" t="s">
        <v>2</v>
      </c>
      <c r="E3" s="3" t="s">
        <v>3</v>
      </c>
      <c r="F3" s="4" t="s">
        <v>4</v>
      </c>
      <c r="G3" s="4" t="s">
        <v>5</v>
      </c>
      <c r="H3" s="4" t="s">
        <v>6</v>
      </c>
      <c r="I3" s="5" t="s">
        <v>7</v>
      </c>
      <c r="J3" s="3" t="s">
        <v>8</v>
      </c>
      <c r="K3" s="6" t="s">
        <v>9</v>
      </c>
      <c r="L3" s="6" t="s">
        <v>10</v>
      </c>
      <c r="M3" s="3" t="s">
        <v>11</v>
      </c>
      <c r="N3" s="3" t="s">
        <v>12</v>
      </c>
      <c r="O3" s="7" t="s">
        <v>13</v>
      </c>
      <c r="P3" s="8" t="s">
        <v>14</v>
      </c>
      <c r="Q3" s="7" t="s">
        <v>15</v>
      </c>
      <c r="R3" s="9" t="s">
        <v>16</v>
      </c>
      <c r="S3" s="9" t="s">
        <v>17</v>
      </c>
      <c r="T3" s="9" t="s">
        <v>18</v>
      </c>
      <c r="U3" s="7" t="s">
        <v>19</v>
      </c>
      <c r="V3" s="7" t="s">
        <v>20</v>
      </c>
      <c r="W3" s="7" t="s">
        <v>21</v>
      </c>
      <c r="X3" s="7" t="s">
        <v>22</v>
      </c>
      <c r="Y3" s="10" t="s">
        <v>23</v>
      </c>
      <c r="Z3" s="7"/>
    </row>
    <row r="4" spans="1:27" s="11" customFormat="1" x14ac:dyDescent="0.25">
      <c r="A4" s="34"/>
      <c r="B4" s="12" t="s">
        <v>24</v>
      </c>
      <c r="C4" s="13" t="s">
        <v>25</v>
      </c>
      <c r="D4" s="13" t="s">
        <v>25</v>
      </c>
      <c r="E4" s="14" t="s">
        <v>26</v>
      </c>
      <c r="F4" s="15">
        <f>42768*0.4536</f>
        <v>19399.5648</v>
      </c>
      <c r="G4" s="16">
        <v>19339.310000000001</v>
      </c>
      <c r="H4" s="16">
        <f>G4-F4</f>
        <v>-60.254799999998795</v>
      </c>
      <c r="I4" s="11" t="s">
        <v>67</v>
      </c>
      <c r="J4" s="17" t="s">
        <v>63</v>
      </c>
      <c r="K4" s="18">
        <v>42489</v>
      </c>
      <c r="L4" s="18">
        <v>42491</v>
      </c>
      <c r="M4" s="13" t="s">
        <v>48</v>
      </c>
      <c r="N4" s="13" t="s">
        <v>68</v>
      </c>
      <c r="O4" s="19"/>
      <c r="P4" s="20">
        <f>0.7162+0.105</f>
        <v>0.82119999999999993</v>
      </c>
      <c r="Q4" s="21">
        <v>21000</v>
      </c>
      <c r="R4" s="19">
        <v>11469</v>
      </c>
      <c r="S4" s="22">
        <v>17.600000000000001</v>
      </c>
      <c r="T4" s="26">
        <f>W4*F4*0.005</f>
        <v>3263.2260504376268</v>
      </c>
      <c r="V4" s="19">
        <v>0.1</v>
      </c>
      <c r="W4" s="19">
        <f>IF(O4&gt;0,O4,((P4*2.2046*S4)+(Q4+R4)/G4)+V4)</f>
        <v>33.642260371094785</v>
      </c>
      <c r="X4" s="19">
        <f>IF(O4&gt;0,O4,((P4*2.2046*S4)+(Q4+R4+T4)/G4)+V4)</f>
        <v>33.810995762917848</v>
      </c>
      <c r="Y4" s="23">
        <f>X4*F4</f>
        <v>655918.60325525026</v>
      </c>
      <c r="Z4" s="24">
        <v>42485</v>
      </c>
    </row>
    <row r="5" spans="1:27" s="11" customFormat="1" x14ac:dyDescent="0.25">
      <c r="A5" s="34"/>
      <c r="B5" s="14" t="s">
        <v>36</v>
      </c>
      <c r="C5" s="14" t="s">
        <v>37</v>
      </c>
      <c r="D5" s="13" t="s">
        <v>69</v>
      </c>
      <c r="E5" s="14">
        <v>257</v>
      </c>
      <c r="F5" s="15">
        <v>31335</v>
      </c>
      <c r="G5" s="16">
        <v>25068</v>
      </c>
      <c r="H5" s="16">
        <f t="shared" ref="H5:H11" si="0">G5-F5</f>
        <v>-6267</v>
      </c>
      <c r="I5" s="13" t="s">
        <v>70</v>
      </c>
      <c r="J5" s="35" t="s">
        <v>71</v>
      </c>
      <c r="K5" s="36">
        <v>254</v>
      </c>
      <c r="L5" s="18">
        <v>42491</v>
      </c>
      <c r="M5" s="13" t="s">
        <v>48</v>
      </c>
      <c r="N5" s="35" t="s">
        <v>235</v>
      </c>
      <c r="O5" s="19">
        <v>24</v>
      </c>
      <c r="P5" s="25"/>
      <c r="Q5" s="21">
        <v>17300</v>
      </c>
      <c r="R5" s="19">
        <f>59.25*E5</f>
        <v>15227.25</v>
      </c>
      <c r="S5" s="22">
        <f t="shared" ref="S5:S8" si="1">-35*E5</f>
        <v>-8995</v>
      </c>
      <c r="T5" s="26"/>
      <c r="U5" s="19">
        <f>E5*5</f>
        <v>1285</v>
      </c>
      <c r="V5" s="14"/>
      <c r="W5" s="19">
        <f>((O5*F5)+Q5+R5+S5+U5)/G5</f>
        <v>30.989997207595341</v>
      </c>
      <c r="X5" s="19">
        <f>((O5*F5)+Q5+R5+S5+T5+U5)/G5</f>
        <v>30.989997207595341</v>
      </c>
      <c r="Y5" s="23">
        <f>X5*G5</f>
        <v>776857.25</v>
      </c>
      <c r="Z5" s="24">
        <v>42506</v>
      </c>
      <c r="AA5" s="45" t="s">
        <v>236</v>
      </c>
    </row>
    <row r="6" spans="1:27" s="30" customFormat="1" x14ac:dyDescent="0.25">
      <c r="A6" s="34"/>
      <c r="B6" s="14" t="s">
        <v>60</v>
      </c>
      <c r="C6" s="14" t="s">
        <v>45</v>
      </c>
      <c r="D6" s="13" t="s">
        <v>65</v>
      </c>
      <c r="E6" s="14" t="s">
        <v>72</v>
      </c>
      <c r="F6" s="15">
        <v>7669.61</v>
      </c>
      <c r="G6" s="16">
        <v>7669.61</v>
      </c>
      <c r="H6" s="16">
        <f t="shared" si="0"/>
        <v>0</v>
      </c>
      <c r="I6" s="13" t="s">
        <v>73</v>
      </c>
      <c r="J6" s="14"/>
      <c r="K6" s="18"/>
      <c r="L6" s="18">
        <v>42492</v>
      </c>
      <c r="M6" s="13" t="s">
        <v>49</v>
      </c>
      <c r="N6" s="14"/>
      <c r="O6" s="19">
        <v>80</v>
      </c>
      <c r="P6" s="25"/>
      <c r="Q6" s="19"/>
      <c r="R6" s="19"/>
      <c r="S6" s="22"/>
      <c r="T6" s="26"/>
      <c r="U6" s="19"/>
      <c r="V6" s="19"/>
      <c r="W6" s="19">
        <f t="shared" ref="W6:W7" si="2">IF(O6&gt;0,O6,((P6*2.2046*S6)+(Q6+R6)/G6)+V6)</f>
        <v>80</v>
      </c>
      <c r="X6" s="19">
        <f t="shared" ref="X6:X7" si="3">IF(O6&gt;0,O6,((P6*2.2046*S6)+(Q6+R6+T6)/G6)+V6)</f>
        <v>80</v>
      </c>
      <c r="Y6" s="23">
        <f t="shared" ref="Y6:Y7" si="4">X6*F6</f>
        <v>613568.79999999993</v>
      </c>
      <c r="Z6" s="24">
        <v>42510</v>
      </c>
    </row>
    <row r="7" spans="1:27" s="30" customFormat="1" x14ac:dyDescent="0.25">
      <c r="A7" s="34"/>
      <c r="B7" s="14" t="s">
        <v>74</v>
      </c>
      <c r="C7" s="14" t="s">
        <v>75</v>
      </c>
      <c r="D7" s="13" t="s">
        <v>65</v>
      </c>
      <c r="E7" s="14" t="s">
        <v>76</v>
      </c>
      <c r="F7" s="15">
        <v>8000</v>
      </c>
      <c r="G7" s="16">
        <v>8000</v>
      </c>
      <c r="H7" s="16">
        <f t="shared" si="0"/>
        <v>0</v>
      </c>
      <c r="I7" s="13" t="s">
        <v>77</v>
      </c>
      <c r="J7" s="14"/>
      <c r="K7" s="18"/>
      <c r="L7" s="18">
        <v>42492</v>
      </c>
      <c r="M7" s="13" t="s">
        <v>49</v>
      </c>
      <c r="N7" s="14"/>
      <c r="O7" s="19">
        <v>34</v>
      </c>
      <c r="P7" s="25"/>
      <c r="Q7" s="19"/>
      <c r="R7" s="19"/>
      <c r="S7" s="22"/>
      <c r="T7" s="26"/>
      <c r="U7" s="19"/>
      <c r="V7" s="19"/>
      <c r="W7" s="19">
        <f t="shared" si="2"/>
        <v>34</v>
      </c>
      <c r="X7" s="19">
        <f t="shared" si="3"/>
        <v>34</v>
      </c>
      <c r="Y7" s="23">
        <f t="shared" si="4"/>
        <v>272000</v>
      </c>
      <c r="Z7" s="24">
        <v>42510</v>
      </c>
    </row>
    <row r="8" spans="1:27" s="11" customFormat="1" x14ac:dyDescent="0.25">
      <c r="A8" s="34"/>
      <c r="B8" s="12" t="s">
        <v>36</v>
      </c>
      <c r="C8" s="14" t="s">
        <v>37</v>
      </c>
      <c r="D8" s="13" t="s">
        <v>52</v>
      </c>
      <c r="E8" s="14">
        <v>247</v>
      </c>
      <c r="F8" s="15">
        <v>28335</v>
      </c>
      <c r="G8" s="16">
        <f>16200+6230</f>
        <v>22430</v>
      </c>
      <c r="H8" s="16">
        <f t="shared" si="0"/>
        <v>-5905</v>
      </c>
      <c r="I8" s="13" t="s">
        <v>78</v>
      </c>
      <c r="J8" s="36">
        <v>246</v>
      </c>
      <c r="K8" s="18"/>
      <c r="L8" s="18">
        <v>42492</v>
      </c>
      <c r="M8" s="13" t="s">
        <v>49</v>
      </c>
      <c r="N8" s="14"/>
      <c r="O8" s="19">
        <v>24</v>
      </c>
      <c r="P8" s="25"/>
      <c r="Q8" s="21">
        <v>17300</v>
      </c>
      <c r="R8" s="19">
        <f>59.25*E8</f>
        <v>14634.75</v>
      </c>
      <c r="S8" s="22">
        <f t="shared" si="1"/>
        <v>-8645</v>
      </c>
      <c r="T8" s="26">
        <f>W8*F8*0.0045</f>
        <v>4005.229151164734</v>
      </c>
      <c r="U8" s="19">
        <f>E8*5</f>
        <v>1235</v>
      </c>
      <c r="V8" s="14"/>
      <c r="W8" s="19">
        <f>((O8*F8)+Q8+R8+S8+U8)/G8</f>
        <v>31.411714222024074</v>
      </c>
      <c r="X8" s="19">
        <f>((O8*F8)+Q8+R8+S8+T8+U8)/G8</f>
        <v>31.590279944322994</v>
      </c>
      <c r="Y8" s="23">
        <f>X8*G8</f>
        <v>708569.97915116476</v>
      </c>
      <c r="Z8" s="24">
        <v>42506</v>
      </c>
    </row>
    <row r="9" spans="1:27" s="30" customFormat="1" x14ac:dyDescent="0.25">
      <c r="A9" s="34"/>
      <c r="B9" s="12" t="s">
        <v>79</v>
      </c>
      <c r="C9" s="14" t="s">
        <v>25</v>
      </c>
      <c r="D9" s="13" t="s">
        <v>80</v>
      </c>
      <c r="E9" s="14" t="s">
        <v>81</v>
      </c>
      <c r="F9" s="15">
        <v>3983.7</v>
      </c>
      <c r="G9" s="16">
        <v>3983.7</v>
      </c>
      <c r="H9" s="16">
        <f t="shared" si="0"/>
        <v>0</v>
      </c>
      <c r="I9" s="13" t="s">
        <v>82</v>
      </c>
      <c r="J9" s="14"/>
      <c r="K9" s="18"/>
      <c r="L9" s="18">
        <v>42493</v>
      </c>
      <c r="M9" s="13" t="s">
        <v>28</v>
      </c>
      <c r="N9" s="14"/>
      <c r="O9" s="19">
        <v>34</v>
      </c>
      <c r="P9" s="25"/>
      <c r="Q9" s="19"/>
      <c r="R9" s="19"/>
      <c r="S9" s="22"/>
      <c r="T9" s="26"/>
      <c r="U9" s="19"/>
      <c r="V9" s="19"/>
      <c r="W9" s="19">
        <f t="shared" ref="W9:W11" si="5">IF(O9&gt;0,O9,((P9*2.2046*S9)+(Q9+R9)/G9)+V9)</f>
        <v>34</v>
      </c>
      <c r="X9" s="19">
        <f t="shared" ref="X9:X11" si="6">IF(O9&gt;0,O9,((P9*2.2046*S9)+(Q9+R9+T9)/G9)+V9)</f>
        <v>34</v>
      </c>
      <c r="Y9" s="23">
        <f>X9*F9</f>
        <v>135445.79999999999</v>
      </c>
      <c r="Z9" s="24">
        <v>42500</v>
      </c>
    </row>
    <row r="10" spans="1:27" s="11" customFormat="1" x14ac:dyDescent="0.25">
      <c r="A10" s="34"/>
      <c r="B10" s="12" t="s">
        <v>24</v>
      </c>
      <c r="C10" s="13" t="s">
        <v>29</v>
      </c>
      <c r="D10" s="13" t="s">
        <v>29</v>
      </c>
      <c r="E10" s="14" t="s">
        <v>32</v>
      </c>
      <c r="F10" s="15">
        <f>40187*0.4536</f>
        <v>18228.823199999999</v>
      </c>
      <c r="G10" s="16">
        <v>18113.72</v>
      </c>
      <c r="H10" s="16">
        <f t="shared" si="0"/>
        <v>-115.10319999999774</v>
      </c>
      <c r="I10" s="11" t="s">
        <v>83</v>
      </c>
      <c r="J10" s="17" t="s">
        <v>38</v>
      </c>
      <c r="K10" s="18">
        <v>42492</v>
      </c>
      <c r="L10" s="18">
        <v>42493</v>
      </c>
      <c r="M10" s="13" t="s">
        <v>28</v>
      </c>
      <c r="N10" s="13" t="s">
        <v>84</v>
      </c>
      <c r="O10" s="19"/>
      <c r="P10" s="20">
        <f>0.7172+0.1</f>
        <v>0.81719999999999993</v>
      </c>
      <c r="Q10" s="21">
        <v>18500</v>
      </c>
      <c r="R10" s="19">
        <v>8887</v>
      </c>
      <c r="S10" s="22">
        <v>18.187000000000001</v>
      </c>
      <c r="T10" s="26">
        <f>W10*F10*0.005</f>
        <v>3133.3187917629725</v>
      </c>
      <c r="V10" s="19">
        <v>0.1</v>
      </c>
      <c r="W10" s="19">
        <f t="shared" si="5"/>
        <v>34.377631044915425</v>
      </c>
      <c r="X10" s="19">
        <f t="shared" si="6"/>
        <v>34.550611459306445</v>
      </c>
      <c r="Y10" s="23">
        <f>X10*F10</f>
        <v>629816.98774359119</v>
      </c>
      <c r="Z10" s="24">
        <v>42505</v>
      </c>
    </row>
    <row r="11" spans="1:27" s="11" customFormat="1" x14ac:dyDescent="0.25">
      <c r="A11" s="34"/>
      <c r="B11" s="12" t="s">
        <v>24</v>
      </c>
      <c r="C11" s="13" t="s">
        <v>34</v>
      </c>
      <c r="D11" s="13" t="s">
        <v>34</v>
      </c>
      <c r="E11" s="14" t="s">
        <v>35</v>
      </c>
      <c r="F11" s="15">
        <f>41093*0.4536</f>
        <v>18639.784800000001</v>
      </c>
      <c r="G11" s="16">
        <v>18600.13</v>
      </c>
      <c r="H11" s="16">
        <f t="shared" si="0"/>
        <v>-39.65480000000025</v>
      </c>
      <c r="I11" s="11" t="s">
        <v>85</v>
      </c>
      <c r="J11" s="17" t="s">
        <v>27</v>
      </c>
      <c r="K11" s="18">
        <v>42492</v>
      </c>
      <c r="L11" s="18">
        <v>42493</v>
      </c>
      <c r="M11" s="13" t="s">
        <v>28</v>
      </c>
      <c r="N11" s="13" t="s">
        <v>86</v>
      </c>
      <c r="O11" s="19"/>
      <c r="P11" s="20">
        <f>0.7196+0.1075</f>
        <v>0.82710000000000006</v>
      </c>
      <c r="Q11" s="21">
        <v>18500</v>
      </c>
      <c r="R11" s="19">
        <v>8887</v>
      </c>
      <c r="S11" s="22">
        <v>17.48</v>
      </c>
      <c r="T11" s="26">
        <f t="shared" ref="T11" si="7">W11*F11*0.005</f>
        <v>3117.1192938822292</v>
      </c>
      <c r="V11" s="19">
        <v>0.1</v>
      </c>
      <c r="W11" s="19">
        <f t="shared" si="5"/>
        <v>33.445872120607625</v>
      </c>
      <c r="X11" s="19">
        <f t="shared" si="6"/>
        <v>33.613458008119281</v>
      </c>
      <c r="Y11" s="23">
        <f t="shared" ref="Y11:Y16" si="8">X11*F11</f>
        <v>626547.6236551801</v>
      </c>
      <c r="Z11" s="24">
        <v>42487</v>
      </c>
    </row>
    <row r="12" spans="1:27" s="11" customFormat="1" x14ac:dyDescent="0.25">
      <c r="A12" s="34"/>
      <c r="B12" s="12" t="s">
        <v>36</v>
      </c>
      <c r="C12" s="14" t="s">
        <v>37</v>
      </c>
      <c r="D12" s="13" t="s">
        <v>87</v>
      </c>
      <c r="E12" s="14">
        <v>250</v>
      </c>
      <c r="F12" s="15">
        <v>29565</v>
      </c>
      <c r="G12" s="16">
        <f>17200+6720</f>
        <v>23920</v>
      </c>
      <c r="H12" s="16">
        <f>G12-F12</f>
        <v>-5645</v>
      </c>
      <c r="I12" s="11" t="s">
        <v>88</v>
      </c>
      <c r="J12" s="14"/>
      <c r="K12" s="18"/>
      <c r="L12" s="18">
        <v>42493</v>
      </c>
      <c r="M12" s="13" t="s">
        <v>28</v>
      </c>
      <c r="N12" s="14"/>
      <c r="O12" s="19">
        <v>24</v>
      </c>
      <c r="P12" s="25"/>
      <c r="Q12" s="21">
        <v>17300</v>
      </c>
      <c r="R12" s="19">
        <f>59.25*E12</f>
        <v>14812.5</v>
      </c>
      <c r="S12" s="22">
        <f t="shared" ref="S12" si="9">-35*E12</f>
        <v>-8750</v>
      </c>
      <c r="T12" s="26">
        <f>W12*F12*0.0045</f>
        <v>4083.4508708716548</v>
      </c>
      <c r="U12" s="19">
        <f>E12*5</f>
        <v>1250</v>
      </c>
      <c r="V12" s="14"/>
      <c r="W12" s="19">
        <f>((O12*F12)+Q12+R12+S12+U12)/G12</f>
        <v>30.692830267558527</v>
      </c>
      <c r="X12" s="19">
        <f>((O12*F12)+Q12+R12+S12+T12+U12)/G12</f>
        <v>30.863543096608346</v>
      </c>
      <c r="Y12" s="23">
        <f>X12*G12</f>
        <v>738255.95087087166</v>
      </c>
      <c r="Z12" s="24">
        <v>42506</v>
      </c>
    </row>
    <row r="13" spans="1:27" s="11" customFormat="1" x14ac:dyDescent="0.25">
      <c r="A13" s="34"/>
      <c r="B13" s="12" t="s">
        <v>24</v>
      </c>
      <c r="C13" s="13" t="s">
        <v>25</v>
      </c>
      <c r="D13" s="13" t="s">
        <v>25</v>
      </c>
      <c r="E13" s="14" t="s">
        <v>26</v>
      </c>
      <c r="F13" s="15">
        <f>42440*0.4536</f>
        <v>19250.784</v>
      </c>
      <c r="G13" s="16">
        <v>19101.97</v>
      </c>
      <c r="H13" s="16">
        <f>G13-F13</f>
        <v>-148.81399999999849</v>
      </c>
      <c r="I13" s="11" t="s">
        <v>89</v>
      </c>
      <c r="J13" s="17" t="s">
        <v>33</v>
      </c>
      <c r="K13" s="18">
        <v>42493</v>
      </c>
      <c r="L13" s="18">
        <v>42494</v>
      </c>
      <c r="M13" s="13" t="s">
        <v>39</v>
      </c>
      <c r="N13" s="13" t="s">
        <v>90</v>
      </c>
      <c r="O13" s="19"/>
      <c r="P13" s="20">
        <f>0.7172+0.105</f>
        <v>0.82219999999999993</v>
      </c>
      <c r="Q13" s="21">
        <v>18500</v>
      </c>
      <c r="R13" s="19">
        <v>8926</v>
      </c>
      <c r="S13" s="22">
        <v>17.478000000000002</v>
      </c>
      <c r="T13" s="26">
        <f>W13*F13*0.005</f>
        <v>3197.2450495951753</v>
      </c>
      <c r="V13" s="19">
        <v>0.1</v>
      </c>
      <c r="W13" s="19">
        <f t="shared" ref="W13" si="10">IF(O13&gt;0,O13,((P13*2.2046*S13)+(Q13+R13)/G13)+V13)</f>
        <v>33.216777556645745</v>
      </c>
      <c r="X13" s="19">
        <f t="shared" ref="X13" si="11">IF(O13&gt;0,O13,((P13*2.2046*S13)+(Q13+R13+T13)/G13)+V13)</f>
        <v>33.384155321849818</v>
      </c>
      <c r="Y13" s="23">
        <f t="shared" ref="Y13" si="12">X13*F13</f>
        <v>642671.16312338132</v>
      </c>
      <c r="Z13" s="24">
        <v>42487</v>
      </c>
    </row>
    <row r="14" spans="1:27" s="11" customFormat="1" x14ac:dyDescent="0.25">
      <c r="A14" s="34"/>
      <c r="B14" s="12" t="s">
        <v>36</v>
      </c>
      <c r="C14" s="14" t="s">
        <v>37</v>
      </c>
      <c r="D14" s="13" t="s">
        <v>50</v>
      </c>
      <c r="E14" s="14">
        <v>249</v>
      </c>
      <c r="F14" s="15">
        <v>28040</v>
      </c>
      <c r="G14" s="16">
        <f>16830+5300</f>
        <v>22130</v>
      </c>
      <c r="H14" s="16">
        <f t="shared" ref="H14:H16" si="13">G14-F14</f>
        <v>-5910</v>
      </c>
      <c r="I14" s="11" t="s">
        <v>91</v>
      </c>
      <c r="J14" s="36">
        <v>248</v>
      </c>
      <c r="K14" s="18"/>
      <c r="L14" s="18">
        <v>42494</v>
      </c>
      <c r="M14" s="13" t="s">
        <v>39</v>
      </c>
      <c r="N14" s="14"/>
      <c r="O14" s="19">
        <v>24</v>
      </c>
      <c r="P14" s="25"/>
      <c r="Q14" s="21">
        <v>17300</v>
      </c>
      <c r="R14" s="19">
        <f t="shared" ref="R14" si="14">59.25*E14</f>
        <v>14753.25</v>
      </c>
      <c r="S14" s="22">
        <f t="shared" ref="S14" si="15">-35*E14</f>
        <v>-8715</v>
      </c>
      <c r="T14" s="26">
        <f t="shared" ref="T14" si="16">W14*F14*0.0045</f>
        <v>3977.2258149570716</v>
      </c>
      <c r="U14" s="19">
        <f t="shared" ref="U14" si="17">E14*5</f>
        <v>1245</v>
      </c>
      <c r="V14" s="14"/>
      <c r="W14" s="19">
        <f t="shared" ref="W14" si="18">((O14*F14)+Q14+R14+S14+U14)/G14</f>
        <v>31.520255309534569</v>
      </c>
      <c r="X14" s="19">
        <f t="shared" ref="X14" si="19">((O14*F14)+Q14+R14+S14+T14+U14)/G14</f>
        <v>31.699976313373568</v>
      </c>
      <c r="Y14" s="23">
        <f t="shared" ref="Y14" si="20">X14*G14</f>
        <v>701520.47581495706</v>
      </c>
      <c r="Z14" s="24">
        <v>42507</v>
      </c>
    </row>
    <row r="15" spans="1:27" s="11" customFormat="1" x14ac:dyDescent="0.25">
      <c r="A15" s="34"/>
      <c r="B15" s="12" t="s">
        <v>56</v>
      </c>
      <c r="C15" s="13" t="s">
        <v>92</v>
      </c>
      <c r="D15" s="13" t="s">
        <v>55</v>
      </c>
      <c r="E15" s="14" t="s">
        <v>58</v>
      </c>
      <c r="F15" s="15">
        <v>402.4</v>
      </c>
      <c r="G15" s="16">
        <v>402.4</v>
      </c>
      <c r="H15" s="16">
        <f t="shared" si="13"/>
        <v>0</v>
      </c>
      <c r="I15" s="11" t="s">
        <v>93</v>
      </c>
      <c r="J15" s="14"/>
      <c r="K15" s="18"/>
      <c r="L15" s="18">
        <v>42494</v>
      </c>
      <c r="M15" s="13" t="s">
        <v>39</v>
      </c>
      <c r="N15" s="14"/>
      <c r="O15" s="19">
        <v>175</v>
      </c>
      <c r="P15" s="25"/>
      <c r="Q15" s="19"/>
      <c r="R15" s="19"/>
      <c r="S15" s="22"/>
      <c r="T15" s="26"/>
      <c r="U15" s="19"/>
      <c r="V15" s="19"/>
      <c r="W15" s="19">
        <f t="shared" ref="W15:W16" si="21">IF(O15&gt;0,O15,((P15*2.2046*S15)+(Q15+R15)/G15)+V15)</f>
        <v>175</v>
      </c>
      <c r="X15" s="19">
        <f t="shared" ref="X15:X16" si="22">IF(O15&gt;0,O15,((P15*2.2046*S15)+(Q15+R15+T15)/G15)+V15)</f>
        <v>175</v>
      </c>
      <c r="Y15" s="23">
        <f t="shared" ref="Y15" si="23">X15*F15</f>
        <v>70420</v>
      </c>
      <c r="Z15" s="24">
        <v>42501</v>
      </c>
    </row>
    <row r="16" spans="1:27" s="11" customFormat="1" x14ac:dyDescent="0.25">
      <c r="A16" s="34"/>
      <c r="B16" s="12" t="s">
        <v>24</v>
      </c>
      <c r="C16" s="13" t="s">
        <v>25</v>
      </c>
      <c r="D16" s="13" t="s">
        <v>25</v>
      </c>
      <c r="E16" s="14" t="s">
        <v>26</v>
      </c>
      <c r="F16" s="15">
        <f>42771*0.4536</f>
        <v>19400.925599999999</v>
      </c>
      <c r="G16" s="16">
        <v>19371.099999999999</v>
      </c>
      <c r="H16" s="16">
        <f t="shared" si="13"/>
        <v>-29.825600000000122</v>
      </c>
      <c r="I16" s="11" t="s">
        <v>94</v>
      </c>
      <c r="J16" s="17" t="s">
        <v>40</v>
      </c>
      <c r="K16" s="18">
        <v>42494</v>
      </c>
      <c r="L16" s="18">
        <v>42495</v>
      </c>
      <c r="M16" s="13" t="s">
        <v>41</v>
      </c>
      <c r="N16" s="13" t="s">
        <v>95</v>
      </c>
      <c r="O16" s="19"/>
      <c r="P16" s="20">
        <f>0.7154+0.105</f>
        <v>0.82040000000000002</v>
      </c>
      <c r="Q16" s="21">
        <v>18500</v>
      </c>
      <c r="R16" s="19">
        <v>8926</v>
      </c>
      <c r="S16" s="22">
        <v>17.399999999999999</v>
      </c>
      <c r="T16" s="26">
        <f>W16*F16*0.005</f>
        <v>3199.8331982572749</v>
      </c>
      <c r="V16" s="19">
        <v>0.1</v>
      </c>
      <c r="W16" s="19">
        <f t="shared" si="21"/>
        <v>32.986397290831064</v>
      </c>
      <c r="X16" s="19">
        <f t="shared" si="22"/>
        <v>33.151583222360884</v>
      </c>
      <c r="Y16" s="23">
        <f t="shared" si="8"/>
        <v>643171.3996192317</v>
      </c>
      <c r="Z16" s="24">
        <v>42488</v>
      </c>
    </row>
    <row r="17" spans="1:26" s="11" customFormat="1" x14ac:dyDescent="0.25">
      <c r="A17" s="34"/>
      <c r="B17" s="12" t="s">
        <v>24</v>
      </c>
      <c r="C17" s="13" t="s">
        <v>25</v>
      </c>
      <c r="D17" s="13" t="s">
        <v>25</v>
      </c>
      <c r="E17" s="14" t="s">
        <v>26</v>
      </c>
      <c r="F17" s="15">
        <f>42664*0.4536</f>
        <v>19352.3904</v>
      </c>
      <c r="G17" s="16">
        <v>19281.12</v>
      </c>
      <c r="H17" s="16">
        <f>G17-F17</f>
        <v>-71.270400000001246</v>
      </c>
      <c r="I17" s="11" t="s">
        <v>96</v>
      </c>
      <c r="J17" s="17" t="s">
        <v>27</v>
      </c>
      <c r="K17" s="18">
        <v>42494</v>
      </c>
      <c r="L17" s="18">
        <v>42495</v>
      </c>
      <c r="M17" s="13" t="s">
        <v>41</v>
      </c>
      <c r="N17" s="13" t="s">
        <v>95</v>
      </c>
      <c r="O17" s="19"/>
      <c r="P17" s="20">
        <f>0.7154+0.105</f>
        <v>0.82040000000000002</v>
      </c>
      <c r="Q17" s="21">
        <v>18500</v>
      </c>
      <c r="R17" s="19">
        <v>8926</v>
      </c>
      <c r="S17" s="22">
        <v>17.399999999999999</v>
      </c>
      <c r="T17" s="26">
        <f t="shared" ref="T17" si="24">W17*F17*0.005</f>
        <v>3192.4675234531023</v>
      </c>
      <c r="V17" s="19">
        <v>0.1</v>
      </c>
      <c r="W17" s="19">
        <f>IF(O17&gt;0,O17,((P17*2.2046*S17)+(Q17+R17)/G17)+V17)</f>
        <v>32.993004558786723</v>
      </c>
      <c r="X17" s="19">
        <f>IF(O17&gt;0,O17,((P17*2.2046*S17)+(Q17+R17+T17)/G17)+V17)</f>
        <v>33.158579355450669</v>
      </c>
      <c r="Y17" s="23">
        <f>X17*F17</f>
        <v>641697.7727960617</v>
      </c>
      <c r="Z17" s="24">
        <v>42488</v>
      </c>
    </row>
    <row r="18" spans="1:26" s="11" customFormat="1" x14ac:dyDescent="0.25">
      <c r="A18" s="34"/>
      <c r="B18" s="12" t="s">
        <v>36</v>
      </c>
      <c r="C18" s="14" t="s">
        <v>37</v>
      </c>
      <c r="D18" s="13" t="s">
        <v>64</v>
      </c>
      <c r="E18" s="14">
        <v>250</v>
      </c>
      <c r="F18" s="15">
        <v>29385</v>
      </c>
      <c r="G18" s="16">
        <v>23090</v>
      </c>
      <c r="H18" s="16">
        <f t="shared" ref="H18:H27" si="25">G18-F18</f>
        <v>-6295</v>
      </c>
      <c r="I18" s="11" t="s">
        <v>97</v>
      </c>
      <c r="J18" s="14"/>
      <c r="K18" s="18"/>
      <c r="L18" s="18">
        <v>42495</v>
      </c>
      <c r="M18" s="13" t="s">
        <v>41</v>
      </c>
      <c r="N18" s="14"/>
      <c r="O18" s="19">
        <v>24</v>
      </c>
      <c r="P18" s="25"/>
      <c r="Q18" s="21">
        <v>17300</v>
      </c>
      <c r="R18" s="19">
        <f t="shared" ref="R18:R19" si="26">59.25*E18</f>
        <v>14812.5</v>
      </c>
      <c r="S18" s="22">
        <f t="shared" ref="S18:S19" si="27">-35*E18</f>
        <v>-8750</v>
      </c>
      <c r="T18" s="26">
        <f t="shared" ref="T18:T19" si="28">W18*F18*0.0045</f>
        <v>4179.7410440125595</v>
      </c>
      <c r="U18" s="19">
        <f t="shared" ref="U18:U19" si="29">E18*5</f>
        <v>1250</v>
      </c>
      <c r="V18" s="14"/>
      <c r="W18" s="19">
        <f t="shared" ref="W18:W19" si="30">((O18*F18)+Q18+R18+S18+U18)/G18</f>
        <v>31.609029883066263</v>
      </c>
      <c r="X18" s="19">
        <f t="shared" ref="X18:X19" si="31">((O18*F18)+Q18+R18+S18+T18+U18)/G18</f>
        <v>31.790049417237444</v>
      </c>
      <c r="Y18" s="23">
        <f t="shared" ref="Y18:Y19" si="32">X18*G18</f>
        <v>734032.2410440126</v>
      </c>
      <c r="Z18" s="24">
        <v>42508</v>
      </c>
    </row>
    <row r="19" spans="1:26" s="11" customFormat="1" x14ac:dyDescent="0.25">
      <c r="A19" s="34"/>
      <c r="B19" s="12" t="s">
        <v>36</v>
      </c>
      <c r="C19" s="14" t="s">
        <v>37</v>
      </c>
      <c r="D19" s="13" t="s">
        <v>50</v>
      </c>
      <c r="E19" s="14">
        <v>130</v>
      </c>
      <c r="F19" s="15">
        <v>14350</v>
      </c>
      <c r="G19" s="16">
        <v>11630</v>
      </c>
      <c r="H19" s="16">
        <f t="shared" si="25"/>
        <v>-2720</v>
      </c>
      <c r="I19" s="13" t="s">
        <v>98</v>
      </c>
      <c r="J19" s="36">
        <v>131</v>
      </c>
      <c r="K19" s="18"/>
      <c r="L19" s="18">
        <v>42495</v>
      </c>
      <c r="M19" s="13" t="s">
        <v>41</v>
      </c>
      <c r="N19" s="14"/>
      <c r="O19" s="19">
        <v>24</v>
      </c>
      <c r="P19" s="25"/>
      <c r="Q19" s="21">
        <v>13600</v>
      </c>
      <c r="R19" s="19">
        <f t="shared" si="26"/>
        <v>7702.5</v>
      </c>
      <c r="S19" s="22">
        <f t="shared" si="27"/>
        <v>-4550</v>
      </c>
      <c r="T19" s="26">
        <f t="shared" si="28"/>
        <v>2008.8904933361994</v>
      </c>
      <c r="U19" s="19">
        <f t="shared" si="29"/>
        <v>650</v>
      </c>
      <c r="V19" s="14"/>
      <c r="W19" s="19">
        <f t="shared" si="30"/>
        <v>31.109415305245054</v>
      </c>
      <c r="X19" s="19">
        <f t="shared" si="31"/>
        <v>31.282148795643696</v>
      </c>
      <c r="Y19" s="23">
        <f t="shared" si="32"/>
        <v>363811.39049333619</v>
      </c>
      <c r="Z19" s="24">
        <v>42508</v>
      </c>
    </row>
    <row r="20" spans="1:26" s="11" customFormat="1" x14ac:dyDescent="0.25">
      <c r="A20" s="34"/>
      <c r="B20" s="12" t="s">
        <v>24</v>
      </c>
      <c r="C20" s="13" t="s">
        <v>25</v>
      </c>
      <c r="D20" s="13" t="s">
        <v>25</v>
      </c>
      <c r="E20" s="14" t="s">
        <v>26</v>
      </c>
      <c r="F20" s="15">
        <f>43010*0.4536</f>
        <v>19509.335999999999</v>
      </c>
      <c r="G20" s="16">
        <f>19509-43.23</f>
        <v>19465.77</v>
      </c>
      <c r="H20" s="16">
        <f t="shared" si="25"/>
        <v>-43.565999999998894</v>
      </c>
      <c r="I20" s="11" t="s">
        <v>99</v>
      </c>
      <c r="J20" s="17" t="s">
        <v>38</v>
      </c>
      <c r="K20" s="18">
        <v>42495</v>
      </c>
      <c r="L20" s="18">
        <v>42496</v>
      </c>
      <c r="M20" s="13" t="s">
        <v>44</v>
      </c>
      <c r="N20" s="13" t="s">
        <v>100</v>
      </c>
      <c r="O20" s="19"/>
      <c r="P20" s="20">
        <f>0.7006+0.105</f>
        <v>0.80559999999999998</v>
      </c>
      <c r="Q20" s="21">
        <v>18500</v>
      </c>
      <c r="R20" s="19">
        <v>9926</v>
      </c>
      <c r="S20" s="22">
        <v>17.260000000000002</v>
      </c>
      <c r="T20" s="26">
        <f t="shared" ref="T20:T21" si="33">W20*F20*0.005</f>
        <v>3142.4186551592184</v>
      </c>
      <c r="V20" s="19">
        <v>0.1</v>
      </c>
      <c r="W20" s="19">
        <f>IF(O20&gt;0,O20,((P20*2.2046*S20)+(Q20+R20)/G20)+V20)</f>
        <v>32.214511607767875</v>
      </c>
      <c r="X20" s="19">
        <f>IF(O20&gt;0,O20,((P20*2.2046*S20)+(Q20+R20+T20)/G20)+V20)</f>
        <v>32.375944659486827</v>
      </c>
      <c r="Y20" s="23">
        <f t="shared" ref="Y20:Y27" si="34">X20*F20</f>
        <v>631633.18267933407</v>
      </c>
      <c r="Z20" s="24">
        <v>42489</v>
      </c>
    </row>
    <row r="21" spans="1:26" s="11" customFormat="1" x14ac:dyDescent="0.25">
      <c r="A21" s="34"/>
      <c r="B21" s="12" t="s">
        <v>24</v>
      </c>
      <c r="C21" s="13" t="s">
        <v>25</v>
      </c>
      <c r="D21" s="13" t="s">
        <v>25</v>
      </c>
      <c r="E21" s="14" t="s">
        <v>26</v>
      </c>
      <c r="F21" s="15">
        <f>42670*0.4536</f>
        <v>19355.112000000001</v>
      </c>
      <c r="G21" s="16">
        <f>19355-63.07</f>
        <v>19291.93</v>
      </c>
      <c r="H21" s="16">
        <f t="shared" si="25"/>
        <v>-63.182000000000698</v>
      </c>
      <c r="I21" s="11" t="s">
        <v>101</v>
      </c>
      <c r="J21" s="17" t="s">
        <v>63</v>
      </c>
      <c r="K21" s="18">
        <v>42495</v>
      </c>
      <c r="L21" s="18">
        <v>42496</v>
      </c>
      <c r="M21" s="13" t="s">
        <v>44</v>
      </c>
      <c r="N21" s="13" t="s">
        <v>100</v>
      </c>
      <c r="O21" s="19"/>
      <c r="P21" s="20">
        <v>0.80559999999999998</v>
      </c>
      <c r="Q21" s="21">
        <v>21000</v>
      </c>
      <c r="R21" s="19">
        <v>9926</v>
      </c>
      <c r="S21" s="22">
        <v>17.14</v>
      </c>
      <c r="T21" s="26">
        <f t="shared" si="33"/>
        <v>3110.7666884212035</v>
      </c>
      <c r="V21" s="19">
        <v>0.1</v>
      </c>
      <c r="W21" s="19">
        <f>IF(O21&gt;0,O21,((P21*2.2046*S21)+(Q21+R21)/G21)+V21)</f>
        <v>32.144135238496197</v>
      </c>
      <c r="X21" s="19">
        <f>IF(O21&gt;0,O21,((P21*2.2046*S21)+(Q21+R21+T21)/G21)+V21)</f>
        <v>32.305382282644771</v>
      </c>
      <c r="Y21" s="23">
        <f t="shared" si="34"/>
        <v>625274.2922834052</v>
      </c>
      <c r="Z21" s="24">
        <v>42489</v>
      </c>
    </row>
    <row r="22" spans="1:26" s="11" customFormat="1" x14ac:dyDescent="0.25">
      <c r="A22" s="34"/>
      <c r="B22" s="12" t="s">
        <v>24</v>
      </c>
      <c r="C22" s="13" t="s">
        <v>29</v>
      </c>
      <c r="D22" s="13" t="s">
        <v>29</v>
      </c>
      <c r="E22" s="14" t="s">
        <v>32</v>
      </c>
      <c r="F22" s="15">
        <f>41007*0.4536</f>
        <v>18600.7752</v>
      </c>
      <c r="G22" s="16">
        <v>18613.7</v>
      </c>
      <c r="H22" s="16">
        <f>G22-F22</f>
        <v>12.924800000000687</v>
      </c>
      <c r="I22" s="11" t="s">
        <v>102</v>
      </c>
      <c r="J22" s="17" t="s">
        <v>38</v>
      </c>
      <c r="K22" s="18">
        <v>42495</v>
      </c>
      <c r="L22" s="18">
        <v>42496</v>
      </c>
      <c r="M22" s="13" t="s">
        <v>44</v>
      </c>
      <c r="N22" s="13" t="s">
        <v>103</v>
      </c>
      <c r="O22" s="19"/>
      <c r="P22" s="20">
        <f>0.7154+0.1</f>
        <v>0.81540000000000001</v>
      </c>
      <c r="Q22" s="21">
        <v>18500</v>
      </c>
      <c r="R22" s="19">
        <v>9926</v>
      </c>
      <c r="S22" s="22">
        <v>18.37</v>
      </c>
      <c r="T22" s="26">
        <f>W22*F22*0.005</f>
        <v>3222.5501952439072</v>
      </c>
      <c r="V22" s="19">
        <v>0.1</v>
      </c>
      <c r="W22" s="19">
        <f t="shared" ref="W22" si="35">IF(O22&gt;0,O22,((P22*2.2046*S22)+(Q22+R22)/G22)+V22)</f>
        <v>34.649633260918144</v>
      </c>
      <c r="X22" s="19">
        <f t="shared" ref="X22" si="36">IF(O22&gt;0,O22,((P22*2.2046*S22)+(Q22+R22+T22)/G22)+V22)</f>
        <v>34.822761128845741</v>
      </c>
      <c r="Y22" s="23">
        <f t="shared" si="34"/>
        <v>647730.35160095792</v>
      </c>
      <c r="Z22" s="24">
        <v>42507</v>
      </c>
    </row>
    <row r="23" spans="1:26" s="11" customFormat="1" x14ac:dyDescent="0.25">
      <c r="A23" s="34"/>
      <c r="B23" s="12" t="s">
        <v>36</v>
      </c>
      <c r="C23" s="14" t="s">
        <v>37</v>
      </c>
      <c r="D23" s="13" t="s">
        <v>64</v>
      </c>
      <c r="E23" s="14">
        <v>250</v>
      </c>
      <c r="F23" s="15">
        <v>26360</v>
      </c>
      <c r="G23" s="16">
        <v>20790</v>
      </c>
      <c r="H23" s="16">
        <f t="shared" si="25"/>
        <v>-5570</v>
      </c>
      <c r="I23" s="11" t="s">
        <v>104</v>
      </c>
      <c r="J23" s="14"/>
      <c r="K23" s="18"/>
      <c r="L23" s="18">
        <v>42496</v>
      </c>
      <c r="M23" s="13" t="s">
        <v>44</v>
      </c>
      <c r="N23" s="14"/>
      <c r="O23" s="19">
        <v>24</v>
      </c>
      <c r="P23" s="25"/>
      <c r="Q23" s="21">
        <v>17300</v>
      </c>
      <c r="R23" s="19">
        <f>59.25*E23</f>
        <v>14812.5</v>
      </c>
      <c r="S23" s="22">
        <f>-35*E23</f>
        <v>-8750</v>
      </c>
      <c r="T23" s="26">
        <f>W23*F23*0.0045</f>
        <v>3750.0380735930735</v>
      </c>
      <c r="U23" s="19">
        <f>E23*5</f>
        <v>1250</v>
      </c>
      <c r="V23" s="14"/>
      <c r="W23" s="19">
        <f>((O23*F23)+Q23+R23+S23+U23)/G23</f>
        <v>31.613876863876865</v>
      </c>
      <c r="X23" s="19">
        <f>((O23*F23)+Q23+R23+S23+T23+U23)/G23</f>
        <v>31.7942538755937</v>
      </c>
      <c r="Y23" s="23">
        <f t="shared" ref="Y23:Y24" si="37">X23*G23</f>
        <v>661002.53807359305</v>
      </c>
      <c r="Z23" s="24">
        <v>42509</v>
      </c>
    </row>
    <row r="24" spans="1:26" s="11" customFormat="1" x14ac:dyDescent="0.25">
      <c r="A24" s="34"/>
      <c r="B24" s="12" t="s">
        <v>36</v>
      </c>
      <c r="C24" s="14" t="s">
        <v>37</v>
      </c>
      <c r="D24" s="13" t="s">
        <v>53</v>
      </c>
      <c r="E24" s="14">
        <v>249</v>
      </c>
      <c r="F24" s="15">
        <v>30320</v>
      </c>
      <c r="G24" s="16">
        <v>24300</v>
      </c>
      <c r="H24" s="16">
        <f t="shared" si="25"/>
        <v>-6020</v>
      </c>
      <c r="I24" s="13" t="s">
        <v>105</v>
      </c>
      <c r="J24" s="36">
        <v>248</v>
      </c>
      <c r="K24" s="18"/>
      <c r="L24" s="18">
        <v>42496</v>
      </c>
      <c r="M24" s="13" t="s">
        <v>44</v>
      </c>
      <c r="N24" s="14"/>
      <c r="O24" s="19">
        <v>24</v>
      </c>
      <c r="P24" s="25"/>
      <c r="Q24" s="21">
        <v>17300</v>
      </c>
      <c r="R24" s="19">
        <f>59.25*E24</f>
        <v>14753.25</v>
      </c>
      <c r="S24" s="22">
        <f>-35*E24</f>
        <v>-8715</v>
      </c>
      <c r="T24" s="26">
        <f>W24*F24*0.0045</f>
        <v>4223.8188407407406</v>
      </c>
      <c r="U24" s="19">
        <f>E24*5</f>
        <v>1245</v>
      </c>
      <c r="V24" s="14"/>
      <c r="W24" s="19">
        <f>((O24*F24)+Q24+R24+S24+U24)/G24</f>
        <v>30.957335390946501</v>
      </c>
      <c r="X24" s="19">
        <f>((O24*F24)+Q24+R24+S24+T24+U24)/G24</f>
        <v>31.131155096326779</v>
      </c>
      <c r="Y24" s="23">
        <f t="shared" si="37"/>
        <v>756487.06884074071</v>
      </c>
      <c r="Z24" s="24">
        <v>42509</v>
      </c>
    </row>
    <row r="25" spans="1:26" s="11" customFormat="1" x14ac:dyDescent="0.25">
      <c r="A25" s="34"/>
      <c r="B25" s="12" t="s">
        <v>106</v>
      </c>
      <c r="C25" s="13" t="s">
        <v>25</v>
      </c>
      <c r="D25" s="13" t="s">
        <v>55</v>
      </c>
      <c r="E25" s="14" t="s">
        <v>31</v>
      </c>
      <c r="F25" s="15">
        <v>1837</v>
      </c>
      <c r="G25" s="16">
        <v>1837</v>
      </c>
      <c r="H25" s="16">
        <f t="shared" si="25"/>
        <v>0</v>
      </c>
      <c r="I25" s="13" t="s">
        <v>107</v>
      </c>
      <c r="J25" s="14"/>
      <c r="K25" s="18"/>
      <c r="L25" s="18">
        <v>42497</v>
      </c>
      <c r="M25" s="13" t="s">
        <v>47</v>
      </c>
      <c r="N25" s="14"/>
      <c r="O25" s="19">
        <v>15.5</v>
      </c>
      <c r="P25" s="25"/>
      <c r="Q25" s="19"/>
      <c r="R25" s="19"/>
      <c r="S25" s="22"/>
      <c r="T25" s="26"/>
      <c r="U25" s="19"/>
      <c r="V25" s="19"/>
      <c r="W25" s="19">
        <f>IF(O25&gt;0,O25,((P25*2.2046*S25)+(Q25+R25)/G25)+V25)</f>
        <v>15.5</v>
      </c>
      <c r="X25" s="19">
        <f>IF(O25&gt;0,O25,((P25*2.2046*S25)+(Q25+R25+T25)/G25)+V25)</f>
        <v>15.5</v>
      </c>
      <c r="Y25" s="23">
        <f t="shared" ref="Y25" si="38">X25*F25</f>
        <v>28473.5</v>
      </c>
      <c r="Z25" s="24">
        <v>42503</v>
      </c>
    </row>
    <row r="26" spans="1:26" s="11" customFormat="1" x14ac:dyDescent="0.25">
      <c r="A26" s="34"/>
      <c r="B26" s="12" t="s">
        <v>24</v>
      </c>
      <c r="C26" s="13" t="s">
        <v>34</v>
      </c>
      <c r="D26" s="13" t="s">
        <v>34</v>
      </c>
      <c r="E26" s="14" t="s">
        <v>35</v>
      </c>
      <c r="F26" s="15">
        <f>41407*0.4536</f>
        <v>18782.215199999999</v>
      </c>
      <c r="G26" s="16">
        <v>18740.13</v>
      </c>
      <c r="H26" s="16">
        <f t="shared" si="25"/>
        <v>-42.085199999997712</v>
      </c>
      <c r="I26" s="31" t="s">
        <v>108</v>
      </c>
      <c r="J26" s="17" t="s">
        <v>38</v>
      </c>
      <c r="K26" s="18">
        <v>42496</v>
      </c>
      <c r="L26" s="18">
        <v>42497</v>
      </c>
      <c r="M26" s="13" t="s">
        <v>47</v>
      </c>
      <c r="N26" s="13" t="s">
        <v>109</v>
      </c>
      <c r="O26" s="19"/>
      <c r="P26" s="20">
        <f>0.7006+0.1075</f>
        <v>0.80810000000000004</v>
      </c>
      <c r="Q26" s="21">
        <v>18500</v>
      </c>
      <c r="R26" s="19">
        <v>8965</v>
      </c>
      <c r="S26" s="22">
        <v>17.260000000000002</v>
      </c>
      <c r="T26" s="26">
        <f t="shared" ref="T26:T27" si="39">W26*F26*0.005</f>
        <v>3034.7274603607225</v>
      </c>
      <c r="V26" s="19">
        <v>0.1</v>
      </c>
      <c r="W26" s="19">
        <f>IF(O26&gt;0,O26,((P26*2.2046*S26)+(Q26+R26)/G26)+V26)</f>
        <v>32.314904584425406</v>
      </c>
      <c r="X26" s="19">
        <f>IF(O26&gt;0,O26,((P26*2.2046*S26)+(Q26+R26+T26)/G26)+V26)</f>
        <v>32.476841959478875</v>
      </c>
      <c r="Y26" s="23">
        <f t="shared" si="34"/>
        <v>609987.03469932184</v>
      </c>
      <c r="Z26" s="24">
        <v>42489</v>
      </c>
    </row>
    <row r="27" spans="1:26" s="11" customFormat="1" x14ac:dyDescent="0.25">
      <c r="A27" s="34"/>
      <c r="B27" s="12" t="s">
        <v>24</v>
      </c>
      <c r="C27" s="13" t="s">
        <v>25</v>
      </c>
      <c r="D27" s="13" t="s">
        <v>25</v>
      </c>
      <c r="E27" s="14" t="s">
        <v>26</v>
      </c>
      <c r="F27" s="15">
        <f>42728*0.4536</f>
        <v>19381.4208</v>
      </c>
      <c r="G27" s="16">
        <f>19381-74.68</f>
        <v>19306.32</v>
      </c>
      <c r="H27" s="16">
        <f t="shared" si="25"/>
        <v>-75.100800000000163</v>
      </c>
      <c r="I27" s="11" t="s">
        <v>110</v>
      </c>
      <c r="J27" s="17" t="s">
        <v>40</v>
      </c>
      <c r="K27" s="18">
        <v>42496</v>
      </c>
      <c r="L27" s="18">
        <v>42497</v>
      </c>
      <c r="M27" s="13" t="s">
        <v>47</v>
      </c>
      <c r="N27" s="13" t="s">
        <v>111</v>
      </c>
      <c r="O27" s="19"/>
      <c r="P27" s="20">
        <f>0.6545+0.105</f>
        <v>0.75949999999999995</v>
      </c>
      <c r="Q27" s="21">
        <v>18500</v>
      </c>
      <c r="R27" s="19">
        <v>8965</v>
      </c>
      <c r="S27" s="22">
        <v>17.245000000000001</v>
      </c>
      <c r="T27" s="26">
        <f t="shared" si="39"/>
        <v>2945.7347121397111</v>
      </c>
      <c r="V27" s="19">
        <v>0.1</v>
      </c>
      <c r="W27" s="19">
        <f>IF(O27&gt;0,O27,((P27*2.2046*S27)+(Q27+R27)/G27)+V27)</f>
        <v>30.397510507998579</v>
      </c>
      <c r="X27" s="19">
        <f>IF(O27&gt;0,O27,((P27*2.2046*S27)+(Q27+R27+T27)/G27)+V27)</f>
        <v>30.550089285939674</v>
      </c>
      <c r="Y27" s="23">
        <f t="shared" si="34"/>
        <v>592104.13592836831</v>
      </c>
      <c r="Z27" s="24">
        <v>42492</v>
      </c>
    </row>
    <row r="28" spans="1:26" s="11" customFormat="1" ht="15.75" thickBot="1" x14ac:dyDescent="0.3">
      <c r="A28" s="34"/>
      <c r="B28" s="27"/>
      <c r="C28" s="3"/>
      <c r="D28" s="3"/>
      <c r="E28" s="3"/>
      <c r="F28" s="28"/>
      <c r="G28" s="28"/>
      <c r="H28" s="28"/>
      <c r="I28" s="5"/>
      <c r="J28" s="3"/>
      <c r="K28" s="6"/>
      <c r="L28" s="6"/>
      <c r="M28" s="3"/>
      <c r="N28" s="3"/>
      <c r="O28" s="7"/>
      <c r="P28" s="8"/>
      <c r="Q28" s="7"/>
      <c r="R28" s="7"/>
      <c r="S28" s="7"/>
      <c r="T28" s="7"/>
      <c r="U28" s="7"/>
      <c r="V28" s="7"/>
      <c r="W28" s="7"/>
      <c r="X28" s="7"/>
      <c r="Y28" s="10"/>
      <c r="Z28" s="29"/>
    </row>
    <row r="29" spans="1:26" s="11" customFormat="1" x14ac:dyDescent="0.25">
      <c r="A29" s="37"/>
      <c r="B29" s="14" t="s">
        <v>36</v>
      </c>
      <c r="C29" s="14" t="s">
        <v>37</v>
      </c>
      <c r="D29" s="13" t="s">
        <v>43</v>
      </c>
      <c r="E29" s="14">
        <v>196</v>
      </c>
      <c r="F29" s="15">
        <v>25780</v>
      </c>
      <c r="G29" s="16">
        <f>21200-450</f>
        <v>20750</v>
      </c>
      <c r="H29" s="16">
        <f t="shared" ref="H29:H34" si="40">G29-F29</f>
        <v>-5030</v>
      </c>
      <c r="I29" s="13" t="s">
        <v>112</v>
      </c>
      <c r="J29" s="38">
        <v>200</v>
      </c>
      <c r="K29" s="18"/>
      <c r="L29" s="18">
        <v>42498</v>
      </c>
      <c r="M29" s="13" t="s">
        <v>48</v>
      </c>
      <c r="N29" s="14"/>
      <c r="O29" s="19">
        <v>24.5</v>
      </c>
      <c r="P29" s="25"/>
      <c r="Q29" s="21">
        <v>17300</v>
      </c>
      <c r="R29" s="19">
        <f>59.25*E29</f>
        <v>11613</v>
      </c>
      <c r="S29" s="22">
        <f>-35*E29</f>
        <v>-6860</v>
      </c>
      <c r="T29" s="26">
        <f>W29*F29*0.0045</f>
        <v>3660.0064785542168</v>
      </c>
      <c r="U29" s="19">
        <f>E29*5</f>
        <v>980</v>
      </c>
      <c r="V29" s="14"/>
      <c r="W29" s="19">
        <f>((O29*F29)+Q29+R29+S29+U29)/G29</f>
        <v>31.549060240963854</v>
      </c>
      <c r="X29" s="19">
        <f>((O29*F29)+Q29+R29+S29+T29+U29)/G29</f>
        <v>31.725446095352012</v>
      </c>
      <c r="Y29" s="23">
        <f>X29*G29</f>
        <v>658303.00647855422</v>
      </c>
      <c r="Z29" s="24">
        <v>42513</v>
      </c>
    </row>
    <row r="30" spans="1:26" s="11" customFormat="1" x14ac:dyDescent="0.25">
      <c r="A30" s="37"/>
      <c r="B30" s="12" t="s">
        <v>36</v>
      </c>
      <c r="C30" s="14" t="s">
        <v>37</v>
      </c>
      <c r="D30" s="13" t="s">
        <v>50</v>
      </c>
      <c r="E30" s="14">
        <v>130</v>
      </c>
      <c r="F30" s="15">
        <v>15020</v>
      </c>
      <c r="G30" s="16">
        <f>11510+450</f>
        <v>11960</v>
      </c>
      <c r="H30" s="16">
        <f t="shared" si="40"/>
        <v>-3060</v>
      </c>
      <c r="I30" s="13" t="s">
        <v>113</v>
      </c>
      <c r="J30" s="38">
        <v>126</v>
      </c>
      <c r="K30" s="18"/>
      <c r="L30" s="18">
        <v>42498</v>
      </c>
      <c r="M30" s="13" t="s">
        <v>48</v>
      </c>
      <c r="N30" s="14"/>
      <c r="O30" s="19">
        <v>24.5</v>
      </c>
      <c r="P30" s="25"/>
      <c r="Q30" s="21">
        <v>13600</v>
      </c>
      <c r="R30" s="19">
        <f>59.25*E30</f>
        <v>7702.5</v>
      </c>
      <c r="S30" s="22">
        <f t="shared" ref="S30:S31" si="41">-35*E30</f>
        <v>-4550</v>
      </c>
      <c r="T30" s="26">
        <f>W30*F30*0.0045</f>
        <v>2177.983200250836</v>
      </c>
      <c r="U30" s="19">
        <f>E30*5</f>
        <v>650</v>
      </c>
      <c r="V30" s="14"/>
      <c r="W30" s="19">
        <f>((O30*F30)+Q30+R30+S30+U30)/G30</f>
        <v>32.223453177257525</v>
      </c>
      <c r="X30" s="19">
        <f>((O30*F30)+Q30+R30+S30+T30+U30)/G30</f>
        <v>32.405558796007597</v>
      </c>
      <c r="Y30" s="23">
        <f>X30*G30</f>
        <v>387570.48320025083</v>
      </c>
      <c r="Z30" s="24">
        <v>42513</v>
      </c>
    </row>
    <row r="31" spans="1:26" s="11" customFormat="1" x14ac:dyDescent="0.25">
      <c r="A31" s="37"/>
      <c r="B31" s="12" t="s">
        <v>36</v>
      </c>
      <c r="C31" s="14" t="s">
        <v>37</v>
      </c>
      <c r="D31" s="13" t="s">
        <v>53</v>
      </c>
      <c r="E31" s="14">
        <v>250</v>
      </c>
      <c r="F31" s="15">
        <v>29015</v>
      </c>
      <c r="G31" s="16">
        <f>16700+6470</f>
        <v>23170</v>
      </c>
      <c r="H31" s="16">
        <f t="shared" si="40"/>
        <v>-5845</v>
      </c>
      <c r="I31" s="13" t="s">
        <v>114</v>
      </c>
      <c r="J31" s="36">
        <v>249</v>
      </c>
      <c r="K31" s="18"/>
      <c r="L31" s="18">
        <v>42499</v>
      </c>
      <c r="M31" s="13" t="s">
        <v>49</v>
      </c>
      <c r="N31" s="14"/>
      <c r="O31" s="19">
        <v>24.5</v>
      </c>
      <c r="P31" s="25"/>
      <c r="Q31" s="21">
        <v>17300</v>
      </c>
      <c r="R31" s="19">
        <f>59.25*E31</f>
        <v>14812.5</v>
      </c>
      <c r="S31" s="22">
        <f t="shared" si="41"/>
        <v>-8750</v>
      </c>
      <c r="T31" s="26">
        <f>W31*F31*0.0045</f>
        <v>4144.5742296072503</v>
      </c>
      <c r="U31" s="19">
        <f>E31*5</f>
        <v>1250</v>
      </c>
      <c r="V31" s="14"/>
      <c r="W31" s="19">
        <f>((O31*F31)+Q31+R31+S31+U31)/G31</f>
        <v>31.742770824341822</v>
      </c>
      <c r="X31" s="19">
        <f>((O31*F31)+Q31+R31+S31+T31+U31)/G31</f>
        <v>31.921647571411619</v>
      </c>
      <c r="Y31" s="23">
        <f>X31*G31</f>
        <v>739624.57422960724</v>
      </c>
      <c r="Z31" s="24">
        <v>42513</v>
      </c>
    </row>
    <row r="32" spans="1:26" s="11" customFormat="1" x14ac:dyDescent="0.25">
      <c r="A32" s="37"/>
      <c r="B32" s="12" t="s">
        <v>115</v>
      </c>
      <c r="C32" s="14" t="s">
        <v>25</v>
      </c>
      <c r="D32" s="13" t="s">
        <v>55</v>
      </c>
      <c r="E32" s="14" t="s">
        <v>116</v>
      </c>
      <c r="F32" s="15">
        <v>2180</v>
      </c>
      <c r="G32" s="16">
        <v>2180</v>
      </c>
      <c r="H32" s="16">
        <f t="shared" si="40"/>
        <v>0</v>
      </c>
      <c r="I32" s="13" t="s">
        <v>117</v>
      </c>
      <c r="J32" s="14"/>
      <c r="K32" s="18"/>
      <c r="L32" s="18">
        <v>42499</v>
      </c>
      <c r="M32" s="13" t="s">
        <v>49</v>
      </c>
      <c r="N32" s="14"/>
      <c r="O32" s="19">
        <v>58</v>
      </c>
      <c r="P32" s="25"/>
      <c r="Q32" s="19"/>
      <c r="R32" s="19"/>
      <c r="S32" s="22"/>
      <c r="T32" s="26"/>
      <c r="U32" s="19"/>
      <c r="V32" s="19"/>
      <c r="W32" s="19">
        <f t="shared" ref="W32:W36" si="42">IF(O32&gt;0,O32,((P32*2.2046*S32)+(Q32+R32)/G32)+V32)</f>
        <v>58</v>
      </c>
      <c r="X32" s="19">
        <f t="shared" ref="X32:X36" si="43">IF(O32&gt;0,O32,((P32*2.2046*S32)+(Q32+R32+T32)/G32)+V32)</f>
        <v>58</v>
      </c>
      <c r="Y32" s="23">
        <f>X32*F32</f>
        <v>126440</v>
      </c>
      <c r="Z32" s="24">
        <v>42506</v>
      </c>
    </row>
    <row r="33" spans="1:26" s="11" customFormat="1" x14ac:dyDescent="0.25">
      <c r="A33" s="37"/>
      <c r="B33" s="12" t="s">
        <v>118</v>
      </c>
      <c r="C33" s="14" t="s">
        <v>25</v>
      </c>
      <c r="D33" s="13" t="s">
        <v>55</v>
      </c>
      <c r="E33" s="14" t="s">
        <v>119</v>
      </c>
      <c r="F33" s="15">
        <v>3977.04</v>
      </c>
      <c r="G33" s="16">
        <v>3977.04</v>
      </c>
      <c r="H33" s="16">
        <f t="shared" si="40"/>
        <v>0</v>
      </c>
      <c r="I33" s="13" t="s">
        <v>117</v>
      </c>
      <c r="J33" s="14"/>
      <c r="K33" s="18"/>
      <c r="L33" s="18">
        <v>42499</v>
      </c>
      <c r="M33" s="13" t="s">
        <v>49</v>
      </c>
      <c r="N33" s="14"/>
      <c r="O33" s="19">
        <v>52.5</v>
      </c>
      <c r="P33" s="25"/>
      <c r="Q33" s="19"/>
      <c r="R33" s="19"/>
      <c r="S33" s="22"/>
      <c r="T33" s="26"/>
      <c r="U33" s="19"/>
      <c r="V33" s="19"/>
      <c r="W33" s="19">
        <f t="shared" si="42"/>
        <v>52.5</v>
      </c>
      <c r="X33" s="19">
        <f t="shared" si="43"/>
        <v>52.5</v>
      </c>
      <c r="Y33" s="23">
        <f>X33*F33</f>
        <v>208794.6</v>
      </c>
      <c r="Z33" s="24">
        <v>42506</v>
      </c>
    </row>
    <row r="34" spans="1:26" s="11" customFormat="1" x14ac:dyDescent="0.25">
      <c r="A34" s="37"/>
      <c r="B34" s="12" t="s">
        <v>120</v>
      </c>
      <c r="C34" s="14" t="s">
        <v>121</v>
      </c>
      <c r="D34" s="13" t="s">
        <v>51</v>
      </c>
      <c r="E34" s="14" t="s">
        <v>122</v>
      </c>
      <c r="F34" s="15">
        <v>896</v>
      </c>
      <c r="G34" s="16">
        <v>896</v>
      </c>
      <c r="H34" s="16">
        <f t="shared" si="40"/>
        <v>0</v>
      </c>
      <c r="I34" s="13" t="s">
        <v>123</v>
      </c>
      <c r="J34" s="14"/>
      <c r="K34" s="18"/>
      <c r="L34" s="18">
        <v>42499</v>
      </c>
      <c r="M34" s="13" t="s">
        <v>49</v>
      </c>
      <c r="N34" s="14"/>
      <c r="O34" s="19">
        <v>43</v>
      </c>
      <c r="P34" s="25"/>
      <c r="Q34" s="19"/>
      <c r="R34" s="19"/>
      <c r="S34" s="22"/>
      <c r="T34" s="26"/>
      <c r="U34" s="19"/>
      <c r="V34" s="19"/>
      <c r="W34" s="19">
        <f t="shared" si="42"/>
        <v>43</v>
      </c>
      <c r="X34" s="19">
        <f t="shared" si="43"/>
        <v>43</v>
      </c>
      <c r="Y34" s="23">
        <f>X34*F34</f>
        <v>38528</v>
      </c>
      <c r="Z34" s="24">
        <v>42521</v>
      </c>
    </row>
    <row r="35" spans="1:26" s="11" customFormat="1" x14ac:dyDescent="0.25">
      <c r="A35" s="37"/>
      <c r="B35" s="12" t="s">
        <v>24</v>
      </c>
      <c r="C35" s="13" t="s">
        <v>29</v>
      </c>
      <c r="D35" s="13" t="s">
        <v>29</v>
      </c>
      <c r="E35" s="14" t="s">
        <v>32</v>
      </c>
      <c r="F35" s="15">
        <f>39935*0.4536</f>
        <v>18114.516</v>
      </c>
      <c r="G35" s="16">
        <v>18150.54</v>
      </c>
      <c r="H35" s="16">
        <f>G35-F35</f>
        <v>36.024000000001251</v>
      </c>
      <c r="I35" s="11" t="s">
        <v>124</v>
      </c>
      <c r="J35" s="17" t="s">
        <v>27</v>
      </c>
      <c r="K35" s="18">
        <v>42499</v>
      </c>
      <c r="L35" s="18">
        <v>42500</v>
      </c>
      <c r="M35" s="13" t="s">
        <v>28</v>
      </c>
      <c r="N35" s="13" t="s">
        <v>125</v>
      </c>
      <c r="O35" s="19"/>
      <c r="P35" s="20">
        <f>0.6792+0.1</f>
        <v>0.7792</v>
      </c>
      <c r="Q35" s="21">
        <v>18500</v>
      </c>
      <c r="R35" s="19">
        <v>8991</v>
      </c>
      <c r="S35" s="22">
        <v>18.46</v>
      </c>
      <c r="T35" s="26">
        <f>W35*F35*0.005</f>
        <v>3018.3898771247323</v>
      </c>
      <c r="V35" s="19">
        <v>0.1</v>
      </c>
      <c r="W35" s="19">
        <f t="shared" si="42"/>
        <v>33.325647531788675</v>
      </c>
      <c r="X35" s="19">
        <f t="shared" si="43"/>
        <v>33.491945056662573</v>
      </c>
      <c r="Y35" s="23">
        <f>X35*F35</f>
        <v>606690.37460003502</v>
      </c>
      <c r="Z35" s="24">
        <v>42510</v>
      </c>
    </row>
    <row r="36" spans="1:26" s="11" customFormat="1" x14ac:dyDescent="0.25">
      <c r="A36" s="37"/>
      <c r="B36" s="12" t="s">
        <v>24</v>
      </c>
      <c r="C36" s="13" t="s">
        <v>34</v>
      </c>
      <c r="D36" s="13" t="s">
        <v>34</v>
      </c>
      <c r="E36" s="14" t="s">
        <v>35</v>
      </c>
      <c r="F36" s="15">
        <f>41939*0.4536</f>
        <v>19023.5304</v>
      </c>
      <c r="G36" s="16">
        <v>18990.13</v>
      </c>
      <c r="H36" s="16">
        <f t="shared" ref="H36" si="44">G36-F36</f>
        <v>-33.400399999998626</v>
      </c>
      <c r="I36" s="11" t="s">
        <v>126</v>
      </c>
      <c r="J36" s="17" t="s">
        <v>27</v>
      </c>
      <c r="K36" s="18">
        <v>42499</v>
      </c>
      <c r="L36" s="18">
        <v>42500</v>
      </c>
      <c r="M36" s="13" t="s">
        <v>28</v>
      </c>
      <c r="N36" s="13" t="s">
        <v>127</v>
      </c>
      <c r="O36" s="19"/>
      <c r="P36" s="20">
        <f>0.7048+0.1075</f>
        <v>0.81230000000000002</v>
      </c>
      <c r="Q36" s="21">
        <v>18500</v>
      </c>
      <c r="R36" s="19">
        <v>8991</v>
      </c>
      <c r="S36" s="22">
        <v>17.774999999999999</v>
      </c>
      <c r="T36" s="26">
        <f t="shared" ref="T36" si="45">W36*F36*0.005</f>
        <v>3174.9374289615657</v>
      </c>
      <c r="V36" s="19">
        <v>0.1</v>
      </c>
      <c r="W36" s="19">
        <f t="shared" si="42"/>
        <v>33.379055960733403</v>
      </c>
      <c r="X36" s="19">
        <f t="shared" si="43"/>
        <v>33.546244780871106</v>
      </c>
      <c r="Y36" s="23">
        <f t="shared" ref="Y36:Y40" si="46">X36*F36</f>
        <v>638168.0073947428</v>
      </c>
      <c r="Z36" s="24">
        <v>42494</v>
      </c>
    </row>
    <row r="37" spans="1:26" s="11" customFormat="1" x14ac:dyDescent="0.25">
      <c r="A37" s="37"/>
      <c r="B37" s="12" t="s">
        <v>36</v>
      </c>
      <c r="C37" s="14" t="s">
        <v>37</v>
      </c>
      <c r="D37" s="13" t="s">
        <v>43</v>
      </c>
      <c r="E37" s="14">
        <v>244</v>
      </c>
      <c r="F37" s="15">
        <v>33355</v>
      </c>
      <c r="G37" s="16">
        <f>19480+7810</f>
        <v>27290</v>
      </c>
      <c r="H37" s="16">
        <f>G37-F37</f>
        <v>-6065</v>
      </c>
      <c r="I37" s="13" t="s">
        <v>128</v>
      </c>
      <c r="J37" s="14"/>
      <c r="K37" s="18"/>
      <c r="L37" s="18">
        <v>42500</v>
      </c>
      <c r="M37" s="13" t="s">
        <v>28</v>
      </c>
      <c r="N37" s="14"/>
      <c r="O37" s="19">
        <v>24.5</v>
      </c>
      <c r="P37" s="25"/>
      <c r="Q37" s="21">
        <v>17300</v>
      </c>
      <c r="R37" s="19">
        <f>59.25*E37</f>
        <v>14457</v>
      </c>
      <c r="S37" s="22">
        <f t="shared" ref="S37" si="47">-35*E37</f>
        <v>-8540</v>
      </c>
      <c r="T37" s="26">
        <f>W37*F37*0.0045</f>
        <v>4629.0668509985335</v>
      </c>
      <c r="U37" s="19">
        <f>E37*5</f>
        <v>1220</v>
      </c>
      <c r="V37" s="14"/>
      <c r="W37" s="19">
        <f>((O37*F37)+Q37+R37+S37+U37)/G37</f>
        <v>30.840399413704652</v>
      </c>
      <c r="X37" s="19">
        <f>((O37*F37)+Q37+R37+S37+T37+U37)/G37</f>
        <v>31.01002443572732</v>
      </c>
      <c r="Y37" s="23">
        <f>X37*G37</f>
        <v>846263.56685099856</v>
      </c>
      <c r="Z37" s="24">
        <v>42513</v>
      </c>
    </row>
    <row r="38" spans="1:26" s="11" customFormat="1" x14ac:dyDescent="0.25">
      <c r="A38" s="37"/>
      <c r="B38" s="12" t="s">
        <v>24</v>
      </c>
      <c r="C38" s="13" t="s">
        <v>25</v>
      </c>
      <c r="D38" s="13" t="s">
        <v>25</v>
      </c>
      <c r="E38" s="14" t="s">
        <v>26</v>
      </c>
      <c r="F38" s="15">
        <f>42470*0.4536</f>
        <v>19264.392</v>
      </c>
      <c r="G38" s="16">
        <v>19187.47</v>
      </c>
      <c r="H38" s="16">
        <f>G38-F38</f>
        <v>-76.921999999998661</v>
      </c>
      <c r="I38" s="11" t="s">
        <v>129</v>
      </c>
      <c r="J38" s="17" t="s">
        <v>63</v>
      </c>
      <c r="K38" s="18">
        <v>42500</v>
      </c>
      <c r="L38" s="18">
        <v>42502</v>
      </c>
      <c r="M38" s="13" t="s">
        <v>41</v>
      </c>
      <c r="N38" s="13" t="s">
        <v>130</v>
      </c>
      <c r="O38" s="19"/>
      <c r="P38" s="20">
        <f>0.6792+0.105</f>
        <v>0.78420000000000001</v>
      </c>
      <c r="Q38" s="21">
        <v>21000</v>
      </c>
      <c r="R38" s="19">
        <v>8952</v>
      </c>
      <c r="S38" s="22">
        <v>17.774999999999999</v>
      </c>
      <c r="T38" s="26">
        <f>W38*F38*0.005</f>
        <v>3119.9915611286578</v>
      </c>
      <c r="V38" s="19">
        <v>0.1</v>
      </c>
      <c r="W38" s="19">
        <f t="shared" ref="W38" si="48">IF(O38&gt;0,O38,((P38*2.2046*S38)+(Q38+R38)/G38)+V38)</f>
        <v>32.391279840325694</v>
      </c>
      <c r="X38" s="19">
        <f t="shared" ref="X38" si="49">IF(O38&gt;0,O38,((P38*2.2046*S38)+(Q38+R38+T38)/G38)+V38)</f>
        <v>32.553885517943883</v>
      </c>
      <c r="Y38" s="23">
        <f t="shared" ref="Y38" si="50">X38*F38</f>
        <v>627130.81174079399</v>
      </c>
      <c r="Z38" s="24">
        <v>42494</v>
      </c>
    </row>
    <row r="39" spans="1:26" s="11" customFormat="1" x14ac:dyDescent="0.25">
      <c r="A39" s="37"/>
      <c r="B39" s="12" t="s">
        <v>36</v>
      </c>
      <c r="C39" s="14" t="s">
        <v>37</v>
      </c>
      <c r="D39" s="13" t="s">
        <v>43</v>
      </c>
      <c r="E39" s="14">
        <v>245</v>
      </c>
      <c r="F39" s="15">
        <v>32660</v>
      </c>
      <c r="G39" s="16">
        <f>20090+6550</f>
        <v>26640</v>
      </c>
      <c r="H39" s="16">
        <f>G39-F39</f>
        <v>-6020</v>
      </c>
      <c r="I39" s="11" t="s">
        <v>131</v>
      </c>
      <c r="J39" s="36">
        <v>244</v>
      </c>
      <c r="K39" s="18"/>
      <c r="L39" s="18">
        <v>42501</v>
      </c>
      <c r="M39" s="13" t="s">
        <v>39</v>
      </c>
      <c r="N39" s="14"/>
      <c r="O39" s="19">
        <v>24.5</v>
      </c>
      <c r="P39" s="25"/>
      <c r="Q39" s="21">
        <v>17300</v>
      </c>
      <c r="R39" s="19">
        <f>59.25*E39</f>
        <v>14516.25</v>
      </c>
      <c r="S39" s="22">
        <f t="shared" ref="S39" si="51">-35*E39</f>
        <v>-8575</v>
      </c>
      <c r="T39" s="26">
        <f>W39*F39*0.0045</f>
        <v>4549.429041385135</v>
      </c>
      <c r="U39" s="19">
        <f>E39*5</f>
        <v>1225</v>
      </c>
      <c r="V39" s="14"/>
      <c r="W39" s="19">
        <f>((O39*F39)+Q39+R39+S39+U39)/G39</f>
        <v>30.954814189189189</v>
      </c>
      <c r="X39" s="19">
        <f>((O39*F39)+Q39+R39+S39+T39+U39)/G39</f>
        <v>31.125588552604547</v>
      </c>
      <c r="Y39" s="23">
        <f>X39*G39</f>
        <v>829185.67904138518</v>
      </c>
      <c r="Z39" s="24">
        <v>42514</v>
      </c>
    </row>
    <row r="40" spans="1:26" s="11" customFormat="1" x14ac:dyDescent="0.25">
      <c r="A40" s="37"/>
      <c r="B40" s="12" t="s">
        <v>24</v>
      </c>
      <c r="C40" s="13" t="s">
        <v>25</v>
      </c>
      <c r="D40" s="13" t="s">
        <v>25</v>
      </c>
      <c r="E40" s="14" t="s">
        <v>26</v>
      </c>
      <c r="F40" s="15">
        <f>42794*0.4536</f>
        <v>19411.358400000001</v>
      </c>
      <c r="G40" s="16">
        <v>19378.36</v>
      </c>
      <c r="H40" s="16">
        <f>G40-F40</f>
        <v>-32.998400000000402</v>
      </c>
      <c r="I40" s="11" t="s">
        <v>132</v>
      </c>
      <c r="J40" s="17" t="s">
        <v>27</v>
      </c>
      <c r="K40" s="18">
        <v>42501</v>
      </c>
      <c r="L40" s="18">
        <v>42502</v>
      </c>
      <c r="M40" s="13" t="s">
        <v>41</v>
      </c>
      <c r="N40" s="13" t="s">
        <v>133</v>
      </c>
      <c r="O40" s="19"/>
      <c r="P40" s="20">
        <f>0.6879+0.105</f>
        <v>0.79289999999999994</v>
      </c>
      <c r="Q40" s="21">
        <v>18500</v>
      </c>
      <c r="R40" s="19">
        <v>8991</v>
      </c>
      <c r="S40" s="22">
        <v>17.779</v>
      </c>
      <c r="T40" s="26">
        <f>W40*F40*0.005</f>
        <v>3163.7430096025273</v>
      </c>
      <c r="V40" s="19">
        <v>0.1</v>
      </c>
      <c r="W40" s="19">
        <f t="shared" ref="W40" si="52">IF(O40&gt;0,O40,((P40*2.2046*S40)+(Q40+R40)/G40)+V40)</f>
        <v>32.596822380061013</v>
      </c>
      <c r="X40" s="19">
        <f t="shared" ref="X40" si="53">IF(O40&gt;0,O40,((P40*2.2046*S40)+(Q40+R40+T40)/G40)+V40)</f>
        <v>32.760084029117102</v>
      </c>
      <c r="Y40" s="23">
        <f t="shared" si="46"/>
        <v>635917.73230330809</v>
      </c>
      <c r="Z40" s="24">
        <v>42495</v>
      </c>
    </row>
    <row r="41" spans="1:26" s="11" customFormat="1" x14ac:dyDescent="0.25">
      <c r="A41" s="37"/>
      <c r="B41" s="12" t="s">
        <v>24</v>
      </c>
      <c r="C41" s="13" t="s">
        <v>25</v>
      </c>
      <c r="D41" s="13" t="s">
        <v>25</v>
      </c>
      <c r="E41" s="14" t="s">
        <v>26</v>
      </c>
      <c r="F41" s="15">
        <f>42624*0.4536</f>
        <v>19334.2464</v>
      </c>
      <c r="G41" s="16">
        <v>19189.29</v>
      </c>
      <c r="H41" s="16">
        <f>G41-F41</f>
        <v>-144.95639999999912</v>
      </c>
      <c r="I41" s="11" t="s">
        <v>134</v>
      </c>
      <c r="J41" s="17" t="s">
        <v>27</v>
      </c>
      <c r="K41" s="18">
        <v>42501</v>
      </c>
      <c r="L41" s="18">
        <v>42502</v>
      </c>
      <c r="M41" s="13" t="s">
        <v>41</v>
      </c>
      <c r="N41" s="13" t="s">
        <v>133</v>
      </c>
      <c r="O41" s="19"/>
      <c r="P41" s="20">
        <f>0.6879+0.105</f>
        <v>0.79289999999999994</v>
      </c>
      <c r="Q41" s="21">
        <v>18500</v>
      </c>
      <c r="R41" s="19">
        <v>8991</v>
      </c>
      <c r="S41" s="22">
        <v>17.779</v>
      </c>
      <c r="T41" s="26">
        <f t="shared" ref="T41" si="54">W41*F41*0.005</f>
        <v>3152.5262249775983</v>
      </c>
      <c r="V41" s="19">
        <v>0.1</v>
      </c>
      <c r="W41" s="19">
        <f>IF(O41&gt;0,O41,((P41*2.2046*S41)+(Q41+R41)/G41)+V41)</f>
        <v>32.610800129014578</v>
      </c>
      <c r="X41" s="19">
        <f>IF(O41&gt;0,O41,((P41*2.2046*S41)+(Q41+R41+T41)/G41)+V41)</f>
        <v>32.775085843857468</v>
      </c>
      <c r="Y41" s="23">
        <f>X41*F41</f>
        <v>633681.58548629226</v>
      </c>
      <c r="Z41" s="24">
        <v>42495</v>
      </c>
    </row>
    <row r="42" spans="1:26" s="11" customFormat="1" x14ac:dyDescent="0.25">
      <c r="A42" s="37"/>
      <c r="B42" s="12" t="s">
        <v>36</v>
      </c>
      <c r="C42" s="14" t="s">
        <v>37</v>
      </c>
      <c r="D42" s="13" t="s">
        <v>50</v>
      </c>
      <c r="E42" s="14">
        <v>247</v>
      </c>
      <c r="F42" s="15">
        <v>27850</v>
      </c>
      <c r="G42" s="16">
        <v>22390</v>
      </c>
      <c r="H42" s="16">
        <f t="shared" ref="H42:H45" si="55">G42-F42</f>
        <v>-5460</v>
      </c>
      <c r="I42" s="11" t="s">
        <v>135</v>
      </c>
      <c r="J42" s="38">
        <v>250</v>
      </c>
      <c r="K42" s="18"/>
      <c r="L42" s="18">
        <v>42502</v>
      </c>
      <c r="M42" s="13" t="s">
        <v>41</v>
      </c>
      <c r="N42" s="14"/>
      <c r="O42" s="19">
        <v>25.5</v>
      </c>
      <c r="P42" s="25"/>
      <c r="Q42" s="21">
        <v>17300</v>
      </c>
      <c r="R42" s="19">
        <f t="shared" ref="R42:R43" si="56">59.25*E42</f>
        <v>14634.75</v>
      </c>
      <c r="S42" s="22">
        <f t="shared" ref="S42:S43" si="57">-35*E42</f>
        <v>-8645</v>
      </c>
      <c r="T42" s="26">
        <f t="shared" ref="T42:T43" si="58">W42*F42*0.0045</f>
        <v>4112.3825890464495</v>
      </c>
      <c r="U42" s="19">
        <f t="shared" ref="U42:U43" si="59">E42*5</f>
        <v>1235</v>
      </c>
      <c r="V42" s="14"/>
      <c r="W42" s="19">
        <f t="shared" ref="W42:W43" si="60">((O42*F42)+Q42+R42+S42+U42)/G42</f>
        <v>32.813744975435462</v>
      </c>
      <c r="X42" s="19">
        <f t="shared" ref="X42:X43" si="61">((O42*F42)+Q42+R42+S42+T42+U42)/G42</f>
        <v>32.997415479635841</v>
      </c>
      <c r="Y42" s="23">
        <f t="shared" ref="Y42:Y43" si="62">X42*G42</f>
        <v>738812.13258904649</v>
      </c>
      <c r="Z42" s="24">
        <v>42515</v>
      </c>
    </row>
    <row r="43" spans="1:26" s="11" customFormat="1" x14ac:dyDescent="0.25">
      <c r="A43" s="37"/>
      <c r="B43" s="12" t="s">
        <v>36</v>
      </c>
      <c r="C43" s="14" t="s">
        <v>37</v>
      </c>
      <c r="D43" s="13" t="s">
        <v>87</v>
      </c>
      <c r="E43" s="14">
        <v>129</v>
      </c>
      <c r="F43" s="15">
        <v>16505</v>
      </c>
      <c r="G43" s="16">
        <v>13000</v>
      </c>
      <c r="H43" s="16">
        <f t="shared" si="55"/>
        <v>-3505</v>
      </c>
      <c r="I43" s="11" t="s">
        <v>136</v>
      </c>
      <c r="J43" s="38">
        <v>126</v>
      </c>
      <c r="K43" s="18"/>
      <c r="L43" s="18">
        <v>42502</v>
      </c>
      <c r="M43" s="13" t="s">
        <v>41</v>
      </c>
      <c r="N43" s="14"/>
      <c r="O43" s="19">
        <v>25.5</v>
      </c>
      <c r="P43" s="25"/>
      <c r="Q43" s="21">
        <v>13600</v>
      </c>
      <c r="R43" s="19">
        <f t="shared" si="56"/>
        <v>7643.25</v>
      </c>
      <c r="S43" s="22">
        <f t="shared" si="57"/>
        <v>-4515</v>
      </c>
      <c r="T43" s="26">
        <f t="shared" si="58"/>
        <v>2503.844525336538</v>
      </c>
      <c r="U43" s="19">
        <f t="shared" si="59"/>
        <v>645</v>
      </c>
      <c r="V43" s="14"/>
      <c r="W43" s="19">
        <f t="shared" si="60"/>
        <v>33.711596153846152</v>
      </c>
      <c r="X43" s="19">
        <f t="shared" si="61"/>
        <v>33.904199578872039</v>
      </c>
      <c r="Y43" s="23">
        <f t="shared" si="62"/>
        <v>440754.59452533652</v>
      </c>
      <c r="Z43" s="24">
        <v>42515</v>
      </c>
    </row>
    <row r="44" spans="1:26" s="11" customFormat="1" x14ac:dyDescent="0.25">
      <c r="A44" s="37"/>
      <c r="B44" s="12" t="s">
        <v>24</v>
      </c>
      <c r="C44" s="13" t="s">
        <v>25</v>
      </c>
      <c r="D44" s="13" t="s">
        <v>25</v>
      </c>
      <c r="E44" s="14" t="s">
        <v>26</v>
      </c>
      <c r="F44" s="15">
        <f>42764*0.4536</f>
        <v>19397.750400000001</v>
      </c>
      <c r="G44" s="16">
        <v>19542.03</v>
      </c>
      <c r="H44" s="16">
        <f t="shared" si="55"/>
        <v>144.27959999999803</v>
      </c>
      <c r="I44" s="11" t="s">
        <v>137</v>
      </c>
      <c r="J44" s="17" t="s">
        <v>38</v>
      </c>
      <c r="K44" s="18">
        <v>42502</v>
      </c>
      <c r="L44" s="18">
        <v>42503</v>
      </c>
      <c r="M44" s="13" t="s">
        <v>44</v>
      </c>
      <c r="N44" s="13" t="s">
        <v>138</v>
      </c>
      <c r="O44" s="19"/>
      <c r="P44" s="20">
        <f>0.6791+0.105</f>
        <v>0.78410000000000002</v>
      </c>
      <c r="Q44" s="21">
        <v>18500</v>
      </c>
      <c r="R44" s="19">
        <v>8991</v>
      </c>
      <c r="S44" s="22">
        <v>17.888999999999999</v>
      </c>
      <c r="T44" s="26">
        <f t="shared" ref="T44:T45" si="63">W44*F44*0.005</f>
        <v>3145.3615850494657</v>
      </c>
      <c r="V44" s="19">
        <v>0.1</v>
      </c>
      <c r="W44" s="19">
        <f>IF(O44&gt;0,O44,((P44*2.2046*S44)+(Q44+R44)/G44)+V44)</f>
        <v>32.430168655530956</v>
      </c>
      <c r="X44" s="19">
        <f>IF(O44&gt;0,O44,((P44*2.2046*S44)+(Q44+R44+T44)/G44)+V44)</f>
        <v>32.591122332556807</v>
      </c>
      <c r="Y44" s="23">
        <f t="shared" ref="Y44:Y52" si="64">X44*F44</f>
        <v>632194.45626280282</v>
      </c>
      <c r="Z44" s="24">
        <v>42496</v>
      </c>
    </row>
    <row r="45" spans="1:26" s="11" customFormat="1" x14ac:dyDescent="0.25">
      <c r="A45" s="37"/>
      <c r="B45" s="12" t="s">
        <v>24</v>
      </c>
      <c r="C45" s="13" t="s">
        <v>25</v>
      </c>
      <c r="D45" s="13" t="s">
        <v>25</v>
      </c>
      <c r="E45" s="14" t="s">
        <v>26</v>
      </c>
      <c r="F45" s="15">
        <f>42578*0.4536</f>
        <v>19313.380799999999</v>
      </c>
      <c r="G45" s="16">
        <v>19255</v>
      </c>
      <c r="H45" s="16">
        <f t="shared" si="55"/>
        <v>-58.380799999998999</v>
      </c>
      <c r="I45" s="11" t="s">
        <v>139</v>
      </c>
      <c r="J45" s="17" t="s">
        <v>33</v>
      </c>
      <c r="K45" s="18">
        <v>42502</v>
      </c>
      <c r="L45" s="18">
        <v>42503</v>
      </c>
      <c r="M45" s="13" t="s">
        <v>44</v>
      </c>
      <c r="N45" s="13" t="s">
        <v>138</v>
      </c>
      <c r="O45" s="19"/>
      <c r="P45" s="20">
        <f>0.6791+0.105</f>
        <v>0.78410000000000002</v>
      </c>
      <c r="Q45" s="21">
        <v>18500</v>
      </c>
      <c r="R45" s="19">
        <v>8991</v>
      </c>
      <c r="S45" s="22">
        <v>17.888999999999999</v>
      </c>
      <c r="T45" s="26">
        <f t="shared" si="63"/>
        <v>3133.7060201474269</v>
      </c>
      <c r="V45" s="19">
        <v>0.1</v>
      </c>
      <c r="W45" s="19">
        <f>IF(O45&gt;0,O45,((P45*2.2046*S45)+(Q45+R45)/G45)+V45)</f>
        <v>32.451138954889004</v>
      </c>
      <c r="X45" s="19">
        <f>IF(O45&gt;0,O45,((P45*2.2046*S45)+(Q45+R45+T45)/G45)+V45)</f>
        <v>32.613886605896397</v>
      </c>
      <c r="Y45" s="23">
        <f t="shared" si="64"/>
        <v>629884.41138769663</v>
      </c>
      <c r="Z45" s="24">
        <v>42496</v>
      </c>
    </row>
    <row r="46" spans="1:26" s="11" customFormat="1" x14ac:dyDescent="0.25">
      <c r="A46" s="37"/>
      <c r="B46" s="12" t="s">
        <v>24</v>
      </c>
      <c r="C46" s="13" t="s">
        <v>29</v>
      </c>
      <c r="D46" s="13" t="s">
        <v>29</v>
      </c>
      <c r="E46" s="14" t="s">
        <v>32</v>
      </c>
      <c r="F46" s="15">
        <f>39590*0.4536</f>
        <v>17958.024000000001</v>
      </c>
      <c r="G46" s="16">
        <v>18071.02</v>
      </c>
      <c r="H46" s="16">
        <f>G46-F46</f>
        <v>112.99599999999919</v>
      </c>
      <c r="I46" s="11" t="s">
        <v>140</v>
      </c>
      <c r="J46" s="17" t="s">
        <v>38</v>
      </c>
      <c r="K46" s="18">
        <v>42502</v>
      </c>
      <c r="L46" s="18">
        <v>42503</v>
      </c>
      <c r="M46" s="13" t="s">
        <v>44</v>
      </c>
      <c r="N46" s="13" t="s">
        <v>141</v>
      </c>
      <c r="O46" s="19"/>
      <c r="P46" s="20">
        <f>0.6879+0.1</f>
        <v>0.78789999999999993</v>
      </c>
      <c r="Q46" s="21">
        <v>18500</v>
      </c>
      <c r="R46" s="19">
        <v>8991</v>
      </c>
      <c r="S46" s="22">
        <v>18.481000000000002</v>
      </c>
      <c r="T46" s="26">
        <f>W46*F46*0.005</f>
        <v>3027.9789914218545</v>
      </c>
      <c r="V46" s="19">
        <v>0.1</v>
      </c>
      <c r="W46" s="19">
        <f t="shared" ref="W46" si="65">IF(O46&gt;0,O46,((P46*2.2046*S46)+(Q46+R46)/G46)+V46)</f>
        <v>33.722852708314171</v>
      </c>
      <c r="X46" s="19">
        <f t="shared" ref="X46" si="66">IF(O46&gt;0,O46,((P46*2.2046*S46)+(Q46+R46+T46)/G46)+V46)</f>
        <v>33.890412646348764</v>
      </c>
      <c r="Y46" s="23">
        <f t="shared" si="64"/>
        <v>608604.84367303469</v>
      </c>
      <c r="Z46" s="24">
        <v>42514</v>
      </c>
    </row>
    <row r="47" spans="1:26" s="11" customFormat="1" x14ac:dyDescent="0.25">
      <c r="A47" s="37"/>
      <c r="B47" s="12" t="s">
        <v>36</v>
      </c>
      <c r="C47" s="14" t="s">
        <v>37</v>
      </c>
      <c r="D47" s="13" t="s">
        <v>53</v>
      </c>
      <c r="E47" s="14">
        <v>250</v>
      </c>
      <c r="F47" s="15">
        <v>29230</v>
      </c>
      <c r="G47" s="16">
        <f>23740</f>
        <v>23740</v>
      </c>
      <c r="H47" s="16">
        <f t="shared" ref="H47:H52" si="67">G47-F47</f>
        <v>-5490</v>
      </c>
      <c r="I47" s="11" t="s">
        <v>142</v>
      </c>
      <c r="J47" s="14"/>
      <c r="K47" s="18"/>
      <c r="L47" s="18">
        <v>42503</v>
      </c>
      <c r="M47" s="13" t="s">
        <v>44</v>
      </c>
      <c r="N47" s="14"/>
      <c r="O47" s="19">
        <v>25.5</v>
      </c>
      <c r="P47" s="25"/>
      <c r="Q47" s="21">
        <v>17300</v>
      </c>
      <c r="R47" s="19">
        <f>59.25*E47</f>
        <v>14812.5</v>
      </c>
      <c r="S47" s="22">
        <f>-35*E47</f>
        <v>-8750</v>
      </c>
      <c r="T47" s="26">
        <f>W47*F47*0.0045</f>
        <v>4266.1748299283909</v>
      </c>
      <c r="U47" s="19">
        <f>E47*5</f>
        <v>1250</v>
      </c>
      <c r="V47" s="14"/>
      <c r="W47" s="19">
        <f>((O47*F47)+Q47+R47+S47+U47)/G47</f>
        <v>32.433761583824769</v>
      </c>
      <c r="X47" s="19">
        <f>((O47*F47)+Q47+R47+S47+T47+U47)/G47</f>
        <v>32.613465662591764</v>
      </c>
      <c r="Y47" s="23">
        <f t="shared" ref="Y47:Y48" si="68">X47*G47</f>
        <v>774243.67482992844</v>
      </c>
      <c r="Z47" s="24">
        <v>42516</v>
      </c>
    </row>
    <row r="48" spans="1:26" s="11" customFormat="1" x14ac:dyDescent="0.25">
      <c r="A48" s="37"/>
      <c r="B48" s="12" t="s">
        <v>36</v>
      </c>
      <c r="C48" s="14" t="s">
        <v>37</v>
      </c>
      <c r="D48" s="13" t="s">
        <v>143</v>
      </c>
      <c r="E48" s="14">
        <f>129+120</f>
        <v>249</v>
      </c>
      <c r="F48" s="15">
        <f>16190+14620</f>
        <v>30810</v>
      </c>
      <c r="G48" s="16">
        <f>24350</f>
        <v>24350</v>
      </c>
      <c r="H48" s="16">
        <f t="shared" si="67"/>
        <v>-6460</v>
      </c>
      <c r="I48" s="13" t="s">
        <v>144</v>
      </c>
      <c r="J48" s="14"/>
      <c r="K48" s="18"/>
      <c r="L48" s="18">
        <v>42503</v>
      </c>
      <c r="M48" s="13" t="s">
        <v>44</v>
      </c>
      <c r="N48" s="14"/>
      <c r="O48" s="19">
        <v>25.5</v>
      </c>
      <c r="P48" s="25"/>
      <c r="Q48" s="21">
        <v>17300</v>
      </c>
      <c r="R48" s="19">
        <f>59.25*E48</f>
        <v>14753.25</v>
      </c>
      <c r="S48" s="22">
        <f>-35*E48</f>
        <v>-8715</v>
      </c>
      <c r="T48" s="26">
        <f>W48*F48*0.0045</f>
        <v>4613.3668242813137</v>
      </c>
      <c r="U48" s="19">
        <f>E48*5</f>
        <v>1245</v>
      </c>
      <c r="V48" s="14"/>
      <c r="W48" s="19">
        <f>((O48*F48)+Q48+R48+S48+U48)/G48</f>
        <v>33.274671457905541</v>
      </c>
      <c r="X48" s="19">
        <f>((O48*F48)+Q48+R48+S48+T48+U48)/G48</f>
        <v>33.464132107773359</v>
      </c>
      <c r="Y48" s="23">
        <f t="shared" si="68"/>
        <v>814851.61682428129</v>
      </c>
      <c r="Z48" s="24">
        <v>42546</v>
      </c>
    </row>
    <row r="49" spans="1:26" s="11" customFormat="1" x14ac:dyDescent="0.25">
      <c r="A49" s="37"/>
      <c r="B49" s="12" t="s">
        <v>24</v>
      </c>
      <c r="C49" s="13" t="s">
        <v>34</v>
      </c>
      <c r="D49" s="13" t="s">
        <v>34</v>
      </c>
      <c r="E49" s="14" t="s">
        <v>35</v>
      </c>
      <c r="F49" s="15">
        <f>42372*0.4536</f>
        <v>19219.939200000001</v>
      </c>
      <c r="G49" s="16">
        <v>19460.13</v>
      </c>
      <c r="H49" s="16">
        <f t="shared" si="67"/>
        <v>240.19080000000031</v>
      </c>
      <c r="I49" s="11" t="s">
        <v>145</v>
      </c>
      <c r="J49" s="17" t="s">
        <v>42</v>
      </c>
      <c r="K49" s="18">
        <v>42502</v>
      </c>
      <c r="L49" s="18">
        <v>42503</v>
      </c>
      <c r="M49" s="13" t="s">
        <v>44</v>
      </c>
      <c r="N49" s="13" t="s">
        <v>146</v>
      </c>
      <c r="O49" s="19"/>
      <c r="P49" s="20">
        <f>0.6791+0.1075</f>
        <v>0.78660000000000008</v>
      </c>
      <c r="Q49" s="21">
        <v>18500</v>
      </c>
      <c r="R49" s="19">
        <v>8991</v>
      </c>
      <c r="S49" s="22">
        <v>17.888999999999999</v>
      </c>
      <c r="T49" s="26">
        <f t="shared" ref="T49:T52" si="69">W49*F49*0.005</f>
        <v>3126.5732791209875</v>
      </c>
      <c r="V49" s="19">
        <v>0.1</v>
      </c>
      <c r="W49" s="19">
        <f>IF(O49&gt;0,O49,((P49*2.2046*S49)+(Q49+R49)/G49)+V49)</f>
        <v>32.534684387773581</v>
      </c>
      <c r="X49" s="19">
        <f>IF(O49&gt;0,O49,((P49*2.2046*S49)+(Q49+R49+T49)/G49)+V49)</f>
        <v>32.695349978348823</v>
      </c>
      <c r="Y49" s="23">
        <f t="shared" si="64"/>
        <v>628402.63870658574</v>
      </c>
      <c r="Z49" s="24">
        <v>42496</v>
      </c>
    </row>
    <row r="50" spans="1:26" s="11" customFormat="1" x14ac:dyDescent="0.25">
      <c r="A50" s="37"/>
      <c r="B50" s="12" t="s">
        <v>106</v>
      </c>
      <c r="C50" s="13" t="s">
        <v>25</v>
      </c>
      <c r="D50" s="13" t="s">
        <v>55</v>
      </c>
      <c r="E50" s="14" t="s">
        <v>57</v>
      </c>
      <c r="F50" s="15">
        <v>3670.1</v>
      </c>
      <c r="G50" s="16">
        <v>3670.1</v>
      </c>
      <c r="H50" s="16">
        <f t="shared" si="67"/>
        <v>0</v>
      </c>
      <c r="I50" s="30" t="s">
        <v>147</v>
      </c>
      <c r="J50" s="14"/>
      <c r="K50" s="18"/>
      <c r="L50" s="18">
        <v>42504</v>
      </c>
      <c r="M50" s="13" t="s">
        <v>47</v>
      </c>
      <c r="N50" s="13"/>
      <c r="O50" s="19">
        <v>15.8</v>
      </c>
      <c r="P50" s="20"/>
      <c r="Q50" s="19"/>
      <c r="R50" s="19"/>
      <c r="S50" s="22"/>
      <c r="T50" s="26"/>
      <c r="V50" s="19"/>
      <c r="W50" s="19">
        <f t="shared" ref="W50:W51" si="70">IF(O50&gt;0,O50,((P50*2.2046*S50)+(Q50+R50)/G50)+V50)</f>
        <v>15.8</v>
      </c>
      <c r="X50" s="19">
        <f t="shared" ref="X50:X51" si="71">IF(O50&gt;0,O50,((P50*2.2046*S50)+(Q50+R50+T50)/G50)+V50)</f>
        <v>15.8</v>
      </c>
      <c r="Y50" s="23">
        <f t="shared" si="64"/>
        <v>57987.58</v>
      </c>
      <c r="Z50" s="24">
        <v>42510</v>
      </c>
    </row>
    <row r="51" spans="1:26" s="11" customFormat="1" x14ac:dyDescent="0.25">
      <c r="A51" s="37"/>
      <c r="B51" s="12" t="s">
        <v>148</v>
      </c>
      <c r="C51" s="13" t="s">
        <v>149</v>
      </c>
      <c r="D51" s="13" t="s">
        <v>150</v>
      </c>
      <c r="E51" s="14" t="s">
        <v>151</v>
      </c>
      <c r="F51" s="15">
        <v>15003.6</v>
      </c>
      <c r="G51" s="16">
        <v>15003.6</v>
      </c>
      <c r="H51" s="16">
        <f t="shared" si="67"/>
        <v>0</v>
      </c>
      <c r="I51" s="11" t="s">
        <v>152</v>
      </c>
      <c r="J51" s="14"/>
      <c r="K51" s="18"/>
      <c r="L51" s="18">
        <v>42504</v>
      </c>
      <c r="M51" s="13" t="s">
        <v>47</v>
      </c>
      <c r="N51" s="13"/>
      <c r="O51" s="19">
        <v>85.5</v>
      </c>
      <c r="P51" s="20"/>
      <c r="Q51" s="19"/>
      <c r="R51" s="19"/>
      <c r="S51" s="22"/>
      <c r="T51" s="26"/>
      <c r="V51" s="19"/>
      <c r="W51" s="19">
        <f t="shared" si="70"/>
        <v>85.5</v>
      </c>
      <c r="X51" s="19">
        <f t="shared" si="71"/>
        <v>85.5</v>
      </c>
      <c r="Y51" s="23">
        <f t="shared" si="64"/>
        <v>1282807.8</v>
      </c>
      <c r="Z51" s="24">
        <v>42524</v>
      </c>
    </row>
    <row r="52" spans="1:26" s="11" customFormat="1" x14ac:dyDescent="0.25">
      <c r="A52" s="37"/>
      <c r="B52" s="12" t="s">
        <v>24</v>
      </c>
      <c r="C52" s="13" t="s">
        <v>25</v>
      </c>
      <c r="D52" s="13" t="s">
        <v>25</v>
      </c>
      <c r="E52" s="14" t="s">
        <v>26</v>
      </c>
      <c r="F52" s="15">
        <f>42596*0.4536</f>
        <v>19321.545600000001</v>
      </c>
      <c r="G52" s="16">
        <v>19210</v>
      </c>
      <c r="H52" s="16">
        <f t="shared" si="67"/>
        <v>-111.54560000000129</v>
      </c>
      <c r="I52" s="31" t="s">
        <v>153</v>
      </c>
      <c r="J52" s="17" t="s">
        <v>27</v>
      </c>
      <c r="K52" s="18">
        <v>42503</v>
      </c>
      <c r="L52" s="18">
        <v>42505</v>
      </c>
      <c r="M52" s="13" t="s">
        <v>48</v>
      </c>
      <c r="N52" s="13" t="s">
        <v>154</v>
      </c>
      <c r="O52" s="19"/>
      <c r="P52" s="20">
        <f>0.6706+0.105</f>
        <v>0.77559999999999996</v>
      </c>
      <c r="Q52" s="21">
        <v>18500</v>
      </c>
      <c r="R52" s="19">
        <v>9004</v>
      </c>
      <c r="S52" s="22">
        <v>18.07</v>
      </c>
      <c r="T52" s="26">
        <f t="shared" si="69"/>
        <v>3132.9331775882101</v>
      </c>
      <c r="V52" s="19">
        <v>0.1</v>
      </c>
      <c r="W52" s="19">
        <f>IF(O52&gt;0,O52,((P52*2.2046*S52)+(Q52+R52)/G52)+V52)</f>
        <v>32.429426117838211</v>
      </c>
      <c r="X52" s="19">
        <f>IF(O52&gt;0,O52,((P52*2.2046*S52)+(Q52+R52+T52)/G52)+V52)</f>
        <v>32.592514778826661</v>
      </c>
      <c r="Y52" s="23">
        <f t="shared" si="64"/>
        <v>629737.76051777333</v>
      </c>
      <c r="Z52" s="24">
        <v>42499</v>
      </c>
    </row>
    <row r="53" spans="1:26" s="11" customFormat="1" ht="15.75" thickBot="1" x14ac:dyDescent="0.3">
      <c r="A53" s="37"/>
      <c r="B53" s="27"/>
      <c r="C53" s="3"/>
      <c r="D53" s="3"/>
      <c r="E53" s="3"/>
      <c r="F53" s="28"/>
      <c r="G53" s="28"/>
      <c r="H53" s="28"/>
      <c r="I53" s="5"/>
      <c r="J53" s="3"/>
      <c r="K53" s="6"/>
      <c r="L53" s="6"/>
      <c r="M53" s="3"/>
      <c r="N53" s="3"/>
      <c r="O53" s="7"/>
      <c r="P53" s="8"/>
      <c r="Q53" s="7"/>
      <c r="R53" s="7"/>
      <c r="S53" s="7"/>
      <c r="T53" s="7"/>
      <c r="U53" s="7"/>
      <c r="V53" s="7"/>
      <c r="W53" s="7"/>
      <c r="X53" s="7"/>
      <c r="Y53" s="10"/>
      <c r="Z53" s="29"/>
    </row>
    <row r="54" spans="1:26" s="11" customFormat="1" x14ac:dyDescent="0.25">
      <c r="A54" s="39"/>
      <c r="B54" s="14" t="s">
        <v>36</v>
      </c>
      <c r="C54" s="14" t="s">
        <v>37</v>
      </c>
      <c r="D54" s="13" t="s">
        <v>155</v>
      </c>
      <c r="E54" s="14">
        <v>200</v>
      </c>
      <c r="F54" s="15">
        <v>25495</v>
      </c>
      <c r="G54" s="16">
        <v>20470</v>
      </c>
      <c r="H54" s="16">
        <f t="shared" ref="H54:H57" si="72">G54-F54</f>
        <v>-5025</v>
      </c>
      <c r="I54" s="13" t="s">
        <v>156</v>
      </c>
      <c r="J54" s="38">
        <v>201</v>
      </c>
      <c r="K54" s="18"/>
      <c r="L54" s="18">
        <v>42505</v>
      </c>
      <c r="M54" s="13" t="s">
        <v>48</v>
      </c>
      <c r="N54" s="14"/>
      <c r="O54" s="19">
        <v>26</v>
      </c>
      <c r="P54" s="25"/>
      <c r="Q54" s="21">
        <v>17300</v>
      </c>
      <c r="R54" s="19">
        <f>61.75*E54</f>
        <v>12350</v>
      </c>
      <c r="S54" s="22">
        <f>-35*E54</f>
        <v>-7000</v>
      </c>
      <c r="T54" s="26">
        <f>W54*F54*0.0045</f>
        <v>3847.7148656570585</v>
      </c>
      <c r="U54" s="19">
        <f>E54*5</f>
        <v>1000</v>
      </c>
      <c r="V54" s="14"/>
      <c r="W54" s="19">
        <f>((O54*F54)+Q54+R54+S54+U54)/G54</f>
        <v>33.537860283341473</v>
      </c>
      <c r="X54" s="19">
        <f>((O54*F54)+Q54+R54+S54+T54+U54)/G54</f>
        <v>33.725828767252423</v>
      </c>
      <c r="Y54" s="23">
        <f>X54*G54</f>
        <v>690367.71486565715</v>
      </c>
      <c r="Z54" s="24">
        <v>42520</v>
      </c>
    </row>
    <row r="55" spans="1:26" s="11" customFormat="1" x14ac:dyDescent="0.25">
      <c r="A55" s="39"/>
      <c r="B55" s="12" t="s">
        <v>36</v>
      </c>
      <c r="C55" s="14" t="s">
        <v>157</v>
      </c>
      <c r="D55" s="13" t="s">
        <v>64</v>
      </c>
      <c r="E55" s="14">
        <v>129</v>
      </c>
      <c r="F55" s="15">
        <v>14265</v>
      </c>
      <c r="G55" s="16">
        <v>11460</v>
      </c>
      <c r="H55" s="16">
        <f t="shared" si="72"/>
        <v>-2805</v>
      </c>
      <c r="I55" s="13" t="s">
        <v>158</v>
      </c>
      <c r="J55" s="38">
        <v>128</v>
      </c>
      <c r="K55" s="18"/>
      <c r="L55" s="18">
        <v>42505</v>
      </c>
      <c r="M55" s="13" t="s">
        <v>48</v>
      </c>
      <c r="N55" s="14"/>
      <c r="O55" s="19">
        <v>26</v>
      </c>
      <c r="P55" s="25"/>
      <c r="Q55" s="21">
        <v>13600</v>
      </c>
      <c r="R55" s="19">
        <f t="shared" ref="R55:R56" si="73">61.75*E55</f>
        <v>7965.75</v>
      </c>
      <c r="S55" s="22">
        <f t="shared" ref="S55:S56" si="74">-35*E55</f>
        <v>-4515</v>
      </c>
      <c r="T55" s="26">
        <f>W55*F55*0.0045</f>
        <v>2176.6396821007852</v>
      </c>
      <c r="U55" s="19">
        <f>E55*5</f>
        <v>645</v>
      </c>
      <c r="V55" s="14"/>
      <c r="W55" s="19">
        <f>((O55*F55)+Q55+R55+S55+U55)/G55</f>
        <v>33.908006108202443</v>
      </c>
      <c r="X55" s="19">
        <f>((O55*F55)+Q55+R55+S55+T55+U55)/G55</f>
        <v>34.09793976283602</v>
      </c>
      <c r="Y55" s="23">
        <f>X55*G55</f>
        <v>390762.38968210079</v>
      </c>
      <c r="Z55" s="24">
        <v>42520</v>
      </c>
    </row>
    <row r="56" spans="1:26" s="11" customFormat="1" x14ac:dyDescent="0.25">
      <c r="A56" s="39"/>
      <c r="B56" s="12" t="s">
        <v>36</v>
      </c>
      <c r="C56" s="14" t="s">
        <v>37</v>
      </c>
      <c r="D56" s="13" t="s">
        <v>155</v>
      </c>
      <c r="E56" s="14">
        <v>250</v>
      </c>
      <c r="F56" s="15">
        <v>29175</v>
      </c>
      <c r="G56" s="16">
        <f>16590+6770</f>
        <v>23360</v>
      </c>
      <c r="H56" s="16">
        <f t="shared" si="72"/>
        <v>-5815</v>
      </c>
      <c r="I56" s="13" t="s">
        <v>159</v>
      </c>
      <c r="J56" s="32">
        <v>249</v>
      </c>
      <c r="K56" s="18"/>
      <c r="L56" s="18">
        <v>42506</v>
      </c>
      <c r="M56" s="13" t="s">
        <v>49</v>
      </c>
      <c r="N56" s="14"/>
      <c r="O56" s="19">
        <v>26</v>
      </c>
      <c r="P56" s="25"/>
      <c r="Q56" s="21">
        <v>17300</v>
      </c>
      <c r="R56" s="19">
        <f t="shared" si="73"/>
        <v>15437.5</v>
      </c>
      <c r="S56" s="22">
        <f t="shared" si="74"/>
        <v>-8750</v>
      </c>
      <c r="T56" s="26">
        <f>W56*F56*0.0045</f>
        <v>4405.0300259524829</v>
      </c>
      <c r="U56" s="19">
        <f>E56*5</f>
        <v>1250</v>
      </c>
      <c r="V56" s="14"/>
      <c r="W56" s="19">
        <f>((O56*F56)+Q56+R56+S56+U56)/G56</f>
        <v>33.552547089041099</v>
      </c>
      <c r="X56" s="19">
        <f>((O56*F56)+Q56+R56+S56+T56+U56)/G56</f>
        <v>33.741118579878105</v>
      </c>
      <c r="Y56" s="23">
        <f>X56*G56</f>
        <v>788192.5300259525</v>
      </c>
      <c r="Z56" s="24">
        <v>42520</v>
      </c>
    </row>
    <row r="57" spans="1:26" s="11" customFormat="1" x14ac:dyDescent="0.25">
      <c r="A57" s="39"/>
      <c r="B57" s="12" t="s">
        <v>148</v>
      </c>
      <c r="C57" s="13" t="s">
        <v>149</v>
      </c>
      <c r="D57" s="13" t="s">
        <v>150</v>
      </c>
      <c r="E57" s="14" t="s">
        <v>160</v>
      </c>
      <c r="F57" s="15">
        <v>5244.58</v>
      </c>
      <c r="G57" s="16">
        <v>5244.58</v>
      </c>
      <c r="H57" s="16">
        <f t="shared" si="72"/>
        <v>0</v>
      </c>
      <c r="I57" s="13" t="s">
        <v>161</v>
      </c>
      <c r="J57" s="14"/>
      <c r="K57" s="18"/>
      <c r="L57" s="18">
        <v>42506</v>
      </c>
      <c r="M57" s="13" t="s">
        <v>49</v>
      </c>
      <c r="N57" s="14"/>
      <c r="O57" s="19">
        <v>85.5</v>
      </c>
      <c r="P57" s="25"/>
      <c r="Q57" s="19"/>
      <c r="R57" s="19"/>
      <c r="S57" s="22"/>
      <c r="T57" s="26"/>
      <c r="U57" s="19"/>
      <c r="V57" s="19"/>
      <c r="W57" s="19">
        <f t="shared" ref="W57:W60" si="75">IF(O57&gt;0,O57,((P57*2.2046*S57)+(Q57+R57)/G57)+V57)</f>
        <v>85.5</v>
      </c>
      <c r="X57" s="19">
        <f t="shared" ref="X57:X60" si="76">IF(O57&gt;0,O57,((P57*2.2046*S57)+(Q57+R57+T57)/G57)+V57)</f>
        <v>85.5</v>
      </c>
      <c r="Y57" s="23">
        <f>X57*F57</f>
        <v>448411.58999999997</v>
      </c>
      <c r="Z57" s="24">
        <v>42527</v>
      </c>
    </row>
    <row r="58" spans="1:26" s="11" customFormat="1" x14ac:dyDescent="0.25">
      <c r="A58" s="39"/>
      <c r="B58" s="12" t="s">
        <v>24</v>
      </c>
      <c r="C58" s="13" t="s">
        <v>29</v>
      </c>
      <c r="D58" s="13" t="s">
        <v>29</v>
      </c>
      <c r="E58" s="14" t="s">
        <v>32</v>
      </c>
      <c r="F58" s="15">
        <f>40952*0.4536</f>
        <v>18575.8272</v>
      </c>
      <c r="G58" s="16">
        <v>18630.48</v>
      </c>
      <c r="H58" s="16">
        <f>G58-F58</f>
        <v>54.652799999999843</v>
      </c>
      <c r="I58" s="11" t="s">
        <v>162</v>
      </c>
      <c r="J58" s="17" t="s">
        <v>27</v>
      </c>
      <c r="K58" s="18">
        <v>42506</v>
      </c>
      <c r="L58" s="18">
        <v>42507</v>
      </c>
      <c r="M58" s="13" t="s">
        <v>28</v>
      </c>
      <c r="N58" s="13" t="s">
        <v>163</v>
      </c>
      <c r="O58" s="19"/>
      <c r="P58" s="20">
        <f>0.6433+0.1</f>
        <v>0.74329999999999996</v>
      </c>
      <c r="Q58" s="21">
        <v>18500</v>
      </c>
      <c r="R58" s="19">
        <v>9004</v>
      </c>
      <c r="S58" s="22">
        <v>18.510000000000002</v>
      </c>
      <c r="T58" s="26">
        <f>W58*F58*0.005</f>
        <v>2963.6099563886969</v>
      </c>
      <c r="V58" s="19">
        <v>0.1</v>
      </c>
      <c r="W58" s="19">
        <f t="shared" si="75"/>
        <v>31.908242087746132</v>
      </c>
      <c r="X58" s="19">
        <f t="shared" si="76"/>
        <v>32.067315281587014</v>
      </c>
      <c r="Y58" s="23">
        <f>X58*F58</f>
        <v>595676.90743867971</v>
      </c>
      <c r="Z58" s="24">
        <v>42517</v>
      </c>
    </row>
    <row r="59" spans="1:26" s="11" customFormat="1" x14ac:dyDescent="0.25">
      <c r="A59" s="39"/>
      <c r="B59" s="12" t="s">
        <v>24</v>
      </c>
      <c r="C59" s="13" t="s">
        <v>34</v>
      </c>
      <c r="D59" s="13" t="s">
        <v>34</v>
      </c>
      <c r="E59" s="14" t="s">
        <v>35</v>
      </c>
      <c r="F59" s="15">
        <f>41240*0.4536</f>
        <v>18706.464</v>
      </c>
      <c r="G59" s="16">
        <v>18670.13</v>
      </c>
      <c r="H59" s="16">
        <f t="shared" ref="H59:H60" si="77">G59-F59</f>
        <v>-36.333999999998923</v>
      </c>
      <c r="I59" s="11" t="s">
        <v>164</v>
      </c>
      <c r="J59" s="17" t="s">
        <v>38</v>
      </c>
      <c r="K59" s="18">
        <v>42506</v>
      </c>
      <c r="L59" s="18">
        <v>42508</v>
      </c>
      <c r="M59" s="13" t="s">
        <v>39</v>
      </c>
      <c r="N59" s="13" t="s">
        <v>165</v>
      </c>
      <c r="O59" s="19"/>
      <c r="P59" s="20">
        <f>0.6803+0.1075</f>
        <v>0.78780000000000006</v>
      </c>
      <c r="Q59" s="21">
        <v>18500</v>
      </c>
      <c r="R59" s="19">
        <v>9004</v>
      </c>
      <c r="S59" s="22">
        <v>17.96</v>
      </c>
      <c r="T59" s="26">
        <f t="shared" ref="T59:T60" si="78">W59*F59*0.005</f>
        <v>3064.660704518627</v>
      </c>
      <c r="V59" s="19">
        <v>0.1</v>
      </c>
      <c r="W59" s="19">
        <f t="shared" si="75"/>
        <v>32.765793733317288</v>
      </c>
      <c r="X59" s="19">
        <f t="shared" si="76"/>
        <v>32.929941530066351</v>
      </c>
      <c r="Y59" s="23">
        <f t="shared" ref="Y59:Y64" si="79">X59*F59</f>
        <v>616002.76575429109</v>
      </c>
      <c r="Z59" s="24">
        <v>42501</v>
      </c>
    </row>
    <row r="60" spans="1:26" s="11" customFormat="1" x14ac:dyDescent="0.25">
      <c r="A60" s="39"/>
      <c r="B60" s="12" t="s">
        <v>166</v>
      </c>
      <c r="C60" s="13" t="s">
        <v>167</v>
      </c>
      <c r="D60" s="13" t="s">
        <v>168</v>
      </c>
      <c r="E60" s="14" t="s">
        <v>169</v>
      </c>
      <c r="F60" s="15">
        <f>39975*0.4536</f>
        <v>18132.66</v>
      </c>
      <c r="G60" s="16">
        <v>18132.66</v>
      </c>
      <c r="H60" s="16">
        <f t="shared" si="77"/>
        <v>0</v>
      </c>
      <c r="I60" s="11">
        <v>473820</v>
      </c>
      <c r="J60" s="17" t="s">
        <v>38</v>
      </c>
      <c r="K60" s="18">
        <v>42506</v>
      </c>
      <c r="L60" s="18">
        <v>42507</v>
      </c>
      <c r="M60" s="13" t="s">
        <v>28</v>
      </c>
      <c r="N60" s="13"/>
      <c r="O60" s="19"/>
      <c r="P60" s="20">
        <v>0.46</v>
      </c>
      <c r="Q60" s="21">
        <v>18500</v>
      </c>
      <c r="R60" s="19">
        <v>9004</v>
      </c>
      <c r="S60" s="22">
        <v>17.957999999999998</v>
      </c>
      <c r="T60" s="26">
        <f t="shared" si="78"/>
        <v>1797.7005762384024</v>
      </c>
      <c r="V60" s="19">
        <v>0.1</v>
      </c>
      <c r="W60" s="19">
        <f t="shared" si="75"/>
        <v>19.82831615701615</v>
      </c>
      <c r="X60" s="19">
        <f t="shared" si="76"/>
        <v>19.927457737801234</v>
      </c>
      <c r="Y60" s="23">
        <f t="shared" si="79"/>
        <v>361337.81582391891</v>
      </c>
      <c r="Z60" s="24">
        <v>42501</v>
      </c>
    </row>
    <row r="61" spans="1:26" s="11" customFormat="1" x14ac:dyDescent="0.25">
      <c r="A61" s="39"/>
      <c r="B61" s="12" t="s">
        <v>36</v>
      </c>
      <c r="C61" s="14" t="s">
        <v>37</v>
      </c>
      <c r="D61" s="13" t="s">
        <v>50</v>
      </c>
      <c r="E61" s="14">
        <v>246</v>
      </c>
      <c r="F61" s="15">
        <v>31000</v>
      </c>
      <c r="G61" s="16">
        <f>17720+7060</f>
        <v>24780</v>
      </c>
      <c r="H61" s="16">
        <f>G61-F61</f>
        <v>-6220</v>
      </c>
      <c r="I61" s="11" t="s">
        <v>170</v>
      </c>
      <c r="J61" s="14"/>
      <c r="K61" s="18"/>
      <c r="L61" s="18">
        <v>42507</v>
      </c>
      <c r="M61" s="13" t="s">
        <v>28</v>
      </c>
      <c r="N61" s="14"/>
      <c r="O61" s="19">
        <v>26</v>
      </c>
      <c r="P61" s="25"/>
      <c r="Q61" s="21">
        <v>17300</v>
      </c>
      <c r="R61" s="19">
        <f t="shared" ref="R61" si="80">61.75*E61</f>
        <v>15190.5</v>
      </c>
      <c r="S61" s="22">
        <f t="shared" ref="S61" si="81">-35*E61</f>
        <v>-8610</v>
      </c>
      <c r="T61" s="26">
        <f>W61*F61*0.0045</f>
        <v>4678.7697639225171</v>
      </c>
      <c r="U61" s="19">
        <f>E61*5</f>
        <v>1230</v>
      </c>
      <c r="V61" s="14"/>
      <c r="W61" s="19">
        <f>((O61*F61)+Q61+R61+S61+U61)/G61</f>
        <v>33.539568200161419</v>
      </c>
      <c r="X61" s="19">
        <f>((O61*F61)+Q61+R61+S61+T61+U61)/G61</f>
        <v>33.728380539302769</v>
      </c>
      <c r="Y61" s="23">
        <f>X61*G61</f>
        <v>835789.26976392267</v>
      </c>
      <c r="Z61" s="24">
        <v>42520</v>
      </c>
    </row>
    <row r="62" spans="1:26" s="11" customFormat="1" x14ac:dyDescent="0.25">
      <c r="A62" s="39"/>
      <c r="B62" s="12" t="s">
        <v>24</v>
      </c>
      <c r="C62" s="13" t="s">
        <v>25</v>
      </c>
      <c r="D62" s="13" t="s">
        <v>25</v>
      </c>
      <c r="E62" s="14" t="s">
        <v>26</v>
      </c>
      <c r="F62" s="15">
        <f>42592*0.4536</f>
        <v>19319.731199999998</v>
      </c>
      <c r="G62" s="16">
        <v>19253.41</v>
      </c>
      <c r="H62" s="16">
        <f>G62-F62</f>
        <v>-66.321199999998498</v>
      </c>
      <c r="I62" s="11" t="s">
        <v>171</v>
      </c>
      <c r="J62" s="17" t="s">
        <v>42</v>
      </c>
      <c r="K62" s="18">
        <v>42507</v>
      </c>
      <c r="L62" s="18">
        <v>42508</v>
      </c>
      <c r="M62" s="13" t="s">
        <v>39</v>
      </c>
      <c r="N62" s="13" t="s">
        <v>172</v>
      </c>
      <c r="O62" s="19"/>
      <c r="P62" s="20">
        <f>0.6433+0.105</f>
        <v>0.74829999999999997</v>
      </c>
      <c r="Q62" s="21">
        <v>18500</v>
      </c>
      <c r="R62" s="19">
        <v>9004</v>
      </c>
      <c r="S62" s="22">
        <v>17.96</v>
      </c>
      <c r="T62" s="26">
        <f>W62*F62*0.005</f>
        <v>3009.7414539016549</v>
      </c>
      <c r="V62" s="19">
        <v>0.1</v>
      </c>
      <c r="W62" s="19">
        <f t="shared" ref="W62" si="82">IF(O62&gt;0,O62,((P62*2.2046*S62)+(Q62+R62)/G62)+V62)</f>
        <v>31.157177320372398</v>
      </c>
      <c r="X62" s="19">
        <f t="shared" ref="X62" si="83">IF(O62&gt;0,O62,((P62*2.2046*S62)+(Q62+R62+T62)/G62)+V62)</f>
        <v>31.313499834353124</v>
      </c>
      <c r="Y62" s="23">
        <f t="shared" ref="Y62" si="84">X62*F62</f>
        <v>604968.39973094687</v>
      </c>
      <c r="Z62" s="24">
        <v>42501</v>
      </c>
    </row>
    <row r="63" spans="1:26" s="11" customFormat="1" x14ac:dyDescent="0.25">
      <c r="A63" s="39"/>
      <c r="B63" s="12" t="s">
        <v>36</v>
      </c>
      <c r="C63" s="14" t="s">
        <v>37</v>
      </c>
      <c r="D63" s="13" t="s">
        <v>50</v>
      </c>
      <c r="E63" s="14">
        <v>246</v>
      </c>
      <c r="F63" s="15">
        <v>30120</v>
      </c>
      <c r="G63" s="16">
        <f>18290+5890</f>
        <v>24180</v>
      </c>
      <c r="H63" s="16">
        <f>G63-F63</f>
        <v>-5940</v>
      </c>
      <c r="I63" s="11" t="s">
        <v>173</v>
      </c>
      <c r="J63" s="14"/>
      <c r="K63" s="18"/>
      <c r="L63" s="18">
        <v>42508</v>
      </c>
      <c r="M63" s="13" t="s">
        <v>39</v>
      </c>
      <c r="N63" s="14"/>
      <c r="O63" s="19">
        <v>26</v>
      </c>
      <c r="P63" s="25"/>
      <c r="Q63" s="21">
        <v>17300</v>
      </c>
      <c r="R63" s="19">
        <f t="shared" ref="R63" si="85">61.75*E63</f>
        <v>15190.5</v>
      </c>
      <c r="S63" s="22">
        <f t="shared" ref="S63" si="86">-35*E63</f>
        <v>-8610</v>
      </c>
      <c r="T63" s="26">
        <f>W63*F63*0.0045</f>
        <v>4530.5029764267983</v>
      </c>
      <c r="U63" s="19">
        <f>E63*5</f>
        <v>1230</v>
      </c>
      <c r="V63" s="14"/>
      <c r="W63" s="19">
        <f>((O63*F63)+Q63+R63+S63+U63)/G63</f>
        <v>33.42557899090157</v>
      </c>
      <c r="X63" s="19">
        <f>((O63*F63)+Q63+R63+S63+T63+U63)/G63</f>
        <v>33.612944705394</v>
      </c>
      <c r="Y63" s="23">
        <f>X63*G63</f>
        <v>812761.00297642697</v>
      </c>
      <c r="Z63" s="24">
        <v>42521</v>
      </c>
    </row>
    <row r="64" spans="1:26" s="11" customFormat="1" x14ac:dyDescent="0.25">
      <c r="A64" s="39"/>
      <c r="B64" s="12" t="s">
        <v>24</v>
      </c>
      <c r="C64" s="13" t="s">
        <v>25</v>
      </c>
      <c r="D64" s="13" t="s">
        <v>25</v>
      </c>
      <c r="E64" s="14" t="s">
        <v>26</v>
      </c>
      <c r="F64" s="15">
        <f>42544*0.4536</f>
        <v>19297.9584</v>
      </c>
      <c r="G64" s="16">
        <v>19185.62</v>
      </c>
      <c r="H64" s="16">
        <f>G64-F64</f>
        <v>-112.33840000000055</v>
      </c>
      <c r="I64" s="11" t="s">
        <v>174</v>
      </c>
      <c r="J64" s="17" t="s">
        <v>33</v>
      </c>
      <c r="K64" s="18">
        <v>42507</v>
      </c>
      <c r="L64" s="18">
        <v>42508</v>
      </c>
      <c r="M64" s="13" t="s">
        <v>39</v>
      </c>
      <c r="N64" s="13" t="s">
        <v>175</v>
      </c>
      <c r="O64" s="19"/>
      <c r="P64" s="20">
        <f>0.6442+0.105</f>
        <v>0.74919999999999998</v>
      </c>
      <c r="Q64" s="21">
        <v>18500</v>
      </c>
      <c r="R64" s="19">
        <v>9004</v>
      </c>
      <c r="S64" s="22">
        <v>17.97</v>
      </c>
      <c r="T64" s="26">
        <f>W64*F64*0.005</f>
        <v>3011.8687303762122</v>
      </c>
      <c r="V64" s="19">
        <v>0.1</v>
      </c>
      <c r="W64" s="19">
        <f t="shared" ref="W64" si="87">IF(O64&gt;0,O64,((P64*2.2046*S64)+(Q64+R64)/G64)+V64)</f>
        <v>31.214376857359294</v>
      </c>
      <c r="X64" s="19">
        <f t="shared" ref="X64" si="88">IF(O64&gt;0,O64,((P64*2.2046*S64)+(Q64+R64+T64)/G64)+V64)</f>
        <v>31.371362596177025</v>
      </c>
      <c r="Y64" s="23">
        <f t="shared" si="79"/>
        <v>605403.25033234025</v>
      </c>
      <c r="Z64" s="24">
        <v>42502</v>
      </c>
    </row>
    <row r="65" spans="1:26" s="11" customFormat="1" x14ac:dyDescent="0.25">
      <c r="A65" s="39"/>
      <c r="B65" s="12" t="s">
        <v>24</v>
      </c>
      <c r="C65" s="13" t="s">
        <v>25</v>
      </c>
      <c r="D65" s="13" t="s">
        <v>25</v>
      </c>
      <c r="E65" s="14" t="s">
        <v>26</v>
      </c>
      <c r="F65" s="15">
        <f>42612*0.4536</f>
        <v>19328.803199999998</v>
      </c>
      <c r="G65" s="16">
        <v>19267.740000000002</v>
      </c>
      <c r="H65" s="16">
        <f>G65-F65</f>
        <v>-61.063199999996868</v>
      </c>
      <c r="I65" s="11" t="s">
        <v>176</v>
      </c>
      <c r="J65" s="17" t="s">
        <v>27</v>
      </c>
      <c r="K65" s="18">
        <v>42508</v>
      </c>
      <c r="L65" s="18">
        <v>42509</v>
      </c>
      <c r="M65" s="13" t="s">
        <v>41</v>
      </c>
      <c r="N65" s="13" t="s">
        <v>175</v>
      </c>
      <c r="O65" s="19"/>
      <c r="P65" s="20">
        <v>0.74919999999999998</v>
      </c>
      <c r="Q65" s="21">
        <v>18500</v>
      </c>
      <c r="R65" s="19">
        <v>9082</v>
      </c>
      <c r="S65" s="22">
        <v>17.97</v>
      </c>
      <c r="T65" s="26">
        <f t="shared" ref="T65" si="89">W65*F65*0.005</f>
        <v>3016.4834815945715</v>
      </c>
      <c r="V65" s="19">
        <v>0.1</v>
      </c>
      <c r="W65" s="19">
        <f>IF(O65&gt;0,O65,((P65*2.2046*S65)+(Q65+R65)/G65)+V65)</f>
        <v>31.212315117312297</v>
      </c>
      <c r="X65" s="19">
        <f>IF(O65&gt;0,O65,((P65*2.2046*S65)+(Q65+R65+T65)/G65)+V65)</f>
        <v>31.368871282259228</v>
      </c>
      <c r="Y65" s="23">
        <f>X65*F65</f>
        <v>606322.73962092027</v>
      </c>
      <c r="Z65" s="24">
        <v>42502</v>
      </c>
    </row>
    <row r="66" spans="1:26" s="11" customFormat="1" x14ac:dyDescent="0.25">
      <c r="A66" s="39"/>
      <c r="B66" s="12" t="s">
        <v>36</v>
      </c>
      <c r="C66" s="14" t="s">
        <v>37</v>
      </c>
      <c r="D66" s="13" t="s">
        <v>50</v>
      </c>
      <c r="E66" s="14">
        <v>246</v>
      </c>
      <c r="F66" s="15">
        <v>28695</v>
      </c>
      <c r="G66" s="16">
        <f>24500-1400</f>
        <v>23100</v>
      </c>
      <c r="H66" s="16">
        <f t="shared" ref="H66:H69" si="90">G66-F66</f>
        <v>-5595</v>
      </c>
      <c r="I66" s="30" t="s">
        <v>177</v>
      </c>
      <c r="J66" s="38">
        <v>250</v>
      </c>
      <c r="K66" s="18"/>
      <c r="L66" s="18">
        <v>42509</v>
      </c>
      <c r="M66" s="13" t="s">
        <v>41</v>
      </c>
      <c r="N66" s="14"/>
      <c r="O66" s="19">
        <v>26</v>
      </c>
      <c r="P66" s="25"/>
      <c r="Q66" s="21">
        <v>17300</v>
      </c>
      <c r="R66" s="19">
        <f t="shared" ref="R66:R67" si="91">61.75*E66</f>
        <v>15190.5</v>
      </c>
      <c r="S66" s="22">
        <f t="shared" ref="S66:S67" si="92">-35*E66</f>
        <v>-8610</v>
      </c>
      <c r="T66" s="26">
        <f t="shared" ref="T66:T67" si="93">W66*F66*0.0045</f>
        <v>4310.8489183441552</v>
      </c>
      <c r="U66" s="19">
        <f t="shared" ref="U66:U67" si="94">E66*5</f>
        <v>1230</v>
      </c>
      <c r="V66" s="14"/>
      <c r="W66" s="19">
        <f t="shared" ref="W66:W67" si="95">((O66*F66)+Q66+R66+S66+U66)/G66</f>
        <v>33.384437229437232</v>
      </c>
      <c r="X66" s="19">
        <f t="shared" ref="X66:X67" si="96">((O66*F66)+Q66+R66+S66+T66+U66)/G66</f>
        <v>33.571054065729186</v>
      </c>
      <c r="Y66" s="23">
        <f t="shared" ref="Y66:Y67" si="97">X66*G66</f>
        <v>775491.34891834424</v>
      </c>
      <c r="Z66" s="24">
        <v>42522</v>
      </c>
    </row>
    <row r="67" spans="1:26" s="11" customFormat="1" x14ac:dyDescent="0.25">
      <c r="A67" s="39"/>
      <c r="B67" s="12" t="s">
        <v>36</v>
      </c>
      <c r="C67" s="14" t="s">
        <v>37</v>
      </c>
      <c r="D67" s="13" t="s">
        <v>43</v>
      </c>
      <c r="E67" s="14">
        <v>130</v>
      </c>
      <c r="F67" s="15">
        <v>16600</v>
      </c>
      <c r="G67" s="16">
        <f>11990+1400</f>
        <v>13390</v>
      </c>
      <c r="H67" s="16">
        <f t="shared" si="90"/>
        <v>-3210</v>
      </c>
      <c r="I67" s="30" t="s">
        <v>178</v>
      </c>
      <c r="J67" s="38">
        <v>126</v>
      </c>
      <c r="K67" s="18"/>
      <c r="L67" s="18">
        <v>42509</v>
      </c>
      <c r="M67" s="13" t="s">
        <v>41</v>
      </c>
      <c r="N67" s="14"/>
      <c r="O67" s="19">
        <v>26</v>
      </c>
      <c r="P67" s="25"/>
      <c r="Q67" s="21">
        <v>13600</v>
      </c>
      <c r="R67" s="19">
        <f t="shared" si="91"/>
        <v>8027.5</v>
      </c>
      <c r="S67" s="22">
        <f t="shared" si="92"/>
        <v>-4550</v>
      </c>
      <c r="T67" s="26">
        <f t="shared" si="93"/>
        <v>2506.7038274831962</v>
      </c>
      <c r="U67" s="19">
        <f t="shared" si="94"/>
        <v>650</v>
      </c>
      <c r="V67" s="14"/>
      <c r="W67" s="19">
        <f t="shared" si="95"/>
        <v>33.556945481702762</v>
      </c>
      <c r="X67" s="19">
        <f t="shared" si="96"/>
        <v>33.744152638348261</v>
      </c>
      <c r="Y67" s="23">
        <f t="shared" si="97"/>
        <v>451834.20382748323</v>
      </c>
      <c r="Z67" s="24">
        <v>42522</v>
      </c>
    </row>
    <row r="68" spans="1:26" s="11" customFormat="1" x14ac:dyDescent="0.25">
      <c r="A68" s="39"/>
      <c r="B68" s="12" t="s">
        <v>24</v>
      </c>
      <c r="C68" s="13" t="s">
        <v>25</v>
      </c>
      <c r="D68" s="13" t="s">
        <v>25</v>
      </c>
      <c r="E68" s="14" t="s">
        <v>26</v>
      </c>
      <c r="F68" s="15">
        <f>42776*0.4536</f>
        <v>19403.193599999999</v>
      </c>
      <c r="G68" s="16">
        <v>19341.099999999999</v>
      </c>
      <c r="H68" s="16">
        <f t="shared" si="90"/>
        <v>-62.093600000000151</v>
      </c>
      <c r="I68" s="11" t="s">
        <v>179</v>
      </c>
      <c r="J68" s="17" t="s">
        <v>63</v>
      </c>
      <c r="K68" s="18">
        <v>42509</v>
      </c>
      <c r="L68" s="18">
        <v>42510</v>
      </c>
      <c r="M68" s="13" t="s">
        <v>44</v>
      </c>
      <c r="N68" s="13" t="s">
        <v>180</v>
      </c>
      <c r="O68" s="19"/>
      <c r="P68" s="20">
        <f>0.6409+0.105</f>
        <v>0.74590000000000001</v>
      </c>
      <c r="Q68" s="21">
        <v>21000</v>
      </c>
      <c r="R68" s="19">
        <v>9056</v>
      </c>
      <c r="S68" s="22">
        <v>18.18</v>
      </c>
      <c r="T68" s="26">
        <f t="shared" ref="T68:T69" si="98">W68*F68*0.005</f>
        <v>3060.794701562153</v>
      </c>
      <c r="V68" s="19">
        <v>0.1</v>
      </c>
      <c r="W68" s="19">
        <f>IF(O68&gt;0,O68,((P68*2.2046*S68)+(Q68+R68)/G68)+V68)</f>
        <v>31.549390936986303</v>
      </c>
      <c r="X68" s="19">
        <f>IF(O68&gt;0,O68,((P68*2.2046*S68)+(Q68+R68+T68)/G68)+V68)</f>
        <v>31.707644330100557</v>
      </c>
      <c r="Y68" s="23">
        <f t="shared" ref="Y68:Y75" si="99">X68*F68</f>
        <v>615229.56153688335</v>
      </c>
      <c r="Z68" s="24">
        <v>42503</v>
      </c>
    </row>
    <row r="69" spans="1:26" s="11" customFormat="1" x14ac:dyDescent="0.25">
      <c r="A69" s="39"/>
      <c r="B69" s="12" t="s">
        <v>24</v>
      </c>
      <c r="C69" s="13" t="s">
        <v>25</v>
      </c>
      <c r="D69" s="13" t="s">
        <v>25</v>
      </c>
      <c r="E69" s="14" t="s">
        <v>32</v>
      </c>
      <c r="F69" s="15">
        <f>41026*0.4536</f>
        <v>18609.393599999999</v>
      </c>
      <c r="G69" s="16">
        <v>18631.95</v>
      </c>
      <c r="H69" s="16">
        <f t="shared" si="90"/>
        <v>22.556400000001304</v>
      </c>
      <c r="I69" s="11" t="s">
        <v>181</v>
      </c>
      <c r="J69" s="17" t="s">
        <v>38</v>
      </c>
      <c r="K69" s="18">
        <v>42509</v>
      </c>
      <c r="L69" s="18">
        <v>42510</v>
      </c>
      <c r="M69" s="13" t="s">
        <v>44</v>
      </c>
      <c r="N69" s="13" t="s">
        <v>180</v>
      </c>
      <c r="O69" s="19"/>
      <c r="P69" s="20">
        <f>0.6409+0.105</f>
        <v>0.74590000000000001</v>
      </c>
      <c r="Q69" s="21">
        <v>18500</v>
      </c>
      <c r="R69" s="19">
        <v>9056</v>
      </c>
      <c r="S69" s="22">
        <v>18.18</v>
      </c>
      <c r="T69" s="26">
        <f t="shared" si="98"/>
        <v>2928.5937139147231</v>
      </c>
      <c r="V69" s="19">
        <v>0.1</v>
      </c>
      <c r="W69" s="19">
        <f>IF(O69&gt;0,O69,((P69*2.2046*S69)+(Q69+R69)/G69)+V69)</f>
        <v>31.474359421520568</v>
      </c>
      <c r="X69" s="19">
        <f>IF(O69&gt;0,O69,((P69*2.2046*S69)+(Q69+R69+T69)/G69)+V69)</f>
        <v>31.631540699589408</v>
      </c>
      <c r="Y69" s="23">
        <f t="shared" si="99"/>
        <v>588643.7910530786</v>
      </c>
      <c r="Z69" s="24">
        <v>42503</v>
      </c>
    </row>
    <row r="70" spans="1:26" s="11" customFormat="1" x14ac:dyDescent="0.25">
      <c r="A70" s="39"/>
      <c r="B70" s="12" t="s">
        <v>24</v>
      </c>
      <c r="C70" s="13" t="s">
        <v>29</v>
      </c>
      <c r="D70" s="13" t="s">
        <v>29</v>
      </c>
      <c r="E70" s="14" t="s">
        <v>32</v>
      </c>
      <c r="F70" s="15">
        <f>41214*0.4536</f>
        <v>18694.670399999999</v>
      </c>
      <c r="G70" s="16">
        <v>18684.09</v>
      </c>
      <c r="H70" s="16">
        <f>G70-F70</f>
        <v>-10.580399999998917</v>
      </c>
      <c r="I70" s="11" t="s">
        <v>182</v>
      </c>
      <c r="J70" s="17" t="s">
        <v>42</v>
      </c>
      <c r="K70" s="18">
        <v>42509</v>
      </c>
      <c r="L70" s="18">
        <v>42510</v>
      </c>
      <c r="M70" s="13" t="s">
        <v>44</v>
      </c>
      <c r="N70" s="13" t="s">
        <v>183</v>
      </c>
      <c r="O70" s="19"/>
      <c r="P70" s="20">
        <f>0.6442+0.1</f>
        <v>0.74419999999999997</v>
      </c>
      <c r="Q70" s="21">
        <v>18500</v>
      </c>
      <c r="R70" s="19">
        <v>9056</v>
      </c>
      <c r="S70" s="22">
        <v>18.510000000000002</v>
      </c>
      <c r="T70" s="26">
        <f>W70*F70*0.005</f>
        <v>2985.8674905045318</v>
      </c>
      <c r="V70" s="19">
        <v>0.1</v>
      </c>
      <c r="W70" s="19">
        <f t="shared" ref="W70:W71" si="100">IF(O70&gt;0,O70,((P70*2.2046*S70)+(Q70+R70)/G70)+V70)</f>
        <v>31.94351573595576</v>
      </c>
      <c r="X70" s="19">
        <f t="shared" ref="X70:X71" si="101">IF(O70&gt;0,O70,((P70*2.2046*S70)+(Q70+R70+T70)/G70)+V70)</f>
        <v>32.10332375927959</v>
      </c>
      <c r="Y70" s="23">
        <f t="shared" si="99"/>
        <v>600161.05642422079</v>
      </c>
      <c r="Z70" s="24">
        <v>42521</v>
      </c>
    </row>
    <row r="71" spans="1:26" s="11" customFormat="1" x14ac:dyDescent="0.25">
      <c r="A71" s="39"/>
      <c r="B71" s="12" t="s">
        <v>106</v>
      </c>
      <c r="C71" s="13" t="s">
        <v>25</v>
      </c>
      <c r="D71" s="13" t="s">
        <v>55</v>
      </c>
      <c r="E71" s="14" t="s">
        <v>57</v>
      </c>
      <c r="F71" s="15">
        <v>3746.7</v>
      </c>
      <c r="G71" s="16">
        <v>3746.7</v>
      </c>
      <c r="H71" s="16">
        <f>G71-F71</f>
        <v>0</v>
      </c>
      <c r="I71" s="11" t="s">
        <v>184</v>
      </c>
      <c r="J71" s="14"/>
      <c r="K71" s="18"/>
      <c r="L71" s="18">
        <v>42510</v>
      </c>
      <c r="M71" s="13" t="s">
        <v>44</v>
      </c>
      <c r="N71" s="13"/>
      <c r="O71" s="19">
        <v>15.8</v>
      </c>
      <c r="P71" s="20"/>
      <c r="Q71" s="19"/>
      <c r="R71" s="19"/>
      <c r="S71" s="22"/>
      <c r="T71" s="26"/>
      <c r="V71" s="19"/>
      <c r="W71" s="19">
        <f t="shared" si="100"/>
        <v>15.8</v>
      </c>
      <c r="X71" s="19">
        <f t="shared" si="101"/>
        <v>15.8</v>
      </c>
      <c r="Y71" s="23">
        <f t="shared" si="99"/>
        <v>59197.86</v>
      </c>
      <c r="Z71" s="24">
        <v>42517</v>
      </c>
    </row>
    <row r="72" spans="1:26" s="11" customFormat="1" x14ac:dyDescent="0.25">
      <c r="A72" s="39"/>
      <c r="B72" s="12" t="s">
        <v>36</v>
      </c>
      <c r="C72" s="14" t="s">
        <v>37</v>
      </c>
      <c r="D72" s="13" t="s">
        <v>185</v>
      </c>
      <c r="E72" s="14">
        <v>249</v>
      </c>
      <c r="F72" s="15">
        <v>27885</v>
      </c>
      <c r="G72" s="16">
        <v>22210</v>
      </c>
      <c r="H72" s="16">
        <f t="shared" ref="H72:H75" si="102">G72-F72</f>
        <v>-5675</v>
      </c>
      <c r="I72" s="11" t="s">
        <v>186</v>
      </c>
      <c r="J72" s="38">
        <v>250</v>
      </c>
      <c r="K72" s="18"/>
      <c r="L72" s="18">
        <v>42510</v>
      </c>
      <c r="M72" s="13" t="s">
        <v>44</v>
      </c>
      <c r="N72" s="14"/>
      <c r="O72" s="19">
        <v>26</v>
      </c>
      <c r="P72" s="25"/>
      <c r="Q72" s="21">
        <v>17300</v>
      </c>
      <c r="R72" s="19">
        <f t="shared" ref="R72:R73" si="103">61.75*E72</f>
        <v>15375.75</v>
      </c>
      <c r="S72" s="22">
        <f>-35*E72</f>
        <v>-8715</v>
      </c>
      <c r="T72" s="26">
        <f>W72*F72*0.0045</f>
        <v>4238.5838743527684</v>
      </c>
      <c r="U72" s="19">
        <f>E72*5</f>
        <v>1245</v>
      </c>
      <c r="V72" s="14"/>
      <c r="W72" s="19">
        <f>((O72*F72)+Q72+R72+S72+U72)/G72</f>
        <v>33.778286807744259</v>
      </c>
      <c r="X72" s="19">
        <f>((O72*F72)+Q72+R72+S72+T72+U72)/G72</f>
        <v>33.9691280447705</v>
      </c>
      <c r="Y72" s="23">
        <f t="shared" ref="Y72:Y73" si="104">X72*G72</f>
        <v>754454.33387435274</v>
      </c>
      <c r="Z72" s="24">
        <v>42523</v>
      </c>
    </row>
    <row r="73" spans="1:26" s="11" customFormat="1" x14ac:dyDescent="0.25">
      <c r="A73" s="39"/>
      <c r="B73" s="12" t="s">
        <v>36</v>
      </c>
      <c r="C73" s="14" t="s">
        <v>37</v>
      </c>
      <c r="D73" s="13" t="s">
        <v>87</v>
      </c>
      <c r="E73" s="14">
        <v>130</v>
      </c>
      <c r="F73" s="15">
        <v>14625</v>
      </c>
      <c r="G73" s="16">
        <v>11540</v>
      </c>
      <c r="H73" s="16">
        <f t="shared" si="102"/>
        <v>-3085</v>
      </c>
      <c r="I73" s="13" t="s">
        <v>187</v>
      </c>
      <c r="J73" s="38">
        <v>129</v>
      </c>
      <c r="K73" s="18"/>
      <c r="L73" s="18">
        <v>42510</v>
      </c>
      <c r="M73" s="13" t="s">
        <v>44</v>
      </c>
      <c r="N73" s="14"/>
      <c r="O73" s="19">
        <v>26</v>
      </c>
      <c r="P73" s="25"/>
      <c r="Q73" s="21">
        <v>13600</v>
      </c>
      <c r="R73" s="19">
        <f t="shared" si="103"/>
        <v>8027.5</v>
      </c>
      <c r="S73" s="22">
        <f>-35*E73</f>
        <v>-4550</v>
      </c>
      <c r="T73" s="26">
        <f>W73*F73*0.0045</f>
        <v>2269.6615440857886</v>
      </c>
      <c r="U73" s="19">
        <f>E73*5</f>
        <v>650</v>
      </c>
      <c r="V73" s="14"/>
      <c r="W73" s="19">
        <f>((O73*F73)+Q73+R73+S73+U73)/G73</f>
        <v>34.486785095320627</v>
      </c>
      <c r="X73" s="19">
        <f>((O73*F73)+Q73+R73+S73+T73+U73)/G73</f>
        <v>34.683462872104485</v>
      </c>
      <c r="Y73" s="23">
        <f t="shared" si="104"/>
        <v>400247.16154408577</v>
      </c>
      <c r="Z73" s="24">
        <v>42523</v>
      </c>
    </row>
    <row r="74" spans="1:26" s="11" customFormat="1" x14ac:dyDescent="0.25">
      <c r="A74" s="39"/>
      <c r="B74" s="12" t="s">
        <v>24</v>
      </c>
      <c r="C74" s="13" t="s">
        <v>34</v>
      </c>
      <c r="D74" s="13" t="s">
        <v>34</v>
      </c>
      <c r="E74" s="14" t="s">
        <v>35</v>
      </c>
      <c r="F74" s="15">
        <f>41570*0.4536</f>
        <v>18856.152000000002</v>
      </c>
      <c r="G74" s="16">
        <v>18856.150000000001</v>
      </c>
      <c r="H74" s="16">
        <f t="shared" si="102"/>
        <v>-2.0000000004074536E-3</v>
      </c>
      <c r="I74" s="31" t="s">
        <v>188</v>
      </c>
      <c r="J74" s="17" t="s">
        <v>27</v>
      </c>
      <c r="K74" s="18">
        <v>42510</v>
      </c>
      <c r="L74" s="18">
        <v>42511</v>
      </c>
      <c r="M74" s="13" t="s">
        <v>47</v>
      </c>
      <c r="N74" s="13" t="s">
        <v>189</v>
      </c>
      <c r="O74" s="19"/>
      <c r="P74" s="20">
        <f>0.6409+0.1075</f>
        <v>0.74840000000000007</v>
      </c>
      <c r="Q74" s="21">
        <v>18500</v>
      </c>
      <c r="R74" s="19">
        <v>9043</v>
      </c>
      <c r="S74" s="22">
        <v>18.18</v>
      </c>
      <c r="T74" s="26">
        <f t="shared" ref="T74:T75" si="105">W74*F74*0.005</f>
        <v>2975.1504514134945</v>
      </c>
      <c r="V74" s="19">
        <v>0.1</v>
      </c>
      <c r="W74" s="19">
        <f>IF(O74&gt;0,O74,((P74*2.2046*S74)+(Q74+R74)/G74)+V74)</f>
        <v>31.556284139133947</v>
      </c>
      <c r="X74" s="19">
        <f>IF(O74&gt;0,O74,((P74*2.2046*S74)+(Q74+R74+T74)/G74)+V74)</f>
        <v>31.714065576564892</v>
      </c>
      <c r="Y74" s="23">
        <f t="shared" si="99"/>
        <v>598005.24104967527</v>
      </c>
      <c r="Z74" s="24">
        <v>42503</v>
      </c>
    </row>
    <row r="75" spans="1:26" s="11" customFormat="1" x14ac:dyDescent="0.25">
      <c r="A75" s="39"/>
      <c r="B75" s="12" t="s">
        <v>24</v>
      </c>
      <c r="C75" s="13" t="s">
        <v>25</v>
      </c>
      <c r="D75" s="13" t="s">
        <v>25</v>
      </c>
      <c r="E75" s="14" t="s">
        <v>26</v>
      </c>
      <c r="F75" s="15">
        <f>42816*0.4536</f>
        <v>19421.337599999999</v>
      </c>
      <c r="G75" s="16">
        <v>19412.919999999998</v>
      </c>
      <c r="H75" s="16">
        <f t="shared" si="102"/>
        <v>-8.4176000000006752</v>
      </c>
      <c r="I75" s="11" t="s">
        <v>190</v>
      </c>
      <c r="J75" s="17" t="s">
        <v>40</v>
      </c>
      <c r="K75" s="18">
        <v>42510</v>
      </c>
      <c r="L75" s="18">
        <v>42511</v>
      </c>
      <c r="M75" s="13" t="s">
        <v>47</v>
      </c>
      <c r="N75" s="13" t="s">
        <v>191</v>
      </c>
      <c r="O75" s="19"/>
      <c r="P75" s="20">
        <f>0.6678+0.105</f>
        <v>0.77279999999999993</v>
      </c>
      <c r="Q75" s="19">
        <v>18500</v>
      </c>
      <c r="R75" s="19">
        <v>9043</v>
      </c>
      <c r="S75" s="22">
        <v>18.187000000000001</v>
      </c>
      <c r="T75" s="26">
        <f t="shared" si="105"/>
        <v>3156.381024857983</v>
      </c>
      <c r="V75" s="19">
        <v>0.1</v>
      </c>
      <c r="W75" s="19">
        <f>IF(O75&gt;0,O75,((P75*2.2046*S75)+(Q75+R75)/G75)+V75)</f>
        <v>32.504259900800889</v>
      </c>
      <c r="X75" s="19">
        <f>IF(O75&gt;0,O75,((P75*2.2046*S75)+(Q75+R75+T75)/G75)+V75)</f>
        <v>32.666851670862165</v>
      </c>
      <c r="Y75" s="23">
        <f t="shared" si="99"/>
        <v>634433.95462893811</v>
      </c>
      <c r="Z75" s="24">
        <v>42506</v>
      </c>
    </row>
    <row r="76" spans="1:26" s="11" customFormat="1" ht="15.75" thickBot="1" x14ac:dyDescent="0.3">
      <c r="A76" s="39"/>
      <c r="B76" s="27"/>
      <c r="C76" s="3"/>
      <c r="D76" s="3"/>
      <c r="E76" s="3"/>
      <c r="F76" s="28"/>
      <c r="G76" s="28"/>
      <c r="H76" s="28"/>
      <c r="I76" s="5"/>
      <c r="J76" s="3"/>
      <c r="K76" s="6"/>
      <c r="L76" s="6"/>
      <c r="M76" s="3"/>
      <c r="N76" s="3"/>
      <c r="O76" s="7"/>
      <c r="P76" s="8"/>
      <c r="Q76" s="7"/>
      <c r="R76" s="7"/>
      <c r="S76" s="7"/>
      <c r="T76" s="7"/>
      <c r="U76" s="7"/>
      <c r="V76" s="7"/>
      <c r="W76" s="7"/>
      <c r="X76" s="7"/>
      <c r="Y76" s="10"/>
      <c r="Z76" s="29"/>
    </row>
    <row r="77" spans="1:26" s="11" customFormat="1" x14ac:dyDescent="0.25">
      <c r="A77" s="40"/>
      <c r="B77" s="14" t="s">
        <v>36</v>
      </c>
      <c r="C77" s="14" t="s">
        <v>37</v>
      </c>
      <c r="D77" s="13" t="s">
        <v>53</v>
      </c>
      <c r="E77" s="14">
        <v>195</v>
      </c>
      <c r="F77" s="15">
        <v>24080</v>
      </c>
      <c r="G77" s="16">
        <f>19410</f>
        <v>19410</v>
      </c>
      <c r="H77" s="16">
        <f t="shared" ref="H77:H79" si="106">G77-F77</f>
        <v>-4670</v>
      </c>
      <c r="I77" s="13" t="s">
        <v>192</v>
      </c>
      <c r="J77" s="36">
        <v>200</v>
      </c>
      <c r="K77" s="18"/>
      <c r="L77" s="18">
        <v>42512</v>
      </c>
      <c r="M77" s="13" t="s">
        <v>48</v>
      </c>
      <c r="N77" s="14"/>
      <c r="O77" s="19">
        <v>26.5</v>
      </c>
      <c r="P77" s="25"/>
      <c r="Q77" s="19">
        <v>17300</v>
      </c>
      <c r="R77" s="19">
        <f t="shared" ref="R77:R79" si="107">61.75*E77</f>
        <v>12041.25</v>
      </c>
      <c r="S77" s="22">
        <f>-35*E77</f>
        <v>-6825</v>
      </c>
      <c r="T77" s="26">
        <f>W77*F77*0.0045</f>
        <v>3693.5700695517767</v>
      </c>
      <c r="U77" s="19">
        <f>E77*5</f>
        <v>975</v>
      </c>
      <c r="V77" s="14"/>
      <c r="W77" s="19">
        <f>((O77*F77)+Q77+R77+S77+U77)/G77</f>
        <v>34.086102524471919</v>
      </c>
      <c r="X77" s="19">
        <f>((O77*F77)+Q77+R77+S77+T77+U77)/G77</f>
        <v>34.27639464552044</v>
      </c>
      <c r="Y77" s="23">
        <f>X77*G77</f>
        <v>665304.8200695517</v>
      </c>
      <c r="Z77" s="24">
        <v>42527</v>
      </c>
    </row>
    <row r="78" spans="1:26" s="11" customFormat="1" x14ac:dyDescent="0.25">
      <c r="A78" s="40"/>
      <c r="B78" s="12" t="s">
        <v>36</v>
      </c>
      <c r="C78" s="14" t="s">
        <v>37</v>
      </c>
      <c r="D78" s="13" t="s">
        <v>50</v>
      </c>
      <c r="E78" s="14">
        <v>130</v>
      </c>
      <c r="F78" s="15">
        <v>15025</v>
      </c>
      <c r="G78" s="16">
        <f>11830</f>
        <v>11830</v>
      </c>
      <c r="H78" s="16">
        <f t="shared" si="106"/>
        <v>-3195</v>
      </c>
      <c r="I78" s="13" t="s">
        <v>193</v>
      </c>
      <c r="J78" s="17">
        <v>122</v>
      </c>
      <c r="K78" s="18"/>
      <c r="L78" s="18">
        <v>42512</v>
      </c>
      <c r="M78" s="13" t="s">
        <v>48</v>
      </c>
      <c r="N78" s="14"/>
      <c r="O78" s="19">
        <v>26.5</v>
      </c>
      <c r="P78" s="25"/>
      <c r="Q78" s="19">
        <v>13600</v>
      </c>
      <c r="R78" s="19">
        <f t="shared" si="107"/>
        <v>8027.5</v>
      </c>
      <c r="S78" s="22">
        <f t="shared" ref="S78:S79" si="108">-35*E78</f>
        <v>-4550</v>
      </c>
      <c r="T78" s="26">
        <f>W78*F78*0.0045</f>
        <v>2376.9537299239223</v>
      </c>
      <c r="U78" s="19">
        <f>E78*5</f>
        <v>650</v>
      </c>
      <c r="V78" s="14"/>
      <c r="W78" s="19">
        <f>((O78*F78)+Q78+R78+S78+U78)/G78</f>
        <v>35.155536770921387</v>
      </c>
      <c r="X78" s="19">
        <f>((O78*F78)+Q78+R78+S78+T78+U78)/G78</f>
        <v>35.356462699063734</v>
      </c>
      <c r="Y78" s="23">
        <f>X78*G78</f>
        <v>418266.95372992399</v>
      </c>
      <c r="Z78" s="24">
        <v>42527</v>
      </c>
    </row>
    <row r="79" spans="1:26" s="11" customFormat="1" x14ac:dyDescent="0.25">
      <c r="A79" s="40"/>
      <c r="B79" s="12" t="s">
        <v>36</v>
      </c>
      <c r="C79" s="14" t="s">
        <v>37</v>
      </c>
      <c r="D79" s="13" t="s">
        <v>87</v>
      </c>
      <c r="E79" s="14">
        <f>180+70</f>
        <v>250</v>
      </c>
      <c r="F79" s="15">
        <v>28790</v>
      </c>
      <c r="G79" s="16">
        <f>16410+6630</f>
        <v>23040</v>
      </c>
      <c r="H79" s="16">
        <f t="shared" si="106"/>
        <v>-5750</v>
      </c>
      <c r="I79" s="13" t="s">
        <v>194</v>
      </c>
      <c r="J79" s="14"/>
      <c r="K79" s="18"/>
      <c r="L79" s="18">
        <v>42513</v>
      </c>
      <c r="M79" s="13" t="s">
        <v>49</v>
      </c>
      <c r="N79" s="14"/>
      <c r="O79" s="19">
        <v>26.5</v>
      </c>
      <c r="P79" s="25"/>
      <c r="Q79" s="19">
        <v>17300</v>
      </c>
      <c r="R79" s="19">
        <f t="shared" si="107"/>
        <v>15437.5</v>
      </c>
      <c r="S79" s="22">
        <f t="shared" si="108"/>
        <v>-8750</v>
      </c>
      <c r="T79" s="26">
        <f>W79*F79*0.0045</f>
        <v>4431.9309130859374</v>
      </c>
      <c r="U79" s="19">
        <f>E79*5</f>
        <v>1250</v>
      </c>
      <c r="V79" s="14"/>
      <c r="W79" s="19">
        <f>((O79*F79)+Q79+R79+S79+U79)/G79</f>
        <v>34.208875868055557</v>
      </c>
      <c r="X79" s="19">
        <f>((O79*F79)+Q79+R79+S79+T79+U79)/G79</f>
        <v>34.40123398060269</v>
      </c>
      <c r="Y79" s="23">
        <f>X79*G79</f>
        <v>792604.43091308593</v>
      </c>
      <c r="Z79" s="24">
        <v>42527</v>
      </c>
    </row>
    <row r="80" spans="1:26" s="11" customFormat="1" x14ac:dyDescent="0.25">
      <c r="A80" s="40"/>
      <c r="B80" s="12" t="s">
        <v>24</v>
      </c>
      <c r="C80" s="13" t="s">
        <v>29</v>
      </c>
      <c r="D80" s="13" t="s">
        <v>29</v>
      </c>
      <c r="E80" s="14" t="s">
        <v>32</v>
      </c>
      <c r="F80" s="15">
        <f>40860*0.4536</f>
        <v>18534.096000000001</v>
      </c>
      <c r="G80" s="16">
        <v>18694.61</v>
      </c>
      <c r="H80" s="16">
        <f>G80-F80</f>
        <v>160.51399999999921</v>
      </c>
      <c r="I80" s="11" t="s">
        <v>195</v>
      </c>
      <c r="J80" s="17" t="s">
        <v>38</v>
      </c>
      <c r="K80" s="18">
        <v>42513</v>
      </c>
      <c r="L80" s="18">
        <v>42514</v>
      </c>
      <c r="M80" s="13" t="s">
        <v>28</v>
      </c>
      <c r="N80" s="13" t="s">
        <v>196</v>
      </c>
      <c r="O80" s="19"/>
      <c r="P80" s="20">
        <f>0.6693+0.1</f>
        <v>0.76929999999999998</v>
      </c>
      <c r="Q80" s="41">
        <v>18500</v>
      </c>
      <c r="R80" s="19">
        <v>9056</v>
      </c>
      <c r="S80" s="22">
        <v>18.48</v>
      </c>
      <c r="T80" s="26">
        <f>W80*F80*0.005</f>
        <v>3050.3475620879067</v>
      </c>
      <c r="V80" s="19">
        <v>0.1</v>
      </c>
      <c r="W80" s="19">
        <f t="shared" ref="W80:W81" si="109">IF(O80&gt;0,O80,((P80*2.2046*S80)+(Q80+R80)/G80)+V80)</f>
        <v>32.916065203157537</v>
      </c>
      <c r="X80" s="19">
        <f t="shared" ref="X80:X81" si="110">IF(O80&gt;0,O80,((P80*2.2046*S80)+(Q80+R80+T80)/G80)+V80)</f>
        <v>33.079232424195467</v>
      </c>
      <c r="Y80" s="23">
        <f>X80*F80</f>
        <v>613093.6693563516</v>
      </c>
      <c r="Z80" s="24">
        <v>42524</v>
      </c>
    </row>
    <row r="81" spans="1:26" s="11" customFormat="1" x14ac:dyDescent="0.25">
      <c r="A81" s="40"/>
      <c r="B81" s="12" t="s">
        <v>24</v>
      </c>
      <c r="C81" s="13" t="s">
        <v>34</v>
      </c>
      <c r="D81" s="13" t="s">
        <v>34</v>
      </c>
      <c r="E81" s="14" t="s">
        <v>35</v>
      </c>
      <c r="F81" s="15">
        <f>40702*0.4536</f>
        <v>18462.427200000002</v>
      </c>
      <c r="G81" s="16">
        <v>18432.419999999998</v>
      </c>
      <c r="H81" s="16">
        <f t="shared" ref="H81" si="111">G81-F81</f>
        <v>-30.00720000000365</v>
      </c>
      <c r="I81" s="11" t="s">
        <v>197</v>
      </c>
      <c r="J81" s="17" t="s">
        <v>27</v>
      </c>
      <c r="K81" s="18">
        <v>42513</v>
      </c>
      <c r="L81" s="18">
        <v>42514</v>
      </c>
      <c r="M81" s="13" t="s">
        <v>28</v>
      </c>
      <c r="N81" s="13" t="s">
        <v>198</v>
      </c>
      <c r="O81" s="19"/>
      <c r="P81" s="20">
        <f>0.6418+0.1075</f>
        <v>0.74930000000000008</v>
      </c>
      <c r="Q81" s="41">
        <v>18500</v>
      </c>
      <c r="R81" s="19">
        <v>9056</v>
      </c>
      <c r="S81" s="22">
        <v>18.39</v>
      </c>
      <c r="T81" s="26">
        <f t="shared" ref="T81" si="112">W81*F81*0.005</f>
        <v>2951.5458005361975</v>
      </c>
      <c r="V81" s="19">
        <v>0.1</v>
      </c>
      <c r="W81" s="19">
        <f t="shared" si="109"/>
        <v>31.973540299578779</v>
      </c>
      <c r="X81" s="19">
        <f t="shared" si="110"/>
        <v>32.133668258931714</v>
      </c>
      <c r="Y81" s="23">
        <f t="shared" ref="Y81" si="113">X81*F81</f>
        <v>593265.51089947752</v>
      </c>
      <c r="Z81" s="24">
        <v>42508</v>
      </c>
    </row>
    <row r="82" spans="1:26" s="11" customFormat="1" x14ac:dyDescent="0.25">
      <c r="A82" s="40"/>
      <c r="B82" s="12" t="s">
        <v>36</v>
      </c>
      <c r="C82" s="14" t="s">
        <v>37</v>
      </c>
      <c r="D82" s="13" t="s">
        <v>53</v>
      </c>
      <c r="E82" s="14">
        <v>249</v>
      </c>
      <c r="F82" s="15">
        <v>30100</v>
      </c>
      <c r="G82" s="16">
        <f>17600+6720</f>
        <v>24320</v>
      </c>
      <c r="H82" s="16">
        <f>G82-F82</f>
        <v>-5780</v>
      </c>
      <c r="I82" s="13" t="s">
        <v>199</v>
      </c>
      <c r="J82" s="14"/>
      <c r="K82" s="18"/>
      <c r="L82" s="18">
        <v>42514</v>
      </c>
      <c r="M82" s="13" t="s">
        <v>28</v>
      </c>
      <c r="N82" s="14"/>
      <c r="O82" s="19">
        <v>26.5</v>
      </c>
      <c r="P82" s="25"/>
      <c r="Q82" s="19">
        <v>17300</v>
      </c>
      <c r="R82" s="19">
        <f t="shared" ref="R82" si="114">61.75*E82</f>
        <v>15375.75</v>
      </c>
      <c r="S82" s="22">
        <f t="shared" ref="S82" si="115">-35*E82</f>
        <v>-8715</v>
      </c>
      <c r="T82" s="26">
        <f>W82*F82*0.0045</f>
        <v>4582.8869793379927</v>
      </c>
      <c r="U82" s="19">
        <f>E82*5</f>
        <v>1245</v>
      </c>
      <c r="V82" s="14"/>
      <c r="W82" s="19">
        <f>((O82*F82)+Q82+R82+S82+U82)/G82</f>
        <v>33.834529194078947</v>
      </c>
      <c r="X82" s="19">
        <f>((O82*F82)+Q82+R82+S82+T82+U82)/G82</f>
        <v>34.022970270531992</v>
      </c>
      <c r="Y82" s="23">
        <f>X82*G82</f>
        <v>827438.63697933801</v>
      </c>
      <c r="Z82" s="24">
        <v>42589</v>
      </c>
    </row>
    <row r="83" spans="1:26" s="11" customFormat="1" x14ac:dyDescent="0.25">
      <c r="A83" s="40"/>
      <c r="B83" s="12" t="s">
        <v>30</v>
      </c>
      <c r="C83" s="13" t="s">
        <v>25</v>
      </c>
      <c r="D83" s="13" t="s">
        <v>55</v>
      </c>
      <c r="E83" s="14" t="s">
        <v>57</v>
      </c>
      <c r="F83" s="15">
        <v>3716.4</v>
      </c>
      <c r="G83" s="16">
        <v>3716.4</v>
      </c>
      <c r="H83" s="16">
        <f t="shared" ref="H83:H84" si="116">G83-F83</f>
        <v>0</v>
      </c>
      <c r="I83" s="13" t="s">
        <v>200</v>
      </c>
      <c r="J83" s="14"/>
      <c r="K83" s="18"/>
      <c r="L83" s="18">
        <v>42514</v>
      </c>
      <c r="M83" s="13" t="s">
        <v>28</v>
      </c>
      <c r="N83" s="14"/>
      <c r="O83" s="19">
        <v>15.8</v>
      </c>
      <c r="P83" s="25"/>
      <c r="Q83" s="19"/>
      <c r="R83" s="19"/>
      <c r="S83" s="22"/>
      <c r="T83" s="26"/>
      <c r="U83" s="19"/>
      <c r="V83" s="19"/>
      <c r="W83" s="19">
        <f t="shared" ref="W83:W85" si="117">IF(O83&gt;0,O83,((P83*2.2046*S83)+(Q83+R83)/G83)+V83)</f>
        <v>15.8</v>
      </c>
      <c r="X83" s="19">
        <f t="shared" ref="X83:X85" si="118">IF(O83&gt;0,O83,((P83*2.2046*S83)+(Q83+R83+T83)/G83)+V83)</f>
        <v>15.8</v>
      </c>
      <c r="Y83" s="23">
        <f t="shared" ref="Y83:Y85" si="119">X83*F83</f>
        <v>58719.12</v>
      </c>
      <c r="Z83" s="24">
        <v>42521</v>
      </c>
    </row>
    <row r="84" spans="1:26" s="11" customFormat="1" x14ac:dyDescent="0.25">
      <c r="A84" s="40"/>
      <c r="B84" s="12" t="s">
        <v>61</v>
      </c>
      <c r="C84" s="13" t="s">
        <v>62</v>
      </c>
      <c r="D84" s="13" t="s">
        <v>55</v>
      </c>
      <c r="E84" s="14" t="s">
        <v>201</v>
      </c>
      <c r="F84" s="15">
        <v>4004.28</v>
      </c>
      <c r="G84" s="16">
        <v>4004.28</v>
      </c>
      <c r="H84" s="16">
        <f t="shared" si="116"/>
        <v>0</v>
      </c>
      <c r="I84" s="13" t="s">
        <v>202</v>
      </c>
      <c r="J84" s="14"/>
      <c r="K84" s="18"/>
      <c r="L84" s="18">
        <v>42515</v>
      </c>
      <c r="M84" s="13" t="s">
        <v>39</v>
      </c>
      <c r="N84" s="14"/>
      <c r="O84" s="19">
        <v>51</v>
      </c>
      <c r="P84" s="25"/>
      <c r="Q84" s="19"/>
      <c r="R84" s="19"/>
      <c r="S84" s="22"/>
      <c r="T84" s="26"/>
      <c r="U84" s="19"/>
      <c r="V84" s="19"/>
      <c r="W84" s="19">
        <f t="shared" si="117"/>
        <v>51</v>
      </c>
      <c r="X84" s="19">
        <f t="shared" si="118"/>
        <v>51</v>
      </c>
      <c r="Y84" s="23">
        <f t="shared" si="119"/>
        <v>204218.28</v>
      </c>
      <c r="Z84" s="24">
        <v>42521</v>
      </c>
    </row>
    <row r="85" spans="1:26" s="11" customFormat="1" x14ac:dyDescent="0.25">
      <c r="A85" s="40"/>
      <c r="B85" s="12" t="s">
        <v>24</v>
      </c>
      <c r="C85" s="13" t="s">
        <v>25</v>
      </c>
      <c r="D85" s="13" t="s">
        <v>25</v>
      </c>
      <c r="E85" s="14" t="s">
        <v>26</v>
      </c>
      <c r="F85" s="15">
        <f>42516*0.4536</f>
        <v>19285.257600000001</v>
      </c>
      <c r="G85" s="16">
        <v>19172.900000000001</v>
      </c>
      <c r="H85" s="16">
        <f>G85-F85</f>
        <v>-112.35759999999937</v>
      </c>
      <c r="I85" s="11" t="s">
        <v>203</v>
      </c>
      <c r="J85" s="17" t="s">
        <v>27</v>
      </c>
      <c r="K85" s="18">
        <v>42514</v>
      </c>
      <c r="L85" s="18">
        <v>42515</v>
      </c>
      <c r="M85" s="13" t="s">
        <v>39</v>
      </c>
      <c r="N85" s="13" t="s">
        <v>204</v>
      </c>
      <c r="O85" s="19"/>
      <c r="P85" s="20">
        <f>0.6693+0.105</f>
        <v>0.77429999999999999</v>
      </c>
      <c r="Q85" s="41">
        <v>18500</v>
      </c>
      <c r="R85" s="19">
        <v>9056</v>
      </c>
      <c r="S85" s="22">
        <v>18.39</v>
      </c>
      <c r="T85" s="26">
        <f>W85*F85*0.005</f>
        <v>3175.2566710866931</v>
      </c>
      <c r="V85" s="19">
        <v>0.1</v>
      </c>
      <c r="W85" s="19">
        <f t="shared" si="117"/>
        <v>32.929367467579929</v>
      </c>
      <c r="X85" s="19">
        <f t="shared" si="118"/>
        <v>33.094979173221056</v>
      </c>
      <c r="Y85" s="23">
        <f t="shared" si="119"/>
        <v>638245.19862220308</v>
      </c>
      <c r="Z85" s="24">
        <v>42508</v>
      </c>
    </row>
    <row r="86" spans="1:26" s="11" customFormat="1" x14ac:dyDescent="0.25">
      <c r="A86" s="40"/>
      <c r="B86" s="12" t="s">
        <v>36</v>
      </c>
      <c r="C86" s="14" t="s">
        <v>37</v>
      </c>
      <c r="D86" s="13" t="s">
        <v>53</v>
      </c>
      <c r="E86" s="14">
        <v>200</v>
      </c>
      <c r="F86" s="15">
        <v>23825</v>
      </c>
      <c r="G86" s="16">
        <v>18960</v>
      </c>
      <c r="H86" s="16">
        <f>G86-F86</f>
        <v>-4865</v>
      </c>
      <c r="I86" s="11" t="s">
        <v>205</v>
      </c>
      <c r="J86" s="14"/>
      <c r="K86" s="18"/>
      <c r="L86" s="18">
        <v>42515</v>
      </c>
      <c r="M86" s="13" t="s">
        <v>39</v>
      </c>
      <c r="N86" s="14"/>
      <c r="O86" s="19">
        <v>26.5</v>
      </c>
      <c r="P86" s="25"/>
      <c r="Q86" s="19">
        <v>17300</v>
      </c>
      <c r="R86" s="19">
        <f t="shared" ref="R86" si="120">61.75*E86</f>
        <v>12350</v>
      </c>
      <c r="S86" s="22">
        <f t="shared" ref="S86" si="121">-35*E86</f>
        <v>-7000</v>
      </c>
      <c r="T86" s="26">
        <f>W86*F86*0.0045</f>
        <v>3703.8780409414553</v>
      </c>
      <c r="U86" s="19">
        <f>E86*5</f>
        <v>1000</v>
      </c>
      <c r="V86" s="14"/>
      <c r="W86" s="19">
        <f>((O86*F86)+Q86+R86+S86+U86)/G86</f>
        <v>34.547072784810126</v>
      </c>
      <c r="X86" s="19">
        <f>((O86*F86)+Q86+R86+S86+T86+U86)/G86</f>
        <v>34.742425002159358</v>
      </c>
      <c r="Y86" s="23">
        <f>X86*G86</f>
        <v>658716.37804094143</v>
      </c>
      <c r="Z86" s="24">
        <v>42589</v>
      </c>
    </row>
    <row r="87" spans="1:26" s="11" customFormat="1" x14ac:dyDescent="0.25">
      <c r="A87" s="40"/>
      <c r="B87" s="12" t="s">
        <v>24</v>
      </c>
      <c r="C87" s="13" t="s">
        <v>25</v>
      </c>
      <c r="D87" s="13" t="s">
        <v>25</v>
      </c>
      <c r="E87" s="14" t="s">
        <v>26</v>
      </c>
      <c r="F87" s="15">
        <f>43018*0.4536</f>
        <v>19512.964800000002</v>
      </c>
      <c r="G87" s="16">
        <v>19447.47</v>
      </c>
      <c r="H87" s="16">
        <f>G87-F87</f>
        <v>-65.494800000000396</v>
      </c>
      <c r="I87" s="11" t="s">
        <v>206</v>
      </c>
      <c r="J87" s="17" t="s">
        <v>42</v>
      </c>
      <c r="K87" s="18">
        <v>42515</v>
      </c>
      <c r="L87" s="18">
        <v>42516</v>
      </c>
      <c r="M87" s="13" t="s">
        <v>41</v>
      </c>
      <c r="N87" s="13" t="s">
        <v>207</v>
      </c>
      <c r="O87" s="19"/>
      <c r="P87" s="20">
        <f>0.6513+0.105</f>
        <v>0.75629999999999997</v>
      </c>
      <c r="Q87" s="41">
        <v>18500</v>
      </c>
      <c r="R87" s="19">
        <v>9056</v>
      </c>
      <c r="S87" s="22">
        <v>18.54</v>
      </c>
      <c r="T87" s="26">
        <f>W87*F87*0.005</f>
        <v>3163.969671932753</v>
      </c>
      <c r="V87" s="19">
        <v>0.1</v>
      </c>
      <c r="W87" s="19">
        <f t="shared" ref="W87" si="122">IF(O87&gt;0,O87,((P87*2.2046*S87)+(Q87+R87)/G87)+V87)</f>
        <v>32.429409926806741</v>
      </c>
      <c r="X87" s="19">
        <f t="shared" ref="X87" si="123">IF(O87&gt;0,O87,((P87*2.2046*S87)+(Q87+R87+T87)/G87)+V87)</f>
        <v>32.592103052027291</v>
      </c>
      <c r="Y87" s="23">
        <f t="shared" ref="Y87" si="124">X87*F87</f>
        <v>635968.55961218115</v>
      </c>
      <c r="Z87" s="24">
        <v>42509</v>
      </c>
    </row>
    <row r="88" spans="1:26" s="11" customFormat="1" x14ac:dyDescent="0.25">
      <c r="A88" s="40"/>
      <c r="B88" s="12" t="s">
        <v>24</v>
      </c>
      <c r="C88" s="13" t="s">
        <v>25</v>
      </c>
      <c r="D88" s="13" t="s">
        <v>25</v>
      </c>
      <c r="E88" s="14" t="s">
        <v>26</v>
      </c>
      <c r="F88" s="15">
        <f>42818*0.4536</f>
        <v>19422.2448</v>
      </c>
      <c r="G88" s="16">
        <v>19290.22</v>
      </c>
      <c r="H88" s="16">
        <f>G88-F88</f>
        <v>-132.02479999999923</v>
      </c>
      <c r="I88" s="11" t="s">
        <v>208</v>
      </c>
      <c r="J88" s="17" t="s">
        <v>33</v>
      </c>
      <c r="K88" s="18">
        <v>42515</v>
      </c>
      <c r="L88" s="18">
        <v>42516</v>
      </c>
      <c r="M88" s="13" t="s">
        <v>41</v>
      </c>
      <c r="N88" s="13" t="s">
        <v>207</v>
      </c>
      <c r="O88" s="19"/>
      <c r="P88" s="20">
        <v>0.75629999999999997</v>
      </c>
      <c r="Q88" s="41">
        <v>18500</v>
      </c>
      <c r="R88" s="19">
        <v>9056</v>
      </c>
      <c r="S88" s="22">
        <v>18.54</v>
      </c>
      <c r="T88" s="26">
        <f t="shared" ref="T88" si="125">W88*F88*0.005</f>
        <v>3150.3813896463207</v>
      </c>
      <c r="V88" s="19">
        <v>0.1</v>
      </c>
      <c r="W88" s="19">
        <f>IF(O88&gt;0,O88,((P88*2.2046*S88)+(Q88+R88)/G88)+V88)</f>
        <v>32.44096057986377</v>
      </c>
      <c r="X88" s="19">
        <f>IF(O88&gt;0,O88,((P88*2.2046*S88)+(Q88+R88+T88)/G88)+V88)</f>
        <v>32.60427553374435</v>
      </c>
      <c r="Y88" s="23">
        <f>X88*F88</f>
        <v>633248.22094303346</v>
      </c>
      <c r="Z88" s="24">
        <v>42509</v>
      </c>
    </row>
    <row r="89" spans="1:26" s="11" customFormat="1" x14ac:dyDescent="0.25">
      <c r="A89" s="40"/>
      <c r="B89" s="12" t="s">
        <v>36</v>
      </c>
      <c r="C89" s="14" t="s">
        <v>37</v>
      </c>
      <c r="D89" s="13" t="s">
        <v>53</v>
      </c>
      <c r="E89" s="14">
        <v>250</v>
      </c>
      <c r="F89" s="15">
        <v>30395</v>
      </c>
      <c r="G89" s="16">
        <v>24530</v>
      </c>
      <c r="H89" s="16">
        <f t="shared" ref="H89:H92" si="126">G89-F89</f>
        <v>-5865</v>
      </c>
      <c r="I89" s="11" t="s">
        <v>209</v>
      </c>
      <c r="J89" s="14"/>
      <c r="K89" s="18"/>
      <c r="L89" s="18">
        <v>42516</v>
      </c>
      <c r="M89" s="13" t="s">
        <v>41</v>
      </c>
      <c r="N89" s="14"/>
      <c r="O89" s="19">
        <v>26.5</v>
      </c>
      <c r="P89" s="25"/>
      <c r="Q89" s="19">
        <v>17300</v>
      </c>
      <c r="R89" s="19">
        <f t="shared" ref="R89:R90" si="127">61.75*E89</f>
        <v>15437.5</v>
      </c>
      <c r="S89" s="22">
        <f t="shared" ref="S89:S90" si="128">-35*E89</f>
        <v>-8750</v>
      </c>
      <c r="T89" s="26">
        <f t="shared" ref="T89:T90" si="129">W89*F89*0.0045</f>
        <v>4631.9508005503458</v>
      </c>
      <c r="U89" s="19">
        <f t="shared" ref="U89:U90" si="130">E89*5</f>
        <v>1250</v>
      </c>
      <c r="V89" s="14"/>
      <c r="W89" s="19">
        <f t="shared" ref="W89:W90" si="131">((O89*F89)+Q89+R89+S89+U89)/G89</f>
        <v>33.864859355890744</v>
      </c>
      <c r="X89" s="19">
        <f t="shared" ref="X89:X90" si="132">((O89*F89)+Q89+R89+S89+T89+U89)/G89</f>
        <v>34.05368735428253</v>
      </c>
      <c r="Y89" s="23">
        <f t="shared" ref="Y89:Y90" si="133">X89*G89</f>
        <v>835336.95080055052</v>
      </c>
      <c r="Z89" s="24">
        <v>42529</v>
      </c>
    </row>
    <row r="90" spans="1:26" s="11" customFormat="1" x14ac:dyDescent="0.25">
      <c r="A90" s="40"/>
      <c r="B90" s="12" t="s">
        <v>36</v>
      </c>
      <c r="C90" s="14" t="s">
        <v>37</v>
      </c>
      <c r="D90" s="13" t="s">
        <v>87</v>
      </c>
      <c r="E90" s="14">
        <v>130</v>
      </c>
      <c r="F90" s="15">
        <v>13755</v>
      </c>
      <c r="G90" s="16">
        <v>10870</v>
      </c>
      <c r="H90" s="16">
        <f t="shared" si="126"/>
        <v>-2885</v>
      </c>
      <c r="I90" s="13" t="s">
        <v>210</v>
      </c>
      <c r="J90" s="36">
        <v>129</v>
      </c>
      <c r="K90" s="18"/>
      <c r="L90" s="18">
        <v>42516</v>
      </c>
      <c r="M90" s="13" t="s">
        <v>41</v>
      </c>
      <c r="N90" s="14"/>
      <c r="O90" s="19">
        <v>26.5</v>
      </c>
      <c r="P90" s="25"/>
      <c r="Q90" s="19">
        <v>13600</v>
      </c>
      <c r="R90" s="19">
        <f t="shared" si="127"/>
        <v>8027.5</v>
      </c>
      <c r="S90" s="22">
        <f t="shared" si="128"/>
        <v>-4550</v>
      </c>
      <c r="T90" s="26">
        <f t="shared" si="129"/>
        <v>2176.5769008739649</v>
      </c>
      <c r="U90" s="19">
        <f t="shared" si="130"/>
        <v>650</v>
      </c>
      <c r="V90" s="14"/>
      <c r="W90" s="19">
        <f t="shared" si="131"/>
        <v>35.164213431462741</v>
      </c>
      <c r="X90" s="19">
        <f t="shared" si="132"/>
        <v>35.364450496860535</v>
      </c>
      <c r="Y90" s="23">
        <f t="shared" si="133"/>
        <v>384411.57690087403</v>
      </c>
      <c r="Z90" s="24">
        <v>42529</v>
      </c>
    </row>
    <row r="91" spans="1:26" s="11" customFormat="1" x14ac:dyDescent="0.25">
      <c r="A91" s="40"/>
      <c r="B91" s="12" t="s">
        <v>24</v>
      </c>
      <c r="C91" s="13" t="s">
        <v>25</v>
      </c>
      <c r="D91" s="13" t="s">
        <v>25</v>
      </c>
      <c r="E91" s="14" t="s">
        <v>26</v>
      </c>
      <c r="F91" s="15">
        <f>42630*0.4536</f>
        <v>19336.968000000001</v>
      </c>
      <c r="G91" s="16">
        <v>19267.47</v>
      </c>
      <c r="H91" s="16">
        <f t="shared" si="126"/>
        <v>-69.497999999999593</v>
      </c>
      <c r="I91" s="11" t="s">
        <v>211</v>
      </c>
      <c r="J91" s="17" t="s">
        <v>42</v>
      </c>
      <c r="K91" s="18">
        <v>42516</v>
      </c>
      <c r="L91" s="18">
        <v>42517</v>
      </c>
      <c r="M91" s="13" t="s">
        <v>44</v>
      </c>
      <c r="N91" s="13" t="s">
        <v>212</v>
      </c>
      <c r="O91" s="19"/>
      <c r="P91" s="20">
        <f>0.6511+0.105</f>
        <v>0.75609999999999999</v>
      </c>
      <c r="Q91" s="41">
        <v>18500</v>
      </c>
      <c r="R91" s="19">
        <v>9043</v>
      </c>
      <c r="S91" s="22">
        <v>18.43</v>
      </c>
      <c r="T91" s="26">
        <f t="shared" ref="T91:T92" si="134">W91*F91*0.005</f>
        <v>3118.1285458409207</v>
      </c>
      <c r="V91" s="19">
        <v>0.1</v>
      </c>
      <c r="W91" s="19">
        <f>IF(O91&gt;0,O91,((P91*2.2046*S91)+(Q91+R91)/G91)+V91)</f>
        <v>32.250439115800575</v>
      </c>
      <c r="X91" s="19">
        <f>IF(O91&gt;0,O91,((P91*2.2046*S91)+(Q91+R91+T91)/G91)+V91)</f>
        <v>32.412272950021723</v>
      </c>
      <c r="Y91" s="23">
        <f t="shared" ref="Y91:Y93" si="135">X91*F91</f>
        <v>626755.08484183566</v>
      </c>
      <c r="Z91" s="24">
        <v>42510</v>
      </c>
    </row>
    <row r="92" spans="1:26" s="11" customFormat="1" x14ac:dyDescent="0.25">
      <c r="A92" s="40"/>
      <c r="B92" s="12" t="s">
        <v>24</v>
      </c>
      <c r="C92" s="13" t="s">
        <v>25</v>
      </c>
      <c r="D92" s="13" t="s">
        <v>25</v>
      </c>
      <c r="E92" s="14" t="s">
        <v>26</v>
      </c>
      <c r="F92" s="15">
        <f>42782*0.4536</f>
        <v>19405.915199999999</v>
      </c>
      <c r="G92" s="16">
        <v>19402.96</v>
      </c>
      <c r="H92" s="16">
        <f t="shared" si="126"/>
        <v>-2.9552000000003318</v>
      </c>
      <c r="I92" s="11" t="s">
        <v>213</v>
      </c>
      <c r="J92" s="17" t="s">
        <v>63</v>
      </c>
      <c r="K92" s="18">
        <v>42516</v>
      </c>
      <c r="L92" s="18">
        <v>42518</v>
      </c>
      <c r="M92" s="13" t="s">
        <v>47</v>
      </c>
      <c r="N92" s="13" t="s">
        <v>212</v>
      </c>
      <c r="O92" s="19"/>
      <c r="P92" s="20">
        <v>0.75609999999999999</v>
      </c>
      <c r="Q92" s="41">
        <v>21000</v>
      </c>
      <c r="R92" s="19">
        <v>9043</v>
      </c>
      <c r="S92" s="22">
        <v>18.43</v>
      </c>
      <c r="T92" s="26">
        <f t="shared" si="134"/>
        <v>3140.7797694498126</v>
      </c>
      <c r="V92" s="19">
        <v>0.1</v>
      </c>
      <c r="W92" s="19">
        <f>IF(O92&gt;0,O92,((P92*2.2046*S92)+(Q92+R92)/G92)+V92)</f>
        <v>32.36930324677305</v>
      </c>
      <c r="X92" s="19">
        <f>IF(O92&gt;0,O92,((P92*2.2046*S92)+(Q92+R92+T92)/G92)+V92)</f>
        <v>32.531174413308968</v>
      </c>
      <c r="Y92" s="23">
        <f t="shared" si="135"/>
        <v>631297.21202108357</v>
      </c>
      <c r="Z92" s="24">
        <v>42510</v>
      </c>
    </row>
    <row r="93" spans="1:26" s="11" customFormat="1" x14ac:dyDescent="0.25">
      <c r="A93" s="40"/>
      <c r="B93" s="12" t="s">
        <v>24</v>
      </c>
      <c r="C93" s="13" t="s">
        <v>29</v>
      </c>
      <c r="D93" s="13" t="s">
        <v>29</v>
      </c>
      <c r="E93" s="14" t="s">
        <v>32</v>
      </c>
      <c r="F93" s="15">
        <f>41262*0.4536</f>
        <v>18716.443200000002</v>
      </c>
      <c r="G93" s="16">
        <v>18821.04</v>
      </c>
      <c r="H93" s="16">
        <f>G93-F93</f>
        <v>104.59679999999935</v>
      </c>
      <c r="I93" s="11" t="s">
        <v>214</v>
      </c>
      <c r="J93" s="17" t="s">
        <v>38</v>
      </c>
      <c r="K93" s="18">
        <v>42516</v>
      </c>
      <c r="L93" s="18">
        <v>42517</v>
      </c>
      <c r="M93" s="13" t="s">
        <v>44</v>
      </c>
      <c r="N93" s="13" t="s">
        <v>215</v>
      </c>
      <c r="O93" s="19"/>
      <c r="P93" s="20">
        <f>0.6513+0.1</f>
        <v>0.75129999999999997</v>
      </c>
      <c r="Q93" s="41">
        <v>18500</v>
      </c>
      <c r="R93" s="19">
        <v>9043</v>
      </c>
      <c r="S93" s="42">
        <v>18.600000000000001</v>
      </c>
      <c r="T93" s="26">
        <f>W93*F93*0.005</f>
        <v>3029.3398671201116</v>
      </c>
      <c r="V93" s="19">
        <v>0.1</v>
      </c>
      <c r="W93" s="19">
        <f t="shared" ref="W93" si="136">IF(O93&gt;0,O93,((P93*2.2046*S93)+(Q93+R93)/G93)+V93)</f>
        <v>32.370892639688201</v>
      </c>
      <c r="X93" s="19">
        <f t="shared" ref="X93" si="137">IF(O93&gt;0,O93,((P93*2.2046*S93)+(Q93+R93+T93)/G93)+V93)</f>
        <v>32.531847606423305</v>
      </c>
      <c r="Y93" s="23">
        <f t="shared" si="135"/>
        <v>608880.47791667783</v>
      </c>
      <c r="Z93" s="24">
        <v>42528</v>
      </c>
    </row>
    <row r="94" spans="1:26" s="11" customFormat="1" x14ac:dyDescent="0.25">
      <c r="A94" s="40"/>
      <c r="B94" s="12" t="s">
        <v>36</v>
      </c>
      <c r="C94" s="14" t="s">
        <v>37</v>
      </c>
      <c r="D94" s="13" t="s">
        <v>50</v>
      </c>
      <c r="E94" s="14">
        <v>242</v>
      </c>
      <c r="F94" s="15">
        <v>28175</v>
      </c>
      <c r="G94" s="16">
        <f>23390-850</f>
        <v>22540</v>
      </c>
      <c r="H94" s="16">
        <f t="shared" ref="H94:H99" si="138">G94-F94</f>
        <v>-5635</v>
      </c>
      <c r="I94" s="11" t="s">
        <v>216</v>
      </c>
      <c r="J94" s="38">
        <v>250</v>
      </c>
      <c r="K94" s="18"/>
      <c r="L94" s="18">
        <v>42517</v>
      </c>
      <c r="M94" s="13" t="s">
        <v>44</v>
      </c>
      <c r="N94" s="14"/>
      <c r="O94" s="19">
        <v>26.5</v>
      </c>
      <c r="P94" s="25"/>
      <c r="Q94" s="19">
        <v>17300</v>
      </c>
      <c r="R94" s="19">
        <f t="shared" ref="R94:R95" si="139">61.75*E94</f>
        <v>14943.5</v>
      </c>
      <c r="S94" s="22">
        <f>-35*E94</f>
        <v>-8470</v>
      </c>
      <c r="T94" s="26">
        <f>W94*F94*0.0045</f>
        <v>4340.368125</v>
      </c>
      <c r="U94" s="19">
        <f>E94*5</f>
        <v>1210</v>
      </c>
      <c r="V94" s="14"/>
      <c r="W94" s="19">
        <f>((O94*F94)+Q94+R94+S94+U94)/G94</f>
        <v>34.233407275953859</v>
      </c>
      <c r="X94" s="19">
        <f>((O94*F94)+Q94+R94+S94+T94+U94)/G94</f>
        <v>34.425970191881099</v>
      </c>
      <c r="Y94" s="23">
        <f t="shared" ref="Y94:Y95" si="140">X94*G94</f>
        <v>775961.36812499992</v>
      </c>
      <c r="Z94" s="24">
        <v>42530</v>
      </c>
    </row>
    <row r="95" spans="1:26" s="11" customFormat="1" x14ac:dyDescent="0.25">
      <c r="A95" s="40"/>
      <c r="B95" s="12" t="s">
        <v>36</v>
      </c>
      <c r="C95" s="14" t="s">
        <v>37</v>
      </c>
      <c r="D95" s="13" t="s">
        <v>50</v>
      </c>
      <c r="E95" s="14">
        <v>130</v>
      </c>
      <c r="F95" s="15">
        <v>14995</v>
      </c>
      <c r="G95" s="16">
        <f>11270+850</f>
        <v>12120</v>
      </c>
      <c r="H95" s="16">
        <f t="shared" si="138"/>
        <v>-2875</v>
      </c>
      <c r="I95" s="13"/>
      <c r="J95" s="38">
        <v>122</v>
      </c>
      <c r="K95" s="18"/>
      <c r="L95" s="18">
        <v>42517</v>
      </c>
      <c r="M95" s="13" t="s">
        <v>44</v>
      </c>
      <c r="N95" s="14"/>
      <c r="O95" s="19">
        <v>26.5</v>
      </c>
      <c r="P95" s="25"/>
      <c r="Q95" s="19">
        <v>13600</v>
      </c>
      <c r="R95" s="19">
        <f t="shared" si="139"/>
        <v>8027.5</v>
      </c>
      <c r="S95" s="22">
        <f>-35*E95</f>
        <v>-4550</v>
      </c>
      <c r="T95" s="26">
        <f>W95*F95*0.0045</f>
        <v>2311.0208632425743</v>
      </c>
      <c r="U95" s="19">
        <f>E95*5</f>
        <v>650</v>
      </c>
      <c r="V95" s="14"/>
      <c r="W95" s="19">
        <f>((O95*F95)+Q95+R95+S95+U95)/G95</f>
        <v>34.248762376237622</v>
      </c>
      <c r="X95" s="19">
        <f>((O95*F95)+Q95+R95+S95+T95+U95)/G95</f>
        <v>34.439440665284039</v>
      </c>
      <c r="Y95" s="23">
        <f t="shared" si="140"/>
        <v>417406.02086324256</v>
      </c>
      <c r="Z95" s="24">
        <v>42530</v>
      </c>
    </row>
    <row r="96" spans="1:26" s="11" customFormat="1" x14ac:dyDescent="0.25">
      <c r="A96" s="40"/>
      <c r="B96" s="12" t="s">
        <v>30</v>
      </c>
      <c r="C96" s="13" t="s">
        <v>25</v>
      </c>
      <c r="D96" s="13" t="s">
        <v>55</v>
      </c>
      <c r="E96" s="14" t="s">
        <v>57</v>
      </c>
      <c r="F96" s="15">
        <v>3670.9</v>
      </c>
      <c r="G96" s="16">
        <v>3670.9</v>
      </c>
      <c r="H96" s="16">
        <f t="shared" si="138"/>
        <v>0</v>
      </c>
      <c r="I96" s="13"/>
      <c r="J96" s="14"/>
      <c r="K96" s="18"/>
      <c r="L96" s="18">
        <v>42517</v>
      </c>
      <c r="M96" s="13" t="s">
        <v>44</v>
      </c>
      <c r="N96" s="14"/>
      <c r="O96" s="19">
        <v>15.8</v>
      </c>
      <c r="P96" s="25"/>
      <c r="Q96" s="19"/>
      <c r="R96" s="19"/>
      <c r="S96" s="22"/>
      <c r="T96" s="26"/>
      <c r="U96" s="19"/>
      <c r="V96" s="19"/>
      <c r="W96" s="19">
        <f>IF(O96&gt;0,O96,((P96*2.2046*S96)+(Q96+R96)/G96)+V96)</f>
        <v>15.8</v>
      </c>
      <c r="X96" s="19">
        <f>IF(O96&gt;0,O96,((P96*2.2046*S96)+(Q96+R96+T96)/G96)+V96)</f>
        <v>15.8</v>
      </c>
      <c r="Y96" s="23">
        <f t="shared" ref="Y96:Y99" si="141">X96*F96</f>
        <v>58000.22</v>
      </c>
      <c r="Z96" s="24">
        <v>42521</v>
      </c>
    </row>
    <row r="97" spans="1:26" s="11" customFormat="1" x14ac:dyDescent="0.25">
      <c r="A97" s="40"/>
      <c r="B97" s="12" t="s">
        <v>54</v>
      </c>
      <c r="C97" s="13" t="s">
        <v>217</v>
      </c>
      <c r="D97" s="13" t="s">
        <v>218</v>
      </c>
      <c r="E97" s="14" t="s">
        <v>59</v>
      </c>
      <c r="F97" s="15">
        <v>18670.18</v>
      </c>
      <c r="G97" s="16">
        <v>18670.18</v>
      </c>
      <c r="H97" s="16">
        <f t="shared" si="138"/>
        <v>0</v>
      </c>
      <c r="I97" s="13" t="s">
        <v>219</v>
      </c>
      <c r="J97" s="14"/>
      <c r="K97" s="18"/>
      <c r="L97" s="18">
        <v>42518</v>
      </c>
      <c r="M97" s="13" t="s">
        <v>47</v>
      </c>
      <c r="N97" s="14"/>
      <c r="O97" s="19">
        <v>36</v>
      </c>
      <c r="P97" s="25"/>
      <c r="Q97" s="19"/>
      <c r="R97" s="19"/>
      <c r="S97" s="22"/>
      <c r="T97" s="26"/>
      <c r="U97" s="19"/>
      <c r="V97" s="19"/>
      <c r="W97" s="19">
        <f>IF(O97&gt;0,O97,((P97*2.2046*S97)+(Q97+R97)/G97)+V97)</f>
        <v>36</v>
      </c>
      <c r="X97" s="19">
        <f>IF(O97&gt;0,O97,((P97*2.2046*S97)+(Q97+R97+T97)/G97)+V97)</f>
        <v>36</v>
      </c>
      <c r="Y97" s="23">
        <f t="shared" si="141"/>
        <v>672126.48</v>
      </c>
      <c r="Z97" s="24">
        <v>42534</v>
      </c>
    </row>
    <row r="98" spans="1:26" s="11" customFormat="1" x14ac:dyDescent="0.25">
      <c r="A98" s="40"/>
      <c r="B98" s="12" t="s">
        <v>24</v>
      </c>
      <c r="C98" s="13" t="s">
        <v>34</v>
      </c>
      <c r="D98" s="13" t="s">
        <v>34</v>
      </c>
      <c r="E98" s="14" t="s">
        <v>35</v>
      </c>
      <c r="F98" s="15">
        <f>40753*0.4536</f>
        <v>18485.560799999999</v>
      </c>
      <c r="G98" s="16">
        <v>18490.13</v>
      </c>
      <c r="H98" s="16">
        <f t="shared" si="138"/>
        <v>4.5692000000017288</v>
      </c>
      <c r="I98" s="31" t="s">
        <v>220</v>
      </c>
      <c r="J98" s="17" t="s">
        <v>27</v>
      </c>
      <c r="K98" s="18">
        <v>42517</v>
      </c>
      <c r="L98" s="18">
        <v>42518</v>
      </c>
      <c r="M98" s="13" t="s">
        <v>47</v>
      </c>
      <c r="N98" s="13" t="s">
        <v>221</v>
      </c>
      <c r="O98" s="19"/>
      <c r="P98" s="20">
        <f>0.6511+0.1075</f>
        <v>0.75860000000000005</v>
      </c>
      <c r="Q98" s="41">
        <v>18500</v>
      </c>
      <c r="R98" s="19">
        <v>9043</v>
      </c>
      <c r="S98" s="22">
        <v>18.43</v>
      </c>
      <c r="T98" s="26">
        <f t="shared" ref="T98:T99" si="142">W98*F98*0.005</f>
        <v>2995.7804947195932</v>
      </c>
      <c r="V98" s="19">
        <v>0.1</v>
      </c>
      <c r="W98" s="19">
        <f>IF(O98&gt;0,O98,((P98*2.2046*S98)+(Q98+R98)/G98)+V98)</f>
        <v>32.412113726293803</v>
      </c>
      <c r="X98" s="19">
        <f>IF(O98&gt;0,O98,((P98*2.2046*S98)+(Q98+R98+T98)/G98)+V98)</f>
        <v>32.574134247226844</v>
      </c>
      <c r="Y98" s="23">
        <f t="shared" si="141"/>
        <v>602151.13913447398</v>
      </c>
      <c r="Z98" s="24">
        <v>42510</v>
      </c>
    </row>
    <row r="99" spans="1:26" s="11" customFormat="1" x14ac:dyDescent="0.25">
      <c r="A99" s="40"/>
      <c r="B99" s="12" t="s">
        <v>24</v>
      </c>
      <c r="C99" s="13" t="s">
        <v>25</v>
      </c>
      <c r="D99" s="13" t="s">
        <v>25</v>
      </c>
      <c r="E99" s="14" t="s">
        <v>26</v>
      </c>
      <c r="F99" s="15">
        <f>42786*0.4536</f>
        <v>19407.729599999999</v>
      </c>
      <c r="G99" s="16">
        <v>19402.939999999999</v>
      </c>
      <c r="H99" s="16">
        <f t="shared" si="138"/>
        <v>-4.789600000000064</v>
      </c>
      <c r="I99" s="31" t="s">
        <v>222</v>
      </c>
      <c r="J99" s="17" t="s">
        <v>27</v>
      </c>
      <c r="K99" s="18">
        <v>42517</v>
      </c>
      <c r="L99" s="18">
        <v>42518</v>
      </c>
      <c r="M99" s="13" t="s">
        <v>47</v>
      </c>
      <c r="N99" s="13" t="s">
        <v>223</v>
      </c>
      <c r="O99" s="19"/>
      <c r="P99" s="20">
        <f>0.6408+0.105</f>
        <v>0.74580000000000002</v>
      </c>
      <c r="Q99" s="41">
        <v>18500</v>
      </c>
      <c r="R99" s="19">
        <v>9043</v>
      </c>
      <c r="S99" s="22">
        <v>18.46</v>
      </c>
      <c r="T99" s="26">
        <f t="shared" si="142"/>
        <v>3092.7466098762966</v>
      </c>
      <c r="V99" s="19">
        <v>0.1</v>
      </c>
      <c r="W99" s="19">
        <f>IF(O99&gt;0,O99,((P99*2.2046*S99)+(Q99+R99)/G99)+V99)</f>
        <v>31.871287096624602</v>
      </c>
      <c r="X99" s="19">
        <f>IF(O99&gt;0,O99,((P99*2.2046*S99)+(Q99+R99+T99)/G99)+V99)</f>
        <v>32.030682869114557</v>
      </c>
      <c r="Y99" s="23">
        <f t="shared" si="141"/>
        <v>621642.8320271275</v>
      </c>
      <c r="Z99" s="24">
        <v>42513</v>
      </c>
    </row>
    <row r="100" spans="1:26" s="11" customFormat="1" ht="15.75" thickBot="1" x14ac:dyDescent="0.3">
      <c r="A100" s="40"/>
      <c r="B100" s="27"/>
      <c r="C100" s="3"/>
      <c r="D100" s="3"/>
      <c r="E100" s="3"/>
      <c r="F100" s="28"/>
      <c r="G100" s="28"/>
      <c r="H100" s="28"/>
      <c r="I100" s="5"/>
      <c r="J100" s="3"/>
      <c r="K100" s="6"/>
      <c r="L100" s="6"/>
      <c r="M100" s="3"/>
      <c r="N100" s="3"/>
      <c r="O100" s="7"/>
      <c r="P100" s="8"/>
      <c r="Q100" s="7"/>
      <c r="R100" s="7"/>
      <c r="S100" s="7"/>
      <c r="T100" s="7"/>
      <c r="U100" s="7"/>
      <c r="V100" s="7"/>
      <c r="W100" s="7"/>
      <c r="X100" s="7"/>
      <c r="Y100" s="10"/>
      <c r="Z100" s="29"/>
    </row>
    <row r="101" spans="1:26" s="11" customFormat="1" x14ac:dyDescent="0.25">
      <c r="A101" s="43"/>
      <c r="B101" s="14" t="s">
        <v>36</v>
      </c>
      <c r="C101" s="14" t="s">
        <v>37</v>
      </c>
      <c r="D101" s="13" t="s">
        <v>53</v>
      </c>
      <c r="E101" s="14">
        <v>250</v>
      </c>
      <c r="F101" s="15">
        <v>30300</v>
      </c>
      <c r="G101" s="16">
        <f>18830+5780</f>
        <v>24610</v>
      </c>
      <c r="H101" s="16">
        <f t="shared" ref="H101:H103" si="143">G101-F101</f>
        <v>-5690</v>
      </c>
      <c r="I101" s="13" t="s">
        <v>224</v>
      </c>
      <c r="J101" s="14"/>
      <c r="K101" s="18"/>
      <c r="L101" s="18">
        <v>42519</v>
      </c>
      <c r="M101" s="13" t="s">
        <v>48</v>
      </c>
      <c r="N101" s="14"/>
      <c r="O101" s="19">
        <v>26.5</v>
      </c>
      <c r="P101" s="25"/>
      <c r="Q101" s="19">
        <v>17300</v>
      </c>
      <c r="R101" s="19">
        <f t="shared" ref="R101:R102" si="144">61.75*E101</f>
        <v>15437.5</v>
      </c>
      <c r="S101" s="22">
        <f>-35*E101</f>
        <v>-8750</v>
      </c>
      <c r="T101" s="26">
        <f>W101*F101*0.0045</f>
        <v>4588.5154662738714</v>
      </c>
      <c r="U101" s="19">
        <f>E101*5</f>
        <v>1250</v>
      </c>
      <c r="V101" s="14"/>
      <c r="W101" s="19">
        <f>((O101*F101)+Q101+R101+S101+U101)/G101</f>
        <v>33.652478667208449</v>
      </c>
      <c r="X101" s="19">
        <f>((O101*F101)+Q101+R101+S101+T101+U101)/G101</f>
        <v>33.838927893794143</v>
      </c>
      <c r="Y101" s="23">
        <f>X101*G101</f>
        <v>832776.01546627388</v>
      </c>
      <c r="Z101" s="24">
        <v>42534</v>
      </c>
    </row>
    <row r="102" spans="1:26" s="11" customFormat="1" x14ac:dyDescent="0.25">
      <c r="A102" s="43"/>
      <c r="B102" s="12" t="s">
        <v>36</v>
      </c>
      <c r="C102" s="14" t="s">
        <v>37</v>
      </c>
      <c r="D102" s="13" t="s">
        <v>53</v>
      </c>
      <c r="E102" s="14">
        <v>199</v>
      </c>
      <c r="F102" s="15">
        <v>22585</v>
      </c>
      <c r="G102" s="16">
        <f>5420+12560</f>
        <v>17980</v>
      </c>
      <c r="H102" s="16">
        <f t="shared" si="143"/>
        <v>-4605</v>
      </c>
      <c r="I102" s="13" t="s">
        <v>225</v>
      </c>
      <c r="J102" s="14"/>
      <c r="K102" s="18"/>
      <c r="L102" s="18">
        <v>42520</v>
      </c>
      <c r="M102" s="13" t="s">
        <v>49</v>
      </c>
      <c r="N102" s="14"/>
      <c r="O102" s="19">
        <v>26.5</v>
      </c>
      <c r="P102" s="25"/>
      <c r="Q102" s="19">
        <v>17300</v>
      </c>
      <c r="R102" s="19">
        <f t="shared" si="144"/>
        <v>12288.25</v>
      </c>
      <c r="S102" s="22">
        <f t="shared" ref="S102" si="145">-35*E102</f>
        <v>-6965</v>
      </c>
      <c r="T102" s="26">
        <f>W102*F102*0.0045</f>
        <v>3516.5565697650163</v>
      </c>
      <c r="U102" s="19">
        <f>E102*5</f>
        <v>995</v>
      </c>
      <c r="V102" s="14"/>
      <c r="W102" s="19">
        <f>((O102*F102)+Q102+R102+S102+U102)/G102</f>
        <v>34.600709121245828</v>
      </c>
      <c r="X102" s="19">
        <f>((O102*F102)+Q102+R102+S102+T102+U102)/G102</f>
        <v>34.796290687973581</v>
      </c>
      <c r="Y102" s="23">
        <f>X102*G102</f>
        <v>625637.30656976497</v>
      </c>
      <c r="Z102" s="24">
        <v>42534</v>
      </c>
    </row>
    <row r="103" spans="1:26" s="11" customFormat="1" x14ac:dyDescent="0.25">
      <c r="A103" s="43"/>
      <c r="B103" s="12" t="s">
        <v>226</v>
      </c>
      <c r="C103" s="14" t="s">
        <v>227</v>
      </c>
      <c r="D103" s="13" t="s">
        <v>46</v>
      </c>
      <c r="E103" s="14" t="s">
        <v>58</v>
      </c>
      <c r="F103" s="15">
        <v>993.42</v>
      </c>
      <c r="G103" s="16">
        <v>993.42</v>
      </c>
      <c r="H103" s="16">
        <f t="shared" si="143"/>
        <v>0</v>
      </c>
      <c r="I103" s="13" t="s">
        <v>228</v>
      </c>
      <c r="J103" s="14"/>
      <c r="K103" s="18"/>
      <c r="L103" s="18">
        <v>42520</v>
      </c>
      <c r="M103" s="13" t="s">
        <v>49</v>
      </c>
      <c r="N103" s="14"/>
      <c r="O103" s="19">
        <v>69.5</v>
      </c>
      <c r="P103" s="25"/>
      <c r="Q103" s="19"/>
      <c r="R103" s="19"/>
      <c r="S103" s="22"/>
      <c r="T103" s="26"/>
      <c r="U103" s="19"/>
      <c r="V103" s="19"/>
      <c r="W103" s="19">
        <f t="shared" ref="W103:W105" si="146">IF(O103&gt;0,O103,((P103*2.2046*S103)+(Q103+R103)/G103)+V103)</f>
        <v>69.5</v>
      </c>
      <c r="X103" s="19">
        <f t="shared" ref="X103:X105" si="147">IF(O103&gt;0,O103,((P103*2.2046*S103)+(Q103+R103+T103)/G103)+V103)</f>
        <v>69.5</v>
      </c>
      <c r="Y103" s="23">
        <f>X103*F103</f>
        <v>69042.69</v>
      </c>
      <c r="Z103" s="24">
        <v>42541</v>
      </c>
    </row>
    <row r="104" spans="1:26" s="11" customFormat="1" x14ac:dyDescent="0.25">
      <c r="A104" s="43"/>
      <c r="B104" s="12" t="s">
        <v>24</v>
      </c>
      <c r="C104" s="13" t="s">
        <v>29</v>
      </c>
      <c r="D104" s="13" t="s">
        <v>29</v>
      </c>
      <c r="E104" s="14" t="s">
        <v>32</v>
      </c>
      <c r="F104" s="15">
        <f>40319*0.4536</f>
        <v>18288.698400000001</v>
      </c>
      <c r="G104" s="16">
        <v>18408.32</v>
      </c>
      <c r="H104" s="16">
        <f>G104-F104</f>
        <v>119.62159999999858</v>
      </c>
      <c r="I104" s="11" t="s">
        <v>229</v>
      </c>
      <c r="J104" s="44" t="s">
        <v>33</v>
      </c>
      <c r="K104" s="18">
        <v>42520</v>
      </c>
      <c r="L104" s="18">
        <v>42521</v>
      </c>
      <c r="M104" s="13" t="s">
        <v>28</v>
      </c>
      <c r="N104" s="13" t="s">
        <v>230</v>
      </c>
      <c r="O104" s="19"/>
      <c r="P104" s="20">
        <f>0.653+0.1</f>
        <v>0.753</v>
      </c>
      <c r="Q104" s="41">
        <v>18500</v>
      </c>
      <c r="R104" s="19">
        <v>9056</v>
      </c>
      <c r="S104" s="42">
        <v>18.600000000000001</v>
      </c>
      <c r="T104" s="26">
        <f>W104*F104*0.005</f>
        <v>2969.5467954568153</v>
      </c>
      <c r="V104" s="19">
        <v>0.1</v>
      </c>
      <c r="W104" s="19">
        <f t="shared" si="146"/>
        <v>32.474118502132605</v>
      </c>
      <c r="X104" s="19">
        <f t="shared" si="147"/>
        <v>32.635433972281803</v>
      </c>
      <c r="Y104" s="23">
        <f>X104*F104</f>
        <v>596859.60907217592</v>
      </c>
      <c r="Z104" s="24">
        <v>42531</v>
      </c>
    </row>
    <row r="105" spans="1:26" s="11" customFormat="1" x14ac:dyDescent="0.25">
      <c r="A105" s="43"/>
      <c r="B105" s="12" t="s">
        <v>24</v>
      </c>
      <c r="C105" s="13" t="s">
        <v>34</v>
      </c>
      <c r="D105" s="13" t="s">
        <v>34</v>
      </c>
      <c r="E105" s="14" t="s">
        <v>35</v>
      </c>
      <c r="F105" s="15">
        <f>41797*0.4536</f>
        <v>18959.119200000001</v>
      </c>
      <c r="G105" s="16">
        <v>18921.490000000002</v>
      </c>
      <c r="H105" s="16">
        <f t="shared" ref="H105" si="148">G105-F105</f>
        <v>-37.6291999999994</v>
      </c>
      <c r="I105" s="11" t="s">
        <v>231</v>
      </c>
      <c r="J105" s="44" t="s">
        <v>27</v>
      </c>
      <c r="K105" s="18">
        <v>42520</v>
      </c>
      <c r="L105" s="18">
        <v>42521</v>
      </c>
      <c r="M105" s="13" t="s">
        <v>28</v>
      </c>
      <c r="N105" s="13" t="s">
        <v>232</v>
      </c>
      <c r="O105" s="19"/>
      <c r="P105" s="20">
        <f>0.6515+0.1075</f>
        <v>0.75900000000000001</v>
      </c>
      <c r="Q105" s="41">
        <v>18500</v>
      </c>
      <c r="R105" s="19">
        <v>9056</v>
      </c>
      <c r="S105" s="22">
        <v>18.41</v>
      </c>
      <c r="T105" s="26">
        <f t="shared" ref="T105" si="149">W105*F105*0.005</f>
        <v>3067.7398315025644</v>
      </c>
      <c r="V105" s="19">
        <v>0.1</v>
      </c>
      <c r="W105" s="19">
        <f t="shared" si="146"/>
        <v>32.361628186847035</v>
      </c>
      <c r="X105" s="19">
        <f t="shared" si="147"/>
        <v>32.523758115911953</v>
      </c>
      <c r="Y105" s="23">
        <f t="shared" ref="Y105" si="150">X105*F105</f>
        <v>616621.80695154215</v>
      </c>
      <c r="Z105" s="24">
        <v>42515</v>
      </c>
    </row>
    <row r="106" spans="1:26" s="11" customFormat="1" x14ac:dyDescent="0.25">
      <c r="A106" s="43"/>
      <c r="B106" s="12" t="s">
        <v>36</v>
      </c>
      <c r="C106" s="14" t="s">
        <v>37</v>
      </c>
      <c r="D106" s="13" t="s">
        <v>185</v>
      </c>
      <c r="E106" s="14">
        <v>200</v>
      </c>
      <c r="F106" s="15">
        <v>22060</v>
      </c>
      <c r="G106" s="16">
        <f>5020+12130</f>
        <v>17150</v>
      </c>
      <c r="H106" s="16">
        <f>G106-F106</f>
        <v>-4910</v>
      </c>
      <c r="I106" s="11" t="s">
        <v>233</v>
      </c>
      <c r="J106" s="36" t="s">
        <v>234</v>
      </c>
      <c r="K106" s="18"/>
      <c r="L106" s="18">
        <v>42521</v>
      </c>
      <c r="M106" s="13" t="s">
        <v>28</v>
      </c>
      <c r="N106" s="14"/>
      <c r="O106" s="19">
        <v>26.5</v>
      </c>
      <c r="P106" s="25"/>
      <c r="Q106" s="19">
        <v>17300</v>
      </c>
      <c r="R106" s="19">
        <f t="shared" ref="R106" si="151">61.75*E106</f>
        <v>12350</v>
      </c>
      <c r="S106" s="22">
        <f t="shared" ref="S106" si="152">-35*E106</f>
        <v>-7000</v>
      </c>
      <c r="T106" s="26">
        <f>W106*F106*0.0045</f>
        <v>3520.6988221574343</v>
      </c>
      <c r="U106" s="19">
        <f>E106*5</f>
        <v>1000</v>
      </c>
      <c r="V106" s="14"/>
      <c r="W106" s="19">
        <f>((O106*F106)+Q106+R106+S106+U106)/G106</f>
        <v>35.465889212827989</v>
      </c>
      <c r="X106" s="19">
        <f>((O106*F106)+Q106+R106+S106+T106+U106)/G106</f>
        <v>35.671177773886733</v>
      </c>
      <c r="Y106" s="23">
        <f>X106*G106</f>
        <v>611760.69882215746</v>
      </c>
      <c r="Z106" s="24">
        <v>42534</v>
      </c>
    </row>
    <row r="107" spans="1:26" s="11" customFormat="1" ht="15.75" thickBot="1" x14ac:dyDescent="0.3">
      <c r="A107" s="43"/>
      <c r="B107" s="27"/>
      <c r="C107" s="3"/>
      <c r="D107" s="3"/>
      <c r="E107" s="3"/>
      <c r="F107" s="28"/>
      <c r="G107" s="28"/>
      <c r="H107" s="28"/>
      <c r="I107" s="5"/>
      <c r="J107" s="3"/>
      <c r="K107" s="6"/>
      <c r="L107" s="6"/>
      <c r="M107" s="3"/>
      <c r="N107" s="3"/>
      <c r="O107" s="7"/>
      <c r="P107" s="8"/>
      <c r="Q107" s="7"/>
      <c r="R107" s="7"/>
      <c r="S107" s="7"/>
      <c r="T107" s="7"/>
      <c r="U107" s="7"/>
      <c r="V107" s="7"/>
      <c r="W107" s="7"/>
      <c r="X107" s="7"/>
      <c r="Y107" s="10"/>
      <c r="Z107" s="2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C95"/>
  <sheetViews>
    <sheetView zoomScale="80" zoomScaleNormal="80" workbookViewId="0">
      <selection activeCell="AT14" sqref="AT14"/>
    </sheetView>
  </sheetViews>
  <sheetFormatPr baseColWidth="10" defaultRowHeight="15" x14ac:dyDescent="0.25"/>
  <cols>
    <col min="1" max="1" width="3" customWidth="1"/>
    <col min="2" max="2" width="16.28515625" customWidth="1"/>
    <col min="4" max="4" width="20.85546875" bestFit="1" customWidth="1"/>
    <col min="5" max="5" width="10.85546875" customWidth="1"/>
    <col min="8" max="8" width="11" customWidth="1"/>
    <col min="9" max="9" width="14.140625" customWidth="1"/>
    <col min="13" max="13" width="4.7109375" customWidth="1"/>
    <col min="14" max="14" width="6.28515625" hidden="1" customWidth="1"/>
    <col min="15" max="18" width="0" hidden="1" customWidth="1"/>
    <col min="19" max="19" width="13.28515625" hidden="1" customWidth="1"/>
    <col min="20" max="23" width="0" hidden="1" customWidth="1"/>
    <col min="24" max="24" width="10.85546875" customWidth="1"/>
    <col min="25" max="25" width="16.5703125" customWidth="1"/>
    <col min="26" max="26" width="14.85546875" customWidth="1"/>
    <col min="27" max="41" width="0" hidden="1" customWidth="1"/>
  </cols>
  <sheetData>
    <row r="2" spans="1:28" x14ac:dyDescent="0.25">
      <c r="A2" s="1" t="s">
        <v>237</v>
      </c>
      <c r="Y2" s="33"/>
    </row>
    <row r="3" spans="1:28" ht="30.75" thickBot="1" x14ac:dyDescent="0.3">
      <c r="A3" s="2"/>
      <c r="B3" s="3" t="s">
        <v>0</v>
      </c>
      <c r="C3" s="3" t="s">
        <v>1</v>
      </c>
      <c r="D3" s="3" t="s">
        <v>2</v>
      </c>
      <c r="E3" s="3" t="s">
        <v>3</v>
      </c>
      <c r="F3" s="4" t="s">
        <v>4</v>
      </c>
      <c r="G3" s="4" t="s">
        <v>5</v>
      </c>
      <c r="H3" s="4" t="s">
        <v>6</v>
      </c>
      <c r="I3" s="5" t="s">
        <v>7</v>
      </c>
      <c r="J3" s="3" t="s">
        <v>8</v>
      </c>
      <c r="K3" s="6" t="s">
        <v>9</v>
      </c>
      <c r="L3" s="6" t="s">
        <v>10</v>
      </c>
      <c r="M3" s="3" t="s">
        <v>11</v>
      </c>
      <c r="N3" s="3" t="s">
        <v>12</v>
      </c>
      <c r="O3" s="7" t="s">
        <v>13</v>
      </c>
      <c r="P3" s="8" t="s">
        <v>14</v>
      </c>
      <c r="Q3" s="7" t="s">
        <v>15</v>
      </c>
      <c r="R3" s="9" t="s">
        <v>16</v>
      </c>
      <c r="S3" s="9" t="s">
        <v>17</v>
      </c>
      <c r="T3" s="9" t="s">
        <v>18</v>
      </c>
      <c r="U3" s="7" t="s">
        <v>19</v>
      </c>
      <c r="V3" s="7" t="s">
        <v>20</v>
      </c>
      <c r="W3" s="7" t="s">
        <v>21</v>
      </c>
      <c r="X3" s="7" t="s">
        <v>22</v>
      </c>
      <c r="Y3" s="10" t="s">
        <v>23</v>
      </c>
      <c r="Z3" s="7"/>
    </row>
    <row r="4" spans="1:28" s="11" customFormat="1" x14ac:dyDescent="0.25">
      <c r="A4" s="46"/>
      <c r="B4" s="12" t="s">
        <v>24</v>
      </c>
      <c r="C4" s="13" t="s">
        <v>25</v>
      </c>
      <c r="D4" s="13" t="s">
        <v>25</v>
      </c>
      <c r="E4" s="14" t="s">
        <v>26</v>
      </c>
      <c r="F4" s="15">
        <f>42142*0.4536</f>
        <v>19115.611199999999</v>
      </c>
      <c r="G4" s="16">
        <v>19049.68</v>
      </c>
      <c r="H4" s="16">
        <f>G4-F4</f>
        <v>-65.93119999999908</v>
      </c>
      <c r="I4" s="11" t="s">
        <v>238</v>
      </c>
      <c r="J4" s="17" t="s">
        <v>27</v>
      </c>
      <c r="K4" s="18">
        <v>42613</v>
      </c>
      <c r="L4" s="18">
        <v>42614</v>
      </c>
      <c r="M4" s="13" t="s">
        <v>41</v>
      </c>
      <c r="N4" s="13" t="s">
        <v>239</v>
      </c>
      <c r="O4" s="19"/>
      <c r="P4" s="20">
        <f>0.7487+0.105</f>
        <v>0.85370000000000001</v>
      </c>
      <c r="Q4" s="41">
        <v>20000</v>
      </c>
      <c r="R4" s="19">
        <v>9108</v>
      </c>
      <c r="S4" s="22">
        <v>18.600000000000001</v>
      </c>
      <c r="T4" s="47">
        <f>W4*F4*0.005</f>
        <v>3501.4496323270832</v>
      </c>
      <c r="V4" s="19">
        <v>0.1</v>
      </c>
      <c r="W4" s="19">
        <f t="shared" ref="W4" si="0">IF(O4&gt;0,O4,((P4*2.2046*S4)+(Q4+R4)/G4)+V4)</f>
        <v>36.634451241894723</v>
      </c>
      <c r="X4" s="19">
        <f t="shared" ref="X4" si="1">IF(O4&gt;0,O4,((P4*2.2046*S4)+(Q4+R4+T4)/G4)+V4)</f>
        <v>36.818257459759117</v>
      </c>
      <c r="Y4" s="23">
        <f t="shared" ref="Y4" si="2">X4*F4</f>
        <v>703803.49466225493</v>
      </c>
      <c r="Z4" s="24">
        <v>42607</v>
      </c>
      <c r="AA4" s="48"/>
      <c r="AB4" s="48"/>
    </row>
    <row r="5" spans="1:28" s="11" customFormat="1" x14ac:dyDescent="0.25">
      <c r="A5" s="46"/>
      <c r="B5" s="12" t="s">
        <v>36</v>
      </c>
      <c r="C5" s="14" t="s">
        <v>37</v>
      </c>
      <c r="D5" s="13" t="s">
        <v>43</v>
      </c>
      <c r="E5" s="14">
        <f>230</f>
        <v>230</v>
      </c>
      <c r="F5" s="15">
        <f>27030</f>
        <v>27030</v>
      </c>
      <c r="G5" s="16">
        <f>18790</f>
        <v>18790</v>
      </c>
      <c r="H5" s="16">
        <f t="shared" ref="H5:H6" si="3">G5-F5</f>
        <v>-8240</v>
      </c>
      <c r="I5" s="11" t="s">
        <v>240</v>
      </c>
      <c r="J5" s="38">
        <v>200</v>
      </c>
      <c r="K5" s="18"/>
      <c r="L5" s="18">
        <v>42614</v>
      </c>
      <c r="M5" s="13" t="s">
        <v>41</v>
      </c>
      <c r="N5" s="14"/>
      <c r="O5" s="19">
        <v>28</v>
      </c>
      <c r="P5" s="25"/>
      <c r="Q5" s="41">
        <f>17300</f>
        <v>17300</v>
      </c>
      <c r="R5" s="19">
        <f t="shared" ref="R5:R6" si="4">61.75*E5</f>
        <v>14202.5</v>
      </c>
      <c r="S5" s="22">
        <f t="shared" ref="S5:S6" si="5">-35*E5</f>
        <v>-8050</v>
      </c>
      <c r="T5" s="26">
        <f t="shared" ref="T5:T6" si="6">W5*F5*0.0045</f>
        <v>5058.582144092602</v>
      </c>
      <c r="U5" s="19">
        <f t="shared" ref="U5:U6" si="7">E5*5</f>
        <v>1150</v>
      </c>
      <c r="V5" s="14"/>
      <c r="W5" s="19">
        <f t="shared" ref="W5:W6" si="8">((O5*F5)+Q5+R5+S5+U5)/G5</f>
        <v>41.588211814795102</v>
      </c>
      <c r="X5" s="19">
        <f t="shared" ref="X5:X6" si="9">((O5*F5)+Q5+R5+S5+T5+U5)/G5</f>
        <v>41.857428533480181</v>
      </c>
      <c r="Y5" s="23">
        <f t="shared" ref="Y5:Y6" si="10">X5*G5</f>
        <v>786501.08214409265</v>
      </c>
      <c r="Z5" s="24">
        <v>42627</v>
      </c>
      <c r="AA5" s="48">
        <v>28.5</v>
      </c>
      <c r="AB5" s="48" t="s">
        <v>241</v>
      </c>
    </row>
    <row r="6" spans="1:28" s="11" customFormat="1" x14ac:dyDescent="0.25">
      <c r="A6" s="46"/>
      <c r="B6" s="12" t="s">
        <v>36</v>
      </c>
      <c r="C6" s="14" t="s">
        <v>37</v>
      </c>
      <c r="D6" s="13" t="s">
        <v>43</v>
      </c>
      <c r="E6" s="14">
        <v>100</v>
      </c>
      <c r="F6" s="15">
        <v>11635</v>
      </c>
      <c r="G6" s="16">
        <v>12200</v>
      </c>
      <c r="H6" s="16">
        <f t="shared" si="3"/>
        <v>565</v>
      </c>
      <c r="I6" s="13" t="s">
        <v>242</v>
      </c>
      <c r="J6" s="38">
        <v>130</v>
      </c>
      <c r="K6" s="18"/>
      <c r="L6" s="18">
        <v>42614</v>
      </c>
      <c r="M6" s="13" t="s">
        <v>41</v>
      </c>
      <c r="N6" s="14"/>
      <c r="O6" s="19">
        <v>28</v>
      </c>
      <c r="P6" s="25"/>
      <c r="Q6" s="41">
        <v>13600</v>
      </c>
      <c r="R6" s="19">
        <f t="shared" si="4"/>
        <v>6175</v>
      </c>
      <c r="S6" s="22">
        <f t="shared" si="5"/>
        <v>-3500</v>
      </c>
      <c r="T6" s="49">
        <f t="shared" si="6"/>
        <v>1470.1084764344262</v>
      </c>
      <c r="U6" s="19">
        <f t="shared" si="7"/>
        <v>500</v>
      </c>
      <c r="V6" s="14"/>
      <c r="W6" s="19">
        <f t="shared" si="8"/>
        <v>28.078278688524591</v>
      </c>
      <c r="X6" s="19">
        <f t="shared" si="9"/>
        <v>28.198779383314296</v>
      </c>
      <c r="Y6" s="23">
        <f t="shared" si="10"/>
        <v>344025.10847643443</v>
      </c>
      <c r="Z6" s="24">
        <v>42627</v>
      </c>
      <c r="AA6" s="48"/>
      <c r="AB6" s="48"/>
    </row>
    <row r="7" spans="1:28" s="11" customFormat="1" x14ac:dyDescent="0.25">
      <c r="A7" s="46"/>
      <c r="B7" s="12" t="s">
        <v>24</v>
      </c>
      <c r="C7" s="13" t="s">
        <v>29</v>
      </c>
      <c r="D7" s="13" t="s">
        <v>29</v>
      </c>
      <c r="E7" s="14" t="s">
        <v>32</v>
      </c>
      <c r="F7" s="15">
        <f>40973*0.4536</f>
        <v>18585.352800000001</v>
      </c>
      <c r="G7" s="16">
        <v>18574.689999999999</v>
      </c>
      <c r="H7" s="16">
        <f>G7-F7</f>
        <v>-10.66280000000188</v>
      </c>
      <c r="I7" s="11" t="s">
        <v>243</v>
      </c>
      <c r="J7" s="17" t="s">
        <v>27</v>
      </c>
      <c r="K7" s="18">
        <v>42614</v>
      </c>
      <c r="L7" s="18">
        <v>42616</v>
      </c>
      <c r="M7" s="13" t="s">
        <v>47</v>
      </c>
      <c r="N7" s="13" t="s">
        <v>244</v>
      </c>
      <c r="O7" s="19"/>
      <c r="P7" s="20">
        <f>0.7487+0.1</f>
        <v>0.84870000000000001</v>
      </c>
      <c r="Q7" s="41">
        <v>20000</v>
      </c>
      <c r="R7" s="19">
        <v>9108</v>
      </c>
      <c r="S7" s="22">
        <v>18.888999999999999</v>
      </c>
      <c r="T7" s="26">
        <f>W7*F7*0.005</f>
        <v>3439.147901818752</v>
      </c>
      <c r="V7" s="19">
        <v>0.1</v>
      </c>
      <c r="W7" s="19">
        <f t="shared" ref="W7" si="11">IF(O7&gt;0,O7,((P7*2.2046*S7)+(Q7+R7)/G7)+V7)</f>
        <v>37.009229136815222</v>
      </c>
      <c r="X7" s="19">
        <f t="shared" ref="X7" si="12">IF(O7&gt;0,O7,((P7*2.2046*S7)+(Q7+R7+T7)/G7)+V7)</f>
        <v>37.194381508231317</v>
      </c>
      <c r="Y7" s="23">
        <f t="shared" ref="Y7" si="13">X7*F7</f>
        <v>691270.70250827516</v>
      </c>
      <c r="Z7" s="24">
        <v>42626</v>
      </c>
      <c r="AA7" s="48"/>
      <c r="AB7" s="48"/>
    </row>
    <row r="8" spans="1:28" s="11" customFormat="1" x14ac:dyDescent="0.25">
      <c r="A8" s="46"/>
      <c r="B8" s="12" t="s">
        <v>36</v>
      </c>
      <c r="C8" s="14" t="s">
        <v>37</v>
      </c>
      <c r="D8" s="13" t="s">
        <v>43</v>
      </c>
      <c r="E8" s="14">
        <v>200</v>
      </c>
      <c r="F8" s="15">
        <v>22585</v>
      </c>
      <c r="G8" s="16">
        <f>11860+6400</f>
        <v>18260</v>
      </c>
      <c r="H8" s="16">
        <f t="shared" ref="H8:H11" si="14">G8-F8</f>
        <v>-4325</v>
      </c>
      <c r="I8" s="11" t="s">
        <v>245</v>
      </c>
      <c r="J8" s="14"/>
      <c r="K8" s="18"/>
      <c r="L8" s="18">
        <v>42615</v>
      </c>
      <c r="M8" s="13" t="s">
        <v>44</v>
      </c>
      <c r="N8" s="14"/>
      <c r="O8" s="19">
        <v>28</v>
      </c>
      <c r="P8" s="25"/>
      <c r="Q8" s="41">
        <v>17300</v>
      </c>
      <c r="R8" s="19">
        <f t="shared" ref="R8" si="15">61.75*E8</f>
        <v>12350</v>
      </c>
      <c r="S8" s="22">
        <f>-35*E8</f>
        <v>-7000</v>
      </c>
      <c r="T8" s="26">
        <f>W8*F8*0.0045</f>
        <v>3651.367413745892</v>
      </c>
      <c r="U8" s="19">
        <f>E8*5</f>
        <v>1000</v>
      </c>
      <c r="V8" s="14"/>
      <c r="W8" s="19">
        <f>((O8*F8)+Q8+R8+S8+U8)/G8</f>
        <v>35.927163198247534</v>
      </c>
      <c r="X8" s="19">
        <f>((O8*F8)+Q8+R8+S8+T8+U8)/G8</f>
        <v>36.127128554969651</v>
      </c>
      <c r="Y8" s="23">
        <f t="shared" ref="Y8:Y9" si="16">X8*G8</f>
        <v>659681.36741374584</v>
      </c>
      <c r="Z8" s="24">
        <v>42628</v>
      </c>
      <c r="AA8" s="33">
        <v>38.5</v>
      </c>
      <c r="AB8" s="33" t="s">
        <v>246</v>
      </c>
    </row>
    <row r="9" spans="1:28" s="11" customFormat="1" x14ac:dyDescent="0.25">
      <c r="A9" s="46"/>
      <c r="B9" s="12" t="s">
        <v>36</v>
      </c>
      <c r="C9" s="14" t="s">
        <v>247</v>
      </c>
      <c r="D9" s="13" t="s">
        <v>248</v>
      </c>
      <c r="E9" s="14">
        <v>146</v>
      </c>
      <c r="F9" s="15">
        <v>15365</v>
      </c>
      <c r="G9" s="16">
        <v>15320</v>
      </c>
      <c r="H9" s="16">
        <f t="shared" si="14"/>
        <v>-45</v>
      </c>
      <c r="I9" s="13" t="s">
        <v>249</v>
      </c>
      <c r="J9" s="14"/>
      <c r="K9" s="18"/>
      <c r="L9" s="18">
        <v>42615</v>
      </c>
      <c r="M9" s="13" t="s">
        <v>44</v>
      </c>
      <c r="N9" s="14"/>
      <c r="O9" s="19">
        <v>37.1</v>
      </c>
      <c r="P9" s="25"/>
      <c r="Q9" s="19"/>
      <c r="R9" s="19"/>
      <c r="S9" s="22"/>
      <c r="T9" s="26"/>
      <c r="U9" s="19">
        <f>E9*5</f>
        <v>730</v>
      </c>
      <c r="V9" s="14"/>
      <c r="W9" s="19">
        <f>((O9*F9)+Q9+R9+S9+U9)/G9</f>
        <v>37.256625326370759</v>
      </c>
      <c r="X9" s="19">
        <f>((O9*F9)+Q9+R9+S9+T9+U9)/G9</f>
        <v>37.256625326370759</v>
      </c>
      <c r="Y9" s="23">
        <f t="shared" si="16"/>
        <v>570771.5</v>
      </c>
      <c r="Z9" s="24">
        <v>42622</v>
      </c>
      <c r="AA9" s="33">
        <v>38.5</v>
      </c>
      <c r="AB9" s="33"/>
    </row>
    <row r="10" spans="1:28" s="11" customFormat="1" x14ac:dyDescent="0.25">
      <c r="A10" s="46"/>
      <c r="B10" s="12" t="s">
        <v>24</v>
      </c>
      <c r="C10" s="13" t="s">
        <v>25</v>
      </c>
      <c r="D10" s="13" t="s">
        <v>25</v>
      </c>
      <c r="E10" s="14" t="s">
        <v>26</v>
      </c>
      <c r="F10" s="15">
        <f>41716*0.4536</f>
        <v>18922.3776</v>
      </c>
      <c r="G10" s="16">
        <v>18828.79</v>
      </c>
      <c r="H10" s="16">
        <f>G10-F10</f>
        <v>-93.587599999998929</v>
      </c>
      <c r="I10" s="11" t="s">
        <v>250</v>
      </c>
      <c r="J10" s="17" t="s">
        <v>42</v>
      </c>
      <c r="K10" s="18">
        <v>42615</v>
      </c>
      <c r="L10" s="18">
        <v>42616</v>
      </c>
      <c r="M10" s="13" t="s">
        <v>47</v>
      </c>
      <c r="N10" s="13" t="s">
        <v>239</v>
      </c>
      <c r="O10" s="19"/>
      <c r="P10" s="20">
        <v>0.88019999999999998</v>
      </c>
      <c r="Q10" s="41">
        <v>18500</v>
      </c>
      <c r="R10" s="19">
        <v>9082</v>
      </c>
      <c r="S10" s="22">
        <v>18.600000000000001</v>
      </c>
      <c r="T10" s="26">
        <f t="shared" ref="T10:T11" si="17">W10*F10*0.005</f>
        <v>3562.8924226335571</v>
      </c>
      <c r="V10" s="19">
        <v>0.1</v>
      </c>
      <c r="W10" s="19">
        <f>IF(O10&gt;0,O10,((P10*2.2046*S10)+(Q10+R10)/G10)+V10)</f>
        <v>37.657978272598861</v>
      </c>
      <c r="X10" s="19">
        <f>IF(O10&gt;0,O10,((P10*2.2046*S10)+(Q10+R10+T10)/G10)+V10)</f>
        <v>37.847204049859826</v>
      </c>
      <c r="Y10" s="23">
        <f>X10*F10</f>
        <v>716159.08613569685</v>
      </c>
      <c r="Z10" s="24">
        <v>42607</v>
      </c>
      <c r="AA10" s="48"/>
      <c r="AB10" s="48"/>
    </row>
    <row r="11" spans="1:28" s="11" customFormat="1" x14ac:dyDescent="0.25">
      <c r="A11" s="46"/>
      <c r="B11" s="12" t="s">
        <v>24</v>
      </c>
      <c r="C11" s="13" t="s">
        <v>34</v>
      </c>
      <c r="D11" s="13" t="s">
        <v>34</v>
      </c>
      <c r="E11" s="14" t="s">
        <v>35</v>
      </c>
      <c r="F11" s="15">
        <f>42378*0.4536</f>
        <v>19222.660800000001</v>
      </c>
      <c r="G11" s="16">
        <v>19200</v>
      </c>
      <c r="H11" s="16">
        <f t="shared" si="14"/>
        <v>-22.660800000001473</v>
      </c>
      <c r="I11" s="31" t="s">
        <v>251</v>
      </c>
      <c r="J11" s="17" t="s">
        <v>38</v>
      </c>
      <c r="K11" s="18">
        <v>42615</v>
      </c>
      <c r="L11" s="18">
        <v>42616</v>
      </c>
      <c r="M11" s="13" t="s">
        <v>47</v>
      </c>
      <c r="N11" s="13" t="s">
        <v>252</v>
      </c>
      <c r="O11" s="19"/>
      <c r="P11" s="20">
        <f>0.7595+0.1075</f>
        <v>0.86699999999999999</v>
      </c>
      <c r="Q11" s="41">
        <v>20000</v>
      </c>
      <c r="R11" s="19">
        <v>9082</v>
      </c>
      <c r="S11" s="22">
        <v>18.5</v>
      </c>
      <c r="T11" s="26">
        <f t="shared" si="17"/>
        <v>3553.8249004318372</v>
      </c>
      <c r="V11" s="19">
        <v>0.1</v>
      </c>
      <c r="W11" s="19">
        <f>IF(O11&gt;0,O11,((P11*2.2046*S11)+(Q11+R11)/G11)+V11)</f>
        <v>36.975369200000003</v>
      </c>
      <c r="X11" s="19">
        <f>IF(O11&gt;0,O11,((P11*2.2046*S11)+(Q11+R11+T11)/G11)+V11)</f>
        <v>37.160464246897497</v>
      </c>
      <c r="Y11" s="23">
        <f t="shared" ref="Y11" si="18">X11*F11</f>
        <v>714322.99938863807</v>
      </c>
      <c r="Z11" s="24">
        <v>42608</v>
      </c>
      <c r="AA11" s="33"/>
      <c r="AB11" s="33" t="s">
        <v>253</v>
      </c>
    </row>
    <row r="12" spans="1:28" s="11" customFormat="1" x14ac:dyDescent="0.25">
      <c r="A12" s="46"/>
      <c r="B12" s="12" t="s">
        <v>24</v>
      </c>
      <c r="C12" s="13" t="s">
        <v>29</v>
      </c>
      <c r="D12" s="13" t="s">
        <v>29</v>
      </c>
      <c r="E12" s="14" t="s">
        <v>32</v>
      </c>
      <c r="F12" s="15">
        <f>39542*0.4536</f>
        <v>17936.251199999999</v>
      </c>
      <c r="G12" s="16">
        <v>17867.37</v>
      </c>
      <c r="H12" s="16">
        <f>G12-F12</f>
        <v>-68.881199999999808</v>
      </c>
      <c r="I12" s="11" t="s">
        <v>254</v>
      </c>
      <c r="J12" s="17" t="s">
        <v>27</v>
      </c>
      <c r="K12" s="18">
        <v>42615</v>
      </c>
      <c r="L12" s="18">
        <v>42616</v>
      </c>
      <c r="M12" s="13" t="s">
        <v>47</v>
      </c>
      <c r="N12" s="13" t="s">
        <v>255</v>
      </c>
      <c r="O12" s="19"/>
      <c r="P12" s="20">
        <f>0.7595+0.1</f>
        <v>0.85949999999999993</v>
      </c>
      <c r="Q12" s="41">
        <v>20000</v>
      </c>
      <c r="R12" s="19">
        <v>9082</v>
      </c>
      <c r="S12" s="22">
        <v>19.254999999999999</v>
      </c>
      <c r="T12" s="26">
        <f>W12*F12*0.005</f>
        <v>3426.9959159328973</v>
      </c>
      <c r="V12" s="19">
        <v>0.1</v>
      </c>
      <c r="W12" s="19">
        <f>IF(O12&gt;0,O12,((P12*2.2046*S12)+(Q12+R12)/G12)+V12)</f>
        <v>38.213067800175523</v>
      </c>
      <c r="X12" s="19">
        <f>IF(O12&gt;0,O12,((P12*2.2046*S12)+(Q12+R12+T12)/G12)+V12)</f>
        <v>38.404869722670711</v>
      </c>
      <c r="Y12" s="23">
        <f>X12*F12</f>
        <v>688839.39064909611</v>
      </c>
      <c r="Z12" s="24">
        <v>42627</v>
      </c>
      <c r="AA12" s="48"/>
      <c r="AB12" s="48"/>
    </row>
    <row r="13" spans="1:28" s="11" customFormat="1" x14ac:dyDescent="0.25">
      <c r="A13" s="46"/>
      <c r="B13" s="12" t="s">
        <v>24</v>
      </c>
      <c r="C13" s="13" t="s">
        <v>25</v>
      </c>
      <c r="D13" s="13" t="s">
        <v>25</v>
      </c>
      <c r="E13" s="14" t="s">
        <v>26</v>
      </c>
      <c r="F13" s="15">
        <f>42283*0.4536</f>
        <v>19179.568800000001</v>
      </c>
      <c r="G13" s="16">
        <v>19137</v>
      </c>
      <c r="H13" s="16">
        <f t="shared" ref="H13:H14" si="19">G13-F13</f>
        <v>-42.56880000000092</v>
      </c>
      <c r="I13" s="11" t="s">
        <v>256</v>
      </c>
      <c r="J13" s="17" t="s">
        <v>27</v>
      </c>
      <c r="K13" s="18">
        <v>42615</v>
      </c>
      <c r="L13" s="18">
        <v>42616</v>
      </c>
      <c r="M13" s="13" t="s">
        <v>47</v>
      </c>
      <c r="N13" s="13" t="s">
        <v>257</v>
      </c>
      <c r="O13" s="19"/>
      <c r="P13" s="20">
        <f>0.7752+0.105</f>
        <v>0.88019999999999998</v>
      </c>
      <c r="Q13" s="41">
        <v>20000</v>
      </c>
      <c r="R13" s="19">
        <v>9082</v>
      </c>
      <c r="S13" s="22">
        <v>18.385000000000002</v>
      </c>
      <c r="T13" s="26">
        <f t="shared" ref="T13" si="20">W13*F13*0.005</f>
        <v>3576.5640560255156</v>
      </c>
      <c r="V13" s="19">
        <v>0.1</v>
      </c>
      <c r="W13" s="19">
        <f>IF(O13&gt;0,O13,((P13*2.2046*S13)+(Q13+R13)/G13)+V13)</f>
        <v>37.295562724283094</v>
      </c>
      <c r="X13" s="19">
        <f>IF(O13&gt;0,O13,((P13*2.2046*S13)+(Q13+R13+T13)/G13)+V13)</f>
        <v>37.482455343608251</v>
      </c>
      <c r="Y13" s="23">
        <f t="shared" ref="Y13:Y14" si="21">X13*F13</f>
        <v>718897.33105566213</v>
      </c>
      <c r="Z13" s="24">
        <v>42611</v>
      </c>
      <c r="AA13" s="33"/>
      <c r="AB13" s="33"/>
    </row>
    <row r="14" spans="1:28" s="11" customFormat="1" x14ac:dyDescent="0.25">
      <c r="A14" s="46"/>
      <c r="B14" s="12" t="s">
        <v>258</v>
      </c>
      <c r="C14" s="13" t="s">
        <v>259</v>
      </c>
      <c r="D14" s="13" t="s">
        <v>55</v>
      </c>
      <c r="E14" s="14" t="s">
        <v>260</v>
      </c>
      <c r="F14" s="15">
        <f>1013.42+1012.3</f>
        <v>2025.7199999999998</v>
      </c>
      <c r="G14" s="16">
        <v>2027.89</v>
      </c>
      <c r="H14" s="16">
        <f t="shared" si="19"/>
        <v>2.1700000000003001</v>
      </c>
      <c r="I14" s="11" t="s">
        <v>261</v>
      </c>
      <c r="J14" s="14"/>
      <c r="K14" s="18"/>
      <c r="L14" s="18">
        <v>42616</v>
      </c>
      <c r="M14" s="13" t="s">
        <v>47</v>
      </c>
      <c r="N14" s="13"/>
      <c r="O14" s="19">
        <v>81</v>
      </c>
      <c r="P14" s="20"/>
      <c r="Q14" s="19"/>
      <c r="R14" s="19"/>
      <c r="S14" s="22"/>
      <c r="T14" s="26"/>
      <c r="V14" s="19"/>
      <c r="W14" s="19">
        <f>IF(O14&gt;0,O14,((P14*2.2046*S14)+(Q14+R14)/G14)+V14)</f>
        <v>81</v>
      </c>
      <c r="X14" s="19">
        <f>IF(O14&gt;0,O14,((P14*2.2046*S14)+(Q14+R14+T14)/G14)+V14)</f>
        <v>81</v>
      </c>
      <c r="Y14" s="23">
        <f t="shared" si="21"/>
        <v>164083.31999999998</v>
      </c>
      <c r="Z14" s="24">
        <v>42623</v>
      </c>
      <c r="AA14" s="33"/>
      <c r="AB14" s="33"/>
    </row>
    <row r="15" spans="1:28" s="11" customFormat="1" ht="15.75" thickBot="1" x14ac:dyDescent="0.3">
      <c r="A15" s="46"/>
      <c r="B15" s="27"/>
      <c r="C15" s="3"/>
      <c r="D15" s="3"/>
      <c r="E15" s="3"/>
      <c r="F15" s="28"/>
      <c r="G15" s="28"/>
      <c r="H15" s="28"/>
      <c r="I15" s="5"/>
      <c r="J15" s="3"/>
      <c r="K15" s="6"/>
      <c r="L15" s="6"/>
      <c r="M15" s="3"/>
      <c r="N15" s="3"/>
      <c r="O15" s="7"/>
      <c r="P15" s="8"/>
      <c r="Q15" s="7"/>
      <c r="R15" s="7"/>
      <c r="S15" s="7"/>
      <c r="T15" s="7"/>
      <c r="U15" s="7"/>
      <c r="V15" s="7"/>
      <c r="W15" s="7"/>
      <c r="X15" s="7"/>
      <c r="Y15" s="10"/>
      <c r="Z15" s="29"/>
      <c r="AA15" s="33"/>
      <c r="AB15" s="33"/>
    </row>
    <row r="16" spans="1:28" s="11" customFormat="1" x14ac:dyDescent="0.25">
      <c r="A16" s="50"/>
      <c r="B16" s="14" t="s">
        <v>36</v>
      </c>
      <c r="C16" s="14" t="s">
        <v>37</v>
      </c>
      <c r="D16" s="13" t="s">
        <v>262</v>
      </c>
      <c r="E16" s="14">
        <f>240+10</f>
        <v>250</v>
      </c>
      <c r="F16" s="15">
        <f>25835+1150</f>
        <v>26985</v>
      </c>
      <c r="G16" s="16">
        <f>15570+6060</f>
        <v>21630</v>
      </c>
      <c r="H16" s="16">
        <f t="shared" ref="H16:H17" si="22">G16-F16</f>
        <v>-5355</v>
      </c>
      <c r="I16" s="13" t="s">
        <v>263</v>
      </c>
      <c r="J16" s="14"/>
      <c r="K16" s="18"/>
      <c r="L16" s="18">
        <v>42617</v>
      </c>
      <c r="M16" s="13" t="s">
        <v>48</v>
      </c>
      <c r="N16" s="14"/>
      <c r="O16" s="19">
        <v>27.5</v>
      </c>
      <c r="P16" s="25"/>
      <c r="Q16" s="41">
        <v>17300</v>
      </c>
      <c r="R16" s="19">
        <f t="shared" ref="R16:R17" si="23">61.75*E16</f>
        <v>15437.5</v>
      </c>
      <c r="S16" s="22">
        <f>-35*E16</f>
        <v>-8750</v>
      </c>
      <c r="T16" s="26">
        <f>W16*F16*0.0045</f>
        <v>4307.8221480582524</v>
      </c>
      <c r="U16" s="19">
        <f>E16*5</f>
        <v>1250</v>
      </c>
      <c r="V16" s="14"/>
      <c r="W16" s="19">
        <f>((O16*F16)+Q16+R16+S16+U16)/G16</f>
        <v>35.475034674063799</v>
      </c>
      <c r="X16" s="19">
        <f>((O16*F16)+Q16+R16+S16+T16+U16)/G16</f>
        <v>35.674194274066494</v>
      </c>
      <c r="Y16" s="23">
        <f>X16*G16</f>
        <v>771632.82214805821</v>
      </c>
      <c r="Z16" s="24">
        <v>42632</v>
      </c>
      <c r="AA16" s="33">
        <v>38.5</v>
      </c>
      <c r="AB16" s="33" t="s">
        <v>264</v>
      </c>
    </row>
    <row r="17" spans="1:29" s="11" customFormat="1" x14ac:dyDescent="0.25">
      <c r="A17" s="50"/>
      <c r="B17" s="12" t="s">
        <v>36</v>
      </c>
      <c r="C17" s="14" t="s">
        <v>37</v>
      </c>
      <c r="D17" s="13" t="s">
        <v>43</v>
      </c>
      <c r="E17" s="14">
        <v>141</v>
      </c>
      <c r="F17" s="15">
        <v>14295</v>
      </c>
      <c r="G17" s="16">
        <v>11570</v>
      </c>
      <c r="H17" s="16">
        <f t="shared" si="22"/>
        <v>-2725</v>
      </c>
      <c r="I17" s="13" t="s">
        <v>265</v>
      </c>
      <c r="J17" s="14"/>
      <c r="K17" s="18"/>
      <c r="L17" s="18">
        <v>42618</v>
      </c>
      <c r="M17" s="13" t="s">
        <v>49</v>
      </c>
      <c r="N17" s="14"/>
      <c r="O17" s="19">
        <v>27.5</v>
      </c>
      <c r="P17" s="25"/>
      <c r="Q17" s="41">
        <v>13600</v>
      </c>
      <c r="R17" s="19">
        <f t="shared" si="23"/>
        <v>8706.75</v>
      </c>
      <c r="S17" s="22">
        <f t="shared" ref="S17" si="24">-35*E17</f>
        <v>-4935</v>
      </c>
      <c r="T17" s="26">
        <f>W17*F17*0.0045</f>
        <v>2286.1518132562665</v>
      </c>
      <c r="U17" s="19">
        <f>E17*5</f>
        <v>705</v>
      </c>
      <c r="V17" s="14"/>
      <c r="W17" s="19">
        <f>((O17*F17)+Q17+R17+S17+U17)/G17</f>
        <v>35.539261019879</v>
      </c>
      <c r="X17" s="19">
        <f>((O17*F17)+Q17+R17+S17+T17+U17)/G17</f>
        <v>35.736854089304778</v>
      </c>
      <c r="Y17" s="23">
        <f>X17*G17</f>
        <v>413475.40181325626</v>
      </c>
      <c r="Z17" s="24">
        <v>42632</v>
      </c>
      <c r="AA17" s="33">
        <v>38.5</v>
      </c>
      <c r="AB17" s="33"/>
    </row>
    <row r="18" spans="1:29" s="11" customFormat="1" x14ac:dyDescent="0.25">
      <c r="A18" s="50"/>
      <c r="B18" s="12" t="s">
        <v>24</v>
      </c>
      <c r="C18" s="13" t="s">
        <v>29</v>
      </c>
      <c r="D18" s="13" t="s">
        <v>29</v>
      </c>
      <c r="E18" s="14" t="s">
        <v>32</v>
      </c>
      <c r="F18" s="15">
        <f>40770*0.4536</f>
        <v>18493.272000000001</v>
      </c>
      <c r="G18" s="16">
        <v>18468.32</v>
      </c>
      <c r="H18" s="16">
        <f>G18-F18</f>
        <v>-24.952000000001135</v>
      </c>
      <c r="I18" s="11" t="s">
        <v>266</v>
      </c>
      <c r="J18" s="17" t="s">
        <v>27</v>
      </c>
      <c r="K18" s="18">
        <v>42618</v>
      </c>
      <c r="L18" s="18">
        <v>42619</v>
      </c>
      <c r="M18" s="13" t="s">
        <v>28</v>
      </c>
      <c r="N18" s="13" t="s">
        <v>267</v>
      </c>
      <c r="O18" s="19"/>
      <c r="P18" s="20">
        <f>0.7914+0.1</f>
        <v>0.89139999999999997</v>
      </c>
      <c r="Q18" s="41">
        <v>20000</v>
      </c>
      <c r="R18" s="19">
        <v>8905</v>
      </c>
      <c r="S18" s="22">
        <v>19.777999999999999</v>
      </c>
      <c r="T18" s="26">
        <f>W18*F18*0.005</f>
        <v>3747.8882358350361</v>
      </c>
      <c r="V18" s="19">
        <v>0.1</v>
      </c>
      <c r="W18" s="19">
        <f t="shared" ref="W18:W19" si="25">IF(O18&gt;0,O18,((P18*2.2046*S18)+(Q18+R18)/G18)+V18)</f>
        <v>40.532451324298222</v>
      </c>
      <c r="X18" s="19">
        <f t="shared" ref="X18:X19" si="26">IF(O18&gt;0,O18,((P18*2.2046*S18)+(Q18+R18+T18)/G18)+V18)</f>
        <v>40.735387391890455</v>
      </c>
      <c r="Y18" s="23">
        <f>X18*F18</f>
        <v>753330.59906360076</v>
      </c>
      <c r="Z18" s="24">
        <v>42633</v>
      </c>
      <c r="AA18" s="48">
        <v>40</v>
      </c>
      <c r="AB18" s="51">
        <v>39.590000000000003</v>
      </c>
    </row>
    <row r="19" spans="1:29" s="11" customFormat="1" x14ac:dyDescent="0.25">
      <c r="A19" s="50"/>
      <c r="B19" s="12" t="s">
        <v>24</v>
      </c>
      <c r="C19" s="13" t="s">
        <v>25</v>
      </c>
      <c r="D19" s="13" t="s">
        <v>25</v>
      </c>
      <c r="E19" s="14" t="s">
        <v>26</v>
      </c>
      <c r="F19" s="15">
        <f>41634*0.4536</f>
        <v>18885.182400000002</v>
      </c>
      <c r="G19" s="16">
        <v>18708.3</v>
      </c>
      <c r="H19" s="16">
        <f>G19-F19</f>
        <v>-176.88240000000224</v>
      </c>
      <c r="I19" s="11" t="s">
        <v>268</v>
      </c>
      <c r="J19" s="17" t="s">
        <v>33</v>
      </c>
      <c r="K19" s="18">
        <v>42619</v>
      </c>
      <c r="L19" s="18">
        <v>42620</v>
      </c>
      <c r="M19" s="13" t="s">
        <v>28</v>
      </c>
      <c r="N19" s="13" t="s">
        <v>269</v>
      </c>
      <c r="O19" s="19"/>
      <c r="P19" s="20">
        <f>0.7914+0.105</f>
        <v>0.89639999999999997</v>
      </c>
      <c r="Q19" s="41">
        <v>20000</v>
      </c>
      <c r="R19" s="19">
        <v>9069</v>
      </c>
      <c r="S19" s="22">
        <v>18.25</v>
      </c>
      <c r="T19" s="26">
        <f>W19*F19*0.005</f>
        <v>3561.6996138016748</v>
      </c>
      <c r="V19" s="19">
        <v>0.1</v>
      </c>
      <c r="W19" s="19">
        <f t="shared" si="25"/>
        <v>37.719515103033096</v>
      </c>
      <c r="X19" s="19">
        <f t="shared" si="26"/>
        <v>37.909895822489261</v>
      </c>
      <c r="Y19" s="23">
        <f t="shared" ref="Y19" si="27">X19*F19</f>
        <v>715935.29737270775</v>
      </c>
      <c r="Z19" s="24">
        <v>42613</v>
      </c>
      <c r="AA19" s="48">
        <v>40.5</v>
      </c>
      <c r="AB19" s="48"/>
    </row>
    <row r="20" spans="1:29" s="11" customFormat="1" x14ac:dyDescent="0.25">
      <c r="A20" s="50"/>
      <c r="B20" s="12" t="s">
        <v>36</v>
      </c>
      <c r="C20" s="14" t="s">
        <v>37</v>
      </c>
      <c r="D20" s="13" t="s">
        <v>43</v>
      </c>
      <c r="E20" s="14">
        <v>199</v>
      </c>
      <c r="F20" s="15">
        <v>21835</v>
      </c>
      <c r="G20" s="16">
        <f>13270+4280</f>
        <v>17550</v>
      </c>
      <c r="H20" s="16">
        <f t="shared" ref="H20" si="28">G20-F20</f>
        <v>-4285</v>
      </c>
      <c r="I20" s="11" t="s">
        <v>270</v>
      </c>
      <c r="J20" s="14"/>
      <c r="K20" s="18"/>
      <c r="L20" s="18">
        <v>42619</v>
      </c>
      <c r="M20" s="13" t="s">
        <v>28</v>
      </c>
      <c r="N20" s="14"/>
      <c r="O20" s="19">
        <v>27.5</v>
      </c>
      <c r="P20" s="25"/>
      <c r="Q20" s="41">
        <v>17300</v>
      </c>
      <c r="R20" s="19">
        <f t="shared" ref="R20" si="29">61.75*E20</f>
        <v>12288.25</v>
      </c>
      <c r="S20" s="22">
        <f t="shared" ref="S20" si="30">-35*E20</f>
        <v>-6965</v>
      </c>
      <c r="T20" s="26">
        <f>W20*F20*0.0045</f>
        <v>3494.0520964743582</v>
      </c>
      <c r="U20" s="19">
        <f>E20*5</f>
        <v>995</v>
      </c>
      <c r="V20" s="14"/>
      <c r="W20" s="19">
        <f>((O20*F20)+Q20+R20+S20+U20)/G20</f>
        <v>35.560156695156692</v>
      </c>
      <c r="X20" s="19">
        <f>((O20*F20)+Q20+R20+S20+T20+U20)/G20</f>
        <v>35.759247982705091</v>
      </c>
      <c r="Y20" s="23">
        <f>X20*G20</f>
        <v>627574.80209647433</v>
      </c>
      <c r="Z20" s="24">
        <v>42632</v>
      </c>
      <c r="AA20" s="48">
        <v>38</v>
      </c>
      <c r="AB20" s="48" t="s">
        <v>271</v>
      </c>
    </row>
    <row r="21" spans="1:29" s="11" customFormat="1" x14ac:dyDescent="0.25">
      <c r="A21" s="50"/>
      <c r="B21" s="12" t="s">
        <v>24</v>
      </c>
      <c r="C21" s="13" t="s">
        <v>25</v>
      </c>
      <c r="D21" s="13" t="s">
        <v>25</v>
      </c>
      <c r="E21" s="14" t="s">
        <v>26</v>
      </c>
      <c r="F21" s="15">
        <f>42896*0.4536</f>
        <v>19457.625599999999</v>
      </c>
      <c r="G21" s="16">
        <v>19354.189999999999</v>
      </c>
      <c r="H21" s="16">
        <f>G21-F21</f>
        <v>-103.4356000000007</v>
      </c>
      <c r="I21" s="11" t="s">
        <v>272</v>
      </c>
      <c r="J21" s="17" t="s">
        <v>27</v>
      </c>
      <c r="K21" s="18">
        <v>42619</v>
      </c>
      <c r="L21" s="18">
        <v>42620</v>
      </c>
      <c r="M21" s="13" t="s">
        <v>39</v>
      </c>
      <c r="N21" s="13" t="s">
        <v>273</v>
      </c>
      <c r="O21" s="19"/>
      <c r="P21" s="20">
        <f>0.7914+0.105</f>
        <v>0.89639999999999997</v>
      </c>
      <c r="Q21" s="41">
        <v>20000</v>
      </c>
      <c r="R21" s="19">
        <v>9069</v>
      </c>
      <c r="S21" s="22">
        <v>18.25</v>
      </c>
      <c r="T21" s="26">
        <f>W21*F21*0.005</f>
        <v>3664.616268963016</v>
      </c>
      <c r="V21" s="19">
        <v>0.1</v>
      </c>
      <c r="W21" s="19">
        <f t="shared" ref="W21" si="31">IF(O21&gt;0,O21,((P21*2.2046*S21)+(Q21+R21)/G21)+V21)</f>
        <v>37.667661453646389</v>
      </c>
      <c r="X21" s="19">
        <f t="shared" ref="X21" si="32">IF(O21&gt;0,O21,((P21*2.2046*S21)+(Q21+R21+T21)/G21)+V21)</f>
        <v>37.857006307084482</v>
      </c>
      <c r="Y21" s="23">
        <f t="shared" ref="Y21" si="33">X21*F21</f>
        <v>736607.45506008842</v>
      </c>
      <c r="Z21" s="24">
        <v>42613</v>
      </c>
      <c r="AA21" s="48"/>
      <c r="AB21" s="48"/>
    </row>
    <row r="22" spans="1:29" s="11" customFormat="1" x14ac:dyDescent="0.25">
      <c r="A22" s="50"/>
      <c r="B22" s="12" t="s">
        <v>24</v>
      </c>
      <c r="C22" s="13" t="s">
        <v>29</v>
      </c>
      <c r="D22" s="13" t="s">
        <v>29</v>
      </c>
      <c r="E22" s="14" t="s">
        <v>32</v>
      </c>
      <c r="F22" s="15">
        <f>39322*0.4536</f>
        <v>17836.459200000001</v>
      </c>
      <c r="G22" s="16">
        <v>17947.41</v>
      </c>
      <c r="H22" s="16">
        <f>G22-F22</f>
        <v>110.95079999999871</v>
      </c>
      <c r="I22" s="11" t="s">
        <v>274</v>
      </c>
      <c r="J22" s="17" t="s">
        <v>38</v>
      </c>
      <c r="K22" s="18">
        <v>42619</v>
      </c>
      <c r="L22" s="18">
        <v>42620</v>
      </c>
      <c r="M22" s="13" t="s">
        <v>39</v>
      </c>
      <c r="N22" s="13" t="s">
        <v>267</v>
      </c>
      <c r="O22" s="19"/>
      <c r="P22" s="20">
        <f>0.8914</f>
        <v>0.89139999999999997</v>
      </c>
      <c r="Q22" s="41">
        <v>20000</v>
      </c>
      <c r="R22" s="19">
        <v>9069</v>
      </c>
      <c r="S22" s="22">
        <v>19.777999999999999</v>
      </c>
      <c r="T22" s="26">
        <f>W22*F22*0.005</f>
        <v>3619.6432159775291</v>
      </c>
      <c r="V22" s="19">
        <v>0.1</v>
      </c>
      <c r="W22" s="19">
        <f>IF(O22&gt;0,O22,((P22*2.2046*S22)+(Q22+R22)/G22)+V22)</f>
        <v>40.587015341896212</v>
      </c>
      <c r="X22" s="19">
        <f>IF(O22&gt;0,O22,((P22*2.2046*S22)+(Q22+R22+T22)/G22)+V22)</f>
        <v>40.788695874963516</v>
      </c>
      <c r="Y22" s="23">
        <f>X22*F22</f>
        <v>727525.9097949951</v>
      </c>
      <c r="Z22" s="24">
        <v>42633</v>
      </c>
      <c r="AA22" s="48"/>
      <c r="AB22" s="51">
        <v>39.65</v>
      </c>
    </row>
    <row r="23" spans="1:29" s="11" customFormat="1" x14ac:dyDescent="0.25">
      <c r="A23" s="50"/>
      <c r="B23" s="12" t="s">
        <v>36</v>
      </c>
      <c r="C23" s="14" t="s">
        <v>37</v>
      </c>
      <c r="D23" s="13" t="s">
        <v>185</v>
      </c>
      <c r="E23" s="14">
        <f>200</f>
        <v>200</v>
      </c>
      <c r="F23" s="15">
        <f>21530</f>
        <v>21530</v>
      </c>
      <c r="G23" s="16">
        <f>17780</f>
        <v>17780</v>
      </c>
      <c r="H23" s="16">
        <f t="shared" ref="H23:H24" si="34">G23-F23</f>
        <v>-3750</v>
      </c>
      <c r="I23" s="11" t="s">
        <v>275</v>
      </c>
      <c r="J23" s="14"/>
      <c r="K23" s="18"/>
      <c r="L23" s="18">
        <v>42620</v>
      </c>
      <c r="M23" s="13" t="s">
        <v>39</v>
      </c>
      <c r="N23" s="14"/>
      <c r="O23" s="19">
        <v>27.5</v>
      </c>
      <c r="P23" s="25"/>
      <c r="Q23" s="41">
        <f>17300</f>
        <v>17300</v>
      </c>
      <c r="R23" s="19">
        <f t="shared" ref="R23:R24" si="35">61.75*E23</f>
        <v>12350</v>
      </c>
      <c r="S23" s="22">
        <f t="shared" ref="S23:S24" si="36">-35*E23</f>
        <v>-7000</v>
      </c>
      <c r="T23" s="26">
        <f>W23*F23*0.0045</f>
        <v>3355.1471667604046</v>
      </c>
      <c r="U23" s="19">
        <f>E23*5</f>
        <v>1000</v>
      </c>
      <c r="V23" s="14"/>
      <c r="W23" s="19">
        <f>((O23*F23)+Q23+R23+S23+U23)/G23</f>
        <v>34.630202474690662</v>
      </c>
      <c r="X23" s="19">
        <f>((O23*F23)+Q23+R23+S23+T23+U23)/G23</f>
        <v>34.818905914890912</v>
      </c>
      <c r="Y23" s="23">
        <f>X23*G23</f>
        <v>619080.14716676041</v>
      </c>
      <c r="Z23" s="24">
        <v>42633</v>
      </c>
      <c r="AA23" s="48">
        <v>38</v>
      </c>
      <c r="AB23" s="48" t="s">
        <v>276</v>
      </c>
    </row>
    <row r="24" spans="1:29" s="11" customFormat="1" x14ac:dyDescent="0.25">
      <c r="A24" s="50"/>
      <c r="B24" s="12" t="s">
        <v>36</v>
      </c>
      <c r="C24" s="14" t="s">
        <v>37</v>
      </c>
      <c r="D24" s="13" t="s">
        <v>69</v>
      </c>
      <c r="E24" s="14">
        <v>130</v>
      </c>
      <c r="F24" s="15">
        <v>14925</v>
      </c>
      <c r="G24" s="16">
        <v>11530</v>
      </c>
      <c r="H24" s="16">
        <f t="shared" si="34"/>
        <v>-3395</v>
      </c>
      <c r="I24" s="11" t="s">
        <v>277</v>
      </c>
      <c r="J24" s="14"/>
      <c r="K24" s="18"/>
      <c r="L24" s="18">
        <v>42620</v>
      </c>
      <c r="M24" s="13" t="s">
        <v>39</v>
      </c>
      <c r="N24" s="14"/>
      <c r="O24" s="19">
        <v>27.5</v>
      </c>
      <c r="P24" s="25"/>
      <c r="Q24" s="41">
        <v>13600</v>
      </c>
      <c r="R24" s="19">
        <f t="shared" si="35"/>
        <v>8027.5</v>
      </c>
      <c r="S24" s="22">
        <f t="shared" si="36"/>
        <v>-4550</v>
      </c>
      <c r="T24" s="26">
        <f>W24*F24*0.0045</f>
        <v>2494.0704087163917</v>
      </c>
      <c r="U24" s="19">
        <f>E24*5</f>
        <v>650</v>
      </c>
      <c r="V24" s="14"/>
      <c r="W24" s="19">
        <f>((O24*F24)+Q24+R24+S24+U24)/G24</f>
        <v>37.134865568083264</v>
      </c>
      <c r="X24" s="19">
        <f>((O24*F24)+Q24+R24+S24+T24+U24)/G24</f>
        <v>37.351176965196565</v>
      </c>
      <c r="Y24" s="23">
        <f>X24*G24</f>
        <v>430659.07040871639</v>
      </c>
      <c r="Z24" s="24">
        <v>42633</v>
      </c>
      <c r="AA24" s="48">
        <v>38</v>
      </c>
      <c r="AB24" s="48"/>
    </row>
    <row r="25" spans="1:29" s="11" customFormat="1" x14ac:dyDescent="0.25">
      <c r="A25" s="50"/>
      <c r="B25" s="12" t="s">
        <v>24</v>
      </c>
      <c r="C25" s="13" t="s">
        <v>25</v>
      </c>
      <c r="D25" s="13" t="s">
        <v>25</v>
      </c>
      <c r="E25" s="14" t="s">
        <v>26</v>
      </c>
      <c r="F25" s="15">
        <f>42213*0.4536</f>
        <v>19147.816800000001</v>
      </c>
      <c r="G25" s="16">
        <v>19016.96</v>
      </c>
      <c r="H25" s="16">
        <f>G25-F25</f>
        <v>-130.85680000000139</v>
      </c>
      <c r="I25" s="11" t="s">
        <v>278</v>
      </c>
      <c r="J25" s="17" t="s">
        <v>27</v>
      </c>
      <c r="K25" s="18">
        <v>42621</v>
      </c>
      <c r="L25" s="18">
        <v>42622</v>
      </c>
      <c r="M25" s="13" t="s">
        <v>41</v>
      </c>
      <c r="N25" s="13" t="s">
        <v>279</v>
      </c>
      <c r="O25" s="19"/>
      <c r="P25" s="20">
        <f>0.7648+0.105</f>
        <v>0.86980000000000002</v>
      </c>
      <c r="Q25" s="41">
        <v>20000</v>
      </c>
      <c r="R25" s="19">
        <v>9069</v>
      </c>
      <c r="S25" s="22">
        <v>18.878</v>
      </c>
      <c r="T25" s="26">
        <f>W25*F25*0.005</f>
        <v>3621.6468846503017</v>
      </c>
      <c r="V25" s="19">
        <v>0.1</v>
      </c>
      <c r="W25" s="19">
        <f t="shared" ref="W25" si="37">IF(O25&gt;0,O25,((P25*2.2046*S25)+(Q25+R25)/G25)+V25)</f>
        <v>37.828300975287185</v>
      </c>
      <c r="X25" s="19">
        <f t="shared" ref="X25" si="38">IF(O25&gt;0,O25,((P25*2.2046*S25)+(Q25+R25+T25)/G25)+V25)</f>
        <v>38.018743973781703</v>
      </c>
      <c r="Y25" s="23">
        <f t="shared" ref="Y25" si="39">X25*F25</f>
        <v>727975.94457607612</v>
      </c>
      <c r="Z25" s="24">
        <v>42614</v>
      </c>
      <c r="AA25" s="48">
        <v>41</v>
      </c>
      <c r="AB25" s="48"/>
      <c r="AC25" s="11" t="s">
        <v>280</v>
      </c>
    </row>
    <row r="26" spans="1:29" s="11" customFormat="1" x14ac:dyDescent="0.25">
      <c r="A26" s="50"/>
      <c r="B26" s="12" t="s">
        <v>24</v>
      </c>
      <c r="C26" s="13" t="s">
        <v>25</v>
      </c>
      <c r="D26" s="13" t="s">
        <v>25</v>
      </c>
      <c r="E26" s="14" t="s">
        <v>26</v>
      </c>
      <c r="F26" s="15">
        <f>42327*0.4536</f>
        <v>19199.5272</v>
      </c>
      <c r="G26" s="16">
        <v>19112.88</v>
      </c>
      <c r="H26" s="16">
        <f>G26-F26</f>
        <v>-86.64719999999943</v>
      </c>
      <c r="I26" s="11" t="s">
        <v>281</v>
      </c>
      <c r="J26" s="17" t="s">
        <v>27</v>
      </c>
      <c r="K26" s="18">
        <v>42620</v>
      </c>
      <c r="L26" s="18">
        <v>42621</v>
      </c>
      <c r="M26" s="13" t="s">
        <v>44</v>
      </c>
      <c r="N26" s="13" t="s">
        <v>279</v>
      </c>
      <c r="O26" s="19"/>
      <c r="P26" s="20">
        <f>0.7648+0.105</f>
        <v>0.86980000000000002</v>
      </c>
      <c r="Q26" s="41">
        <v>20000</v>
      </c>
      <c r="R26" s="19">
        <v>9069</v>
      </c>
      <c r="S26" s="22">
        <v>18.834</v>
      </c>
      <c r="T26" s="26">
        <f t="shared" ref="T26" si="40">W26*F26*0.005</f>
        <v>3622.5914571101453</v>
      </c>
      <c r="V26" s="19">
        <v>0.1</v>
      </c>
      <c r="W26" s="19">
        <f>IF(O26&gt;0,O26,((P26*2.2046*S26)+(Q26+R26)/G26)+V26)</f>
        <v>37.736256933557669</v>
      </c>
      <c r="X26" s="19">
        <f>IF(O26&gt;0,O26,((P26*2.2046*S26)+(Q26+R26+T26)/G26)+V26)</f>
        <v>37.925793594548068</v>
      </c>
      <c r="Y26" s="23">
        <f>X26*F26</f>
        <v>728157.30570011144</v>
      </c>
      <c r="Z26" s="24">
        <v>42614</v>
      </c>
      <c r="AA26" s="48">
        <v>41</v>
      </c>
      <c r="AB26" s="48"/>
    </row>
    <row r="27" spans="1:29" s="11" customFormat="1" x14ac:dyDescent="0.25">
      <c r="A27" s="50"/>
      <c r="B27" s="12" t="s">
        <v>36</v>
      </c>
      <c r="C27" s="14" t="s">
        <v>37</v>
      </c>
      <c r="D27" s="13" t="s">
        <v>43</v>
      </c>
      <c r="E27" s="14">
        <f>220</f>
        <v>220</v>
      </c>
      <c r="F27" s="15">
        <f>28345</f>
        <v>28345</v>
      </c>
      <c r="G27" s="16">
        <f>20840</f>
        <v>20840</v>
      </c>
      <c r="H27" s="16">
        <f t="shared" ref="H27:H28" si="41">G27-F27</f>
        <v>-7505</v>
      </c>
      <c r="I27" s="11" t="s">
        <v>282</v>
      </c>
      <c r="J27" s="14"/>
      <c r="K27" s="18"/>
      <c r="L27" s="18">
        <v>42621</v>
      </c>
      <c r="M27" s="13" t="s">
        <v>41</v>
      </c>
      <c r="N27" s="14"/>
      <c r="O27" s="19">
        <v>27.5</v>
      </c>
      <c r="P27" s="25"/>
      <c r="Q27" s="41">
        <f>17300</f>
        <v>17300</v>
      </c>
      <c r="R27" s="19">
        <f t="shared" ref="R27:R28" si="42">61.75*E27</f>
        <v>13585</v>
      </c>
      <c r="S27" s="22">
        <f t="shared" ref="S27:S28" si="43">-35*E27</f>
        <v>-7700</v>
      </c>
      <c r="T27" s="26">
        <f t="shared" ref="T27:T28" si="44">W27*F27*0.0045</f>
        <v>4919.5389542346456</v>
      </c>
      <c r="U27" s="19">
        <f t="shared" ref="U27:U28" si="45">E27*5</f>
        <v>1100</v>
      </c>
      <c r="V27" s="14"/>
      <c r="W27" s="19">
        <f t="shared" ref="W27:W28" si="46">((O27*F27)+Q27+R27+S27+U27)/G27</f>
        <v>38.568738003838774</v>
      </c>
      <c r="X27" s="19">
        <f t="shared" ref="X27:X28" si="47">((O27*F27)+Q27+R27+S27+T27+U27)/G27</f>
        <v>38.804800333696484</v>
      </c>
      <c r="Y27" s="23">
        <f t="shared" ref="Y27:Y28" si="48">X27*G27</f>
        <v>808692.03895423468</v>
      </c>
      <c r="Z27" s="24">
        <v>42634</v>
      </c>
      <c r="AA27" s="48">
        <v>38</v>
      </c>
      <c r="AB27" s="48"/>
    </row>
    <row r="28" spans="1:29" s="11" customFormat="1" x14ac:dyDescent="0.25">
      <c r="A28" s="50"/>
      <c r="B28" s="12" t="s">
        <v>36</v>
      </c>
      <c r="C28" s="14" t="s">
        <v>37</v>
      </c>
      <c r="D28" s="13" t="s">
        <v>185</v>
      </c>
      <c r="E28" s="14">
        <v>130</v>
      </c>
      <c r="F28" s="15">
        <v>14225</v>
      </c>
      <c r="G28" s="16">
        <v>13450</v>
      </c>
      <c r="H28" s="16">
        <f t="shared" si="41"/>
        <v>-775</v>
      </c>
      <c r="I28" s="11" t="s">
        <v>283</v>
      </c>
      <c r="J28" s="14"/>
      <c r="K28" s="18"/>
      <c r="L28" s="18">
        <v>42621</v>
      </c>
      <c r="M28" s="13" t="s">
        <v>41</v>
      </c>
      <c r="N28" s="14"/>
      <c r="O28" s="19">
        <v>27.5</v>
      </c>
      <c r="P28" s="25"/>
      <c r="Q28" s="41">
        <v>13600</v>
      </c>
      <c r="R28" s="19">
        <f t="shared" si="42"/>
        <v>8027.5</v>
      </c>
      <c r="S28" s="22">
        <f t="shared" si="43"/>
        <v>-4550</v>
      </c>
      <c r="T28" s="26">
        <f t="shared" si="44"/>
        <v>1946.1465752788101</v>
      </c>
      <c r="U28" s="19">
        <f t="shared" si="45"/>
        <v>650</v>
      </c>
      <c r="V28" s="14"/>
      <c r="W28" s="19">
        <f t="shared" si="46"/>
        <v>30.402602230483271</v>
      </c>
      <c r="X28" s="19">
        <f t="shared" si="47"/>
        <v>30.547297143143407</v>
      </c>
      <c r="Y28" s="23">
        <f t="shared" si="48"/>
        <v>410861.14657527884</v>
      </c>
      <c r="Z28" s="24">
        <v>42634</v>
      </c>
      <c r="AA28" s="48"/>
      <c r="AB28" s="48" t="s">
        <v>284</v>
      </c>
    </row>
    <row r="29" spans="1:29" s="11" customFormat="1" x14ac:dyDescent="0.25">
      <c r="A29" s="50"/>
      <c r="B29" s="12" t="s">
        <v>24</v>
      </c>
      <c r="C29" s="13" t="s">
        <v>25</v>
      </c>
      <c r="D29" s="13" t="s">
        <v>25</v>
      </c>
      <c r="E29" s="14" t="s">
        <v>26</v>
      </c>
      <c r="F29" s="15">
        <f>42674*0.4536</f>
        <v>19356.9264</v>
      </c>
      <c r="G29" s="16">
        <v>19215.16</v>
      </c>
      <c r="H29" s="16">
        <f>G29-F29</f>
        <v>-141.76640000000043</v>
      </c>
      <c r="I29" s="11" t="s">
        <v>285</v>
      </c>
      <c r="J29" s="17" t="s">
        <v>27</v>
      </c>
      <c r="K29" s="18">
        <v>42621</v>
      </c>
      <c r="L29" s="18">
        <v>42622</v>
      </c>
      <c r="M29" s="13" t="s">
        <v>44</v>
      </c>
      <c r="N29" s="13" t="s">
        <v>286</v>
      </c>
      <c r="O29" s="19"/>
      <c r="P29" s="20">
        <f>0.7648+0.105</f>
        <v>0.86980000000000002</v>
      </c>
      <c r="Q29" s="41">
        <v>20000</v>
      </c>
      <c r="R29" s="19">
        <v>9069</v>
      </c>
      <c r="S29" s="22">
        <v>18.8</v>
      </c>
      <c r="T29" s="26">
        <f>W29*F29*0.005</f>
        <v>3645.1961326839914</v>
      </c>
      <c r="V29" s="19">
        <v>0.1</v>
      </c>
      <c r="W29" s="19">
        <f t="shared" ref="W29" si="49">IF(O29&gt;0,O29,((P29*2.2046*S29)+(Q29+R29)/G29)+V29)</f>
        <v>37.662964226427924</v>
      </c>
      <c r="X29" s="19">
        <f t="shared" ref="X29" si="50">IF(O29&gt;0,O29,((P29*2.2046*S29)+(Q29+R29+T29)/G29)+V29)</f>
        <v>37.852668404414679</v>
      </c>
      <c r="Y29" s="23">
        <f t="shared" ref="Y29" si="51">X29*F29</f>
        <v>732711.31634786038</v>
      </c>
      <c r="Z29" s="24">
        <v>46267</v>
      </c>
      <c r="AA29" s="48">
        <v>41</v>
      </c>
      <c r="AB29" s="48"/>
    </row>
    <row r="30" spans="1:29" s="11" customFormat="1" x14ac:dyDescent="0.25">
      <c r="A30" s="50"/>
      <c r="B30" s="12" t="s">
        <v>36</v>
      </c>
      <c r="C30" s="14" t="s">
        <v>37</v>
      </c>
      <c r="D30" s="13" t="s">
        <v>69</v>
      </c>
      <c r="E30" s="14">
        <f>251</f>
        <v>251</v>
      </c>
      <c r="F30" s="15">
        <f>28230</f>
        <v>28230</v>
      </c>
      <c r="G30" s="16">
        <f>20340</f>
        <v>20340</v>
      </c>
      <c r="H30" s="16">
        <f t="shared" ref="H30:H33" si="52">G30-F30</f>
        <v>-7890</v>
      </c>
      <c r="I30" s="11" t="s">
        <v>287</v>
      </c>
      <c r="J30" s="38">
        <v>220</v>
      </c>
      <c r="K30" s="18"/>
      <c r="L30" s="18">
        <v>42622</v>
      </c>
      <c r="M30" s="13" t="s">
        <v>44</v>
      </c>
      <c r="N30" s="14"/>
      <c r="O30" s="19">
        <v>27.5</v>
      </c>
      <c r="P30" s="25"/>
      <c r="Q30" s="41">
        <f>17300</f>
        <v>17300</v>
      </c>
      <c r="R30" s="19">
        <f t="shared" ref="R30:R31" si="53">61.75*E30</f>
        <v>15499.25</v>
      </c>
      <c r="S30" s="22">
        <f>-35*E30</f>
        <v>-8785</v>
      </c>
      <c r="T30" s="26">
        <f>W30*F30*0.0045</f>
        <v>5006.4171852876107</v>
      </c>
      <c r="U30" s="19">
        <f>E30*5</f>
        <v>1255</v>
      </c>
      <c r="V30" s="14"/>
      <c r="W30" s="19">
        <f>((O30*F30)+Q30+R30+S30+U30)/G30</f>
        <v>39.409746804326453</v>
      </c>
      <c r="X30" s="19">
        <f>((O30*F30)+Q30+R30+S30+T30+U30)/G30</f>
        <v>39.655883342442849</v>
      </c>
      <c r="Y30" s="23">
        <f t="shared" ref="Y30:Y31" si="54">X30*G30</f>
        <v>806600.66718528757</v>
      </c>
      <c r="Z30" s="24">
        <v>42635</v>
      </c>
      <c r="AA30" s="33">
        <v>38</v>
      </c>
      <c r="AB30" s="33"/>
    </row>
    <row r="31" spans="1:29" s="11" customFormat="1" x14ac:dyDescent="0.25">
      <c r="A31" s="50"/>
      <c r="B31" s="12" t="s">
        <v>36</v>
      </c>
      <c r="C31" s="14" t="s">
        <v>37</v>
      </c>
      <c r="D31" s="13" t="s">
        <v>50</v>
      </c>
      <c r="E31" s="14">
        <v>100</v>
      </c>
      <c r="F31" s="15">
        <v>11600</v>
      </c>
      <c r="G31" s="16">
        <v>11730</v>
      </c>
      <c r="H31" s="16">
        <f t="shared" si="52"/>
        <v>130</v>
      </c>
      <c r="I31" s="13" t="s">
        <v>288</v>
      </c>
      <c r="J31" s="38">
        <v>131</v>
      </c>
      <c r="K31" s="18"/>
      <c r="L31" s="18">
        <v>42622</v>
      </c>
      <c r="M31" s="13" t="s">
        <v>44</v>
      </c>
      <c r="N31" s="14"/>
      <c r="O31" s="19">
        <v>27.5</v>
      </c>
      <c r="P31" s="25"/>
      <c r="Q31" s="41">
        <v>13600</v>
      </c>
      <c r="R31" s="19">
        <f t="shared" si="53"/>
        <v>6175</v>
      </c>
      <c r="S31" s="22">
        <f>-35*E31</f>
        <v>-3500</v>
      </c>
      <c r="T31" s="26">
        <f>W31*F31*0.0045</f>
        <v>1494.2416879795394</v>
      </c>
      <c r="U31" s="19">
        <f>E31*5</f>
        <v>500</v>
      </c>
      <c r="V31" s="14"/>
      <c r="W31" s="19">
        <f>((O31*F31)+Q31+R31+S31+U31)/G31</f>
        <v>28.625319693094628</v>
      </c>
      <c r="X31" s="19">
        <f>((O31*F31)+Q31+R31+S31+T31+U31)/G31</f>
        <v>28.752706026255716</v>
      </c>
      <c r="Y31" s="23">
        <f t="shared" si="54"/>
        <v>337269.24168797955</v>
      </c>
      <c r="Z31" s="24">
        <v>42635</v>
      </c>
      <c r="AA31" s="33"/>
      <c r="AB31" s="33" t="s">
        <v>289</v>
      </c>
    </row>
    <row r="32" spans="1:29" s="11" customFormat="1" x14ac:dyDescent="0.25">
      <c r="A32" s="50"/>
      <c r="B32" s="12" t="s">
        <v>24</v>
      </c>
      <c r="C32" s="13" t="s">
        <v>34</v>
      </c>
      <c r="D32" s="13" t="s">
        <v>34</v>
      </c>
      <c r="E32" s="14" t="s">
        <v>35</v>
      </c>
      <c r="F32" s="15">
        <f>41471*0.4536</f>
        <v>18811.245599999998</v>
      </c>
      <c r="G32" s="16">
        <v>18800</v>
      </c>
      <c r="H32" s="16">
        <f t="shared" si="52"/>
        <v>-11.245599999998376</v>
      </c>
      <c r="I32" s="52" t="s">
        <v>290</v>
      </c>
      <c r="J32" s="17" t="s">
        <v>27</v>
      </c>
      <c r="K32" s="18">
        <v>42622</v>
      </c>
      <c r="L32" s="18">
        <v>42623</v>
      </c>
      <c r="M32" s="13" t="s">
        <v>47</v>
      </c>
      <c r="N32" s="13" t="s">
        <v>291</v>
      </c>
      <c r="O32" s="19"/>
      <c r="P32" s="20">
        <f>0.7648+0.1075</f>
        <v>0.87230000000000008</v>
      </c>
      <c r="Q32" s="41">
        <v>20000</v>
      </c>
      <c r="R32" s="19">
        <v>12928</v>
      </c>
      <c r="S32" s="22">
        <v>18.66</v>
      </c>
      <c r="T32" s="26">
        <f t="shared" ref="T32:T33" si="55">W32*F32*0.005</f>
        <v>3549.3080493640573</v>
      </c>
      <c r="V32" s="19">
        <v>0.1</v>
      </c>
      <c r="W32" s="19">
        <f>IF(O32&gt;0,O32,((P32*2.2046*S32)+(Q32+R32)/G32)+V32)</f>
        <v>37.736023704502138</v>
      </c>
      <c r="X32" s="19">
        <f>IF(O32&gt;0,O32,((P32*2.2046*S32)+(Q32+R32+T32)/G32)+V32)</f>
        <v>37.92481668585129</v>
      </c>
      <c r="Y32" s="23">
        <f t="shared" ref="Y32:Y33" si="56">X32*F32</f>
        <v>713413.04101252661</v>
      </c>
      <c r="Z32" s="24">
        <v>42615</v>
      </c>
      <c r="AA32" s="33"/>
      <c r="AB32" s="33" t="s">
        <v>292</v>
      </c>
    </row>
    <row r="33" spans="1:29" s="11" customFormat="1" x14ac:dyDescent="0.25">
      <c r="A33" s="50"/>
      <c r="B33" s="12" t="s">
        <v>24</v>
      </c>
      <c r="C33" s="13" t="s">
        <v>25</v>
      </c>
      <c r="D33" s="13" t="s">
        <v>25</v>
      </c>
      <c r="E33" s="14" t="s">
        <v>26</v>
      </c>
      <c r="F33" s="15">
        <f>42152*0.4536</f>
        <v>19120.147199999999</v>
      </c>
      <c r="G33" s="16">
        <v>19044.669999999998</v>
      </c>
      <c r="H33" s="16">
        <f t="shared" si="52"/>
        <v>-75.477200000001176</v>
      </c>
      <c r="I33" s="11" t="s">
        <v>293</v>
      </c>
      <c r="J33" s="17" t="s">
        <v>27</v>
      </c>
      <c r="K33" s="18">
        <v>42622</v>
      </c>
      <c r="L33" s="18">
        <v>42623</v>
      </c>
      <c r="M33" s="13" t="s">
        <v>47</v>
      </c>
      <c r="N33" s="13" t="s">
        <v>294</v>
      </c>
      <c r="O33" s="19"/>
      <c r="P33" s="20">
        <f>0.7874+0.105</f>
        <v>0.89239999999999997</v>
      </c>
      <c r="Q33" s="41">
        <v>20000</v>
      </c>
      <c r="R33" s="19">
        <v>12928</v>
      </c>
      <c r="S33" s="22">
        <v>18.675000000000001</v>
      </c>
      <c r="T33" s="26">
        <f t="shared" si="55"/>
        <v>3687.3111441256724</v>
      </c>
      <c r="V33" s="19">
        <v>0.1</v>
      </c>
      <c r="W33" s="19">
        <f>IF(O33&gt;0,O33,((P33*2.2046*S33)+(Q33+R33)/G33)+V33)</f>
        <v>38.569903312519187</v>
      </c>
      <c r="X33" s="19">
        <f>IF(O33&gt;0,O33,((P33*2.2046*S33)+(Q33+R33+T33)/G33)+V33)</f>
        <v>38.763517123844125</v>
      </c>
      <c r="Y33" s="23">
        <f t="shared" si="56"/>
        <v>741164.15339762031</v>
      </c>
      <c r="Z33" s="24">
        <v>42619</v>
      </c>
      <c r="AA33" s="33">
        <v>41</v>
      </c>
      <c r="AB33" s="33"/>
      <c r="AC33" s="11" t="s">
        <v>295</v>
      </c>
    </row>
    <row r="34" spans="1:29" s="11" customFormat="1" ht="15.75" thickBot="1" x14ac:dyDescent="0.3">
      <c r="A34" s="50"/>
      <c r="B34" s="27"/>
      <c r="C34" s="3"/>
      <c r="D34" s="3"/>
      <c r="E34" s="3"/>
      <c r="F34" s="28"/>
      <c r="G34" s="28"/>
      <c r="H34" s="28"/>
      <c r="I34" s="5"/>
      <c r="J34" s="3"/>
      <c r="K34" s="6"/>
      <c r="L34" s="6"/>
      <c r="M34" s="3"/>
      <c r="N34" s="3"/>
      <c r="O34" s="7"/>
      <c r="P34" s="8"/>
      <c r="Q34" s="7"/>
      <c r="R34" s="7"/>
      <c r="S34" s="7"/>
      <c r="T34" s="7"/>
      <c r="U34" s="7"/>
      <c r="V34" s="7"/>
      <c r="W34" s="7"/>
      <c r="X34" s="7"/>
      <c r="Y34" s="10"/>
      <c r="Z34" s="29"/>
      <c r="AA34" s="33"/>
      <c r="AB34" s="33"/>
    </row>
    <row r="35" spans="1:29" s="11" customFormat="1" x14ac:dyDescent="0.25">
      <c r="A35" s="53"/>
      <c r="B35" s="14" t="s">
        <v>36</v>
      </c>
      <c r="C35" s="14" t="s">
        <v>37</v>
      </c>
      <c r="D35" s="13" t="s">
        <v>52</v>
      </c>
      <c r="E35" s="14">
        <v>250</v>
      </c>
      <c r="F35" s="15">
        <v>27095</v>
      </c>
      <c r="G35" s="16">
        <f>15790+6040</f>
        <v>21830</v>
      </c>
      <c r="H35" s="16">
        <f t="shared" ref="H35:H38" si="57">G35-F35</f>
        <v>-5265</v>
      </c>
      <c r="I35" s="13" t="s">
        <v>296</v>
      </c>
      <c r="J35" s="14"/>
      <c r="K35" s="18"/>
      <c r="L35" s="18">
        <v>42624</v>
      </c>
      <c r="M35" s="13" t="s">
        <v>48</v>
      </c>
      <c r="N35" s="14"/>
      <c r="O35" s="19">
        <v>27.5</v>
      </c>
      <c r="P35" s="25"/>
      <c r="Q35" s="41">
        <v>17300</v>
      </c>
      <c r="R35" s="19">
        <f t="shared" ref="R35:R36" si="58">61.75*E35</f>
        <v>15437.5</v>
      </c>
      <c r="S35" s="22">
        <f>-35*E35</f>
        <v>-8750</v>
      </c>
      <c r="T35" s="26">
        <f>W35*F35*0.0045</f>
        <v>4302.6500057260646</v>
      </c>
      <c r="U35" s="19">
        <f>E35*5</f>
        <v>1250</v>
      </c>
      <c r="V35" s="14"/>
      <c r="W35" s="19">
        <f>((O35*F35)+Q35+R35+S35+U35)/G35</f>
        <v>35.288593678424185</v>
      </c>
      <c r="X35" s="19">
        <f>((O35*F35)+Q35+R35+S35+T35+U35)/G35</f>
        <v>35.485691708920115</v>
      </c>
      <c r="Y35" s="23">
        <f>X35*G35</f>
        <v>774652.65000572614</v>
      </c>
      <c r="Z35" s="24">
        <v>42639</v>
      </c>
      <c r="AA35" s="33">
        <v>38</v>
      </c>
      <c r="AB35" s="33" t="s">
        <v>297</v>
      </c>
    </row>
    <row r="36" spans="1:29" s="11" customFormat="1" x14ac:dyDescent="0.25">
      <c r="A36" s="53"/>
      <c r="B36" s="12" t="s">
        <v>36</v>
      </c>
      <c r="C36" s="14" t="s">
        <v>37</v>
      </c>
      <c r="D36" s="13" t="s">
        <v>298</v>
      </c>
      <c r="E36" s="14">
        <v>250</v>
      </c>
      <c r="F36" s="15">
        <v>27535</v>
      </c>
      <c r="G36" s="16">
        <f>17740+4390</f>
        <v>22130</v>
      </c>
      <c r="H36" s="16">
        <f t="shared" si="57"/>
        <v>-5405</v>
      </c>
      <c r="I36" s="13" t="s">
        <v>299</v>
      </c>
      <c r="J36" s="14"/>
      <c r="K36" s="18"/>
      <c r="L36" s="18">
        <v>42625</v>
      </c>
      <c r="M36" s="13" t="s">
        <v>49</v>
      </c>
      <c r="N36" s="14"/>
      <c r="O36" s="19">
        <v>27.5</v>
      </c>
      <c r="P36" s="25"/>
      <c r="Q36" s="41">
        <v>17300</v>
      </c>
      <c r="R36" s="19">
        <f t="shared" si="58"/>
        <v>15437.5</v>
      </c>
      <c r="S36" s="22">
        <f t="shared" ref="S36" si="59">-35*E36</f>
        <v>-8750</v>
      </c>
      <c r="T36" s="26">
        <f>W36*F36*0.0045</f>
        <v>4380.9951818798008</v>
      </c>
      <c r="U36" s="19">
        <f>E36*5</f>
        <v>1250</v>
      </c>
      <c r="V36" s="14"/>
      <c r="W36" s="19">
        <f>((O36*F36)+Q36+R36+S36+U36)/G36</f>
        <v>35.356981473113422</v>
      </c>
      <c r="X36" s="19">
        <f>((O36*F36)+Q36+R36+S36+T36+U36)/G36</f>
        <v>35.554947816623582</v>
      </c>
      <c r="Y36" s="23">
        <f>X36*G36</f>
        <v>786830.99518187984</v>
      </c>
      <c r="Z36" s="24">
        <v>42639</v>
      </c>
      <c r="AA36" s="33">
        <v>38</v>
      </c>
      <c r="AB36" s="33" t="s">
        <v>300</v>
      </c>
    </row>
    <row r="37" spans="1:29" s="11" customFormat="1" x14ac:dyDescent="0.25">
      <c r="A37" s="53"/>
      <c r="B37" s="12" t="s">
        <v>24</v>
      </c>
      <c r="C37" s="14" t="s">
        <v>34</v>
      </c>
      <c r="D37" s="13" t="s">
        <v>301</v>
      </c>
      <c r="E37" s="14" t="s">
        <v>35</v>
      </c>
      <c r="F37" s="15">
        <v>19232.060000000001</v>
      </c>
      <c r="G37" s="16">
        <v>19080.13</v>
      </c>
      <c r="H37" s="16">
        <f t="shared" si="57"/>
        <v>-151.93000000000029</v>
      </c>
      <c r="I37" s="13" t="s">
        <v>302</v>
      </c>
      <c r="J37" s="14"/>
      <c r="K37" s="18"/>
      <c r="L37" s="18">
        <v>42625</v>
      </c>
      <c r="M37" s="13" t="s">
        <v>49</v>
      </c>
      <c r="N37" s="14"/>
      <c r="O37" s="19">
        <v>39.5</v>
      </c>
      <c r="P37" s="25"/>
      <c r="Q37" s="19"/>
      <c r="R37" s="19"/>
      <c r="S37" s="22"/>
      <c r="T37" s="26"/>
      <c r="U37" s="19"/>
      <c r="V37" s="19"/>
      <c r="W37" s="19">
        <f t="shared" ref="W37:W41" si="60">IF(O37&gt;0,O37,((P37*2.2046*S37)+(Q37+R37)/G37)+V37)</f>
        <v>39.5</v>
      </c>
      <c r="X37" s="19">
        <f t="shared" ref="X37:X41" si="61">IF(O37&gt;0,O37,((P37*2.2046*S37)+(Q37+R37+T37)/G37)+V37)</f>
        <v>39.5</v>
      </c>
      <c r="Y37" s="23">
        <f>X37*F37</f>
        <v>759666.37</v>
      </c>
      <c r="Z37" s="24">
        <v>42632</v>
      </c>
      <c r="AA37" s="33"/>
      <c r="AB37" s="33"/>
    </row>
    <row r="38" spans="1:29" s="11" customFormat="1" x14ac:dyDescent="0.25">
      <c r="A38" s="53"/>
      <c r="B38" s="12" t="s">
        <v>61</v>
      </c>
      <c r="C38" s="14" t="s">
        <v>247</v>
      </c>
      <c r="D38" s="13" t="s">
        <v>248</v>
      </c>
      <c r="E38" s="14" t="s">
        <v>303</v>
      </c>
      <c r="F38" s="15">
        <v>1196.3399999999999</v>
      </c>
      <c r="G38" s="16">
        <v>1196.3399999999999</v>
      </c>
      <c r="H38" s="16">
        <f t="shared" si="57"/>
        <v>0</v>
      </c>
      <c r="I38" s="13" t="s">
        <v>304</v>
      </c>
      <c r="J38" s="14"/>
      <c r="K38" s="18"/>
      <c r="L38" s="18">
        <v>42625</v>
      </c>
      <c r="M38" s="13" t="s">
        <v>49</v>
      </c>
      <c r="N38" s="14"/>
      <c r="O38" s="19">
        <v>53</v>
      </c>
      <c r="P38" s="25"/>
      <c r="Q38" s="19"/>
      <c r="R38" s="19"/>
      <c r="S38" s="22"/>
      <c r="T38" s="26"/>
      <c r="U38" s="19"/>
      <c r="V38" s="19"/>
      <c r="W38" s="19">
        <f t="shared" si="60"/>
        <v>53</v>
      </c>
      <c r="X38" s="19">
        <f t="shared" si="61"/>
        <v>53</v>
      </c>
      <c r="Y38" s="23">
        <f>X38*F38</f>
        <v>63406.02</v>
      </c>
      <c r="Z38" s="24">
        <v>42632</v>
      </c>
      <c r="AA38" s="33"/>
      <c r="AB38" s="33"/>
    </row>
    <row r="39" spans="1:29" s="11" customFormat="1" x14ac:dyDescent="0.25">
      <c r="A39" s="53"/>
      <c r="B39" s="12" t="s">
        <v>24</v>
      </c>
      <c r="C39" s="13" t="s">
        <v>29</v>
      </c>
      <c r="D39" s="13" t="s">
        <v>29</v>
      </c>
      <c r="E39" s="14" t="s">
        <v>26</v>
      </c>
      <c r="F39" s="15">
        <f>40646*0.4536</f>
        <v>18437.025600000001</v>
      </c>
      <c r="G39" s="16">
        <v>18358.54</v>
      </c>
      <c r="H39" s="16">
        <f>G39-F39</f>
        <v>-78.485599999999977</v>
      </c>
      <c r="I39" s="11" t="s">
        <v>305</v>
      </c>
      <c r="J39" s="17" t="s">
        <v>27</v>
      </c>
      <c r="K39" s="18">
        <v>42625</v>
      </c>
      <c r="L39" s="18">
        <v>42626</v>
      </c>
      <c r="M39" s="13" t="s">
        <v>28</v>
      </c>
      <c r="N39" s="13" t="s">
        <v>306</v>
      </c>
      <c r="O39" s="19"/>
      <c r="P39" s="20">
        <f>0.8106+0.1</f>
        <v>0.91059999999999997</v>
      </c>
      <c r="Q39" s="41">
        <v>20000</v>
      </c>
      <c r="R39" s="19">
        <v>9108</v>
      </c>
      <c r="S39" s="22">
        <v>19.760000000000002</v>
      </c>
      <c r="T39" s="26">
        <f>W39*F39*0.005</f>
        <v>3812.214770380418</v>
      </c>
      <c r="V39" s="19">
        <v>0.1</v>
      </c>
      <c r="W39" s="19">
        <f t="shared" si="60"/>
        <v>41.353902230090931</v>
      </c>
      <c r="X39" s="19">
        <f t="shared" si="61"/>
        <v>41.561555712904948</v>
      </c>
      <c r="Y39" s="23">
        <f>X39*F39</f>
        <v>766271.46665465483</v>
      </c>
      <c r="Z39" s="24">
        <v>42639</v>
      </c>
      <c r="AA39" s="48">
        <v>41.5</v>
      </c>
      <c r="AB39" s="51">
        <v>40.630000000000003</v>
      </c>
    </row>
    <row r="40" spans="1:29" s="11" customFormat="1" x14ac:dyDescent="0.25">
      <c r="A40" s="53"/>
      <c r="B40" s="12" t="s">
        <v>24</v>
      </c>
      <c r="C40" s="13" t="s">
        <v>25</v>
      </c>
      <c r="D40" s="13" t="s">
        <v>25</v>
      </c>
      <c r="E40" s="14" t="s">
        <v>26</v>
      </c>
      <c r="F40" s="15">
        <f>42274*0.4536</f>
        <v>19175.486400000002</v>
      </c>
      <c r="G40" s="16">
        <v>19094.28</v>
      </c>
      <c r="H40" s="16">
        <f>G40-F40</f>
        <v>-81.206400000002759</v>
      </c>
      <c r="I40" s="11" t="s">
        <v>307</v>
      </c>
      <c r="J40" s="17" t="s">
        <v>27</v>
      </c>
      <c r="K40" s="18">
        <v>42625</v>
      </c>
      <c r="L40" s="18">
        <v>42626</v>
      </c>
      <c r="M40" s="13" t="s">
        <v>28</v>
      </c>
      <c r="N40" s="13" t="s">
        <v>308</v>
      </c>
      <c r="O40" s="19"/>
      <c r="P40" s="20">
        <f>0.8106+0.105</f>
        <v>0.91559999999999997</v>
      </c>
      <c r="Q40" s="41">
        <v>20000</v>
      </c>
      <c r="R40" s="19">
        <v>9108</v>
      </c>
      <c r="S40" s="22">
        <v>18.63</v>
      </c>
      <c r="T40" s="26">
        <f>W40*F40*0.005</f>
        <v>3761.241195080182</v>
      </c>
      <c r="V40" s="19">
        <v>0.1</v>
      </c>
      <c r="W40" s="19">
        <f t="shared" si="60"/>
        <v>39.229682278934852</v>
      </c>
      <c r="X40" s="19">
        <f t="shared" si="61"/>
        <v>39.426664893365988</v>
      </c>
      <c r="Y40" s="23">
        <f t="shared" ref="Y40:Y41" si="62">X40*F40</f>
        <v>756025.47646009701</v>
      </c>
      <c r="Z40" s="24">
        <v>42620</v>
      </c>
      <c r="AA40" s="48">
        <v>41.5</v>
      </c>
      <c r="AB40" s="48"/>
    </row>
    <row r="41" spans="1:29" s="11" customFormat="1" x14ac:dyDescent="0.25">
      <c r="A41" s="53"/>
      <c r="B41" s="12" t="s">
        <v>24</v>
      </c>
      <c r="C41" s="13" t="s">
        <v>25</v>
      </c>
      <c r="D41" s="13" t="s">
        <v>25</v>
      </c>
      <c r="E41" s="14" t="s">
        <v>26</v>
      </c>
      <c r="F41" s="15">
        <f>42027*0.4536</f>
        <v>19063.447199999999</v>
      </c>
      <c r="G41" s="16">
        <v>18987.45</v>
      </c>
      <c r="H41" s="16">
        <f>G41-F41</f>
        <v>-75.997199999997974</v>
      </c>
      <c r="I41" s="11" t="s">
        <v>309</v>
      </c>
      <c r="J41" s="17" t="s">
        <v>38</v>
      </c>
      <c r="K41" s="18">
        <v>42625</v>
      </c>
      <c r="L41" s="18">
        <v>42626</v>
      </c>
      <c r="M41" s="13" t="s">
        <v>28</v>
      </c>
      <c r="N41" s="13" t="s">
        <v>308</v>
      </c>
      <c r="O41" s="19"/>
      <c r="P41" s="20">
        <f>0.8106+0.105</f>
        <v>0.91559999999999997</v>
      </c>
      <c r="Q41" s="41">
        <v>20000</v>
      </c>
      <c r="R41" s="19">
        <v>9108</v>
      </c>
      <c r="S41" s="22">
        <v>18.63</v>
      </c>
      <c r="T41" s="26">
        <f>W41*F41*0.005</f>
        <v>3740.0824203985535</v>
      </c>
      <c r="V41" s="19">
        <v>0.1</v>
      </c>
      <c r="W41" s="19">
        <f t="shared" si="60"/>
        <v>39.238259283961547</v>
      </c>
      <c r="X41" s="19">
        <f t="shared" si="61"/>
        <v>39.435235835336194</v>
      </c>
      <c r="Y41" s="23">
        <f t="shared" si="62"/>
        <v>751771.53616647935</v>
      </c>
      <c r="Z41" s="24">
        <v>42620</v>
      </c>
      <c r="AA41" s="48"/>
      <c r="AB41" s="48"/>
    </row>
    <row r="42" spans="1:29" s="11" customFormat="1" x14ac:dyDescent="0.25">
      <c r="A42" s="53"/>
      <c r="B42" s="12" t="s">
        <v>36</v>
      </c>
      <c r="C42" s="14" t="s">
        <v>37</v>
      </c>
      <c r="D42" s="13" t="s">
        <v>298</v>
      </c>
      <c r="E42" s="14">
        <f>200</f>
        <v>200</v>
      </c>
      <c r="F42" s="15">
        <f>20560</f>
        <v>20560</v>
      </c>
      <c r="G42" s="16">
        <f>16960</f>
        <v>16960</v>
      </c>
      <c r="H42" s="16">
        <f t="shared" ref="H42:H44" si="63">G42-F42</f>
        <v>-3600</v>
      </c>
      <c r="I42" s="11" t="s">
        <v>310</v>
      </c>
      <c r="J42" s="14"/>
      <c r="K42" s="18"/>
      <c r="L42" s="18">
        <v>42626</v>
      </c>
      <c r="M42" s="13" t="s">
        <v>28</v>
      </c>
      <c r="N42" s="14"/>
      <c r="O42" s="19">
        <v>27.5</v>
      </c>
      <c r="P42" s="25"/>
      <c r="Q42" s="41">
        <f>17300</f>
        <v>17300</v>
      </c>
      <c r="R42" s="19">
        <f t="shared" ref="R42:R43" si="64">61.75*E42</f>
        <v>12350</v>
      </c>
      <c r="S42" s="22">
        <f t="shared" ref="S42:S43" si="65">-35*E42</f>
        <v>-7000</v>
      </c>
      <c r="T42" s="26">
        <f>W42*F42*0.0045</f>
        <v>3213.3788915094333</v>
      </c>
      <c r="U42" s="19">
        <f>E42*5</f>
        <v>1000</v>
      </c>
      <c r="V42" s="14"/>
      <c r="W42" s="19">
        <f>((O42*F42)+Q42+R42+S42+U42)/G42</f>
        <v>34.731721698113205</v>
      </c>
      <c r="X42" s="19">
        <f>((O42*F42)+Q42+R42+S42+T42+U42)/G42</f>
        <v>34.921189793131447</v>
      </c>
      <c r="Y42" s="23">
        <f>X42*G42</f>
        <v>592263.37889150938</v>
      </c>
      <c r="Z42" s="24">
        <v>42639</v>
      </c>
      <c r="AA42" s="48">
        <v>38</v>
      </c>
      <c r="AB42" s="48"/>
    </row>
    <row r="43" spans="1:29" s="11" customFormat="1" x14ac:dyDescent="0.25">
      <c r="A43" s="53"/>
      <c r="B43" s="12" t="s">
        <v>36</v>
      </c>
      <c r="C43" s="14" t="s">
        <v>37</v>
      </c>
      <c r="D43" s="13" t="s">
        <v>52</v>
      </c>
      <c r="E43" s="14">
        <v>130</v>
      </c>
      <c r="F43" s="15">
        <v>13830</v>
      </c>
      <c r="G43" s="16">
        <v>10730</v>
      </c>
      <c r="H43" s="16">
        <f t="shared" si="63"/>
        <v>-3100</v>
      </c>
      <c r="I43" s="11" t="s">
        <v>311</v>
      </c>
      <c r="J43" s="14"/>
      <c r="K43" s="18"/>
      <c r="L43" s="18">
        <v>42626</v>
      </c>
      <c r="M43" s="13" t="s">
        <v>28</v>
      </c>
      <c r="N43" s="14"/>
      <c r="O43" s="19">
        <v>27.5</v>
      </c>
      <c r="P43" s="25"/>
      <c r="Q43" s="41">
        <v>13600</v>
      </c>
      <c r="R43" s="19">
        <f t="shared" si="64"/>
        <v>8027.5</v>
      </c>
      <c r="S43" s="22">
        <f t="shared" si="65"/>
        <v>-4550</v>
      </c>
      <c r="T43" s="26">
        <f>W43*F43*0.0045</f>
        <v>2308.7415971575019</v>
      </c>
      <c r="U43" s="19">
        <f>E43*5</f>
        <v>650</v>
      </c>
      <c r="V43" s="14"/>
      <c r="W43" s="19">
        <f>((O43*F43)+Q43+R43+S43+U43)/G43</f>
        <v>37.097157502329914</v>
      </c>
      <c r="X43" s="19">
        <f>((O43*F43)+Q43+R43+S43+T43+U43)/G43</f>
        <v>37.312324473174044</v>
      </c>
      <c r="Y43" s="23">
        <f>X43*G43</f>
        <v>400361.2415971575</v>
      </c>
      <c r="Z43" s="24">
        <v>42639</v>
      </c>
      <c r="AA43" s="48">
        <v>38</v>
      </c>
      <c r="AB43" s="48" t="s">
        <v>312</v>
      </c>
    </row>
    <row r="44" spans="1:29" s="11" customFormat="1" x14ac:dyDescent="0.25">
      <c r="A44" s="53"/>
      <c r="B44" s="12" t="s">
        <v>30</v>
      </c>
      <c r="C44" s="13" t="s">
        <v>25</v>
      </c>
      <c r="D44" s="13" t="s">
        <v>55</v>
      </c>
      <c r="E44" s="14" t="s">
        <v>313</v>
      </c>
      <c r="F44" s="15">
        <f>934.4+919.9+912.6</f>
        <v>2766.9</v>
      </c>
      <c r="G44" s="16">
        <v>2766.9</v>
      </c>
      <c r="H44" s="16">
        <f t="shared" si="63"/>
        <v>0</v>
      </c>
      <c r="I44" s="11" t="s">
        <v>314</v>
      </c>
      <c r="J44" s="14"/>
      <c r="K44" s="18"/>
      <c r="L44" s="18">
        <v>42626</v>
      </c>
      <c r="M44" s="13" t="s">
        <v>28</v>
      </c>
      <c r="N44" s="14"/>
      <c r="O44" s="19">
        <v>19</v>
      </c>
      <c r="P44" s="25"/>
      <c r="Q44" s="19"/>
      <c r="R44" s="19"/>
      <c r="S44" s="22"/>
      <c r="T44" s="26"/>
      <c r="U44" s="19"/>
      <c r="V44" s="19"/>
      <c r="W44" s="19">
        <f t="shared" ref="W44:W45" si="66">IF(O44&gt;0,O44,((P44*2.2046*S44)+(Q44+R44)/G44)+V44)</f>
        <v>19</v>
      </c>
      <c r="X44" s="19">
        <f t="shared" ref="X44:X45" si="67">IF(O44&gt;0,O44,((P44*2.2046*S44)+(Q44+R44+T44)/G44)+V44)</f>
        <v>19</v>
      </c>
      <c r="Y44" s="23">
        <f t="shared" ref="Y44:Y45" si="68">X44*F44</f>
        <v>52571.1</v>
      </c>
      <c r="Z44" s="24">
        <v>42633</v>
      </c>
      <c r="AA44" s="48"/>
      <c r="AB44" s="48"/>
    </row>
    <row r="45" spans="1:29" s="11" customFormat="1" x14ac:dyDescent="0.25">
      <c r="A45" s="53"/>
      <c r="B45" s="12" t="s">
        <v>24</v>
      </c>
      <c r="C45" s="13" t="s">
        <v>25</v>
      </c>
      <c r="D45" s="13" t="s">
        <v>25</v>
      </c>
      <c r="E45" s="14" t="s">
        <v>26</v>
      </c>
      <c r="F45" s="15">
        <f>42524*0.4536</f>
        <v>19288.886399999999</v>
      </c>
      <c r="G45" s="16">
        <v>19165.14</v>
      </c>
      <c r="H45" s="16">
        <f>G45-F45</f>
        <v>-123.74639999999999</v>
      </c>
      <c r="I45" s="11" t="s">
        <v>315</v>
      </c>
      <c r="J45" s="17" t="s">
        <v>27</v>
      </c>
      <c r="K45" s="18">
        <v>42626</v>
      </c>
      <c r="L45" s="18">
        <v>42627</v>
      </c>
      <c r="M45" s="13" t="s">
        <v>39</v>
      </c>
      <c r="N45" s="13" t="s">
        <v>308</v>
      </c>
      <c r="O45" s="19"/>
      <c r="P45" s="20">
        <v>0.91559999999999997</v>
      </c>
      <c r="Q45" s="41">
        <v>20000</v>
      </c>
      <c r="R45" s="19">
        <v>9114.5</v>
      </c>
      <c r="S45" s="22">
        <v>18.52</v>
      </c>
      <c r="T45" s="26">
        <f>W45*F45*0.005</f>
        <v>3761.559163460593</v>
      </c>
      <c r="V45" s="19">
        <v>0.1</v>
      </c>
      <c r="W45" s="19">
        <f t="shared" si="66"/>
        <v>39.002346589179901</v>
      </c>
      <c r="X45" s="19">
        <f t="shared" si="67"/>
        <v>39.198617483285588</v>
      </c>
      <c r="Y45" s="23">
        <f t="shared" si="68"/>
        <v>756097.67967214959</v>
      </c>
      <c r="Z45" s="24">
        <v>42620</v>
      </c>
      <c r="AA45" s="48"/>
      <c r="AB45" s="48"/>
    </row>
    <row r="46" spans="1:29" s="11" customFormat="1" x14ac:dyDescent="0.25">
      <c r="A46" s="53"/>
      <c r="B46" s="12" t="s">
        <v>36</v>
      </c>
      <c r="C46" s="14" t="s">
        <v>37</v>
      </c>
      <c r="D46" s="13" t="s">
        <v>298</v>
      </c>
      <c r="E46" s="14">
        <f>230</f>
        <v>230</v>
      </c>
      <c r="F46" s="15">
        <f>23930</f>
        <v>23930</v>
      </c>
      <c r="G46" s="16">
        <f>17390</f>
        <v>17390</v>
      </c>
      <c r="H46" s="16">
        <f t="shared" ref="H46:H47" si="69">G46-F46</f>
        <v>-6540</v>
      </c>
      <c r="I46" s="11" t="s">
        <v>316</v>
      </c>
      <c r="J46" s="54">
        <v>200</v>
      </c>
      <c r="K46" s="18"/>
      <c r="L46" s="18">
        <v>42627</v>
      </c>
      <c r="M46" s="13" t="s">
        <v>39</v>
      </c>
      <c r="N46" s="14"/>
      <c r="O46" s="19">
        <v>27.5</v>
      </c>
      <c r="P46" s="25"/>
      <c r="Q46" s="41">
        <f>17300</f>
        <v>17300</v>
      </c>
      <c r="R46" s="19">
        <f t="shared" ref="R46:R47" si="70">61.75*E46</f>
        <v>14202.5</v>
      </c>
      <c r="S46" s="22">
        <f t="shared" ref="S46:S47" si="71">-35*E46</f>
        <v>-8050</v>
      </c>
      <c r="T46" s="26">
        <f>W46*F46*0.0045</f>
        <v>4227.3793322311676</v>
      </c>
      <c r="U46" s="19">
        <f>E46*5</f>
        <v>1150</v>
      </c>
      <c r="V46" s="14"/>
      <c r="W46" s="19">
        <f>((O46*F46)+Q46+R46+S46+U46)/G46</f>
        <v>39.256900517538817</v>
      </c>
      <c r="X46" s="19">
        <f>((O46*F46)+Q46+R46+S46+T46+U46)/G46</f>
        <v>39.499993061082868</v>
      </c>
      <c r="Y46" s="23">
        <f>X46*G46</f>
        <v>686904.87933223112</v>
      </c>
      <c r="Z46" s="24">
        <v>42640</v>
      </c>
      <c r="AA46" s="48">
        <v>38</v>
      </c>
      <c r="AB46" s="48"/>
    </row>
    <row r="47" spans="1:29" s="11" customFormat="1" x14ac:dyDescent="0.25">
      <c r="A47" s="53"/>
      <c r="B47" s="12" t="s">
        <v>36</v>
      </c>
      <c r="C47" s="14" t="s">
        <v>37</v>
      </c>
      <c r="D47" s="13" t="s">
        <v>50</v>
      </c>
      <c r="E47" s="14">
        <v>100</v>
      </c>
      <c r="F47" s="15">
        <v>11535</v>
      </c>
      <c r="G47" s="16">
        <v>10900</v>
      </c>
      <c r="H47" s="16">
        <f t="shared" si="69"/>
        <v>-635</v>
      </c>
      <c r="I47" s="11" t="s">
        <v>317</v>
      </c>
      <c r="J47" s="54">
        <v>130</v>
      </c>
      <c r="K47" s="18"/>
      <c r="L47" s="18">
        <v>42627</v>
      </c>
      <c r="M47" s="13" t="s">
        <v>39</v>
      </c>
      <c r="N47" s="14"/>
      <c r="O47" s="19">
        <v>27.5</v>
      </c>
      <c r="P47" s="25"/>
      <c r="Q47" s="41">
        <v>13600</v>
      </c>
      <c r="R47" s="19">
        <f t="shared" si="70"/>
        <v>6175</v>
      </c>
      <c r="S47" s="22">
        <f t="shared" si="71"/>
        <v>-3500</v>
      </c>
      <c r="T47" s="26">
        <f>W47*F47*0.0045</f>
        <v>1590.500564793578</v>
      </c>
      <c r="U47" s="19">
        <f>E47*5</f>
        <v>500</v>
      </c>
      <c r="V47" s="14"/>
      <c r="W47" s="19">
        <f>((O47*F47)+Q47+R47+S47+U47)/G47</f>
        <v>30.64105504587156</v>
      </c>
      <c r="X47" s="19">
        <f>((O47*F47)+Q47+R47+S47+T47+U47)/G47</f>
        <v>30.786972528880145</v>
      </c>
      <c r="Y47" s="23">
        <f>X47*G47</f>
        <v>335578.00056479359</v>
      </c>
      <c r="Z47" s="24">
        <v>42640</v>
      </c>
      <c r="AA47" s="48"/>
      <c r="AB47" s="48" t="s">
        <v>318</v>
      </c>
    </row>
    <row r="48" spans="1:29" s="11" customFormat="1" x14ac:dyDescent="0.25">
      <c r="A48" s="53"/>
      <c r="B48" s="12" t="s">
        <v>24</v>
      </c>
      <c r="C48" s="13" t="s">
        <v>25</v>
      </c>
      <c r="D48" s="13" t="s">
        <v>25</v>
      </c>
      <c r="E48" s="14" t="s">
        <v>26</v>
      </c>
      <c r="F48" s="15">
        <f>42215*0.4536</f>
        <v>19148.723999999998</v>
      </c>
      <c r="G48" s="16">
        <v>19079.72</v>
      </c>
      <c r="H48" s="16">
        <f>G48-F48</f>
        <v>-69.003999999997177</v>
      </c>
      <c r="I48" s="11" t="s">
        <v>319</v>
      </c>
      <c r="J48" s="17" t="s">
        <v>33</v>
      </c>
      <c r="K48" s="18">
        <v>42627</v>
      </c>
      <c r="L48" s="18">
        <v>42628</v>
      </c>
      <c r="M48" s="13" t="s">
        <v>41</v>
      </c>
      <c r="N48" s="13" t="s">
        <v>308</v>
      </c>
      <c r="O48" s="19"/>
      <c r="P48" s="20">
        <f>0.8106+0.105</f>
        <v>0.91559999999999997</v>
      </c>
      <c r="Q48" s="41">
        <v>20000</v>
      </c>
      <c r="R48" s="19">
        <v>9147</v>
      </c>
      <c r="S48" s="22">
        <v>18.61</v>
      </c>
      <c r="T48" s="26">
        <f>W48*F48*0.005</f>
        <v>3752.4336475981809</v>
      </c>
      <c r="V48" s="19">
        <v>0.1</v>
      </c>
      <c r="W48" s="19">
        <f t="shared" ref="W48" si="72">IF(O48&gt;0,O48,((P48*2.2046*S48)+(Q48+R48)/G48)+V48)</f>
        <v>39.192519016913934</v>
      </c>
      <c r="X48" s="19">
        <f t="shared" ref="X48" si="73">IF(O48&gt;0,O48,((P48*2.2046*S48)+(Q48+R48+T48)/G48)+V48)</f>
        <v>39.389190333243427</v>
      </c>
      <c r="Y48" s="23">
        <f t="shared" ref="Y48" si="74">X48*F48</f>
        <v>754252.73427474638</v>
      </c>
      <c r="Z48" s="24">
        <v>42620</v>
      </c>
      <c r="AA48" s="48">
        <v>40</v>
      </c>
      <c r="AB48" s="48"/>
    </row>
    <row r="49" spans="1:28" s="11" customFormat="1" x14ac:dyDescent="0.25">
      <c r="A49" s="53"/>
      <c r="B49" s="12" t="s">
        <v>24</v>
      </c>
      <c r="C49" s="13" t="s">
        <v>25</v>
      </c>
      <c r="D49" s="13" t="s">
        <v>25</v>
      </c>
      <c r="E49" s="14" t="s">
        <v>26</v>
      </c>
      <c r="F49" s="15">
        <f>42340*0.4536</f>
        <v>19205.423999999999</v>
      </c>
      <c r="G49" s="16">
        <v>19053.349999999999</v>
      </c>
      <c r="H49" s="16">
        <f>G49-F49</f>
        <v>-152.07400000000052</v>
      </c>
      <c r="I49" s="11" t="s">
        <v>320</v>
      </c>
      <c r="J49" s="17" t="s">
        <v>27</v>
      </c>
      <c r="K49" s="18">
        <v>42627</v>
      </c>
      <c r="L49" s="18">
        <v>42628</v>
      </c>
      <c r="M49" s="13" t="s">
        <v>41</v>
      </c>
      <c r="N49" s="13" t="s">
        <v>321</v>
      </c>
      <c r="O49" s="19"/>
      <c r="P49" s="20">
        <f>0.8235+0.105</f>
        <v>0.92849999999999999</v>
      </c>
      <c r="Q49" s="41">
        <v>20000</v>
      </c>
      <c r="R49" s="19">
        <v>9147</v>
      </c>
      <c r="S49" s="22">
        <v>18.52</v>
      </c>
      <c r="T49" s="26">
        <f t="shared" ref="T49:T50" si="75">W49*F49*0.005</f>
        <v>3796.879868237655</v>
      </c>
      <c r="V49" s="19">
        <v>0.1</v>
      </c>
      <c r="W49" s="19">
        <f>IF(O49&gt;0,O49,((P49*2.2046*S49)+(Q49+R49)/G49)+V49)</f>
        <v>39.539662006292133</v>
      </c>
      <c r="X49" s="19">
        <f>IF(O49&gt;0,O49,((P49*2.2046*S49)+(Q49+R49+T49)/G49)+V49)</f>
        <v>39.738938242137145</v>
      </c>
      <c r="Y49" s="23">
        <f>X49*F49</f>
        <v>763203.15825005854</v>
      </c>
      <c r="Z49" s="24">
        <v>42621</v>
      </c>
      <c r="AA49" s="48">
        <v>40</v>
      </c>
      <c r="AB49" s="48"/>
    </row>
    <row r="50" spans="1:28" s="11" customFormat="1" x14ac:dyDescent="0.25">
      <c r="A50" s="53"/>
      <c r="B50" s="12" t="s">
        <v>24</v>
      </c>
      <c r="C50" s="13" t="s">
        <v>25</v>
      </c>
      <c r="D50" s="13" t="s">
        <v>25</v>
      </c>
      <c r="E50" s="14" t="s">
        <v>26</v>
      </c>
      <c r="F50" s="15">
        <f>42691*0.4536</f>
        <v>19364.637600000002</v>
      </c>
      <c r="G50" s="16">
        <v>19272.419999999998</v>
      </c>
      <c r="H50" s="16">
        <f>G50-F50</f>
        <v>-92.217600000003586</v>
      </c>
      <c r="I50" s="11" t="s">
        <v>322</v>
      </c>
      <c r="J50" s="17" t="s">
        <v>27</v>
      </c>
      <c r="K50" s="18">
        <v>42627</v>
      </c>
      <c r="L50" s="18">
        <v>42628</v>
      </c>
      <c r="M50" s="13" t="s">
        <v>41</v>
      </c>
      <c r="N50" s="13" t="s">
        <v>321</v>
      </c>
      <c r="O50" s="19"/>
      <c r="P50" s="20">
        <f>0.8235+0.105</f>
        <v>0.92849999999999999</v>
      </c>
      <c r="Q50" s="41">
        <v>20000</v>
      </c>
      <c r="R50" s="19">
        <v>9147</v>
      </c>
      <c r="S50" s="22">
        <v>18.41</v>
      </c>
      <c r="T50" s="26">
        <f t="shared" si="75"/>
        <v>3804.8711211051636</v>
      </c>
      <c r="V50" s="19">
        <v>0.1</v>
      </c>
      <c r="W50" s="19">
        <f>IF(O50&gt;0,O50,((P50*2.2046*S50)+(Q50+R50)/G50)+V50)</f>
        <v>39.297106402912114</v>
      </c>
      <c r="X50" s="19">
        <f>IF(O50&gt;0,O50,((P50*2.2046*S50)+(Q50+R50+T50)/G50)+V50)</f>
        <v>39.494532108718921</v>
      </c>
      <c r="Y50" s="23">
        <f>X50*F50</f>
        <v>764797.30146690574</v>
      </c>
      <c r="Z50" s="24">
        <v>42622</v>
      </c>
      <c r="AA50" s="48">
        <v>40</v>
      </c>
      <c r="AB50" s="48"/>
    </row>
    <row r="51" spans="1:28" s="11" customFormat="1" x14ac:dyDescent="0.25">
      <c r="A51" s="53"/>
      <c r="B51" s="12" t="s">
        <v>36</v>
      </c>
      <c r="C51" s="14" t="s">
        <v>37</v>
      </c>
      <c r="D51" s="13" t="s">
        <v>298</v>
      </c>
      <c r="E51" s="14">
        <v>250</v>
      </c>
      <c r="F51" s="15">
        <v>26810</v>
      </c>
      <c r="G51" s="16">
        <f>16950+4380</f>
        <v>21330</v>
      </c>
      <c r="H51" s="16">
        <f t="shared" ref="H51:H53" si="76">G51-F51</f>
        <v>-5480</v>
      </c>
      <c r="I51" s="11" t="s">
        <v>323</v>
      </c>
      <c r="J51" s="14"/>
      <c r="K51" s="18"/>
      <c r="L51" s="18">
        <v>42628</v>
      </c>
      <c r="M51" s="13" t="s">
        <v>41</v>
      </c>
      <c r="N51" s="14"/>
      <c r="O51" s="19">
        <v>27.5</v>
      </c>
      <c r="P51" s="25"/>
      <c r="Q51" s="41">
        <v>17300</v>
      </c>
      <c r="R51" s="19">
        <f t="shared" ref="R51" si="77">61.75*E51</f>
        <v>15437.5</v>
      </c>
      <c r="S51" s="22">
        <f t="shared" ref="S51" si="78">-35*E51</f>
        <v>-8750</v>
      </c>
      <c r="T51" s="26">
        <f t="shared" ref="T51" si="79">W51*F51*0.0045</f>
        <v>4312.8607858649784</v>
      </c>
      <c r="U51" s="19">
        <f t="shared" ref="U51" si="80">E51*5</f>
        <v>1250</v>
      </c>
      <c r="V51" s="14"/>
      <c r="W51" s="19">
        <f t="shared" ref="W51" si="81">((O51*F51)+Q51+R51+S51+U51)/G51</f>
        <v>35.748359118612285</v>
      </c>
      <c r="X51" s="19">
        <f t="shared" ref="X51" si="82">((O51*F51)+Q51+R51+S51+T51+U51)/G51</f>
        <v>35.950556061221988</v>
      </c>
      <c r="Y51" s="23">
        <f t="shared" ref="Y51" si="83">X51*G51</f>
        <v>766825.36078586499</v>
      </c>
      <c r="Z51" s="24">
        <v>42641</v>
      </c>
      <c r="AA51" s="48">
        <v>38</v>
      </c>
      <c r="AB51" s="48" t="s">
        <v>324</v>
      </c>
    </row>
    <row r="52" spans="1:28" s="11" customFormat="1" x14ac:dyDescent="0.25">
      <c r="A52" s="53"/>
      <c r="B52" s="12" t="s">
        <v>24</v>
      </c>
      <c r="C52" s="13" t="s">
        <v>25</v>
      </c>
      <c r="D52" s="13" t="s">
        <v>25</v>
      </c>
      <c r="E52" s="14" t="s">
        <v>26</v>
      </c>
      <c r="F52" s="15">
        <f>41850*0.4536</f>
        <v>18983.16</v>
      </c>
      <c r="G52" s="16">
        <v>18891.93</v>
      </c>
      <c r="H52" s="16">
        <f>G52-F52</f>
        <v>-91.229999999999563</v>
      </c>
      <c r="I52" s="11" t="s">
        <v>325</v>
      </c>
      <c r="J52" s="17" t="s">
        <v>27</v>
      </c>
      <c r="K52" s="18">
        <v>42628</v>
      </c>
      <c r="L52" s="18">
        <v>42629</v>
      </c>
      <c r="M52" s="13" t="s">
        <v>39</v>
      </c>
      <c r="N52" s="13" t="s">
        <v>308</v>
      </c>
      <c r="O52" s="19"/>
      <c r="P52" s="20">
        <f>0.8106+0.105</f>
        <v>0.91559999999999997</v>
      </c>
      <c r="Q52" s="41">
        <v>20000</v>
      </c>
      <c r="R52" s="19">
        <v>9147</v>
      </c>
      <c r="S52" s="22">
        <v>18.61</v>
      </c>
      <c r="T52" s="26">
        <f>W52*F52*0.005</f>
        <v>3721.4306035548211</v>
      </c>
      <c r="V52" s="19">
        <v>0.1</v>
      </c>
      <c r="W52" s="19">
        <f>IF(O52&gt;0,O52,((P52*2.2046*S52)+(Q52+R52)/G52)+V52)</f>
        <v>39.207704128868123</v>
      </c>
      <c r="X52" s="19">
        <f>IF(O52&gt;0,O52,((P52*2.2046*S52)+(Q52+R52+T52)/G52)+V52)</f>
        <v>39.404689328556813</v>
      </c>
      <c r="Y52" s="23">
        <f>X52*F52</f>
        <v>748025.5222742866</v>
      </c>
      <c r="Z52" s="24">
        <v>42620</v>
      </c>
      <c r="AA52" s="48">
        <v>40</v>
      </c>
      <c r="AB52" s="48"/>
    </row>
    <row r="53" spans="1:28" s="11" customFormat="1" x14ac:dyDescent="0.25">
      <c r="A53" s="53"/>
      <c r="B53" s="12" t="s">
        <v>24</v>
      </c>
      <c r="C53" s="13" t="s">
        <v>34</v>
      </c>
      <c r="D53" s="13" t="s">
        <v>34</v>
      </c>
      <c r="E53" s="14" t="s">
        <v>35</v>
      </c>
      <c r="F53" s="15">
        <f>42480*0.4536</f>
        <v>19268.928</v>
      </c>
      <c r="G53" s="16">
        <v>19140.13</v>
      </c>
      <c r="H53" s="16">
        <f t="shared" si="76"/>
        <v>-128.79799999999886</v>
      </c>
      <c r="I53" s="52" t="s">
        <v>326</v>
      </c>
      <c r="J53" s="17" t="s">
        <v>38</v>
      </c>
      <c r="K53" s="18">
        <v>42628</v>
      </c>
      <c r="L53" s="18">
        <v>42629</v>
      </c>
      <c r="M53" s="13" t="s">
        <v>47</v>
      </c>
      <c r="N53" s="13" t="s">
        <v>327</v>
      </c>
      <c r="O53" s="19"/>
      <c r="P53" s="20">
        <f>0.8235+0.1075</f>
        <v>0.93100000000000005</v>
      </c>
      <c r="Q53" s="41">
        <v>20000</v>
      </c>
      <c r="R53" s="19">
        <v>9147</v>
      </c>
      <c r="S53" s="22">
        <v>18.41</v>
      </c>
      <c r="T53" s="26">
        <f t="shared" ref="T53" si="84">W53*F53*0.005</f>
        <v>3796.8484312801875</v>
      </c>
      <c r="V53" s="19">
        <v>0.1</v>
      </c>
      <c r="W53" s="19">
        <f>IF(O53&gt;0,O53,((P53*2.2046*S53)+(Q53+R53)/G53)+V53)</f>
        <v>39.409026088843007</v>
      </c>
      <c r="X53" s="19">
        <f>IF(O53&gt;0,O53,((P53*2.2046*S53)+(Q53+R53+T53)/G53)+V53)</f>
        <v>39.607397177820992</v>
      </c>
      <c r="Y53" s="23">
        <f t="shared" ref="Y53" si="85">X53*F53</f>
        <v>763192.08448683587</v>
      </c>
      <c r="Z53" s="24">
        <v>42622</v>
      </c>
      <c r="AA53" s="33"/>
      <c r="AB53" s="33" t="s">
        <v>328</v>
      </c>
    </row>
    <row r="54" spans="1:28" s="11" customFormat="1" x14ac:dyDescent="0.25">
      <c r="A54" s="53"/>
      <c r="B54" s="12" t="s">
        <v>24</v>
      </c>
      <c r="C54" s="13" t="s">
        <v>29</v>
      </c>
      <c r="D54" s="13" t="s">
        <v>29</v>
      </c>
      <c r="E54" s="14" t="s">
        <v>32</v>
      </c>
      <c r="F54" s="15">
        <f>40138*0.4536</f>
        <v>18206.596799999999</v>
      </c>
      <c r="G54" s="16">
        <v>18580.59</v>
      </c>
      <c r="H54" s="16">
        <f>G54-F54</f>
        <v>373.9932000000008</v>
      </c>
      <c r="I54" s="11" t="s">
        <v>329</v>
      </c>
      <c r="J54" s="17" t="s">
        <v>27</v>
      </c>
      <c r="K54" s="18">
        <v>42628</v>
      </c>
      <c r="L54" s="18">
        <v>42629</v>
      </c>
      <c r="M54" s="13" t="s">
        <v>47</v>
      </c>
      <c r="N54" s="13" t="s">
        <v>330</v>
      </c>
      <c r="O54" s="19"/>
      <c r="P54" s="20">
        <f>0.8235+0.1</f>
        <v>0.92349999999999999</v>
      </c>
      <c r="Q54" s="41">
        <v>20000</v>
      </c>
      <c r="R54" s="19">
        <v>9147</v>
      </c>
      <c r="S54" s="22">
        <v>19.760000000000002</v>
      </c>
      <c r="T54" s="26">
        <f>W54*F54*0.005</f>
        <v>3814.1923129748866</v>
      </c>
      <c r="V54" s="19">
        <v>0.1</v>
      </c>
      <c r="W54" s="19">
        <f>IF(O54&gt;0,O54,((P54*2.2046*S54)+(Q54+R54)/G54)+V54)</f>
        <v>41.899014460240991</v>
      </c>
      <c r="X54" s="19">
        <f>IF(O54&gt;0,O54,((P54*2.2046*S54)+(Q54+R54+T54)/G54)+V54)</f>
        <v>42.104292780949585</v>
      </c>
      <c r="Y54" s="23">
        <f>X54*F54</f>
        <v>766575.88221189973</v>
      </c>
      <c r="Z54" s="24">
        <v>42640</v>
      </c>
      <c r="AA54" s="48">
        <v>40</v>
      </c>
      <c r="AB54" s="51">
        <v>41.2</v>
      </c>
    </row>
    <row r="55" spans="1:28" s="11" customFormat="1" x14ac:dyDescent="0.25">
      <c r="A55" s="53"/>
      <c r="B55" s="12" t="s">
        <v>36</v>
      </c>
      <c r="C55" s="14" t="s">
        <v>37</v>
      </c>
      <c r="D55" s="13" t="s">
        <v>43</v>
      </c>
      <c r="E55" s="14">
        <f>219</f>
        <v>219</v>
      </c>
      <c r="F55" s="15">
        <f>24645</f>
        <v>24645</v>
      </c>
      <c r="G55" s="16">
        <f>17980</f>
        <v>17980</v>
      </c>
      <c r="H55" s="16">
        <f t="shared" ref="H55:H56" si="86">G55-F55</f>
        <v>-6665</v>
      </c>
      <c r="I55" s="11" t="s">
        <v>331</v>
      </c>
      <c r="J55" s="54">
        <v>200</v>
      </c>
      <c r="K55" s="18"/>
      <c r="L55" s="18">
        <v>42629</v>
      </c>
      <c r="M55" s="13" t="s">
        <v>44</v>
      </c>
      <c r="N55" s="14"/>
      <c r="O55" s="19">
        <v>27.5</v>
      </c>
      <c r="P55" s="25"/>
      <c r="Q55" s="41">
        <f>17300</f>
        <v>17300</v>
      </c>
      <c r="R55" s="19">
        <f t="shared" ref="R55:R56" si="87">61.75*E55</f>
        <v>13523.25</v>
      </c>
      <c r="S55" s="22">
        <f>-35*E55</f>
        <v>-7665</v>
      </c>
      <c r="T55" s="26">
        <f>W55*F55*0.0045</f>
        <v>4329.9515657327584</v>
      </c>
      <c r="U55" s="19">
        <f>E55*5</f>
        <v>1095</v>
      </c>
      <c r="V55" s="14"/>
      <c r="W55" s="19">
        <f>((O55*F55)+Q55+R55+S55+U55)/G55</f>
        <v>39.042867074527251</v>
      </c>
      <c r="X55" s="19">
        <f>((O55*F55)+Q55+R55+S55+T55+U55)/G55</f>
        <v>39.283687517560217</v>
      </c>
      <c r="Y55" s="23">
        <f t="shared" ref="Y55:Y56" si="88">X55*G55</f>
        <v>706320.70156573271</v>
      </c>
      <c r="Z55" s="24">
        <v>42642</v>
      </c>
      <c r="AA55" s="33">
        <v>36</v>
      </c>
      <c r="AB55" s="33" t="s">
        <v>332</v>
      </c>
    </row>
    <row r="56" spans="1:28" s="11" customFormat="1" x14ac:dyDescent="0.25">
      <c r="A56" s="53"/>
      <c r="B56" s="12" t="s">
        <v>36</v>
      </c>
      <c r="C56" s="14" t="s">
        <v>333</v>
      </c>
      <c r="D56" s="13" t="s">
        <v>298</v>
      </c>
      <c r="E56" s="14">
        <v>110</v>
      </c>
      <c r="F56" s="15">
        <v>12740</v>
      </c>
      <c r="G56" s="16">
        <v>11930</v>
      </c>
      <c r="H56" s="16">
        <f t="shared" si="86"/>
        <v>-810</v>
      </c>
      <c r="I56" s="13" t="s">
        <v>334</v>
      </c>
      <c r="J56" s="54">
        <v>129</v>
      </c>
      <c r="K56" s="18"/>
      <c r="L56" s="18">
        <v>42629</v>
      </c>
      <c r="M56" s="13" t="s">
        <v>44</v>
      </c>
      <c r="N56" s="14"/>
      <c r="O56" s="19">
        <v>27.5</v>
      </c>
      <c r="P56" s="25"/>
      <c r="Q56" s="41">
        <v>13600</v>
      </c>
      <c r="R56" s="19">
        <f t="shared" si="87"/>
        <v>6792.5</v>
      </c>
      <c r="S56" s="22">
        <f>-35*E56</f>
        <v>-3850</v>
      </c>
      <c r="T56" s="26">
        <f>W56*F56*0.0045</f>
        <v>1765.7567917015926</v>
      </c>
      <c r="U56" s="19">
        <f>E56*5</f>
        <v>550</v>
      </c>
      <c r="V56" s="14"/>
      <c r="W56" s="19">
        <f>((O56*F56)+Q56+R56+S56+U56)/G56</f>
        <v>30.799874266554905</v>
      </c>
      <c r="X56" s="19">
        <f>((O56*F56)+Q56+R56+S56+T56+U56)/G56</f>
        <v>30.947884056303572</v>
      </c>
      <c r="Y56" s="23">
        <f t="shared" si="88"/>
        <v>369208.2567917016</v>
      </c>
      <c r="Z56" s="24">
        <v>42642</v>
      </c>
      <c r="AA56" s="33">
        <v>36</v>
      </c>
      <c r="AB56" s="33"/>
    </row>
    <row r="57" spans="1:28" s="11" customFormat="1" ht="15.75" thickBot="1" x14ac:dyDescent="0.3">
      <c r="A57" s="55"/>
      <c r="B57" s="27"/>
      <c r="C57" s="3"/>
      <c r="D57" s="3"/>
      <c r="E57" s="3"/>
      <c r="F57" s="28"/>
      <c r="G57" s="28"/>
      <c r="H57" s="28"/>
      <c r="I57" s="5"/>
      <c r="J57" s="3"/>
      <c r="K57" s="6"/>
      <c r="L57" s="6"/>
      <c r="M57" s="3"/>
      <c r="N57" s="3"/>
      <c r="O57" s="7"/>
      <c r="P57" s="8"/>
      <c r="Q57" s="7"/>
      <c r="R57" s="7"/>
      <c r="S57" s="7"/>
      <c r="T57" s="7"/>
      <c r="U57" s="7"/>
      <c r="V57" s="7"/>
      <c r="W57" s="7"/>
      <c r="X57" s="7"/>
      <c r="Y57" s="10"/>
      <c r="Z57" s="29"/>
      <c r="AA57" s="33"/>
      <c r="AB57" s="33"/>
    </row>
    <row r="58" spans="1:28" s="11" customFormat="1" x14ac:dyDescent="0.25">
      <c r="A58" s="46"/>
      <c r="B58" s="14" t="s">
        <v>36</v>
      </c>
      <c r="C58" s="14" t="s">
        <v>37</v>
      </c>
      <c r="D58" s="13" t="s">
        <v>43</v>
      </c>
      <c r="E58" s="14">
        <f>230</f>
        <v>230</v>
      </c>
      <c r="F58" s="15">
        <f>29995</f>
        <v>29995</v>
      </c>
      <c r="G58" s="16">
        <f>23440</f>
        <v>23440</v>
      </c>
      <c r="H58" s="16">
        <f t="shared" ref="H58:H60" si="89">G58-F58</f>
        <v>-6555</v>
      </c>
      <c r="I58" s="13" t="s">
        <v>335</v>
      </c>
      <c r="J58" s="54">
        <v>250</v>
      </c>
      <c r="K58" s="18"/>
      <c r="L58" s="18">
        <v>42631</v>
      </c>
      <c r="M58" s="13" t="s">
        <v>48</v>
      </c>
      <c r="N58" s="14"/>
      <c r="O58" s="19">
        <v>27.5</v>
      </c>
      <c r="P58" s="25"/>
      <c r="Q58" s="41">
        <f>17300</f>
        <v>17300</v>
      </c>
      <c r="R58" s="19">
        <f t="shared" ref="R58:R60" si="90">61.75*E58</f>
        <v>14202.5</v>
      </c>
      <c r="S58" s="22">
        <f>-35*E58</f>
        <v>-8050</v>
      </c>
      <c r="T58" s="26">
        <f>W58*F58*0.0045</f>
        <v>4891.5811449445391</v>
      </c>
      <c r="U58" s="19">
        <f>E58*5</f>
        <v>1150</v>
      </c>
      <c r="V58" s="14"/>
      <c r="W58" s="19">
        <f>((O58*F58)+Q58+R58+S58+U58)/G58</f>
        <v>36.239974402730375</v>
      </c>
      <c r="X58" s="19">
        <f>((O58*F58)+Q58+R58+S58+T58+U58)/G58</f>
        <v>36.448659605159747</v>
      </c>
      <c r="Y58" s="23">
        <f>X58*G58</f>
        <v>854356.58114494453</v>
      </c>
      <c r="Z58" s="24">
        <v>42646</v>
      </c>
      <c r="AA58" s="33">
        <v>38</v>
      </c>
      <c r="AB58" s="33" t="s">
        <v>336</v>
      </c>
    </row>
    <row r="59" spans="1:28" s="11" customFormat="1" x14ac:dyDescent="0.25">
      <c r="A59" s="46"/>
      <c r="B59" s="12" t="s">
        <v>36</v>
      </c>
      <c r="C59" s="14" t="s">
        <v>37</v>
      </c>
      <c r="D59" s="13" t="s">
        <v>337</v>
      </c>
      <c r="E59" s="14">
        <v>220</v>
      </c>
      <c r="F59" s="15">
        <v>25195</v>
      </c>
      <c r="G59" s="16">
        <v>21190</v>
      </c>
      <c r="H59" s="16">
        <f t="shared" si="89"/>
        <v>-4005</v>
      </c>
      <c r="I59" s="13" t="s">
        <v>338</v>
      </c>
      <c r="J59" s="54">
        <v>199</v>
      </c>
      <c r="K59" s="18"/>
      <c r="L59" s="18">
        <v>42631</v>
      </c>
      <c r="M59" s="13" t="s">
        <v>48</v>
      </c>
      <c r="N59" s="14"/>
      <c r="O59" s="19">
        <v>27.5</v>
      </c>
      <c r="P59" s="25"/>
      <c r="Q59" s="41">
        <v>17300</v>
      </c>
      <c r="R59" s="19">
        <f t="shared" si="90"/>
        <v>13585</v>
      </c>
      <c r="S59" s="22">
        <f t="shared" ref="S59:S60" si="91">-35*E59</f>
        <v>-7700</v>
      </c>
      <c r="T59" s="26">
        <f>W59*F59*0.0045</f>
        <v>3837.1114054388854</v>
      </c>
      <c r="U59" s="19">
        <f>E59*5</f>
        <v>1100</v>
      </c>
      <c r="V59" s="14"/>
      <c r="W59" s="19">
        <f>((O59*F59)+Q59+R59+S59+U59)/G59</f>
        <v>33.843676262387916</v>
      </c>
      <c r="X59" s="19">
        <f>((O59*F59)+Q59+R59+S59+T59+U59)/G59</f>
        <v>34.02475749907687</v>
      </c>
      <c r="Y59" s="23">
        <f>X59*G59</f>
        <v>720984.61140543886</v>
      </c>
      <c r="Z59" s="24">
        <v>42646</v>
      </c>
      <c r="AA59" s="33">
        <v>38</v>
      </c>
      <c r="AB59" s="33"/>
    </row>
    <row r="60" spans="1:28" s="11" customFormat="1" x14ac:dyDescent="0.25">
      <c r="A60" s="46"/>
      <c r="B60" s="12" t="s">
        <v>36</v>
      </c>
      <c r="C60" s="14" t="s">
        <v>37</v>
      </c>
      <c r="D60" s="13" t="s">
        <v>43</v>
      </c>
      <c r="E60" s="14">
        <v>221</v>
      </c>
      <c r="F60" s="15">
        <v>27190</v>
      </c>
      <c r="G60" s="16">
        <v>22050</v>
      </c>
      <c r="H60" s="16">
        <f t="shared" si="89"/>
        <v>-5140</v>
      </c>
      <c r="I60" s="13" t="s">
        <v>339</v>
      </c>
      <c r="J60" s="14"/>
      <c r="K60" s="18"/>
      <c r="L60" s="18">
        <v>42632</v>
      </c>
      <c r="M60" s="13" t="s">
        <v>49</v>
      </c>
      <c r="N60" s="14"/>
      <c r="O60" s="19">
        <v>27.5</v>
      </c>
      <c r="P60" s="25"/>
      <c r="Q60" s="41">
        <v>17300</v>
      </c>
      <c r="R60" s="19">
        <f t="shared" si="90"/>
        <v>13646.75</v>
      </c>
      <c r="S60" s="22">
        <f t="shared" si="91"/>
        <v>-7735</v>
      </c>
      <c r="T60" s="26">
        <f>W60*F60*0.0045</f>
        <v>4284.0439147959178</v>
      </c>
      <c r="U60" s="19">
        <f>E60*5</f>
        <v>1105</v>
      </c>
      <c r="V60" s="14"/>
      <c r="W60" s="19">
        <f>((O60*F60)+Q60+R60+S60+U60)/G60</f>
        <v>35.013231292517005</v>
      </c>
      <c r="X60" s="19">
        <f>((O60*F60)+Q60+R60+S60+T60+U60)/G60</f>
        <v>35.207518998403444</v>
      </c>
      <c r="Y60" s="23">
        <f>X60*G60</f>
        <v>776325.79391479597</v>
      </c>
      <c r="Z60" s="24">
        <v>42646</v>
      </c>
      <c r="AA60" s="33">
        <v>38</v>
      </c>
      <c r="AB60" s="33"/>
    </row>
    <row r="61" spans="1:28" s="11" customFormat="1" x14ac:dyDescent="0.25">
      <c r="A61" s="46"/>
      <c r="B61" s="12" t="s">
        <v>24</v>
      </c>
      <c r="C61" s="13" t="s">
        <v>29</v>
      </c>
      <c r="D61" s="13" t="s">
        <v>29</v>
      </c>
      <c r="E61" s="14" t="s">
        <v>32</v>
      </c>
      <c r="F61" s="15">
        <f>41192*0.4536</f>
        <v>18684.691200000001</v>
      </c>
      <c r="G61" s="16">
        <v>18693.310000000001</v>
      </c>
      <c r="H61" s="16">
        <f>G61-F61</f>
        <v>8.6188000000001921</v>
      </c>
      <c r="I61" s="11" t="s">
        <v>340</v>
      </c>
      <c r="J61" s="17" t="s">
        <v>27</v>
      </c>
      <c r="K61" s="18">
        <v>42632</v>
      </c>
      <c r="L61" s="18">
        <v>42633</v>
      </c>
      <c r="M61" s="13" t="s">
        <v>28</v>
      </c>
      <c r="N61" s="13" t="s">
        <v>341</v>
      </c>
      <c r="O61" s="19"/>
      <c r="P61" s="20">
        <f>0.6791+0.1</f>
        <v>0.77910000000000001</v>
      </c>
      <c r="Q61" s="41">
        <v>20000</v>
      </c>
      <c r="R61" s="19">
        <v>9160</v>
      </c>
      <c r="S61" s="22">
        <v>19.59</v>
      </c>
      <c r="T61" s="26">
        <f>W61*F61*0.005</f>
        <v>3298.5744550249397</v>
      </c>
      <c r="V61" s="19">
        <v>0.1</v>
      </c>
      <c r="W61" s="19">
        <f t="shared" ref="W61:W64" si="92">IF(O61&gt;0,O61,((P61*2.2046*S61)+(Q61+R61)/G61)+V61)</f>
        <v>35.307775972502441</v>
      </c>
      <c r="X61" s="19">
        <f t="shared" ref="X61:X64" si="93">IF(O61&gt;0,O61,((P61*2.2046*S61)+(Q61+R61+T61)/G61)+V61)</f>
        <v>35.484233456758837</v>
      </c>
      <c r="Y61" s="23">
        <f>X61*F61</f>
        <v>663011.94460824749</v>
      </c>
      <c r="Z61" s="24">
        <v>42643</v>
      </c>
      <c r="AA61" s="56">
        <v>34</v>
      </c>
      <c r="AB61" s="48"/>
    </row>
    <row r="62" spans="1:28" s="11" customFormat="1" x14ac:dyDescent="0.25">
      <c r="A62" s="46"/>
      <c r="B62" s="12" t="s">
        <v>24</v>
      </c>
      <c r="C62" s="13" t="s">
        <v>25</v>
      </c>
      <c r="D62" s="13" t="s">
        <v>25</v>
      </c>
      <c r="E62" s="14" t="s">
        <v>26</v>
      </c>
      <c r="F62" s="15">
        <f>42422*0.4536</f>
        <v>19242.619200000001</v>
      </c>
      <c r="G62" s="16">
        <v>19092.419999999998</v>
      </c>
      <c r="H62" s="16">
        <f>G62-F62</f>
        <v>-150.19920000000275</v>
      </c>
      <c r="I62" s="11" t="s">
        <v>342</v>
      </c>
      <c r="J62" s="17" t="s">
        <v>27</v>
      </c>
      <c r="K62" s="18">
        <v>42632</v>
      </c>
      <c r="L62" s="18">
        <v>42633</v>
      </c>
      <c r="M62" s="13" t="s">
        <v>28</v>
      </c>
      <c r="N62" s="13" t="s">
        <v>343</v>
      </c>
      <c r="O62" s="19"/>
      <c r="P62" s="20">
        <f>0.6791+0.105</f>
        <v>0.78410000000000002</v>
      </c>
      <c r="Q62" s="41">
        <v>20000</v>
      </c>
      <c r="R62" s="19">
        <v>9160</v>
      </c>
      <c r="S62" s="22">
        <v>19.239999999999998</v>
      </c>
      <c r="T62" s="26">
        <f>W62*F62*0.005</f>
        <v>3356.4985802152746</v>
      </c>
      <c r="V62" s="19">
        <v>0.1</v>
      </c>
      <c r="W62" s="19">
        <f t="shared" si="92"/>
        <v>34.886088482333783</v>
      </c>
      <c r="X62" s="19">
        <f t="shared" si="93"/>
        <v>35.061891161104484</v>
      </c>
      <c r="Y62" s="23">
        <f t="shared" ref="Y62:Y64" si="94">X62*F62</f>
        <v>674682.6200449795</v>
      </c>
      <c r="Z62" s="24">
        <v>42627</v>
      </c>
      <c r="AA62" s="56">
        <v>34</v>
      </c>
      <c r="AB62" s="48"/>
    </row>
    <row r="63" spans="1:28" s="11" customFormat="1" x14ac:dyDescent="0.25">
      <c r="A63" s="46"/>
      <c r="B63" s="12" t="s">
        <v>344</v>
      </c>
      <c r="C63" s="13" t="s">
        <v>25</v>
      </c>
      <c r="D63" s="13" t="s">
        <v>25</v>
      </c>
      <c r="E63" s="14" t="s">
        <v>345</v>
      </c>
      <c r="F63" s="15">
        <f>19924.2*0.4536</f>
        <v>9037.6171200000008</v>
      </c>
      <c r="G63" s="16">
        <v>8707</v>
      </c>
      <c r="H63" s="16">
        <f t="shared" ref="H63:H65" si="95">G63-F63</f>
        <v>-330.6171200000008</v>
      </c>
      <c r="I63" s="11" t="s">
        <v>346</v>
      </c>
      <c r="J63" s="17" t="s">
        <v>27</v>
      </c>
      <c r="K63" s="18">
        <v>42632</v>
      </c>
      <c r="L63" s="18">
        <v>42635</v>
      </c>
      <c r="M63" s="13" t="s">
        <v>41</v>
      </c>
      <c r="N63" s="13"/>
      <c r="O63" s="19"/>
      <c r="P63" s="20">
        <v>1.22</v>
      </c>
      <c r="Q63" s="41">
        <f>(20000*G63)/(G63+G64)</f>
        <v>9791.4688159092511</v>
      </c>
      <c r="R63" s="19">
        <f>(9160*G63)/(G63+G64)</f>
        <v>4484.4927176864376</v>
      </c>
      <c r="S63" s="22">
        <v>19.277999999999999</v>
      </c>
      <c r="T63" s="26">
        <f t="shared" ref="T63:T65" si="96">W63*F63*0.005</f>
        <v>2421.6266170609028</v>
      </c>
      <c r="V63" s="19">
        <v>0.1</v>
      </c>
      <c r="W63" s="19">
        <f t="shared" si="92"/>
        <v>53.589936039709158</v>
      </c>
      <c r="X63" s="19">
        <f t="shared" si="93"/>
        <v>53.868060148708913</v>
      </c>
      <c r="Y63" s="23">
        <f t="shared" si="94"/>
        <v>486838.90262116148</v>
      </c>
      <c r="Z63" s="24">
        <v>42628</v>
      </c>
      <c r="AA63" s="48">
        <v>56</v>
      </c>
      <c r="AB63" s="57" t="s">
        <v>347</v>
      </c>
    </row>
    <row r="64" spans="1:28" s="11" customFormat="1" x14ac:dyDescent="0.25">
      <c r="A64" s="46"/>
      <c r="B64" s="12" t="s">
        <v>61</v>
      </c>
      <c r="C64" s="13" t="s">
        <v>25</v>
      </c>
      <c r="D64" s="13" t="s">
        <v>25</v>
      </c>
      <c r="E64" s="14" t="s">
        <v>348</v>
      </c>
      <c r="F64" s="15">
        <f>20010*0.4536</f>
        <v>9076.5360000000001</v>
      </c>
      <c r="G64" s="16">
        <v>9077.8700000000008</v>
      </c>
      <c r="H64" s="16">
        <f t="shared" si="95"/>
        <v>1.3340000000007421</v>
      </c>
      <c r="I64" s="11" t="s">
        <v>346</v>
      </c>
      <c r="J64" s="14"/>
      <c r="K64" s="18">
        <v>42632</v>
      </c>
      <c r="L64" s="18">
        <v>42635</v>
      </c>
      <c r="M64" s="13" t="s">
        <v>41</v>
      </c>
      <c r="N64" s="13"/>
      <c r="O64" s="19"/>
      <c r="P64" s="20">
        <v>1.35</v>
      </c>
      <c r="Q64" s="41">
        <f>(20000*G64)/(G64+G63)</f>
        <v>10208.531184090747</v>
      </c>
      <c r="R64" s="19">
        <f>(9160*G64)/(G64+G63)</f>
        <v>4675.5072823135615</v>
      </c>
      <c r="S64" s="22">
        <v>19.277999999999999</v>
      </c>
      <c r="T64" s="26">
        <f t="shared" si="96"/>
        <v>2682.7958703604427</v>
      </c>
      <c r="V64" s="19">
        <v>0.1</v>
      </c>
      <c r="W64" s="19">
        <f t="shared" si="92"/>
        <v>59.114972283709172</v>
      </c>
      <c r="X64" s="19">
        <f t="shared" si="93"/>
        <v>59.410503710173799</v>
      </c>
      <c r="Y64" s="23">
        <f t="shared" si="94"/>
        <v>539241.57570352603</v>
      </c>
      <c r="Z64" s="24">
        <v>42628</v>
      </c>
      <c r="AA64" s="48"/>
      <c r="AB64" s="48"/>
    </row>
    <row r="65" spans="1:28" s="11" customFormat="1" x14ac:dyDescent="0.25">
      <c r="A65" s="46"/>
      <c r="B65" s="12" t="s">
        <v>36</v>
      </c>
      <c r="C65" s="14" t="s">
        <v>37</v>
      </c>
      <c r="D65" s="13" t="s">
        <v>43</v>
      </c>
      <c r="E65" s="14">
        <v>249</v>
      </c>
      <c r="F65" s="15">
        <v>28285</v>
      </c>
      <c r="G65" s="16">
        <f>16370+6400</f>
        <v>22770</v>
      </c>
      <c r="H65" s="16">
        <f t="shared" si="95"/>
        <v>-5515</v>
      </c>
      <c r="I65" s="11" t="s">
        <v>349</v>
      </c>
      <c r="J65" s="14"/>
      <c r="K65" s="18"/>
      <c r="L65" s="18">
        <v>42633</v>
      </c>
      <c r="M65" s="13" t="s">
        <v>28</v>
      </c>
      <c r="N65" s="14"/>
      <c r="O65" s="19">
        <v>27.5</v>
      </c>
      <c r="P65" s="25"/>
      <c r="Q65" s="41">
        <v>17300</v>
      </c>
      <c r="R65" s="19">
        <f t="shared" ref="R65" si="97">61.75*E65</f>
        <v>15375.75</v>
      </c>
      <c r="S65" s="22">
        <f t="shared" ref="S65" si="98">-35*E65</f>
        <v>-8715</v>
      </c>
      <c r="T65" s="26">
        <f t="shared" si="96"/>
        <v>4987.7203175779541</v>
      </c>
      <c r="U65" s="19">
        <f>E65*5</f>
        <v>1245</v>
      </c>
      <c r="V65" s="14"/>
      <c r="W65" s="19">
        <f>((O65*F65)+Q65+R65+S65+U65)/G65</f>
        <v>35.267599912165132</v>
      </c>
      <c r="X65" s="19">
        <f>((O65*F65)+Q65+R65+S65+T65+U65)/G65</f>
        <v>35.486647796116728</v>
      </c>
      <c r="Y65" s="23">
        <f>X65*G65</f>
        <v>808030.97031757794</v>
      </c>
      <c r="Z65" s="24">
        <v>42646</v>
      </c>
      <c r="AA65" s="48"/>
      <c r="AB65" s="48" t="s">
        <v>350</v>
      </c>
    </row>
    <row r="66" spans="1:28" s="11" customFormat="1" x14ac:dyDescent="0.25">
      <c r="A66" s="46"/>
      <c r="B66" s="12" t="s">
        <v>24</v>
      </c>
      <c r="C66" s="13" t="s">
        <v>25</v>
      </c>
      <c r="D66" s="13" t="s">
        <v>25</v>
      </c>
      <c r="E66" s="14" t="s">
        <v>26</v>
      </c>
      <c r="F66" s="15">
        <f>43081*0.4536</f>
        <v>19541.5416</v>
      </c>
      <c r="G66" s="16">
        <v>19418.36</v>
      </c>
      <c r="H66" s="16">
        <f>G66-F66</f>
        <v>-123.18159999999989</v>
      </c>
      <c r="I66" s="11" t="s">
        <v>351</v>
      </c>
      <c r="J66" s="17" t="s">
        <v>33</v>
      </c>
      <c r="K66" s="18">
        <v>42633</v>
      </c>
      <c r="L66" s="18">
        <v>42634</v>
      </c>
      <c r="M66" s="13" t="s">
        <v>39</v>
      </c>
      <c r="N66" s="13" t="s">
        <v>343</v>
      </c>
      <c r="O66" s="19"/>
      <c r="P66" s="20">
        <f>0.6791+0.105</f>
        <v>0.78410000000000002</v>
      </c>
      <c r="Q66" s="41">
        <v>20000</v>
      </c>
      <c r="R66" s="19">
        <v>9160</v>
      </c>
      <c r="S66" s="22">
        <v>19.239999999999998</v>
      </c>
      <c r="T66" s="26">
        <f>W66*F66*0.005</f>
        <v>3406.1349038739404</v>
      </c>
      <c r="V66" s="19">
        <v>0.1</v>
      </c>
      <c r="W66" s="19">
        <f t="shared" ref="W66" si="99">IF(O66&gt;0,O66,((P66*2.2046*S66)+(Q66+R66)/G66)+V66)</f>
        <v>34.86045240027471</v>
      </c>
      <c r="X66" s="19">
        <f t="shared" ref="X66" si="100">IF(O66&gt;0,O66,((P66*2.2046*S66)+(Q66+R66+T66)/G66)+V66)</f>
        <v>35.03586035974574</v>
      </c>
      <c r="Y66" s="23">
        <f t="shared" ref="Y66" si="101">X66*F66</f>
        <v>684654.72271176241</v>
      </c>
      <c r="Z66" s="24">
        <v>42628</v>
      </c>
      <c r="AA66" s="48"/>
      <c r="AB66" s="48"/>
    </row>
    <row r="67" spans="1:28" s="11" customFormat="1" x14ac:dyDescent="0.25">
      <c r="A67" s="46"/>
      <c r="B67" s="12" t="s">
        <v>36</v>
      </c>
      <c r="C67" s="14" t="s">
        <v>37</v>
      </c>
      <c r="D67" s="13" t="s">
        <v>185</v>
      </c>
      <c r="E67" s="14">
        <v>250</v>
      </c>
      <c r="F67" s="15">
        <v>28280</v>
      </c>
      <c r="G67" s="16">
        <f>16200+6380</f>
        <v>22580</v>
      </c>
      <c r="H67" s="16">
        <f t="shared" ref="H67" si="102">G67-F67</f>
        <v>-5700</v>
      </c>
      <c r="I67" s="11" t="s">
        <v>352</v>
      </c>
      <c r="J67" s="14"/>
      <c r="K67" s="18"/>
      <c r="L67" s="18">
        <v>42634</v>
      </c>
      <c r="M67" s="13" t="s">
        <v>39</v>
      </c>
      <c r="N67" s="14"/>
      <c r="O67" s="19">
        <v>27.5</v>
      </c>
      <c r="P67" s="25"/>
      <c r="Q67" s="41">
        <v>17300</v>
      </c>
      <c r="R67" s="19">
        <f t="shared" ref="R67" si="103">61.75*E67</f>
        <v>15437.5</v>
      </c>
      <c r="S67" s="22">
        <f t="shared" ref="S67" si="104">-35*E67</f>
        <v>-8750</v>
      </c>
      <c r="T67" s="26">
        <f>W67*F67*0.0045</f>
        <v>4525.3244574844994</v>
      </c>
      <c r="U67" s="19">
        <f>E67*5</f>
        <v>1250</v>
      </c>
      <c r="V67" s="14"/>
      <c r="W67" s="19">
        <f>((O67*F67)+Q67+R67+S67+U67)/G67</f>
        <v>35.559676705048716</v>
      </c>
      <c r="X67" s="19">
        <f>((O67*F67)+Q67+R67+S67+T67+U67)/G67</f>
        <v>35.760089657107372</v>
      </c>
      <c r="Y67" s="23">
        <f>X67*G67</f>
        <v>807462.82445748441</v>
      </c>
      <c r="Z67" s="24">
        <v>42647</v>
      </c>
      <c r="AA67" s="48">
        <v>38</v>
      </c>
      <c r="AB67" s="48" t="s">
        <v>353</v>
      </c>
    </row>
    <row r="68" spans="1:28" s="11" customFormat="1" x14ac:dyDescent="0.25">
      <c r="A68" s="46"/>
      <c r="B68" s="12" t="s">
        <v>24</v>
      </c>
      <c r="C68" s="13" t="s">
        <v>25</v>
      </c>
      <c r="D68" s="13" t="s">
        <v>25</v>
      </c>
      <c r="E68" s="14" t="s">
        <v>26</v>
      </c>
      <c r="F68" s="15">
        <f>42262*0.4536</f>
        <v>19170.0432</v>
      </c>
      <c r="G68" s="16">
        <v>19051.599999999999</v>
      </c>
      <c r="H68" s="16">
        <f>G68-F68</f>
        <v>-118.44320000000153</v>
      </c>
      <c r="I68" s="11" t="s">
        <v>354</v>
      </c>
      <c r="J68" s="17" t="s">
        <v>27</v>
      </c>
      <c r="K68" s="18">
        <v>42634</v>
      </c>
      <c r="L68" s="18">
        <v>42635</v>
      </c>
      <c r="M68" s="13" t="s">
        <v>41</v>
      </c>
      <c r="N68" s="13" t="s">
        <v>355</v>
      </c>
      <c r="O68" s="19"/>
      <c r="P68" s="20">
        <f>0.6704+0.105</f>
        <v>0.77539999999999998</v>
      </c>
      <c r="Q68" s="41">
        <v>20000</v>
      </c>
      <c r="R68" s="19">
        <v>9160</v>
      </c>
      <c r="S68" s="22">
        <v>19.254999999999999</v>
      </c>
      <c r="T68" s="26">
        <f>W68*F68*0.005</f>
        <v>3311.2395503234211</v>
      </c>
      <c r="V68" s="19">
        <v>0.1</v>
      </c>
      <c r="W68" s="19">
        <f t="shared" ref="W68" si="105">IF(O68&gt;0,O68,((P68*2.2046*S68)+(Q68+R68)/G68)+V68)</f>
        <v>34.545979012957268</v>
      </c>
      <c r="X68" s="19">
        <f t="shared" ref="X68" si="106">IF(O68&gt;0,O68,((P68*2.2046*S68)+(Q68+R68+T68)/G68)+V68)</f>
        <v>34.719782764365206</v>
      </c>
      <c r="Y68" s="23">
        <f t="shared" ref="Y68" si="107">X68*F68</f>
        <v>665579.73548749648</v>
      </c>
      <c r="Z68" s="24">
        <v>42628</v>
      </c>
      <c r="AA68" s="48"/>
      <c r="AB68" s="48"/>
    </row>
    <row r="69" spans="1:28" s="11" customFormat="1" x14ac:dyDescent="0.25">
      <c r="A69" s="46"/>
      <c r="B69" s="12" t="s">
        <v>24</v>
      </c>
      <c r="C69" s="13" t="s">
        <v>25</v>
      </c>
      <c r="D69" s="13" t="s">
        <v>25</v>
      </c>
      <c r="E69" s="14" t="s">
        <v>26</v>
      </c>
      <c r="F69" s="15">
        <f>42292*0.4536</f>
        <v>19183.6512</v>
      </c>
      <c r="G69" s="16">
        <v>19079.27</v>
      </c>
      <c r="H69" s="16">
        <f>G69-F69</f>
        <v>-104.38119999999981</v>
      </c>
      <c r="I69" s="11" t="s">
        <v>356</v>
      </c>
      <c r="J69" s="17" t="s">
        <v>27</v>
      </c>
      <c r="K69" s="18">
        <v>42634</v>
      </c>
      <c r="L69" s="18">
        <v>42635</v>
      </c>
      <c r="M69" s="13" t="s">
        <v>41</v>
      </c>
      <c r="N69" s="13" t="s">
        <v>355</v>
      </c>
      <c r="O69" s="19"/>
      <c r="P69" s="20">
        <f>0.6704+0.105</f>
        <v>0.77539999999999998</v>
      </c>
      <c r="Q69" s="41">
        <v>20000</v>
      </c>
      <c r="R69" s="19">
        <v>9160</v>
      </c>
      <c r="S69" s="22">
        <v>19.254999999999999</v>
      </c>
      <c r="T69" s="26">
        <f t="shared" ref="T69" si="108">W69*F69*0.005</f>
        <v>3313.3771444781587</v>
      </c>
      <c r="V69" s="19">
        <v>0.1</v>
      </c>
      <c r="W69" s="19">
        <f>IF(O69&gt;0,O69,((P69*2.2046*S69)+(Q69+R69)/G69)+V69)</f>
        <v>34.54375926599581</v>
      </c>
      <c r="X69" s="19">
        <f>IF(O69&gt;0,O69,((P69*2.2046*S69)+(Q69+R69+T69)/G69)+V69)</f>
        <v>34.717422993406672</v>
      </c>
      <c r="Y69" s="23">
        <f>X69*F69</f>
        <v>666006.93326837348</v>
      </c>
      <c r="Z69" s="24">
        <v>42628</v>
      </c>
      <c r="AA69" s="56">
        <v>33</v>
      </c>
      <c r="AB69" s="48"/>
    </row>
    <row r="70" spans="1:28" s="11" customFormat="1" x14ac:dyDescent="0.25">
      <c r="A70" s="46"/>
      <c r="B70" s="12" t="s">
        <v>36</v>
      </c>
      <c r="C70" s="14" t="s">
        <v>37</v>
      </c>
      <c r="D70" s="13" t="s">
        <v>337</v>
      </c>
      <c r="E70" s="14">
        <v>250</v>
      </c>
      <c r="F70" s="15">
        <v>27260</v>
      </c>
      <c r="G70" s="16">
        <f>21440</f>
        <v>21440</v>
      </c>
      <c r="H70" s="16">
        <f t="shared" ref="H70:H72" si="109">G70-F70</f>
        <v>-5820</v>
      </c>
      <c r="I70" s="11" t="s">
        <v>357</v>
      </c>
      <c r="J70" s="14"/>
      <c r="K70" s="18"/>
      <c r="L70" s="18">
        <v>42635</v>
      </c>
      <c r="M70" s="13" t="s">
        <v>41</v>
      </c>
      <c r="N70" s="14"/>
      <c r="O70" s="19">
        <v>27.5</v>
      </c>
      <c r="P70" s="25"/>
      <c r="Q70" s="41">
        <v>17300</v>
      </c>
      <c r="R70" s="19">
        <f t="shared" ref="R70:R71" si="110">61.75*E70</f>
        <v>15437.5</v>
      </c>
      <c r="S70" s="22">
        <f t="shared" ref="S70:S71" si="111">-35*E70</f>
        <v>-8750</v>
      </c>
      <c r="T70" s="26">
        <f t="shared" ref="T70:T71" si="112">W70*F70*0.0045</f>
        <v>4433.5564190764917</v>
      </c>
      <c r="U70" s="19">
        <f t="shared" ref="U70:U71" si="113">E70*5</f>
        <v>1250</v>
      </c>
      <c r="V70" s="14"/>
      <c r="W70" s="19">
        <f t="shared" ref="W70:W71" si="114">((O70*F70)+Q70+R70+S70+U70)/G70</f>
        <v>36.142140858208954</v>
      </c>
      <c r="X70" s="19">
        <f t="shared" ref="X70:X71" si="115">((O70*F70)+Q70+R70+S70+T70+U70)/G70</f>
        <v>36.34892987029275</v>
      </c>
      <c r="Y70" s="23">
        <f t="shared" ref="Y70:Y71" si="116">X70*G70</f>
        <v>779321.05641907651</v>
      </c>
      <c r="Z70" s="24">
        <v>42648</v>
      </c>
      <c r="AA70" s="48">
        <v>38</v>
      </c>
      <c r="AB70" s="48"/>
    </row>
    <row r="71" spans="1:28" s="11" customFormat="1" x14ac:dyDescent="0.25">
      <c r="A71" s="46"/>
      <c r="B71" s="12" t="s">
        <v>36</v>
      </c>
      <c r="C71" s="14" t="s">
        <v>37</v>
      </c>
      <c r="D71" s="13" t="s">
        <v>52</v>
      </c>
      <c r="E71" s="14">
        <v>130</v>
      </c>
      <c r="F71" s="15">
        <v>13930</v>
      </c>
      <c r="G71" s="16">
        <f>11440-350</f>
        <v>11090</v>
      </c>
      <c r="H71" s="16">
        <f t="shared" si="109"/>
        <v>-2840</v>
      </c>
      <c r="I71" s="13" t="s">
        <v>358</v>
      </c>
      <c r="J71" s="14"/>
      <c r="K71" s="18"/>
      <c r="L71" s="18">
        <v>42635</v>
      </c>
      <c r="M71" s="13" t="s">
        <v>41</v>
      </c>
      <c r="N71" s="14"/>
      <c r="O71" s="19">
        <v>27.5</v>
      </c>
      <c r="P71" s="25"/>
      <c r="Q71" s="41">
        <v>13600</v>
      </c>
      <c r="R71" s="19">
        <f t="shared" si="110"/>
        <v>8027.5</v>
      </c>
      <c r="S71" s="22">
        <f t="shared" si="111"/>
        <v>-4550</v>
      </c>
      <c r="T71" s="26">
        <f t="shared" si="112"/>
        <v>2265.4918586564472</v>
      </c>
      <c r="U71" s="19">
        <f t="shared" si="113"/>
        <v>650</v>
      </c>
      <c r="V71" s="14"/>
      <c r="W71" s="19">
        <f t="shared" si="114"/>
        <v>36.140892696122634</v>
      </c>
      <c r="X71" s="19">
        <f t="shared" si="115"/>
        <v>36.345175099969019</v>
      </c>
      <c r="Y71" s="23">
        <f t="shared" si="116"/>
        <v>403067.9918586564</v>
      </c>
      <c r="Z71" s="24">
        <v>42648</v>
      </c>
      <c r="AA71" s="48"/>
      <c r="AB71" s="48" t="s">
        <v>359</v>
      </c>
    </row>
    <row r="72" spans="1:28" s="11" customFormat="1" x14ac:dyDescent="0.25">
      <c r="A72" s="46"/>
      <c r="B72" s="12" t="s">
        <v>106</v>
      </c>
      <c r="C72" s="14" t="s">
        <v>25</v>
      </c>
      <c r="D72" s="13" t="s">
        <v>55</v>
      </c>
      <c r="E72" s="14" t="s">
        <v>57</v>
      </c>
      <c r="F72" s="15">
        <v>3698.5</v>
      </c>
      <c r="G72" s="16">
        <v>3698.5</v>
      </c>
      <c r="H72" s="16">
        <f t="shared" si="109"/>
        <v>0</v>
      </c>
      <c r="I72" s="13" t="s">
        <v>360</v>
      </c>
      <c r="J72" s="14"/>
      <c r="K72" s="18"/>
      <c r="L72" s="18">
        <v>42635</v>
      </c>
      <c r="M72" s="13" t="s">
        <v>41</v>
      </c>
      <c r="N72" s="14"/>
      <c r="O72" s="19">
        <v>18.5</v>
      </c>
      <c r="P72" s="25"/>
      <c r="Q72" s="19"/>
      <c r="R72" s="19"/>
      <c r="S72" s="22"/>
      <c r="T72" s="26"/>
      <c r="U72" s="19"/>
      <c r="V72" s="19"/>
      <c r="W72" s="19">
        <f t="shared" ref="W72:W73" si="117">IF(O72&gt;0,O72,((P72*2.2046*S72)+(Q72+R72)/G72)+V72)</f>
        <v>18.5</v>
      </c>
      <c r="X72" s="19">
        <f t="shared" ref="X72:X73" si="118">IF(O72&gt;0,O72,((P72*2.2046*S72)+(Q72+R72+T72)/G72)+V72)</f>
        <v>18.5</v>
      </c>
      <c r="Y72" s="23">
        <f t="shared" ref="Y72:Y73" si="119">X72*F72</f>
        <v>68422.25</v>
      </c>
      <c r="Z72" s="24">
        <v>42642</v>
      </c>
      <c r="AA72" s="48"/>
      <c r="AB72" s="48"/>
    </row>
    <row r="73" spans="1:28" s="11" customFormat="1" x14ac:dyDescent="0.25">
      <c r="A73" s="46"/>
      <c r="B73" s="12" t="s">
        <v>24</v>
      </c>
      <c r="C73" s="13" t="s">
        <v>25</v>
      </c>
      <c r="D73" s="13" t="s">
        <v>25</v>
      </c>
      <c r="E73" s="14" t="s">
        <v>26</v>
      </c>
      <c r="F73" s="15">
        <f>42420*0.4536</f>
        <v>19241.712</v>
      </c>
      <c r="G73" s="16">
        <v>19146.09</v>
      </c>
      <c r="H73" s="16">
        <f>G73-F73</f>
        <v>-95.621999999999389</v>
      </c>
      <c r="I73" s="11" t="s">
        <v>361</v>
      </c>
      <c r="J73" s="17" t="s">
        <v>27</v>
      </c>
      <c r="K73" s="18">
        <v>42635</v>
      </c>
      <c r="L73" s="18">
        <v>42636</v>
      </c>
      <c r="M73" s="13" t="s">
        <v>44</v>
      </c>
      <c r="N73" s="13" t="s">
        <v>362</v>
      </c>
      <c r="O73" s="19"/>
      <c r="P73" s="20">
        <f>0.6697+0.105</f>
        <v>0.77469999999999994</v>
      </c>
      <c r="Q73" s="41">
        <v>20000</v>
      </c>
      <c r="R73" s="19">
        <v>9160</v>
      </c>
      <c r="S73" s="22">
        <v>19.254999999999999</v>
      </c>
      <c r="T73" s="26">
        <f>W73*F73*0.005</f>
        <v>3320.0333519339479</v>
      </c>
      <c r="V73" s="19">
        <v>0.1</v>
      </c>
      <c r="W73" s="19">
        <f t="shared" si="117"/>
        <v>34.508710575586498</v>
      </c>
      <c r="X73" s="19">
        <f t="shared" si="118"/>
        <v>34.682115868883145</v>
      </c>
      <c r="Y73" s="23">
        <f t="shared" si="119"/>
        <v>667343.28509967925</v>
      </c>
      <c r="Z73" s="24">
        <v>42628</v>
      </c>
      <c r="AA73" s="56">
        <v>33</v>
      </c>
      <c r="AB73" s="48"/>
    </row>
    <row r="74" spans="1:28" s="11" customFormat="1" x14ac:dyDescent="0.25">
      <c r="A74" s="46"/>
      <c r="B74" s="12" t="s">
        <v>36</v>
      </c>
      <c r="C74" s="14" t="s">
        <v>37</v>
      </c>
      <c r="D74" s="13" t="s">
        <v>337</v>
      </c>
      <c r="E74" s="14">
        <v>250</v>
      </c>
      <c r="F74" s="15">
        <v>28150</v>
      </c>
      <c r="G74" s="16">
        <v>22620</v>
      </c>
      <c r="H74" s="16">
        <f t="shared" ref="H74:H76" si="120">G74-F74</f>
        <v>-5530</v>
      </c>
      <c r="I74" s="11" t="s">
        <v>363</v>
      </c>
      <c r="J74" s="14"/>
      <c r="K74" s="18"/>
      <c r="L74" s="18">
        <v>42636</v>
      </c>
      <c r="M74" s="13" t="s">
        <v>44</v>
      </c>
      <c r="N74" s="14"/>
      <c r="O74" s="19">
        <v>27.5</v>
      </c>
      <c r="P74" s="25"/>
      <c r="Q74" s="19">
        <v>17300</v>
      </c>
      <c r="R74" s="19">
        <f t="shared" ref="R74:R75" si="121">61.75*E74</f>
        <v>15437.5</v>
      </c>
      <c r="S74" s="22">
        <f>-35*E74</f>
        <v>-8750</v>
      </c>
      <c r="T74" s="26">
        <f>W74*F74*0.0045</f>
        <v>4476.5360162466841</v>
      </c>
      <c r="U74" s="19">
        <f>E74*5</f>
        <v>1250</v>
      </c>
      <c r="V74" s="14"/>
      <c r="W74" s="19">
        <f>((O74*F74)+Q74+R74+S74+U74)/G74</f>
        <v>35.338748894783379</v>
      </c>
      <c r="X74" s="19">
        <f>((O74*F74)+Q74+R74+S74+T74+U74)/G74</f>
        <v>35.536650575430883</v>
      </c>
      <c r="Y74" s="23">
        <f t="shared" ref="Y74:Y75" si="122">X74*G74</f>
        <v>803839.03601624654</v>
      </c>
      <c r="Z74" s="24">
        <v>42649</v>
      </c>
      <c r="AA74" s="33">
        <v>38</v>
      </c>
      <c r="AB74" s="33"/>
    </row>
    <row r="75" spans="1:28" s="11" customFormat="1" x14ac:dyDescent="0.25">
      <c r="A75" s="46"/>
      <c r="B75" s="12" t="s">
        <v>36</v>
      </c>
      <c r="C75" s="14" t="s">
        <v>37</v>
      </c>
      <c r="D75" s="13" t="s">
        <v>185</v>
      </c>
      <c r="E75" s="14">
        <v>130</v>
      </c>
      <c r="F75" s="15">
        <v>13215</v>
      </c>
      <c r="G75" s="16">
        <v>10480</v>
      </c>
      <c r="H75" s="16">
        <f t="shared" si="120"/>
        <v>-2735</v>
      </c>
      <c r="I75" s="13" t="s">
        <v>364</v>
      </c>
      <c r="J75" s="14"/>
      <c r="K75" s="18"/>
      <c r="L75" s="18">
        <v>42636</v>
      </c>
      <c r="M75" s="13" t="s">
        <v>44</v>
      </c>
      <c r="N75" s="14"/>
      <c r="O75" s="19">
        <v>27.5</v>
      </c>
      <c r="P75" s="25"/>
      <c r="Q75" s="19">
        <v>13600</v>
      </c>
      <c r="R75" s="19">
        <f t="shared" si="121"/>
        <v>8027.5</v>
      </c>
      <c r="S75" s="22">
        <f>-35*E75</f>
        <v>-4550</v>
      </c>
      <c r="T75" s="26">
        <f>W75*F75*0.0045</f>
        <v>2162.7331059160306</v>
      </c>
      <c r="U75" s="19">
        <f>E75*5</f>
        <v>650</v>
      </c>
      <c r="V75" s="14"/>
      <c r="W75" s="19">
        <f>((O75*F75)+Q75+R75+S75+U75)/G75</f>
        <v>36.368320610687022</v>
      </c>
      <c r="X75" s="19">
        <f>((O75*F75)+Q75+R75+S75+T75+U75)/G75</f>
        <v>36.57468827346527</v>
      </c>
      <c r="Y75" s="23">
        <f t="shared" si="122"/>
        <v>383302.73310591601</v>
      </c>
      <c r="Z75" s="24">
        <v>42649</v>
      </c>
      <c r="AA75" s="33"/>
      <c r="AB75" s="33" t="s">
        <v>365</v>
      </c>
    </row>
    <row r="76" spans="1:28" s="11" customFormat="1" x14ac:dyDescent="0.25">
      <c r="A76" s="46"/>
      <c r="B76" s="12" t="s">
        <v>24</v>
      </c>
      <c r="C76" s="13" t="s">
        <v>34</v>
      </c>
      <c r="D76" s="13" t="s">
        <v>34</v>
      </c>
      <c r="E76" s="14" t="s">
        <v>35</v>
      </c>
      <c r="F76" s="15">
        <f>40650*0.4536</f>
        <v>18438.84</v>
      </c>
      <c r="G76" s="16">
        <v>18396.439999999999</v>
      </c>
      <c r="H76" s="16">
        <f t="shared" si="120"/>
        <v>-42.400000000001455</v>
      </c>
      <c r="I76" s="30" t="s">
        <v>366</v>
      </c>
      <c r="J76" s="17" t="s">
        <v>27</v>
      </c>
      <c r="K76" s="18">
        <v>42636</v>
      </c>
      <c r="L76" s="18">
        <v>42637</v>
      </c>
      <c r="M76" s="13" t="s">
        <v>47</v>
      </c>
      <c r="N76" s="13" t="s">
        <v>367</v>
      </c>
      <c r="O76" s="19"/>
      <c r="P76" s="20">
        <f>0.6697+0.0975</f>
        <v>0.76719999999999999</v>
      </c>
      <c r="Q76" s="41">
        <v>20000</v>
      </c>
      <c r="R76" s="19">
        <v>16960</v>
      </c>
      <c r="S76" s="22">
        <v>19.277999999999999</v>
      </c>
      <c r="T76" s="26">
        <f t="shared" ref="T76" si="123">W76*F76*0.005</f>
        <v>3200.5491509972599</v>
      </c>
      <c r="V76" s="19">
        <v>0.1</v>
      </c>
      <c r="W76" s="19">
        <f>IF(O76&gt;0,O76,((P76*2.2046*S76)+(Q76+R76)/G76)+V76)</f>
        <v>34.715298261683053</v>
      </c>
      <c r="X76" s="19">
        <f>IF(O76&gt;0,O76,((P76*2.2046*S76)+(Q76+R76+T76)/G76)+V76)</f>
        <v>34.889274811004398</v>
      </c>
      <c r="Y76" s="23">
        <f t="shared" ref="Y76" si="124">X76*F76</f>
        <v>643317.75595614035</v>
      </c>
      <c r="Z76" s="24">
        <v>42628</v>
      </c>
      <c r="AA76" s="56">
        <v>33</v>
      </c>
      <c r="AB76" s="33"/>
    </row>
    <row r="77" spans="1:28" s="11" customFormat="1" x14ac:dyDescent="0.25">
      <c r="A77" s="46"/>
      <c r="B77" s="12" t="s">
        <v>24</v>
      </c>
      <c r="C77" s="13" t="s">
        <v>29</v>
      </c>
      <c r="D77" s="13" t="s">
        <v>29</v>
      </c>
      <c r="E77" s="14" t="s">
        <v>32</v>
      </c>
      <c r="F77" s="15">
        <f>39876*0.4536</f>
        <v>18087.7536</v>
      </c>
      <c r="G77" s="16">
        <v>18066.919999999998</v>
      </c>
      <c r="H77" s="16">
        <f>G77-F77</f>
        <v>-20.833600000001752</v>
      </c>
      <c r="I77" s="11" t="s">
        <v>368</v>
      </c>
      <c r="J77" s="17" t="s">
        <v>27</v>
      </c>
      <c r="K77" s="18">
        <v>42636</v>
      </c>
      <c r="L77" s="18">
        <v>42637</v>
      </c>
      <c r="M77" s="13" t="s">
        <v>47</v>
      </c>
      <c r="N77" s="13" t="s">
        <v>369</v>
      </c>
      <c r="O77" s="19"/>
      <c r="P77" s="20">
        <f>0.6697+0.1</f>
        <v>0.76969999999999994</v>
      </c>
      <c r="Q77" s="41">
        <v>20000</v>
      </c>
      <c r="R77" s="19">
        <v>9160</v>
      </c>
      <c r="S77" s="22">
        <v>19.59</v>
      </c>
      <c r="T77" s="26">
        <f>W77*F77*0.005</f>
        <v>3161.3677032048145</v>
      </c>
      <c r="V77" s="19">
        <v>0.1</v>
      </c>
      <c r="W77" s="19">
        <f>IF(O77&gt;0,O77,((P77*2.2046*S77)+(Q77+R77)/G77)+V77)</f>
        <v>34.955890854293976</v>
      </c>
      <c r="X77" s="19">
        <f>IF(O77&gt;0,O77,((P77*2.2046*S77)+(Q77+R77+T77)/G77)+V77)</f>
        <v>35.130871852892788</v>
      </c>
      <c r="Y77" s="23">
        <f>X77*F77</f>
        <v>635438.55382830021</v>
      </c>
      <c r="Z77" s="24">
        <v>42648</v>
      </c>
      <c r="AA77" s="56">
        <v>33</v>
      </c>
      <c r="AB77" s="48"/>
    </row>
    <row r="78" spans="1:28" s="11" customFormat="1" x14ac:dyDescent="0.25">
      <c r="A78" s="46"/>
      <c r="B78" s="12" t="s">
        <v>24</v>
      </c>
      <c r="C78" s="13" t="s">
        <v>25</v>
      </c>
      <c r="D78" s="13" t="s">
        <v>25</v>
      </c>
      <c r="E78" s="14" t="s">
        <v>26</v>
      </c>
      <c r="F78" s="15">
        <f>42194*0.4536</f>
        <v>19139.198400000001</v>
      </c>
      <c r="G78" s="16">
        <v>19046.55</v>
      </c>
      <c r="H78" s="16">
        <f t="shared" ref="H78" si="125">G78-F78</f>
        <v>-92.648400000001857</v>
      </c>
      <c r="I78" s="11" t="s">
        <v>370</v>
      </c>
      <c r="J78" s="17" t="s">
        <v>38</v>
      </c>
      <c r="K78" s="18">
        <v>42636</v>
      </c>
      <c r="L78" s="18">
        <v>42637</v>
      </c>
      <c r="M78" s="13" t="s">
        <v>47</v>
      </c>
      <c r="N78" s="13" t="s">
        <v>371</v>
      </c>
      <c r="O78" s="19"/>
      <c r="P78" s="20">
        <f>0.6545+0.105</f>
        <v>0.75949999999999995</v>
      </c>
      <c r="Q78" s="41">
        <v>20000</v>
      </c>
      <c r="R78" s="19">
        <v>9160</v>
      </c>
      <c r="S78" s="22">
        <v>19.704000000000001</v>
      </c>
      <c r="T78" s="26">
        <f t="shared" ref="T78" si="126">W78*F78*0.005</f>
        <v>3313.3052398120772</v>
      </c>
      <c r="V78" s="19">
        <v>0.1</v>
      </c>
      <c r="W78" s="19">
        <f>IF(O78&gt;0,O78,((P78*2.2046*S78)+(Q78+R78)/G78)+V78)</f>
        <v>34.623239391385134</v>
      </c>
      <c r="X78" s="19">
        <f>IF(O78&gt;0,O78,((P78*2.2046*S78)+(Q78+R78+T78)/G78)+V78)</f>
        <v>34.797197679884206</v>
      </c>
      <c r="Y78" s="23">
        <f t="shared" ref="Y78" si="127">X78*F78</f>
        <v>665990.47015932354</v>
      </c>
      <c r="Z78" s="24">
        <v>42632</v>
      </c>
      <c r="AA78" s="56">
        <v>33</v>
      </c>
      <c r="AB78" s="33"/>
    </row>
    <row r="79" spans="1:28" s="11" customFormat="1" ht="15.75" thickBot="1" x14ac:dyDescent="0.3">
      <c r="A79" s="46"/>
      <c r="B79" s="27"/>
      <c r="C79" s="3"/>
      <c r="D79" s="3"/>
      <c r="E79" s="3"/>
      <c r="F79" s="28"/>
      <c r="G79" s="28"/>
      <c r="H79" s="28"/>
      <c r="I79" s="5"/>
      <c r="J79" s="3"/>
      <c r="K79" s="6"/>
      <c r="L79" s="6"/>
      <c r="M79" s="3"/>
      <c r="N79" s="3"/>
      <c r="O79" s="7"/>
      <c r="P79" s="8"/>
      <c r="Q79" s="7"/>
      <c r="R79" s="7"/>
      <c r="S79" s="7"/>
      <c r="T79" s="7"/>
      <c r="U79" s="7"/>
      <c r="V79" s="7"/>
      <c r="W79" s="7"/>
      <c r="X79" s="7"/>
      <c r="Y79" s="10"/>
      <c r="Z79" s="29"/>
      <c r="AA79" s="33"/>
      <c r="AB79" s="33"/>
    </row>
    <row r="80" spans="1:28" s="11" customFormat="1" x14ac:dyDescent="0.25">
      <c r="A80" s="58"/>
      <c r="B80" s="14" t="s">
        <v>36</v>
      </c>
      <c r="C80" s="14" t="s">
        <v>37</v>
      </c>
      <c r="D80" s="13" t="s">
        <v>50</v>
      </c>
      <c r="E80" s="14">
        <v>199</v>
      </c>
      <c r="F80" s="15">
        <v>23370</v>
      </c>
      <c r="G80" s="16">
        <f>4760+14210</f>
        <v>18970</v>
      </c>
      <c r="H80" s="16">
        <f t="shared" ref="H80:H81" si="128">G80-F80</f>
        <v>-4400</v>
      </c>
      <c r="I80" s="13" t="s">
        <v>372</v>
      </c>
      <c r="J80" s="14"/>
      <c r="K80" s="18"/>
      <c r="L80" s="18">
        <v>42638</v>
      </c>
      <c r="M80" s="13" t="s">
        <v>48</v>
      </c>
      <c r="N80" s="14"/>
      <c r="O80" s="19">
        <v>27.5</v>
      </c>
      <c r="P80" s="25"/>
      <c r="Q80" s="19">
        <v>17300</v>
      </c>
      <c r="R80" s="19">
        <f t="shared" ref="R80:R81" si="129">61.75*E80</f>
        <v>12288.25</v>
      </c>
      <c r="S80" s="22">
        <f>-35*E80</f>
        <v>-6965</v>
      </c>
      <c r="T80" s="26">
        <f>W80*F80*0.0045</f>
        <v>3693.7653999077484</v>
      </c>
      <c r="U80" s="19">
        <f>E80*5</f>
        <v>995</v>
      </c>
      <c r="V80" s="14"/>
      <c r="W80" s="19">
        <f>((O80*F80)+Q80+R80+S80+U80)/G80</f>
        <v>35.123523985239849</v>
      </c>
      <c r="X80" s="19">
        <f>((O80*F80)+Q80+R80+S80+T80+U80)/G80</f>
        <v>35.31824013705365</v>
      </c>
      <c r="Y80" s="23">
        <f>X80*G80</f>
        <v>669987.01539990772</v>
      </c>
      <c r="Z80" s="24">
        <v>42653</v>
      </c>
      <c r="AA80" s="33">
        <v>38</v>
      </c>
      <c r="AB80" s="33" t="s">
        <v>373</v>
      </c>
    </row>
    <row r="81" spans="1:28" s="11" customFormat="1" x14ac:dyDescent="0.25">
      <c r="A81" s="58"/>
      <c r="B81" s="12" t="s">
        <v>36</v>
      </c>
      <c r="C81" s="14" t="s">
        <v>37</v>
      </c>
      <c r="D81" s="13" t="s">
        <v>337</v>
      </c>
      <c r="E81" s="14">
        <v>200</v>
      </c>
      <c r="F81" s="15">
        <f>22525</f>
        <v>22525</v>
      </c>
      <c r="G81" s="16">
        <f>13670+4570</f>
        <v>18240</v>
      </c>
      <c r="H81" s="16">
        <f t="shared" si="128"/>
        <v>-4285</v>
      </c>
      <c r="I81" s="13" t="s">
        <v>374</v>
      </c>
      <c r="J81" s="14"/>
      <c r="K81" s="18"/>
      <c r="L81" s="18">
        <v>42639</v>
      </c>
      <c r="M81" s="13" t="s">
        <v>49</v>
      </c>
      <c r="N81" s="14"/>
      <c r="O81" s="19">
        <v>27.5</v>
      </c>
      <c r="P81" s="25"/>
      <c r="Q81" s="41">
        <v>17300</v>
      </c>
      <c r="R81" s="19">
        <f t="shared" si="129"/>
        <v>12350</v>
      </c>
      <c r="S81" s="22">
        <f t="shared" ref="S81" si="130">-35*E81</f>
        <v>-7000</v>
      </c>
      <c r="T81" s="26">
        <f>W81*F81*0.0045</f>
        <v>3573.7366622121704</v>
      </c>
      <c r="U81" s="19">
        <f>E81*5</f>
        <v>1000</v>
      </c>
      <c r="V81" s="14"/>
      <c r="W81" s="19">
        <f>((O81*F81)+Q81+R81+S81+U81)/G81</f>
        <v>35.256990131578945</v>
      </c>
      <c r="X81" s="19">
        <f>((O81*F81)+Q81+R81+S81+T81+U81)/G81</f>
        <v>35.452918676656367</v>
      </c>
      <c r="Y81" s="23">
        <f>X81*G81</f>
        <v>646661.23666221218</v>
      </c>
      <c r="Z81" s="24">
        <v>42653</v>
      </c>
      <c r="AA81" s="33">
        <v>38</v>
      </c>
      <c r="AB81" s="33" t="s">
        <v>375</v>
      </c>
    </row>
    <row r="82" spans="1:28" s="11" customFormat="1" x14ac:dyDescent="0.25">
      <c r="A82" s="58"/>
      <c r="B82" s="12" t="s">
        <v>24</v>
      </c>
      <c r="C82" s="13" t="s">
        <v>29</v>
      </c>
      <c r="D82" s="13" t="s">
        <v>29</v>
      </c>
      <c r="E82" s="14" t="s">
        <v>26</v>
      </c>
      <c r="F82" s="15">
        <f>41400*0.4536</f>
        <v>18779.04</v>
      </c>
      <c r="G82" s="16">
        <v>18696.07</v>
      </c>
      <c r="H82" s="16">
        <f>G82-F82</f>
        <v>-82.970000000001164</v>
      </c>
      <c r="I82" s="11" t="s">
        <v>376</v>
      </c>
      <c r="J82" s="32" t="s">
        <v>27</v>
      </c>
      <c r="K82" s="18">
        <v>42639</v>
      </c>
      <c r="L82" s="18">
        <v>42640</v>
      </c>
      <c r="M82" s="13" t="s">
        <v>28</v>
      </c>
      <c r="N82" s="13" t="s">
        <v>377</v>
      </c>
      <c r="O82" s="19"/>
      <c r="P82" s="20">
        <f>0.5775+0.1</f>
        <v>0.67749999999999999</v>
      </c>
      <c r="Q82" s="41">
        <v>20000</v>
      </c>
      <c r="R82" s="19">
        <v>9212</v>
      </c>
      <c r="S82" s="22">
        <v>19.43</v>
      </c>
      <c r="T82" s="26">
        <f>W82*F82*0.005</f>
        <v>2881.0273600247283</v>
      </c>
      <c r="V82" s="19">
        <v>0.1</v>
      </c>
      <c r="W82" s="19">
        <f t="shared" ref="W82:W83" si="131">IF(O82&gt;0,O82,((P82*2.2046*S82)+(Q82+R82)/G82)+V82)</f>
        <v>30.683436001251692</v>
      </c>
      <c r="X82" s="19">
        <f t="shared" ref="X82:X83" si="132">IF(O82&gt;0,O82,((P82*2.2046*S82)+(Q82+R82+T82)/G82)+V82)</f>
        <v>30.837534020783323</v>
      </c>
      <c r="Y82" s="23">
        <f>X82*F82</f>
        <v>579099.28487765091</v>
      </c>
      <c r="Z82" s="24">
        <v>42650</v>
      </c>
      <c r="AA82" s="48">
        <v>33</v>
      </c>
      <c r="AB82" s="48"/>
    </row>
    <row r="83" spans="1:28" s="11" customFormat="1" x14ac:dyDescent="0.25">
      <c r="A83" s="58"/>
      <c r="B83" s="12" t="s">
        <v>24</v>
      </c>
      <c r="C83" s="13" t="s">
        <v>25</v>
      </c>
      <c r="D83" s="13" t="s">
        <v>25</v>
      </c>
      <c r="E83" s="14" t="s">
        <v>26</v>
      </c>
      <c r="F83" s="15">
        <f>42805*0.4536</f>
        <v>19416.348000000002</v>
      </c>
      <c r="G83" s="16">
        <v>19234.259999999998</v>
      </c>
      <c r="H83" s="16">
        <f>G83-F83</f>
        <v>-182.08800000000338</v>
      </c>
      <c r="I83" s="11" t="s">
        <v>378</v>
      </c>
      <c r="J83" s="32" t="s">
        <v>27</v>
      </c>
      <c r="K83" s="18">
        <v>42639</v>
      </c>
      <c r="L83" s="18">
        <v>42640</v>
      </c>
      <c r="M83" s="13" t="s">
        <v>28</v>
      </c>
      <c r="N83" s="13" t="s">
        <v>379</v>
      </c>
      <c r="O83" s="19"/>
      <c r="P83" s="20">
        <f>0.5775+0.105</f>
        <v>0.6825</v>
      </c>
      <c r="Q83" s="41">
        <v>20000</v>
      </c>
      <c r="R83" s="19">
        <v>9212</v>
      </c>
      <c r="S83" s="22">
        <v>19.759</v>
      </c>
      <c r="T83" s="26">
        <f>W83*F83*0.005</f>
        <v>3043.4077198755654</v>
      </c>
      <c r="V83" s="19">
        <v>0.1</v>
      </c>
      <c r="W83" s="19">
        <f t="shared" si="131"/>
        <v>31.348920197305539</v>
      </c>
      <c r="X83" s="19">
        <f t="shared" si="132"/>
        <v>31.507148677105413</v>
      </c>
      <c r="Y83" s="23">
        <f t="shared" ref="Y83" si="133">X83*F83</f>
        <v>611753.76320241834</v>
      </c>
      <c r="Z83" s="24">
        <v>42634</v>
      </c>
      <c r="AA83" s="48">
        <v>33</v>
      </c>
      <c r="AB83" s="48"/>
    </row>
    <row r="84" spans="1:28" s="11" customFormat="1" x14ac:dyDescent="0.25">
      <c r="A84" s="58"/>
      <c r="B84" s="12" t="s">
        <v>36</v>
      </c>
      <c r="C84" s="14" t="s">
        <v>37</v>
      </c>
      <c r="D84" s="13" t="s">
        <v>43</v>
      </c>
      <c r="E84" s="14">
        <v>200</v>
      </c>
      <c r="F84" s="15">
        <v>21070</v>
      </c>
      <c r="G84" s="16">
        <f>11040+6000</f>
        <v>17040</v>
      </c>
      <c r="H84" s="16">
        <f t="shared" ref="H84" si="134">G84-F84</f>
        <v>-4030</v>
      </c>
      <c r="I84" s="11" t="s">
        <v>380</v>
      </c>
      <c r="J84" s="14"/>
      <c r="K84" s="18"/>
      <c r="L84" s="18">
        <v>42640</v>
      </c>
      <c r="M84" s="13" t="s">
        <v>28</v>
      </c>
      <c r="N84" s="14"/>
      <c r="O84" s="19">
        <v>27.5</v>
      </c>
      <c r="P84" s="25"/>
      <c r="Q84" s="41">
        <v>17300</v>
      </c>
      <c r="R84" s="19">
        <f t="shared" ref="R84" si="135">61.75*E84</f>
        <v>12350</v>
      </c>
      <c r="S84" s="22">
        <f t="shared" ref="S84" si="136">-35*E84</f>
        <v>-7000</v>
      </c>
      <c r="T84" s="26">
        <f t="shared" ref="T84" si="137">W84*F84*0.005</f>
        <v>3728.5182658450708</v>
      </c>
      <c r="U84" s="19">
        <f>E84*5</f>
        <v>1000</v>
      </c>
      <c r="V84" s="14"/>
      <c r="W84" s="19">
        <f>((O84*F84)+Q84+R84+S84+U84)/G84</f>
        <v>35.39172535211268</v>
      </c>
      <c r="X84" s="19">
        <f>((O84*F84)+Q84+R84+S84+T84+U84)/G84</f>
        <v>35.610535109497945</v>
      </c>
      <c r="Y84" s="23">
        <f>X84*G84</f>
        <v>606803.51826584502</v>
      </c>
      <c r="Z84" s="24">
        <v>42653</v>
      </c>
      <c r="AA84" s="48">
        <v>38</v>
      </c>
      <c r="AB84" s="48" t="s">
        <v>381</v>
      </c>
    </row>
    <row r="85" spans="1:28" s="11" customFormat="1" x14ac:dyDescent="0.25">
      <c r="A85" s="58"/>
      <c r="B85" s="12" t="s">
        <v>24</v>
      </c>
      <c r="C85" s="13" t="s">
        <v>25</v>
      </c>
      <c r="D85" s="13" t="s">
        <v>25</v>
      </c>
      <c r="E85" s="14" t="s">
        <v>26</v>
      </c>
      <c r="F85" s="15">
        <f>42616*0.4536</f>
        <v>19330.617600000001</v>
      </c>
      <c r="G85" s="16">
        <v>19132.96</v>
      </c>
      <c r="H85" s="16">
        <f>G85-F85</f>
        <v>-197.65760000000228</v>
      </c>
      <c r="I85" s="11" t="s">
        <v>382</v>
      </c>
      <c r="J85" s="32" t="s">
        <v>33</v>
      </c>
      <c r="K85" s="18">
        <v>42640</v>
      </c>
      <c r="L85" s="18">
        <v>42641</v>
      </c>
      <c r="M85" s="13" t="s">
        <v>39</v>
      </c>
      <c r="N85" s="13" t="s">
        <v>379</v>
      </c>
      <c r="O85" s="19"/>
      <c r="P85" s="20">
        <v>0.6825</v>
      </c>
      <c r="Q85" s="41">
        <v>20000</v>
      </c>
      <c r="R85" s="19">
        <v>9199</v>
      </c>
      <c r="S85" s="22">
        <v>19.768000000000001</v>
      </c>
      <c r="T85" s="26">
        <f>W85*F85*0.005</f>
        <v>3031.9903164248867</v>
      </c>
      <c r="V85" s="19">
        <v>0.1</v>
      </c>
      <c r="W85" s="19">
        <f t="shared" ref="W85" si="138">IF(O85&gt;0,O85,((P85*2.2046*S85)+(Q85+R85)/G85)+V85)</f>
        <v>31.369823553127308</v>
      </c>
      <c r="X85" s="19">
        <f t="shared" ref="X85" si="139">IF(O85&gt;0,O85,((P85*2.2046*S85)+(Q85+R85+T85)/G85)+V85)</f>
        <v>31.528293038059324</v>
      </c>
      <c r="Y85" s="23">
        <f t="shared" ref="Y85" si="140">X85*F85</f>
        <v>609461.37629946705</v>
      </c>
      <c r="Z85" s="24">
        <v>42634</v>
      </c>
      <c r="AA85" s="48">
        <v>33</v>
      </c>
      <c r="AB85" s="48"/>
    </row>
    <row r="86" spans="1:28" s="11" customFormat="1" x14ac:dyDescent="0.25">
      <c r="A86" s="58"/>
      <c r="B86" s="12" t="s">
        <v>36</v>
      </c>
      <c r="C86" s="14" t="s">
        <v>37</v>
      </c>
      <c r="D86" s="13" t="s">
        <v>50</v>
      </c>
      <c r="E86" s="14">
        <f>230</f>
        <v>230</v>
      </c>
      <c r="F86" s="15">
        <f>27090</f>
        <v>27090</v>
      </c>
      <c r="G86" s="16">
        <f>18980</f>
        <v>18980</v>
      </c>
      <c r="H86" s="16">
        <f t="shared" ref="H86:H88" si="141">G86-F86</f>
        <v>-8110</v>
      </c>
      <c r="I86" s="11" t="s">
        <v>383</v>
      </c>
      <c r="J86" s="54">
        <v>200</v>
      </c>
      <c r="K86" s="18"/>
      <c r="L86" s="18">
        <v>42641</v>
      </c>
      <c r="M86" s="13" t="s">
        <v>39</v>
      </c>
      <c r="N86" s="14"/>
      <c r="O86" s="19">
        <v>27</v>
      </c>
      <c r="P86" s="25"/>
      <c r="Q86" s="41">
        <f>17300</f>
        <v>17300</v>
      </c>
      <c r="R86" s="19">
        <f t="shared" ref="R86:R87" si="142">61.75*E86</f>
        <v>14202.5</v>
      </c>
      <c r="S86" s="22">
        <f t="shared" ref="S86:S87" si="143">-35*E86</f>
        <v>-8050</v>
      </c>
      <c r="T86" s="26">
        <f>W86*F86*0.0045</f>
        <v>4855.8557382771332</v>
      </c>
      <c r="U86" s="19">
        <f>E86*5</f>
        <v>1150</v>
      </c>
      <c r="V86" s="14"/>
      <c r="W86" s="19">
        <f>((O86*F86)+Q86+R86+S86+U86)/G86</f>
        <v>39.833113804004213</v>
      </c>
      <c r="X86" s="19">
        <f>((O86*F86)+Q86+R86+S86+T86+U86)/G86</f>
        <v>40.088954464608911</v>
      </c>
      <c r="Y86" s="23">
        <f>X86*G86</f>
        <v>760888.35573827708</v>
      </c>
      <c r="Z86" s="24">
        <v>42654</v>
      </c>
      <c r="AA86" s="48"/>
      <c r="AB86" s="48"/>
    </row>
    <row r="87" spans="1:28" s="11" customFormat="1" x14ac:dyDescent="0.25">
      <c r="A87" s="58"/>
      <c r="B87" s="12" t="s">
        <v>36</v>
      </c>
      <c r="C87" s="14" t="s">
        <v>37</v>
      </c>
      <c r="D87" s="13" t="s">
        <v>43</v>
      </c>
      <c r="E87" s="14">
        <v>100</v>
      </c>
      <c r="F87" s="15">
        <v>10990</v>
      </c>
      <c r="G87" s="16">
        <v>11530</v>
      </c>
      <c r="H87" s="16">
        <f t="shared" si="141"/>
        <v>540</v>
      </c>
      <c r="I87" s="13" t="s">
        <v>384</v>
      </c>
      <c r="J87" s="54">
        <v>130</v>
      </c>
      <c r="K87" s="18"/>
      <c r="L87" s="18">
        <v>42641</v>
      </c>
      <c r="M87" s="13" t="s">
        <v>39</v>
      </c>
      <c r="N87" s="14"/>
      <c r="O87" s="19">
        <v>27</v>
      </c>
      <c r="P87" s="25"/>
      <c r="Q87" s="41">
        <v>13600</v>
      </c>
      <c r="R87" s="19">
        <f t="shared" si="142"/>
        <v>6175</v>
      </c>
      <c r="S87" s="22">
        <f t="shared" si="143"/>
        <v>-3500</v>
      </c>
      <c r="T87" s="26">
        <f t="shared" ref="T87" si="144">W87*F87*0.0045</f>
        <v>1344.6998937554206</v>
      </c>
      <c r="U87" s="19">
        <f t="shared" ref="U87" si="145">E87*5</f>
        <v>500</v>
      </c>
      <c r="V87" s="14"/>
      <c r="W87" s="19">
        <f t="shared" ref="W87" si="146">((O87*F87)+Q87+R87+S87+U87)/G87</f>
        <v>27.190372940156113</v>
      </c>
      <c r="X87" s="19">
        <f t="shared" ref="X87" si="147">((O87*F87)+Q87+R87+S87+T87+U87)/G87</f>
        <v>27.30699912348269</v>
      </c>
      <c r="Y87" s="23">
        <f t="shared" ref="Y87" si="148">X87*G87</f>
        <v>314849.69989375543</v>
      </c>
      <c r="Z87" s="24">
        <v>42654</v>
      </c>
      <c r="AA87" s="48">
        <v>37</v>
      </c>
      <c r="AB87" s="48" t="s">
        <v>385</v>
      </c>
    </row>
    <row r="88" spans="1:28" s="11" customFormat="1" x14ac:dyDescent="0.25">
      <c r="A88" s="58"/>
      <c r="B88" s="12" t="s">
        <v>386</v>
      </c>
      <c r="C88" s="14" t="s">
        <v>259</v>
      </c>
      <c r="D88" s="13" t="s">
        <v>55</v>
      </c>
      <c r="E88" s="14" t="s">
        <v>387</v>
      </c>
      <c r="F88" s="15">
        <v>2008.6</v>
      </c>
      <c r="G88" s="16">
        <v>2008.69</v>
      </c>
      <c r="H88" s="16">
        <f t="shared" si="141"/>
        <v>9.0000000000145519E-2</v>
      </c>
      <c r="I88" s="13" t="s">
        <v>388</v>
      </c>
      <c r="J88" s="14"/>
      <c r="K88" s="18"/>
      <c r="L88" s="18">
        <v>42642</v>
      </c>
      <c r="M88" s="13" t="s">
        <v>39</v>
      </c>
      <c r="N88" s="14"/>
      <c r="O88" s="19">
        <v>82</v>
      </c>
      <c r="P88" s="25"/>
      <c r="Q88" s="19"/>
      <c r="R88" s="19"/>
      <c r="S88" s="22"/>
      <c r="T88" s="26"/>
      <c r="U88" s="19"/>
      <c r="V88" s="19"/>
      <c r="W88" s="19">
        <f t="shared" ref="W88:W89" si="149">IF(O88&gt;0,O88,((P88*2.2046*S88)+(Q88+R88)/G88)+V88)</f>
        <v>82</v>
      </c>
      <c r="X88" s="19">
        <f t="shared" ref="X88:X89" si="150">IF(O88&gt;0,O88,((P88*2.2046*S88)+(Q88+R88+T88)/G88)+V88)</f>
        <v>82</v>
      </c>
      <c r="Y88" s="23">
        <f t="shared" ref="Y88:Y89" si="151">X88*F88</f>
        <v>164705.19999999998</v>
      </c>
      <c r="Z88" s="24">
        <v>42648</v>
      </c>
      <c r="AA88" s="48"/>
      <c r="AB88" s="48"/>
    </row>
    <row r="89" spans="1:28" s="11" customFormat="1" x14ac:dyDescent="0.25">
      <c r="A89" s="58"/>
      <c r="B89" s="12" t="s">
        <v>24</v>
      </c>
      <c r="C89" s="13" t="s">
        <v>25</v>
      </c>
      <c r="D89" s="13" t="s">
        <v>25</v>
      </c>
      <c r="E89" s="14" t="s">
        <v>26</v>
      </c>
      <c r="F89" s="15">
        <f>42459*0.4536</f>
        <v>19259.402399999999</v>
      </c>
      <c r="G89" s="16">
        <v>19120.63</v>
      </c>
      <c r="H89" s="16">
        <f>G89-F89</f>
        <v>-138.77239999999802</v>
      </c>
      <c r="I89" s="11" t="s">
        <v>389</v>
      </c>
      <c r="J89" s="32" t="s">
        <v>27</v>
      </c>
      <c r="K89" s="18">
        <v>42641</v>
      </c>
      <c r="L89" s="18">
        <v>42642</v>
      </c>
      <c r="M89" s="13" t="s">
        <v>41</v>
      </c>
      <c r="N89" s="13" t="s">
        <v>390</v>
      </c>
      <c r="O89" s="19"/>
      <c r="P89" s="20">
        <f>0.5837+0.105</f>
        <v>0.68869999999999998</v>
      </c>
      <c r="Q89" s="41">
        <v>20000</v>
      </c>
      <c r="R89" s="19">
        <v>9192.5</v>
      </c>
      <c r="S89" s="22">
        <v>19.760000000000002</v>
      </c>
      <c r="T89" s="26">
        <f>W89*F89*0.005</f>
        <v>3045.7320241279003</v>
      </c>
      <c r="V89" s="19">
        <v>0.1</v>
      </c>
      <c r="W89" s="19">
        <f t="shared" si="149"/>
        <v>31.628520562277679</v>
      </c>
      <c r="X89" s="19">
        <f t="shared" si="150"/>
        <v>31.787810921650141</v>
      </c>
      <c r="Y89" s="23">
        <f t="shared" si="151"/>
        <v>612214.24195517495</v>
      </c>
      <c r="Z89" s="24">
        <v>42635</v>
      </c>
      <c r="AA89" s="48">
        <v>32.5</v>
      </c>
      <c r="AB89" s="48"/>
    </row>
    <row r="90" spans="1:28" s="11" customFormat="1" x14ac:dyDescent="0.25">
      <c r="A90" s="58"/>
      <c r="B90" s="12" t="s">
        <v>24</v>
      </c>
      <c r="C90" s="13" t="s">
        <v>25</v>
      </c>
      <c r="D90" s="13" t="s">
        <v>25</v>
      </c>
      <c r="E90" s="14" t="s">
        <v>26</v>
      </c>
      <c r="F90" s="15">
        <f>42535*0.4536</f>
        <v>19293.876</v>
      </c>
      <c r="G90" s="16">
        <v>19152.919999999998</v>
      </c>
      <c r="H90" s="16">
        <f>G90-F90</f>
        <v>-140.95600000000195</v>
      </c>
      <c r="I90" s="11" t="s">
        <v>391</v>
      </c>
      <c r="J90" s="32" t="s">
        <v>38</v>
      </c>
      <c r="K90" s="18">
        <v>42641</v>
      </c>
      <c r="L90" s="18">
        <v>42642</v>
      </c>
      <c r="M90" s="13" t="s">
        <v>41</v>
      </c>
      <c r="N90" s="13" t="s">
        <v>390</v>
      </c>
      <c r="O90" s="19"/>
      <c r="P90" s="20">
        <v>0.68869999999999998</v>
      </c>
      <c r="Q90" s="41">
        <v>20000</v>
      </c>
      <c r="R90" s="19">
        <v>9192.5</v>
      </c>
      <c r="S90" s="22">
        <v>19.760000000000002</v>
      </c>
      <c r="T90" s="26">
        <f t="shared" ref="T90" si="152">W90*F90*0.005</f>
        <v>3050.9354604358377</v>
      </c>
      <c r="V90" s="19">
        <v>0.1</v>
      </c>
      <c r="W90" s="19">
        <f>IF(O90&gt;0,O90,((P90*2.2046*S90)+(Q90+R90)/G90)+V90)</f>
        <v>31.625946600214885</v>
      </c>
      <c r="X90" s="19">
        <f>IF(O90&gt;0,O90,((P90*2.2046*S90)+(Q90+R90+T90)/G90)+V90)</f>
        <v>31.785240089689903</v>
      </c>
      <c r="Y90" s="23">
        <f>X90*F90</f>
        <v>613260.48092070583</v>
      </c>
      <c r="Z90" s="24">
        <v>42635</v>
      </c>
      <c r="AA90" s="48">
        <v>32.5</v>
      </c>
      <c r="AB90" s="48"/>
    </row>
    <row r="91" spans="1:28" s="11" customFormat="1" x14ac:dyDescent="0.25">
      <c r="A91" s="58"/>
      <c r="B91" s="12" t="s">
        <v>36</v>
      </c>
      <c r="C91" s="14" t="s">
        <v>37</v>
      </c>
      <c r="D91" s="13" t="s">
        <v>50</v>
      </c>
      <c r="E91" s="14">
        <f>200</f>
        <v>200</v>
      </c>
      <c r="F91" s="15">
        <f>22540</f>
        <v>22540</v>
      </c>
      <c r="G91" s="16">
        <f>22840</f>
        <v>22840</v>
      </c>
      <c r="H91" s="16">
        <f t="shared" ref="H91:H94" si="153">G91-F91</f>
        <v>300</v>
      </c>
      <c r="I91" s="11" t="s">
        <v>392</v>
      </c>
      <c r="J91" s="54">
        <v>250</v>
      </c>
      <c r="K91" s="18"/>
      <c r="L91" s="18">
        <v>42642</v>
      </c>
      <c r="M91" s="13" t="s">
        <v>41</v>
      </c>
      <c r="N91" s="14"/>
      <c r="O91" s="19">
        <v>27</v>
      </c>
      <c r="P91" s="25"/>
      <c r="Q91" s="41">
        <f>17300</f>
        <v>17300</v>
      </c>
      <c r="R91" s="19">
        <f t="shared" ref="R91:R94" si="154">61.75*E91</f>
        <v>12350</v>
      </c>
      <c r="S91" s="22">
        <f t="shared" ref="S91:S92" si="155">-35*E91</f>
        <v>-7000</v>
      </c>
      <c r="T91" s="26">
        <f t="shared" ref="T91:T92" si="156">W91*F91*0.0045</f>
        <v>2807.6658887915937</v>
      </c>
      <c r="U91" s="19">
        <f t="shared" ref="U91:U92" si="157">E91*5</f>
        <v>1000</v>
      </c>
      <c r="V91" s="14"/>
      <c r="W91" s="19">
        <f t="shared" ref="W91:W92" si="158">((O91*F91)+Q91+R91+S91+U91)/G91</f>
        <v>27.680823117338004</v>
      </c>
      <c r="X91" s="19">
        <f t="shared" ref="X91:X92" si="159">((O91*F91)+Q91+R91+S91+T91+U91)/G91</f>
        <v>27.803750695656372</v>
      </c>
      <c r="Y91" s="23">
        <f t="shared" ref="Y91:Y94" si="160">X91*G91</f>
        <v>635037.66588879155</v>
      </c>
      <c r="Z91" s="24">
        <v>42655</v>
      </c>
      <c r="AA91" s="48">
        <v>37</v>
      </c>
      <c r="AB91" s="48"/>
    </row>
    <row r="92" spans="1:28" s="11" customFormat="1" x14ac:dyDescent="0.25">
      <c r="A92" s="58"/>
      <c r="B92" s="12" t="s">
        <v>36</v>
      </c>
      <c r="C92" s="14" t="s">
        <v>37</v>
      </c>
      <c r="D92" s="13" t="s">
        <v>337</v>
      </c>
      <c r="E92" s="14">
        <v>180</v>
      </c>
      <c r="F92" s="15">
        <f>20610</f>
        <v>20610</v>
      </c>
      <c r="G92" s="16">
        <v>11810</v>
      </c>
      <c r="H92" s="16">
        <f t="shared" si="153"/>
        <v>-8800</v>
      </c>
      <c r="I92" s="13" t="s">
        <v>393</v>
      </c>
      <c r="J92" s="54">
        <v>130</v>
      </c>
      <c r="K92" s="18"/>
      <c r="L92" s="18">
        <v>42642</v>
      </c>
      <c r="M92" s="13" t="s">
        <v>41</v>
      </c>
      <c r="N92" s="14"/>
      <c r="O92" s="19">
        <v>27</v>
      </c>
      <c r="P92" s="25"/>
      <c r="Q92" s="41">
        <v>13600</v>
      </c>
      <c r="R92" s="19">
        <f t="shared" si="154"/>
        <v>11115</v>
      </c>
      <c r="S92" s="22">
        <f t="shared" si="155"/>
        <v>-6300</v>
      </c>
      <c r="T92" s="26">
        <f t="shared" si="156"/>
        <v>4521.6917718035556</v>
      </c>
      <c r="U92" s="19">
        <f t="shared" si="157"/>
        <v>900</v>
      </c>
      <c r="V92" s="14"/>
      <c r="W92" s="19">
        <f t="shared" si="158"/>
        <v>48.754022015241318</v>
      </c>
      <c r="X92" s="19">
        <f t="shared" si="159"/>
        <v>49.136891767299197</v>
      </c>
      <c r="Y92" s="23">
        <f t="shared" si="160"/>
        <v>580306.69177180354</v>
      </c>
      <c r="Z92" s="24">
        <v>42655</v>
      </c>
      <c r="AA92" s="48"/>
      <c r="AB92" s="48" t="s">
        <v>394</v>
      </c>
    </row>
    <row r="93" spans="1:28" s="11" customFormat="1" x14ac:dyDescent="0.25">
      <c r="A93" s="58"/>
      <c r="B93" s="12" t="s">
        <v>36</v>
      </c>
      <c r="C93" s="14" t="s">
        <v>37</v>
      </c>
      <c r="D93" s="13" t="s">
        <v>337</v>
      </c>
      <c r="E93" s="14">
        <v>200</v>
      </c>
      <c r="F93" s="15">
        <v>20365</v>
      </c>
      <c r="G93" s="16">
        <v>16310</v>
      </c>
      <c r="H93" s="16">
        <f t="shared" si="153"/>
        <v>-4055</v>
      </c>
      <c r="I93" s="11" t="s">
        <v>395</v>
      </c>
      <c r="J93" s="14"/>
      <c r="K93" s="18"/>
      <c r="L93" s="18">
        <v>42643</v>
      </c>
      <c r="M93" s="13" t="s">
        <v>44</v>
      </c>
      <c r="N93" s="14"/>
      <c r="O93" s="19">
        <v>27</v>
      </c>
      <c r="P93" s="25"/>
      <c r="Q93" s="41">
        <v>17300</v>
      </c>
      <c r="R93" s="19">
        <f t="shared" si="154"/>
        <v>12350</v>
      </c>
      <c r="S93" s="22">
        <f>-35*E93</f>
        <v>-7000</v>
      </c>
      <c r="T93" s="26">
        <f>W93*F93*0.0045</f>
        <v>3222.4053931637031</v>
      </c>
      <c r="U93" s="19">
        <f>E93*5</f>
        <v>1000</v>
      </c>
      <c r="V93" s="14"/>
      <c r="W93" s="19">
        <f>((O93*F93)+Q93+R93+S93+U93)/G93</f>
        <v>35.162783568362968</v>
      </c>
      <c r="X93" s="19">
        <f>((O93*F93)+Q93+R93+S93+T93+U93)/G93</f>
        <v>35.360355940721256</v>
      </c>
      <c r="Y93" s="23">
        <f t="shared" si="160"/>
        <v>576727.40539316367</v>
      </c>
      <c r="Z93" s="24">
        <v>42656</v>
      </c>
      <c r="AA93" s="33">
        <v>37</v>
      </c>
      <c r="AB93" s="33"/>
    </row>
    <row r="94" spans="1:28" s="11" customFormat="1" x14ac:dyDescent="0.25">
      <c r="A94" s="58"/>
      <c r="B94" s="12" t="s">
        <v>36</v>
      </c>
      <c r="C94" s="14" t="s">
        <v>37</v>
      </c>
      <c r="D94" s="13" t="s">
        <v>43</v>
      </c>
      <c r="E94" s="14">
        <v>130</v>
      </c>
      <c r="F94" s="15">
        <v>14410</v>
      </c>
      <c r="G94" s="16">
        <v>11520</v>
      </c>
      <c r="H94" s="16">
        <f t="shared" si="153"/>
        <v>-2890</v>
      </c>
      <c r="I94" s="13" t="s">
        <v>396</v>
      </c>
      <c r="J94" s="14"/>
      <c r="K94" s="18"/>
      <c r="L94" s="18">
        <v>42643</v>
      </c>
      <c r="M94" s="13" t="s">
        <v>44</v>
      </c>
      <c r="N94" s="14"/>
      <c r="O94" s="19">
        <v>27</v>
      </c>
      <c r="P94" s="25"/>
      <c r="Q94" s="41">
        <v>13600</v>
      </c>
      <c r="R94" s="19">
        <f t="shared" si="154"/>
        <v>8027.5</v>
      </c>
      <c r="S94" s="22">
        <f>-35*E94</f>
        <v>-4550</v>
      </c>
      <c r="T94" s="49">
        <f>W94*F94*0.0045</f>
        <v>2289.824990234375</v>
      </c>
      <c r="U94" s="19">
        <f>E94*5</f>
        <v>650</v>
      </c>
      <c r="V94" s="14"/>
      <c r="W94" s="19">
        <f>((O94*F94)+Q94+R94+S94+U94)/G94</f>
        <v>35.312282986111114</v>
      </c>
      <c r="X94" s="19">
        <f>((O94*F94)+Q94+R94+S94+T94+U94)/G94</f>
        <v>35.511052516513402</v>
      </c>
      <c r="Y94" s="23">
        <f t="shared" si="160"/>
        <v>409087.3249902344</v>
      </c>
      <c r="Z94" s="24">
        <v>42656</v>
      </c>
      <c r="AA94" s="33"/>
      <c r="AB94" s="33" t="s">
        <v>397</v>
      </c>
    </row>
    <row r="95" spans="1:28" s="11" customFormat="1" ht="15.75" thickBot="1" x14ac:dyDescent="0.3">
      <c r="A95" s="58"/>
      <c r="B95" s="27"/>
      <c r="C95" s="3"/>
      <c r="D95" s="3"/>
      <c r="E95" s="3"/>
      <c r="F95" s="28"/>
      <c r="G95" s="28"/>
      <c r="H95" s="28"/>
      <c r="I95" s="5"/>
      <c r="J95" s="3"/>
      <c r="K95" s="6"/>
      <c r="L95" s="6"/>
      <c r="M95" s="3"/>
      <c r="N95" s="3"/>
      <c r="O95" s="7"/>
      <c r="P95" s="8"/>
      <c r="Q95" s="7"/>
      <c r="R95" s="7"/>
      <c r="S95" s="7"/>
      <c r="T95" s="7"/>
      <c r="U95" s="7"/>
      <c r="V95" s="7"/>
      <c r="W95" s="7"/>
      <c r="X95" s="7"/>
      <c r="Y95" s="10"/>
      <c r="Z95" s="29"/>
      <c r="AA95" s="33"/>
      <c r="AB95" s="3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5"/>
  <sheetViews>
    <sheetView tabSelected="1" workbookViewId="0">
      <selection activeCell="AA12" sqref="AA12"/>
    </sheetView>
  </sheetViews>
  <sheetFormatPr baseColWidth="10" defaultRowHeight="15" x14ac:dyDescent="0.25"/>
  <cols>
    <col min="1" max="1" width="3.140625" customWidth="1"/>
    <col min="2" max="2" width="15.140625" customWidth="1"/>
    <col min="3" max="3" width="11" customWidth="1"/>
    <col min="4" max="4" width="16.5703125" customWidth="1"/>
    <col min="5" max="5" width="10.42578125" customWidth="1"/>
    <col min="8" max="8" width="11.28515625" customWidth="1"/>
    <col min="10" max="10" width="10.28515625" hidden="1" customWidth="1"/>
    <col min="11" max="11" width="0" hidden="1" customWidth="1"/>
    <col min="13" max="13" width="3.7109375" bestFit="1" customWidth="1"/>
    <col min="14" max="17" width="0" hidden="1" customWidth="1"/>
    <col min="18" max="18" width="12.140625" hidden="1" customWidth="1"/>
    <col min="19" max="19" width="13.140625" hidden="1" customWidth="1"/>
    <col min="20" max="23" width="0" hidden="1" customWidth="1"/>
    <col min="24" max="24" width="13" customWidth="1"/>
    <col min="25" max="25" width="15.28515625" customWidth="1"/>
    <col min="26" max="26" width="13" customWidth="1"/>
  </cols>
  <sheetData>
    <row r="1" spans="1:26" x14ac:dyDescent="0.25">
      <c r="A1" s="1" t="s">
        <v>398</v>
      </c>
      <c r="Y1" s="33"/>
    </row>
    <row r="2" spans="1:26" ht="30.75" thickBot="1" x14ac:dyDescent="0.3">
      <c r="A2" s="2"/>
      <c r="B2" s="3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4" t="s">
        <v>5</v>
      </c>
      <c r="H2" s="4" t="s">
        <v>6</v>
      </c>
      <c r="I2" s="5" t="s">
        <v>7</v>
      </c>
      <c r="J2" s="3" t="s">
        <v>8</v>
      </c>
      <c r="K2" s="6" t="s">
        <v>9</v>
      </c>
      <c r="L2" s="6" t="s">
        <v>10</v>
      </c>
      <c r="M2" s="3" t="s">
        <v>11</v>
      </c>
      <c r="N2" s="3" t="s">
        <v>12</v>
      </c>
      <c r="O2" s="7" t="s">
        <v>13</v>
      </c>
      <c r="P2" s="8" t="s">
        <v>14</v>
      </c>
      <c r="Q2" s="7" t="s">
        <v>15</v>
      </c>
      <c r="R2" s="9" t="s">
        <v>16</v>
      </c>
      <c r="S2" s="9" t="s">
        <v>17</v>
      </c>
      <c r="T2" s="9" t="s">
        <v>18</v>
      </c>
      <c r="U2" s="7" t="s">
        <v>19</v>
      </c>
      <c r="V2" s="7" t="s">
        <v>20</v>
      </c>
      <c r="W2" s="7" t="s">
        <v>21</v>
      </c>
      <c r="X2" s="7" t="s">
        <v>22</v>
      </c>
      <c r="Y2" s="10" t="s">
        <v>23</v>
      </c>
      <c r="Z2" s="7"/>
    </row>
    <row r="3" spans="1:26" s="11" customFormat="1" x14ac:dyDescent="0.25">
      <c r="A3" s="58"/>
      <c r="B3" s="12" t="s">
        <v>24</v>
      </c>
      <c r="C3" s="13" t="s">
        <v>25</v>
      </c>
      <c r="D3" s="13" t="s">
        <v>25</v>
      </c>
      <c r="E3" s="14" t="s">
        <v>26</v>
      </c>
      <c r="F3" s="15">
        <f>42413*0.4536</f>
        <v>19238.536800000002</v>
      </c>
      <c r="G3" s="16">
        <v>19111.099999999999</v>
      </c>
      <c r="H3" s="16">
        <f>G3-F3</f>
        <v>-127.43680000000313</v>
      </c>
      <c r="I3" s="11" t="s">
        <v>399</v>
      </c>
      <c r="J3" s="17" t="s">
        <v>27</v>
      </c>
      <c r="K3" s="18">
        <v>42642</v>
      </c>
      <c r="L3" s="18">
        <v>42644</v>
      </c>
      <c r="M3" s="13" t="s">
        <v>47</v>
      </c>
      <c r="N3" s="13" t="s">
        <v>400</v>
      </c>
      <c r="O3" s="19"/>
      <c r="P3" s="20">
        <f>0.566+0.105</f>
        <v>0.67099999999999993</v>
      </c>
      <c r="Q3" s="41">
        <v>20000</v>
      </c>
      <c r="R3" s="19">
        <v>9173</v>
      </c>
      <c r="S3" s="22">
        <v>19.762</v>
      </c>
      <c r="T3" s="47">
        <f>W3*F3*0.005</f>
        <v>2968.5213172883314</v>
      </c>
      <c r="V3" s="19">
        <v>0.1</v>
      </c>
      <c r="W3" s="19">
        <f t="shared" ref="W3" si="0">IF(O3&gt;0,O3,((P3*2.2046*S3)+(Q3+R3)/G3)+V3)</f>
        <v>30.860156862743647</v>
      </c>
      <c r="X3" s="19">
        <f t="shared" ref="X3" si="1">IF(O3&gt;0,O3,((P3*2.2046*S3)+(Q3+R3+T3)/G3)+V3)</f>
        <v>31.015486556863209</v>
      </c>
      <c r="Y3" s="23">
        <f t="shared" ref="Y3:Y4" si="2">X3*F3</f>
        <v>596692.57949411822</v>
      </c>
      <c r="Z3" s="24">
        <v>42636</v>
      </c>
    </row>
    <row r="4" spans="1:26" s="11" customFormat="1" x14ac:dyDescent="0.25">
      <c r="A4" s="58"/>
      <c r="B4" s="12" t="s">
        <v>24</v>
      </c>
      <c r="C4" s="13" t="s">
        <v>34</v>
      </c>
      <c r="D4" s="13" t="s">
        <v>34</v>
      </c>
      <c r="E4" s="14" t="s">
        <v>35</v>
      </c>
      <c r="F4" s="15">
        <f>42535*0.4536</f>
        <v>19293.876</v>
      </c>
      <c r="G4" s="16">
        <v>19290</v>
      </c>
      <c r="H4" s="16">
        <f t="shared" ref="H4" si="3">G4-F4</f>
        <v>-3.8760000000002037</v>
      </c>
      <c r="I4" s="31" t="s">
        <v>401</v>
      </c>
      <c r="J4" s="17" t="s">
        <v>38</v>
      </c>
      <c r="K4" s="18">
        <v>42643</v>
      </c>
      <c r="L4" s="18">
        <v>42644</v>
      </c>
      <c r="M4" s="13" t="s">
        <v>47</v>
      </c>
      <c r="N4" s="13" t="s">
        <v>402</v>
      </c>
      <c r="O4" s="19"/>
      <c r="P4" s="20">
        <f>0.566+0.0975</f>
        <v>0.66349999999999998</v>
      </c>
      <c r="Q4" s="41">
        <v>20000</v>
      </c>
      <c r="R4" s="19">
        <v>17013</v>
      </c>
      <c r="S4" s="22">
        <v>19.762</v>
      </c>
      <c r="T4" s="47">
        <f t="shared" ref="T4" si="4">W4*F4*0.005</f>
        <v>2983.3805197159127</v>
      </c>
      <c r="V4" s="19">
        <v>0.1</v>
      </c>
      <c r="W4" s="19">
        <f>IF(O4&gt;0,O4,((P4*2.2046*S4)+(Q4+R4)/G4)+V4)</f>
        <v>30.925673200303684</v>
      </c>
      <c r="X4" s="19">
        <f>IF(O4&gt;0,O4,((P4*2.2046*S4)+(Q4+R4+T4)/G4)+V4)</f>
        <v>31.080332636266149</v>
      </c>
      <c r="Y4" s="23">
        <f t="shared" si="2"/>
        <v>599660.0839228722</v>
      </c>
      <c r="Z4" s="24">
        <v>42636</v>
      </c>
    </row>
    <row r="5" spans="1:26" s="11" customFormat="1" x14ac:dyDescent="0.25">
      <c r="A5" s="58"/>
      <c r="B5" s="12" t="s">
        <v>24</v>
      </c>
      <c r="C5" s="13" t="s">
        <v>29</v>
      </c>
      <c r="D5" s="13" t="s">
        <v>29</v>
      </c>
      <c r="E5" s="14" t="s">
        <v>32</v>
      </c>
      <c r="F5" s="15">
        <f>40186*0.4536</f>
        <v>18228.369600000002</v>
      </c>
      <c r="G5" s="16">
        <v>18132.849999999999</v>
      </c>
      <c r="H5" s="16">
        <f>G5-F5</f>
        <v>-95.519600000003265</v>
      </c>
      <c r="I5" s="11" t="s">
        <v>403</v>
      </c>
      <c r="J5" s="17" t="s">
        <v>27</v>
      </c>
      <c r="K5" s="18">
        <v>42643</v>
      </c>
      <c r="L5" s="18">
        <v>42644</v>
      </c>
      <c r="M5" s="13" t="s">
        <v>47</v>
      </c>
      <c r="N5" s="13" t="s">
        <v>404</v>
      </c>
      <c r="O5" s="19"/>
      <c r="P5" s="20">
        <f>0.566+0.1</f>
        <v>0.66599999999999993</v>
      </c>
      <c r="Q5" s="41">
        <v>20000</v>
      </c>
      <c r="R5" s="19">
        <v>12085</v>
      </c>
      <c r="S5" s="22">
        <v>19.395</v>
      </c>
      <c r="T5" s="47">
        <f>W5*F5*0.005</f>
        <v>2765.8281671660702</v>
      </c>
      <c r="V5" s="19">
        <v>0.1</v>
      </c>
      <c r="W5" s="19">
        <f>IF(O5&gt;0,O5,((P5*2.2046*S5)+(Q5+R5)/G5)+V5)</f>
        <v>30.346413067749843</v>
      </c>
      <c r="X5" s="19">
        <f>IF(O5&gt;0,O5,((P5*2.2046*S5)+(Q5+R5+T5)/G5)+V5)</f>
        <v>30.498944422013849</v>
      </c>
      <c r="Y5" s="23">
        <f>X5*F5</f>
        <v>555946.03133432684</v>
      </c>
      <c r="Z5" s="24">
        <v>42655</v>
      </c>
    </row>
    <row r="6" spans="1:26" s="11" customFormat="1" x14ac:dyDescent="0.25">
      <c r="A6" s="58"/>
      <c r="B6" s="12" t="s">
        <v>24</v>
      </c>
      <c r="C6" s="13" t="s">
        <v>25</v>
      </c>
      <c r="D6" s="13" t="s">
        <v>25</v>
      </c>
      <c r="E6" s="14" t="s">
        <v>26</v>
      </c>
      <c r="F6" s="15">
        <f>42227*0.4536</f>
        <v>19154.1672</v>
      </c>
      <c r="G6" s="16">
        <v>19039.7</v>
      </c>
      <c r="H6" s="16">
        <f t="shared" ref="H6" si="5">G6-F6</f>
        <v>-114.46719999999914</v>
      </c>
      <c r="I6" s="11" t="s">
        <v>405</v>
      </c>
      <c r="J6" s="17" t="s">
        <v>27</v>
      </c>
      <c r="K6" s="18">
        <v>42643</v>
      </c>
      <c r="L6" s="18">
        <v>42644</v>
      </c>
      <c r="M6" s="13" t="s">
        <v>47</v>
      </c>
      <c r="N6" s="13" t="s">
        <v>406</v>
      </c>
      <c r="O6" s="19"/>
      <c r="P6" s="20">
        <f>0.5449+0.105</f>
        <v>0.64990000000000003</v>
      </c>
      <c r="Q6" s="41">
        <v>20000</v>
      </c>
      <c r="R6" s="19">
        <v>9160</v>
      </c>
      <c r="S6" s="22">
        <v>19.66</v>
      </c>
      <c r="T6" s="47">
        <f t="shared" ref="T6" si="6">W6*F6*0.005</f>
        <v>2853.9504075742861</v>
      </c>
      <c r="V6" s="19">
        <v>0.1</v>
      </c>
      <c r="W6" s="19">
        <f>IF(O6&gt;0,O6,((P6*2.2046*S6)+(Q6+R6)/G6)+V6)</f>
        <v>29.799785892798162</v>
      </c>
      <c r="X6" s="19">
        <f>IF(O6&gt;0,O6,((P6*2.2046*S6)+(Q6+R6+T6)/G6)+V6)</f>
        <v>29.949680607923629</v>
      </c>
      <c r="Y6" s="23">
        <f t="shared" ref="Y6" si="7">X6*F6</f>
        <v>573661.18995076686</v>
      </c>
      <c r="Z6" s="24">
        <v>42639</v>
      </c>
    </row>
    <row r="7" spans="1:26" s="11" customFormat="1" ht="15.75" thickBot="1" x14ac:dyDescent="0.3">
      <c r="A7" s="58"/>
      <c r="B7" s="27"/>
      <c r="C7" s="3"/>
      <c r="D7" s="3"/>
      <c r="E7" s="3"/>
      <c r="F7" s="28"/>
      <c r="G7" s="28"/>
      <c r="H7" s="28"/>
      <c r="I7" s="5"/>
      <c r="J7" s="3"/>
      <c r="K7" s="6"/>
      <c r="L7" s="6"/>
      <c r="M7" s="3"/>
      <c r="N7" s="3"/>
      <c r="O7" s="7"/>
      <c r="P7" s="8"/>
      <c r="Q7" s="7"/>
      <c r="R7" s="7"/>
      <c r="S7" s="7"/>
      <c r="T7" s="7"/>
      <c r="U7" s="7"/>
      <c r="V7" s="7"/>
      <c r="W7" s="7"/>
      <c r="X7" s="7"/>
      <c r="Y7" s="10"/>
      <c r="Z7" s="29"/>
    </row>
    <row r="8" spans="1:26" s="11" customFormat="1" x14ac:dyDescent="0.25">
      <c r="A8" s="59"/>
      <c r="B8" s="14" t="s">
        <v>36</v>
      </c>
      <c r="C8" s="14" t="s">
        <v>37</v>
      </c>
      <c r="D8" s="13" t="s">
        <v>50</v>
      </c>
      <c r="E8" s="14">
        <f>169+80</f>
        <v>249</v>
      </c>
      <c r="F8" s="15">
        <v>26135</v>
      </c>
      <c r="G8" s="16">
        <f>14160+6640</f>
        <v>20800</v>
      </c>
      <c r="H8" s="16">
        <f t="shared" ref="H8:H10" si="8">G8-F8</f>
        <v>-5335</v>
      </c>
      <c r="I8" s="13" t="s">
        <v>407</v>
      </c>
      <c r="J8" s="14"/>
      <c r="K8" s="18"/>
      <c r="L8" s="18">
        <v>42645</v>
      </c>
      <c r="M8" s="13" t="s">
        <v>48</v>
      </c>
      <c r="N8" s="14"/>
      <c r="O8" s="19">
        <v>27</v>
      </c>
      <c r="P8" s="25"/>
      <c r="Q8" s="41">
        <v>17300</v>
      </c>
      <c r="R8" s="19">
        <f t="shared" ref="R8:R9" si="9">61.75*E8</f>
        <v>15375.75</v>
      </c>
      <c r="S8" s="22">
        <f>-35*E8</f>
        <v>-8715</v>
      </c>
      <c r="T8" s="26">
        <f>W8*F8*0.0045</f>
        <v>4132.3812298377397</v>
      </c>
      <c r="U8" s="19">
        <f>E8*5</f>
        <v>1245</v>
      </c>
      <c r="V8" s="14"/>
      <c r="W8" s="19">
        <f>((O8*F8)+Q8+R8+S8+U8)/G8</f>
        <v>35.137055288461539</v>
      </c>
      <c r="X8" s="19">
        <f>((O8*F8)+Q8+R8+S8+T8+U8)/G8</f>
        <v>35.335727462972969</v>
      </c>
      <c r="Y8" s="23">
        <f>X8*G8</f>
        <v>734983.13122983777</v>
      </c>
      <c r="Z8" s="24">
        <v>42660</v>
      </c>
    </row>
    <row r="9" spans="1:26" s="11" customFormat="1" x14ac:dyDescent="0.25">
      <c r="A9" s="59"/>
      <c r="B9" s="12" t="s">
        <v>36</v>
      </c>
      <c r="C9" s="14" t="s">
        <v>37</v>
      </c>
      <c r="D9" s="13" t="s">
        <v>53</v>
      </c>
      <c r="E9" s="14">
        <v>201</v>
      </c>
      <c r="F9" s="15">
        <v>23520</v>
      </c>
      <c r="G9" s="16">
        <f>12300+6530</f>
        <v>18830</v>
      </c>
      <c r="H9" s="16">
        <f t="shared" si="8"/>
        <v>-4690</v>
      </c>
      <c r="I9" s="13" t="s">
        <v>408</v>
      </c>
      <c r="J9" s="14"/>
      <c r="K9" s="18"/>
      <c r="L9" s="18">
        <v>42646</v>
      </c>
      <c r="M9" s="13" t="s">
        <v>49</v>
      </c>
      <c r="N9" s="14"/>
      <c r="O9" s="19">
        <v>27</v>
      </c>
      <c r="P9" s="25"/>
      <c r="Q9" s="41">
        <v>17300</v>
      </c>
      <c r="R9" s="19">
        <f t="shared" si="9"/>
        <v>12411.75</v>
      </c>
      <c r="S9" s="22">
        <f t="shared" ref="S9" si="10">-35*E9</f>
        <v>-7035</v>
      </c>
      <c r="T9" s="26">
        <f>W9*F9*0.0045</f>
        <v>3702.5549665427507</v>
      </c>
      <c r="U9" s="19">
        <f>E9*5</f>
        <v>1005</v>
      </c>
      <c r="V9" s="14"/>
      <c r="W9" s="19">
        <f>((O9*F9)+Q9+R9+S9+U9)/G9</f>
        <v>34.982567711099307</v>
      </c>
      <c r="X9" s="19">
        <f>((O9*F9)+Q9+R9+S9+T9+U9)/G9</f>
        <v>35.17919835191411</v>
      </c>
      <c r="Y9" s="23">
        <f>X9*G9</f>
        <v>662424.30496654264</v>
      </c>
      <c r="Z9" s="24">
        <v>42660</v>
      </c>
    </row>
    <row r="10" spans="1:26" s="11" customFormat="1" x14ac:dyDescent="0.25">
      <c r="A10" s="59"/>
      <c r="B10" s="12" t="s">
        <v>60</v>
      </c>
      <c r="C10" s="14" t="s">
        <v>45</v>
      </c>
      <c r="D10" s="13" t="s">
        <v>409</v>
      </c>
      <c r="E10" s="14" t="s">
        <v>410</v>
      </c>
      <c r="F10" s="15">
        <f>6301.8+4754.1+4206.2</f>
        <v>15262.100000000002</v>
      </c>
      <c r="G10" s="16">
        <v>15264.6</v>
      </c>
      <c r="H10" s="16">
        <f t="shared" si="8"/>
        <v>2.499999999998181</v>
      </c>
      <c r="I10" s="13" t="s">
        <v>411</v>
      </c>
      <c r="J10" s="14"/>
      <c r="K10" s="18"/>
      <c r="L10" s="18">
        <v>42646</v>
      </c>
      <c r="M10" s="13"/>
      <c r="N10" s="14"/>
      <c r="O10" s="19">
        <v>86</v>
      </c>
      <c r="P10" s="25"/>
      <c r="Q10" s="19"/>
      <c r="R10" s="19"/>
      <c r="S10" s="22"/>
      <c r="T10" s="26"/>
      <c r="U10" s="19"/>
      <c r="V10" s="19"/>
      <c r="W10" s="19">
        <f t="shared" ref="W10:W11" si="11">IF(O10&gt;0,O10,((P10*2.2046*S10)+(Q10+R10)/G10)+V10)</f>
        <v>86</v>
      </c>
      <c r="X10" s="19">
        <f t="shared" ref="X10:X11" si="12">IF(O10&gt;0,O10,((P10*2.2046*S10)+(Q10+R10+T10)/G10)+V10)</f>
        <v>86</v>
      </c>
      <c r="Y10" s="23">
        <f>X10*F10</f>
        <v>1312540.6000000001</v>
      </c>
      <c r="Z10" s="24">
        <v>42667</v>
      </c>
    </row>
    <row r="11" spans="1:26" s="11" customFormat="1" x14ac:dyDescent="0.25">
      <c r="A11" s="59"/>
      <c r="B11" s="12" t="s">
        <v>24</v>
      </c>
      <c r="C11" s="13" t="s">
        <v>29</v>
      </c>
      <c r="D11" s="13" t="s">
        <v>29</v>
      </c>
      <c r="E11" s="14" t="s">
        <v>32</v>
      </c>
      <c r="F11" s="15">
        <f>39730*0.4536</f>
        <v>18021.527999999998</v>
      </c>
      <c r="G11" s="16">
        <v>18113.310000000001</v>
      </c>
      <c r="H11" s="16">
        <f>G11-F11</f>
        <v>91.782000000002881</v>
      </c>
      <c r="I11" s="11" t="s">
        <v>412</v>
      </c>
      <c r="J11" s="17" t="s">
        <v>27</v>
      </c>
      <c r="K11" s="18">
        <v>42646</v>
      </c>
      <c r="L11" s="18">
        <v>42647</v>
      </c>
      <c r="M11" s="13" t="s">
        <v>28</v>
      </c>
      <c r="N11" s="13" t="s">
        <v>413</v>
      </c>
      <c r="O11" s="19"/>
      <c r="P11" s="20">
        <f>0.485+0.1</f>
        <v>0.58499999999999996</v>
      </c>
      <c r="Q11" s="41">
        <v>20000</v>
      </c>
      <c r="R11" s="19">
        <v>9160</v>
      </c>
      <c r="S11" s="22">
        <v>19.25</v>
      </c>
      <c r="T11" s="26">
        <f>W11*F11*0.005</f>
        <v>2391.1339679728649</v>
      </c>
      <c r="V11" s="19">
        <v>0.1</v>
      </c>
      <c r="W11" s="19">
        <f t="shared" si="11"/>
        <v>26.536417644196039</v>
      </c>
      <c r="X11" s="19">
        <f t="shared" si="12"/>
        <v>26.668427418664251</v>
      </c>
      <c r="Y11" s="23">
        <f>X11*F11</f>
        <v>480605.81144142547</v>
      </c>
      <c r="Z11" s="24">
        <v>42657</v>
      </c>
    </row>
    <row r="12" spans="1:26" s="11" customFormat="1" x14ac:dyDescent="0.25">
      <c r="A12" s="59"/>
      <c r="B12" s="12" t="s">
        <v>36</v>
      </c>
      <c r="C12" s="14" t="s">
        <v>37</v>
      </c>
      <c r="D12" s="13" t="s">
        <v>43</v>
      </c>
      <c r="E12" s="14">
        <v>240</v>
      </c>
      <c r="F12" s="15">
        <v>25890</v>
      </c>
      <c r="G12" s="16">
        <f>12950+7730</f>
        <v>20680</v>
      </c>
      <c r="H12" s="16">
        <f t="shared" ref="H12:H15" si="13">G12-F12</f>
        <v>-5210</v>
      </c>
      <c r="I12" s="13" t="s">
        <v>414</v>
      </c>
      <c r="J12" s="14"/>
      <c r="K12" s="18"/>
      <c r="L12" s="18">
        <v>42647</v>
      </c>
      <c r="M12" s="13" t="s">
        <v>28</v>
      </c>
      <c r="N12" s="14"/>
      <c r="O12" s="19">
        <v>27</v>
      </c>
      <c r="P12" s="25"/>
      <c r="Q12" s="41">
        <v>17300</v>
      </c>
      <c r="R12" s="19">
        <f t="shared" ref="R12:R14" si="14">61.75*E12</f>
        <v>14820</v>
      </c>
      <c r="S12" s="22">
        <f t="shared" ref="S12:S14" si="15">-35*E12</f>
        <v>-8400</v>
      </c>
      <c r="T12" s="26">
        <f t="shared" ref="T12" si="16">W12*F12*0.005</f>
        <v>4531.6889506769821</v>
      </c>
      <c r="U12" s="19">
        <f>E12*5</f>
        <v>1200</v>
      </c>
      <c r="V12" s="14"/>
      <c r="W12" s="19">
        <f>((O12*F12)+Q12+R12+S12+U12)/G12</f>
        <v>35.007253384912957</v>
      </c>
      <c r="X12" s="19">
        <f>((O12*F12)+Q12+R12+S12+T12+U12)/G12</f>
        <v>35.226387280013391</v>
      </c>
      <c r="Y12" s="23">
        <f>X12*G12</f>
        <v>728481.68895067694</v>
      </c>
      <c r="Z12" s="24">
        <v>42660</v>
      </c>
    </row>
    <row r="13" spans="1:26" s="11" customFormat="1" x14ac:dyDescent="0.25">
      <c r="A13" s="59"/>
      <c r="B13" s="12" t="s">
        <v>36</v>
      </c>
      <c r="C13" s="14" t="s">
        <v>37</v>
      </c>
      <c r="D13" s="13" t="s">
        <v>185</v>
      </c>
      <c r="E13" s="14">
        <f>200</f>
        <v>200</v>
      </c>
      <c r="F13" s="15">
        <f>20195</f>
        <v>20195</v>
      </c>
      <c r="G13" s="16">
        <f>17590</f>
        <v>17590</v>
      </c>
      <c r="H13" s="16">
        <f t="shared" si="13"/>
        <v>-2605</v>
      </c>
      <c r="I13" s="13" t="s">
        <v>415</v>
      </c>
      <c r="J13" s="38">
        <v>199</v>
      </c>
      <c r="K13" s="18"/>
      <c r="L13" s="18">
        <v>42648</v>
      </c>
      <c r="M13" s="13" t="s">
        <v>39</v>
      </c>
      <c r="N13" s="14"/>
      <c r="O13" s="19">
        <v>27</v>
      </c>
      <c r="P13" s="25"/>
      <c r="Q13" s="41">
        <f>17300</f>
        <v>17300</v>
      </c>
      <c r="R13" s="19">
        <f t="shared" si="14"/>
        <v>12350</v>
      </c>
      <c r="S13" s="22">
        <f t="shared" si="15"/>
        <v>-7000</v>
      </c>
      <c r="T13" s="26">
        <f>W13*F13*0.0045</f>
        <v>2939.2594037805566</v>
      </c>
      <c r="U13" s="19">
        <f>E13*5</f>
        <v>1000</v>
      </c>
      <c r="V13" s="14"/>
      <c r="W13" s="19">
        <f>((O13*F13)+Q13+R13+S13+U13)/G13</f>
        <v>32.34309266628766</v>
      </c>
      <c r="X13" s="19">
        <f>((O13*F13)+Q13+R13+S13+T13+U13)/G13</f>
        <v>32.510190983728286</v>
      </c>
      <c r="Y13" s="23">
        <f>X13*G13</f>
        <v>571854.25940378057</v>
      </c>
      <c r="Z13" s="24">
        <v>42661</v>
      </c>
    </row>
    <row r="14" spans="1:26" s="11" customFormat="1" x14ac:dyDescent="0.25">
      <c r="A14" s="59"/>
      <c r="B14" s="12" t="s">
        <v>36</v>
      </c>
      <c r="C14" s="14" t="s">
        <v>37</v>
      </c>
      <c r="D14" s="13" t="s">
        <v>53</v>
      </c>
      <c r="E14" s="14">
        <v>249</v>
      </c>
      <c r="F14" s="15">
        <v>27830</v>
      </c>
      <c r="G14" s="16">
        <v>20630</v>
      </c>
      <c r="H14" s="16">
        <f t="shared" si="13"/>
        <v>-7200</v>
      </c>
      <c r="I14" s="13" t="s">
        <v>416</v>
      </c>
      <c r="J14" s="38">
        <v>250</v>
      </c>
      <c r="K14" s="18"/>
      <c r="L14" s="18">
        <v>42648</v>
      </c>
      <c r="M14" s="13" t="s">
        <v>39</v>
      </c>
      <c r="N14" s="14"/>
      <c r="O14" s="19">
        <v>27</v>
      </c>
      <c r="P14" s="25"/>
      <c r="Q14" s="41">
        <v>17300</v>
      </c>
      <c r="R14" s="19">
        <f t="shared" si="14"/>
        <v>15375.75</v>
      </c>
      <c r="S14" s="22">
        <f t="shared" si="15"/>
        <v>-8715</v>
      </c>
      <c r="T14" s="26">
        <f>W14*F14*0.0045</f>
        <v>4714.4679326829855</v>
      </c>
      <c r="U14" s="19">
        <f>E14*5</f>
        <v>1245</v>
      </c>
      <c r="V14" s="14"/>
      <c r="W14" s="19">
        <f>((O14*F14)+Q14+R14+S14+U14)/G14</f>
        <v>37.644970916141538</v>
      </c>
      <c r="X14" s="19">
        <f>((O14*F14)+Q14+R14+S14+T14+U14)/G14</f>
        <v>37.87349577957746</v>
      </c>
      <c r="Y14" s="23">
        <f>X14*G14</f>
        <v>781330.21793268307</v>
      </c>
      <c r="Z14" s="24">
        <v>42661</v>
      </c>
    </row>
    <row r="15" spans="1:26" s="11" customFormat="1" x14ac:dyDescent="0.25">
      <c r="A15" s="59"/>
      <c r="B15" s="12" t="s">
        <v>106</v>
      </c>
      <c r="C15" s="14" t="s">
        <v>25</v>
      </c>
      <c r="D15" s="13" t="s">
        <v>55</v>
      </c>
      <c r="E15" s="14" t="s">
        <v>57</v>
      </c>
      <c r="F15" s="15">
        <v>3695.8</v>
      </c>
      <c r="G15" s="16">
        <v>3695.8</v>
      </c>
      <c r="H15" s="16">
        <f t="shared" si="13"/>
        <v>0</v>
      </c>
      <c r="I15" s="13" t="s">
        <v>417</v>
      </c>
      <c r="J15" s="14"/>
      <c r="K15" s="18"/>
      <c r="L15" s="18">
        <v>42648</v>
      </c>
      <c r="M15" s="13" t="s">
        <v>39</v>
      </c>
      <c r="N15" s="14"/>
      <c r="O15" s="19">
        <v>18.5</v>
      </c>
      <c r="P15" s="25"/>
      <c r="Q15" s="19"/>
      <c r="R15" s="19"/>
      <c r="S15" s="22"/>
      <c r="T15" s="26"/>
      <c r="U15" s="19"/>
      <c r="V15" s="19"/>
      <c r="W15" s="19">
        <f t="shared" ref="W15:W16" si="17">IF(O15&gt;0,O15,((P15*2.2046*S15)+(Q15+R15)/G15)+V15)</f>
        <v>18.5</v>
      </c>
      <c r="X15" s="19">
        <f t="shared" ref="X15:X16" si="18">IF(O15&gt;0,O15,((P15*2.2046*S15)+(Q15+R15+T15)/G15)+V15)</f>
        <v>18.5</v>
      </c>
      <c r="Y15" s="23">
        <f t="shared" ref="Y15:Y16" si="19">X15*F15</f>
        <v>68372.3</v>
      </c>
      <c r="Z15" s="24">
        <v>42655</v>
      </c>
    </row>
    <row r="16" spans="1:26" s="11" customFormat="1" x14ac:dyDescent="0.25">
      <c r="A16" s="59"/>
      <c r="B16" s="12" t="s">
        <v>24</v>
      </c>
      <c r="C16" s="13" t="s">
        <v>25</v>
      </c>
      <c r="D16" s="13" t="s">
        <v>25</v>
      </c>
      <c r="E16" s="14" t="s">
        <v>26</v>
      </c>
      <c r="F16" s="15">
        <f>42949*0.4536</f>
        <v>19481.666400000002</v>
      </c>
      <c r="G16" s="16">
        <v>19339.72</v>
      </c>
      <c r="H16" s="16">
        <f>G16-F16</f>
        <v>-141.94640000000072</v>
      </c>
      <c r="I16" s="11" t="s">
        <v>418</v>
      </c>
      <c r="J16" s="17" t="s">
        <v>27</v>
      </c>
      <c r="K16" s="18">
        <v>42648</v>
      </c>
      <c r="L16" s="18">
        <v>42649</v>
      </c>
      <c r="M16" s="13" t="s">
        <v>41</v>
      </c>
      <c r="N16" s="13" t="s">
        <v>419</v>
      </c>
      <c r="O16" s="19"/>
      <c r="P16" s="20">
        <f>0.504+0.105</f>
        <v>0.60899999999999999</v>
      </c>
      <c r="Q16" s="41">
        <v>20000</v>
      </c>
      <c r="R16" s="19">
        <v>9147</v>
      </c>
      <c r="S16" s="22">
        <v>19.760000000000002</v>
      </c>
      <c r="T16" s="26">
        <f>W16*F16*0.005</f>
        <v>2740.7693974578892</v>
      </c>
      <c r="V16" s="19">
        <v>0.1</v>
      </c>
      <c r="W16" s="19">
        <f t="shared" si="17"/>
        <v>28.136909247741652</v>
      </c>
      <c r="X16" s="19">
        <f t="shared" si="18"/>
        <v>28.278626366575732</v>
      </c>
      <c r="Y16" s="23">
        <f t="shared" si="19"/>
        <v>550914.76512387255</v>
      </c>
      <c r="Z16" s="24">
        <v>42642</v>
      </c>
    </row>
    <row r="17" spans="1:26" s="11" customFormat="1" x14ac:dyDescent="0.25">
      <c r="A17" s="59"/>
      <c r="B17" s="12" t="s">
        <v>36</v>
      </c>
      <c r="C17" s="14" t="s">
        <v>37</v>
      </c>
      <c r="D17" s="13" t="s">
        <v>53</v>
      </c>
      <c r="E17" s="14">
        <v>230</v>
      </c>
      <c r="F17" s="15">
        <v>26080</v>
      </c>
      <c r="G17" s="16">
        <v>20810</v>
      </c>
      <c r="H17" s="16">
        <f t="shared" ref="H17:H18" si="20">G17-F17</f>
        <v>-5270</v>
      </c>
      <c r="I17" s="13" t="s">
        <v>420</v>
      </c>
      <c r="J17" s="14"/>
      <c r="K17" s="18"/>
      <c r="L17" s="18">
        <v>42649</v>
      </c>
      <c r="M17" s="13" t="s">
        <v>41</v>
      </c>
      <c r="N17" s="14"/>
      <c r="O17" s="19">
        <v>27</v>
      </c>
      <c r="P17" s="25"/>
      <c r="Q17" s="41">
        <v>17300</v>
      </c>
      <c r="R17" s="19">
        <f t="shared" ref="R17:R18" si="21">61.75*E17</f>
        <v>14202.5</v>
      </c>
      <c r="S17" s="22">
        <f t="shared" ref="S17:S18" si="22">-35*E17</f>
        <v>-8050</v>
      </c>
      <c r="T17" s="26">
        <f t="shared" ref="T17:T18" si="23">W17*F17*0.0045</f>
        <v>4109.9263334935122</v>
      </c>
      <c r="U17" s="19">
        <f t="shared" ref="U17:U18" si="24">E17*5</f>
        <v>1150</v>
      </c>
      <c r="V17" s="14"/>
      <c r="W17" s="19">
        <f t="shared" ref="W17:W18" si="25">((O17*F17)+Q17+R17+S17+U17)/G17</f>
        <v>35.019822200864972</v>
      </c>
      <c r="X17" s="19">
        <f t="shared" ref="X17:X18" si="26">((O17*F17)+Q17+R17+S17+T17+U17)/G17</f>
        <v>35.217319862253412</v>
      </c>
      <c r="Y17" s="23">
        <f t="shared" ref="Y17:Y18" si="27">X17*G17</f>
        <v>732872.42633349355</v>
      </c>
      <c r="Z17" s="24">
        <v>42662</v>
      </c>
    </row>
    <row r="18" spans="1:26" s="11" customFormat="1" x14ac:dyDescent="0.25">
      <c r="A18" s="59"/>
      <c r="B18" s="12" t="s">
        <v>36</v>
      </c>
      <c r="C18" s="14" t="s">
        <v>37</v>
      </c>
      <c r="D18" s="13" t="s">
        <v>43</v>
      </c>
      <c r="E18" s="14">
        <v>130</v>
      </c>
      <c r="F18" s="15">
        <v>14245</v>
      </c>
      <c r="G18" s="16">
        <v>11370</v>
      </c>
      <c r="H18" s="16">
        <f t="shared" si="20"/>
        <v>-2875</v>
      </c>
      <c r="I18" s="13" t="s">
        <v>421</v>
      </c>
      <c r="J18" s="14"/>
      <c r="K18" s="18"/>
      <c r="L18" s="18">
        <v>42649</v>
      </c>
      <c r="M18" s="13" t="s">
        <v>41</v>
      </c>
      <c r="N18" s="14"/>
      <c r="O18" s="19">
        <v>27</v>
      </c>
      <c r="P18" s="25"/>
      <c r="Q18" s="41">
        <v>13600</v>
      </c>
      <c r="R18" s="19">
        <f t="shared" si="21"/>
        <v>8027.5</v>
      </c>
      <c r="S18" s="22">
        <f t="shared" si="22"/>
        <v>-4550</v>
      </c>
      <c r="T18" s="26">
        <f t="shared" si="23"/>
        <v>2268.3518123350923</v>
      </c>
      <c r="U18" s="19">
        <f t="shared" si="24"/>
        <v>650</v>
      </c>
      <c r="V18" s="14"/>
      <c r="W18" s="19">
        <f t="shared" si="25"/>
        <v>35.386323658751103</v>
      </c>
      <c r="X18" s="19">
        <f t="shared" si="26"/>
        <v>35.585826896423491</v>
      </c>
      <c r="Y18" s="23">
        <f t="shared" si="27"/>
        <v>404610.85181233508</v>
      </c>
      <c r="Z18" s="24">
        <v>42662</v>
      </c>
    </row>
    <row r="19" spans="1:26" s="11" customFormat="1" x14ac:dyDescent="0.25">
      <c r="A19" s="59"/>
      <c r="B19" s="12" t="s">
        <v>24</v>
      </c>
      <c r="C19" s="13" t="s">
        <v>25</v>
      </c>
      <c r="D19" s="13" t="s">
        <v>25</v>
      </c>
      <c r="E19" s="14" t="s">
        <v>26</v>
      </c>
      <c r="F19" s="15">
        <f>42348*0.4536</f>
        <v>19209.052800000001</v>
      </c>
      <c r="G19" s="16">
        <v>19104.259999999998</v>
      </c>
      <c r="H19" s="16">
        <f>G19-F19</f>
        <v>-104.7928000000029</v>
      </c>
      <c r="I19" s="11" t="s">
        <v>422</v>
      </c>
      <c r="J19" s="17" t="s">
        <v>27</v>
      </c>
      <c r="K19" s="18">
        <v>42649</v>
      </c>
      <c r="L19" s="18">
        <v>42650</v>
      </c>
      <c r="M19" s="13" t="s">
        <v>44</v>
      </c>
      <c r="N19" s="13" t="s">
        <v>423</v>
      </c>
      <c r="O19" s="19"/>
      <c r="P19" s="20">
        <f>0.4771+0.105</f>
        <v>0.58210000000000006</v>
      </c>
      <c r="Q19" s="41">
        <v>20000</v>
      </c>
      <c r="R19" s="19">
        <v>9147</v>
      </c>
      <c r="S19" s="22">
        <v>19.762</v>
      </c>
      <c r="T19" s="26">
        <f>W19*F19*0.005</f>
        <v>2591.8975693610505</v>
      </c>
      <c r="V19" s="19">
        <v>0.1</v>
      </c>
      <c r="W19" s="19">
        <f t="shared" ref="W19" si="28">IF(O19&gt;0,O19,((P19*2.2046*S19)+(Q19+R19)/G19)+V19)</f>
        <v>26.986209016626269</v>
      </c>
      <c r="X19" s="19">
        <f t="shared" ref="X19" si="29">IF(O19&gt;0,O19,((P19*2.2046*S19)+(Q19+R19+T19)/G19)+V19)</f>
        <v>27.121880200402089</v>
      </c>
      <c r="Y19" s="23">
        <f t="shared" ref="Y19" si="30">X19*F19</f>
        <v>520985.62880479835</v>
      </c>
      <c r="Z19" s="24">
        <v>42643</v>
      </c>
    </row>
    <row r="20" spans="1:26" s="11" customFormat="1" x14ac:dyDescent="0.25">
      <c r="A20" s="59"/>
      <c r="B20" s="12" t="s">
        <v>36</v>
      </c>
      <c r="C20" s="14" t="s">
        <v>37</v>
      </c>
      <c r="D20" s="13" t="s">
        <v>53</v>
      </c>
      <c r="E20" s="14">
        <v>200</v>
      </c>
      <c r="F20" s="15">
        <v>22580</v>
      </c>
      <c r="G20" s="16">
        <v>18040</v>
      </c>
      <c r="H20" s="16">
        <f t="shared" ref="H20:H21" si="31">G20-F20</f>
        <v>-4540</v>
      </c>
      <c r="I20" s="13" t="s">
        <v>424</v>
      </c>
      <c r="J20" s="14"/>
      <c r="K20" s="18"/>
      <c r="L20" s="18">
        <v>42650</v>
      </c>
      <c r="M20" s="13" t="s">
        <v>44</v>
      </c>
      <c r="N20" s="14"/>
      <c r="O20" s="19">
        <v>27</v>
      </c>
      <c r="P20" s="25"/>
      <c r="Q20" s="41">
        <v>17300</v>
      </c>
      <c r="R20" s="19">
        <f t="shared" ref="R20:R21" si="32">61.75*E20</f>
        <v>12350</v>
      </c>
      <c r="S20" s="22">
        <f>-35*E20</f>
        <v>-7000</v>
      </c>
      <c r="T20" s="26">
        <f>W20*F20*0.0045</f>
        <v>3567.108043237251</v>
      </c>
      <c r="U20" s="19">
        <f>E20*5</f>
        <v>1000</v>
      </c>
      <c r="V20" s="14"/>
      <c r="W20" s="19">
        <f>((O20*F20)+Q20+R20+S20+U20)/G20</f>
        <v>35.105875831485591</v>
      </c>
      <c r="X20" s="19">
        <f>((O20*F20)+Q20+R20+S20+T20+U20)/G20</f>
        <v>35.30360909330583</v>
      </c>
      <c r="Y20" s="23">
        <f t="shared" ref="Y20:Y21" si="33">X20*G20</f>
        <v>636877.10804323712</v>
      </c>
      <c r="Z20" s="24">
        <v>42663</v>
      </c>
    </row>
    <row r="21" spans="1:26" s="11" customFormat="1" x14ac:dyDescent="0.25">
      <c r="A21" s="59"/>
      <c r="B21" s="12" t="s">
        <v>36</v>
      </c>
      <c r="C21" s="14" t="s">
        <v>37</v>
      </c>
      <c r="D21" s="13" t="s">
        <v>53</v>
      </c>
      <c r="E21" s="14">
        <v>130</v>
      </c>
      <c r="F21" s="15">
        <v>14615</v>
      </c>
      <c r="G21" s="16">
        <v>11930</v>
      </c>
      <c r="H21" s="16">
        <f t="shared" si="31"/>
        <v>-2685</v>
      </c>
      <c r="I21" s="13" t="s">
        <v>425</v>
      </c>
      <c r="J21" s="14"/>
      <c r="K21" s="18"/>
      <c r="L21" s="18">
        <v>42650</v>
      </c>
      <c r="M21" s="13" t="s">
        <v>44</v>
      </c>
      <c r="N21" s="14"/>
      <c r="O21" s="19">
        <v>27</v>
      </c>
      <c r="P21" s="25"/>
      <c r="Q21" s="41">
        <v>13600</v>
      </c>
      <c r="R21" s="19">
        <f t="shared" si="32"/>
        <v>8027.5</v>
      </c>
      <c r="S21" s="22">
        <f>-35*E21</f>
        <v>-4550</v>
      </c>
      <c r="T21" s="26">
        <f>W21*F21*0.0045</f>
        <v>2273.0995552179374</v>
      </c>
      <c r="U21" s="19">
        <f>E21*5</f>
        <v>650</v>
      </c>
      <c r="V21" s="14"/>
      <c r="W21" s="19">
        <f>((O21*F21)+Q21+R21+S21+U21)/G21</f>
        <v>34.562657166806368</v>
      </c>
      <c r="X21" s="19">
        <f>((O21*F21)+Q21+R21+S21+T21+U21)/G21</f>
        <v>34.753193592222793</v>
      </c>
      <c r="Y21" s="23">
        <f t="shared" si="33"/>
        <v>414605.59955521789</v>
      </c>
      <c r="Z21" s="24">
        <v>42663</v>
      </c>
    </row>
    <row r="22" spans="1:26" s="11" customFormat="1" x14ac:dyDescent="0.25">
      <c r="A22" s="59"/>
      <c r="B22" s="12" t="s">
        <v>24</v>
      </c>
      <c r="C22" s="13" t="s">
        <v>29</v>
      </c>
      <c r="D22" s="13" t="s">
        <v>29</v>
      </c>
      <c r="E22" s="14" t="s">
        <v>32</v>
      </c>
      <c r="F22" s="15">
        <f>40730*0.4536</f>
        <v>18475.128000000001</v>
      </c>
      <c r="G22" s="16">
        <v>18440.13</v>
      </c>
      <c r="H22" s="16">
        <f>G22-F22</f>
        <v>-34.997999999999593</v>
      </c>
      <c r="I22" s="11" t="s">
        <v>426</v>
      </c>
      <c r="J22" s="17" t="s">
        <v>27</v>
      </c>
      <c r="K22" s="18">
        <v>42650</v>
      </c>
      <c r="L22" s="18">
        <v>42651</v>
      </c>
      <c r="M22" s="13" t="s">
        <v>47</v>
      </c>
      <c r="N22" s="13" t="s">
        <v>427</v>
      </c>
      <c r="O22" s="19"/>
      <c r="P22" s="20">
        <f>0.4771+0.1</f>
        <v>0.57710000000000006</v>
      </c>
      <c r="Q22" s="41">
        <v>20000</v>
      </c>
      <c r="R22" s="19">
        <v>9147</v>
      </c>
      <c r="S22" s="22">
        <v>19.253</v>
      </c>
      <c r="T22" s="26">
        <f>W22*F22*0.005</f>
        <v>2418.0000697720639</v>
      </c>
      <c r="V22" s="19">
        <v>0.1</v>
      </c>
      <c r="W22" s="19">
        <f>IF(O22&gt;0,O22,((P22*2.2046*S22)+(Q22+R22)/G22)+V22)</f>
        <v>26.175732798950715</v>
      </c>
      <c r="X22" s="19">
        <f>IF(O22&gt;0,O22,((P22*2.2046*S22)+(Q22+R22+T22)/G22)+V22)</f>
        <v>26.306859860949302</v>
      </c>
      <c r="Y22" s="23">
        <f>X22*F22</f>
        <v>486022.60320910061</v>
      </c>
      <c r="Z22" s="24">
        <v>42662</v>
      </c>
    </row>
    <row r="23" spans="1:26" s="11" customFormat="1" ht="15.75" thickBot="1" x14ac:dyDescent="0.3">
      <c r="A23" s="59"/>
      <c r="B23" s="27"/>
      <c r="C23" s="3"/>
      <c r="D23" s="3"/>
      <c r="E23" s="3"/>
      <c r="F23" s="28"/>
      <c r="G23" s="28"/>
      <c r="H23" s="28"/>
      <c r="I23" s="5"/>
      <c r="J23" s="3"/>
      <c r="K23" s="6"/>
      <c r="L23" s="6"/>
      <c r="M23" s="3"/>
      <c r="N23" s="3"/>
      <c r="O23" s="7"/>
      <c r="P23" s="8"/>
      <c r="Q23" s="7"/>
      <c r="R23" s="7"/>
      <c r="S23" s="7"/>
      <c r="T23" s="7"/>
      <c r="U23" s="7"/>
      <c r="V23" s="7"/>
      <c r="W23" s="7"/>
      <c r="X23" s="7"/>
      <c r="Y23" s="10"/>
      <c r="Z23" s="29"/>
    </row>
    <row r="24" spans="1:26" s="11" customFormat="1" x14ac:dyDescent="0.25">
      <c r="A24" s="46"/>
      <c r="B24" s="14" t="s">
        <v>36</v>
      </c>
      <c r="C24" s="14" t="s">
        <v>37</v>
      </c>
      <c r="D24" s="13" t="s">
        <v>428</v>
      </c>
      <c r="E24" s="14">
        <f>240+20</f>
        <v>260</v>
      </c>
      <c r="F24" s="15">
        <f>26305+2320</f>
        <v>28625</v>
      </c>
      <c r="G24" s="16">
        <f>16700+6010</f>
        <v>22710</v>
      </c>
      <c r="H24" s="16">
        <f t="shared" ref="H24:H26" si="34">G24-F24</f>
        <v>-5915</v>
      </c>
      <c r="I24" s="13" t="s">
        <v>429</v>
      </c>
      <c r="J24" s="14"/>
      <c r="K24" s="18"/>
      <c r="L24" s="18">
        <v>42652</v>
      </c>
      <c r="M24" s="13" t="s">
        <v>48</v>
      </c>
      <c r="N24" s="14"/>
      <c r="O24" s="19">
        <v>27</v>
      </c>
      <c r="P24" s="25"/>
      <c r="Q24" s="41">
        <v>17300</v>
      </c>
      <c r="R24" s="19">
        <f t="shared" ref="R24:R26" si="35">61.75*E24</f>
        <v>16055</v>
      </c>
      <c r="S24" s="22">
        <f>-35*E24</f>
        <v>-9100</v>
      </c>
      <c r="T24" s="26">
        <f>W24*F24*0.0045</f>
        <v>4528.7434775429329</v>
      </c>
      <c r="U24" s="19">
        <f>E24*5</f>
        <v>1300</v>
      </c>
      <c r="V24" s="14"/>
      <c r="W24" s="19">
        <f>((O24*F24)+Q24+R24+S24+U24)/G24</f>
        <v>35.157639806252753</v>
      </c>
      <c r="X24" s="19">
        <f>((O24*F24)+Q24+R24+S24+T24+U24)/G24</f>
        <v>35.357056075629366</v>
      </c>
      <c r="Y24" s="23">
        <f>X24*G24</f>
        <v>802958.74347754288</v>
      </c>
      <c r="Z24" s="24">
        <v>42667</v>
      </c>
    </row>
    <row r="25" spans="1:26" s="11" customFormat="1" x14ac:dyDescent="0.25">
      <c r="A25" s="46"/>
      <c r="B25" s="12" t="s">
        <v>106</v>
      </c>
      <c r="C25" s="14" t="s">
        <v>25</v>
      </c>
      <c r="D25" s="13" t="s">
        <v>55</v>
      </c>
      <c r="E25" s="14" t="s">
        <v>313</v>
      </c>
      <c r="F25" s="15">
        <f>950.7+898.1+914.4</f>
        <v>2763.2000000000003</v>
      </c>
      <c r="G25" s="16">
        <v>2720.6</v>
      </c>
      <c r="H25" s="60">
        <f t="shared" si="34"/>
        <v>-42.600000000000364</v>
      </c>
      <c r="I25" s="13"/>
      <c r="J25" s="14"/>
      <c r="K25" s="18"/>
      <c r="L25" s="18">
        <v>42653</v>
      </c>
      <c r="M25" s="13" t="s">
        <v>49</v>
      </c>
      <c r="N25" s="14"/>
      <c r="O25" s="19">
        <v>18.5</v>
      </c>
      <c r="P25" s="25"/>
      <c r="Q25" s="19"/>
      <c r="R25" s="19"/>
      <c r="S25" s="22"/>
      <c r="T25" s="26"/>
      <c r="U25" s="19"/>
      <c r="V25" s="19"/>
      <c r="W25" s="19">
        <f t="shared" ref="W25" si="36">IF(O25&gt;0,O25,((P25*2.2046*S25)+(Q25+R25)/G25)+V25)</f>
        <v>18.5</v>
      </c>
      <c r="X25" s="19">
        <f t="shared" ref="X25" si="37">IF(O25&gt;0,O25,((P25*2.2046*S25)+(Q25+R25+T25)/G25)+V25)</f>
        <v>18.5</v>
      </c>
      <c r="Y25" s="23">
        <f>X25*F25</f>
        <v>51119.200000000004</v>
      </c>
      <c r="Z25" s="24">
        <v>42660</v>
      </c>
    </row>
    <row r="26" spans="1:26" s="11" customFormat="1" x14ac:dyDescent="0.25">
      <c r="A26" s="46"/>
      <c r="B26" s="12" t="s">
        <v>36</v>
      </c>
      <c r="C26" s="14" t="s">
        <v>37</v>
      </c>
      <c r="D26" s="13" t="s">
        <v>53</v>
      </c>
      <c r="E26" s="14">
        <v>250</v>
      </c>
      <c r="F26" s="15">
        <v>26880</v>
      </c>
      <c r="G26" s="16">
        <f>17190+4500</f>
        <v>21690</v>
      </c>
      <c r="H26" s="16">
        <f t="shared" si="34"/>
        <v>-5190</v>
      </c>
      <c r="I26" s="13" t="s">
        <v>430</v>
      </c>
      <c r="J26" s="14"/>
      <c r="K26" s="18"/>
      <c r="L26" s="18">
        <v>42653</v>
      </c>
      <c r="M26" s="13" t="s">
        <v>49</v>
      </c>
      <c r="N26" s="14"/>
      <c r="O26" s="19">
        <v>27</v>
      </c>
      <c r="P26" s="25"/>
      <c r="Q26" s="41">
        <v>17300</v>
      </c>
      <c r="R26" s="19">
        <f t="shared" si="35"/>
        <v>15437.5</v>
      </c>
      <c r="S26" s="22">
        <f t="shared" ref="S26" si="38">-35*E26</f>
        <v>-8750</v>
      </c>
      <c r="T26" s="26">
        <f>W26*F26*0.0045</f>
        <v>4188.1354356846468</v>
      </c>
      <c r="U26" s="19">
        <f>E26*5</f>
        <v>1250</v>
      </c>
      <c r="V26" s="14"/>
      <c r="W26" s="19">
        <f>((O26*F26)+Q26+R26+S26+U26)/G26</f>
        <v>34.624135546334713</v>
      </c>
      <c r="X26" s="19">
        <f>((O26*F26)+Q26+R26+S26+T26+U26)/G26</f>
        <v>34.817226161165728</v>
      </c>
      <c r="Y26" s="23">
        <f>X26*G26</f>
        <v>755185.63543568458</v>
      </c>
      <c r="Z26" s="24">
        <v>42667</v>
      </c>
    </row>
    <row r="27" spans="1:26" s="11" customFormat="1" x14ac:dyDescent="0.25">
      <c r="A27" s="46"/>
      <c r="B27" s="12" t="s">
        <v>24</v>
      </c>
      <c r="C27" s="13" t="s">
        <v>29</v>
      </c>
      <c r="D27" s="13" t="s">
        <v>29</v>
      </c>
      <c r="E27" s="14" t="s">
        <v>26</v>
      </c>
      <c r="F27" s="15">
        <f>41652*0.4536</f>
        <v>18893.3472</v>
      </c>
      <c r="G27" s="16">
        <v>18847.099999999999</v>
      </c>
      <c r="H27" s="16">
        <f>G27-F27</f>
        <v>-46.247200000001612</v>
      </c>
      <c r="I27" s="11" t="s">
        <v>431</v>
      </c>
      <c r="J27" s="17" t="s">
        <v>27</v>
      </c>
      <c r="K27" s="18">
        <v>42653</v>
      </c>
      <c r="L27" s="18">
        <v>42654</v>
      </c>
      <c r="M27" s="13" t="s">
        <v>28</v>
      </c>
      <c r="N27" s="13" t="s">
        <v>432</v>
      </c>
      <c r="O27" s="19"/>
      <c r="P27" s="20">
        <f>0.4758+0.1</f>
        <v>0.57579999999999998</v>
      </c>
      <c r="Q27" s="41">
        <v>20000</v>
      </c>
      <c r="R27" s="19">
        <v>9114.5</v>
      </c>
      <c r="S27" s="22">
        <v>18.97</v>
      </c>
      <c r="T27" s="26">
        <f>W27*F27*0.005</f>
        <v>2430.1998723415049</v>
      </c>
      <c r="V27" s="19">
        <v>0.1</v>
      </c>
      <c r="W27" s="19">
        <f t="shared" ref="W27:W28" si="39">IF(O27&gt;0,O27,((P27*2.2046*S27)+(Q27+R27)/G27)+V27)</f>
        <v>25.725456126074945</v>
      </c>
      <c r="X27" s="19">
        <f t="shared" ref="X27:X28" si="40">IF(O27&gt;0,O27,((P27*2.2046*S27)+(Q27+R27+T27)/G27)+V27)</f>
        <v>25.854399033596078</v>
      </c>
      <c r="Y27" s="23">
        <f>X27*F27</f>
        <v>488476.1375890752</v>
      </c>
      <c r="Z27" s="24">
        <v>42664</v>
      </c>
    </row>
    <row r="28" spans="1:26" s="11" customFormat="1" x14ac:dyDescent="0.25">
      <c r="A28" s="46"/>
      <c r="B28" s="12" t="s">
        <v>24</v>
      </c>
      <c r="C28" s="13" t="s">
        <v>25</v>
      </c>
      <c r="D28" s="13" t="s">
        <v>25</v>
      </c>
      <c r="E28" s="14" t="s">
        <v>26</v>
      </c>
      <c r="F28" s="15">
        <f>41999*0.4536</f>
        <v>19050.7464</v>
      </c>
      <c r="G28" s="16">
        <v>18907.41</v>
      </c>
      <c r="H28" s="16">
        <f>G28-F28</f>
        <v>-143.33640000000014</v>
      </c>
      <c r="I28" s="11" t="s">
        <v>433</v>
      </c>
      <c r="J28" s="17" t="s">
        <v>27</v>
      </c>
      <c r="K28" s="18">
        <v>42653</v>
      </c>
      <c r="L28" s="18">
        <v>42654</v>
      </c>
      <c r="M28" s="13" t="s">
        <v>28</v>
      </c>
      <c r="N28" s="13" t="s">
        <v>434</v>
      </c>
      <c r="O28" s="19"/>
      <c r="P28" s="20">
        <f>0.4758+0.105</f>
        <v>0.58079999999999998</v>
      </c>
      <c r="Q28" s="41">
        <v>20000</v>
      </c>
      <c r="R28" s="19">
        <v>9114.5</v>
      </c>
      <c r="S28" s="22">
        <v>19.25</v>
      </c>
      <c r="T28" s="26">
        <f>W28*F28*0.005</f>
        <v>2504.044952876226</v>
      </c>
      <c r="V28" s="19">
        <v>0.1</v>
      </c>
      <c r="W28" s="19">
        <f t="shared" si="39"/>
        <v>26.288155858042664</v>
      </c>
      <c r="X28" s="19">
        <f t="shared" si="40"/>
        <v>26.420593085186741</v>
      </c>
      <c r="Y28" s="23">
        <f t="shared" ref="Y28" si="41">X28*F28</f>
        <v>503332.01860348618</v>
      </c>
      <c r="Z28" s="24">
        <v>42648</v>
      </c>
    </row>
    <row r="29" spans="1:26" s="11" customFormat="1" x14ac:dyDescent="0.25">
      <c r="A29" s="46"/>
      <c r="B29" s="12" t="s">
        <v>36</v>
      </c>
      <c r="C29" s="14" t="s">
        <v>37</v>
      </c>
      <c r="D29" s="13" t="s">
        <v>50</v>
      </c>
      <c r="E29" s="14">
        <v>200</v>
      </c>
      <c r="F29" s="15">
        <v>21010</v>
      </c>
      <c r="G29" s="16">
        <f>12510+4210</f>
        <v>16720</v>
      </c>
      <c r="H29" s="16">
        <f t="shared" ref="H29" si="42">G29-F29</f>
        <v>-4290</v>
      </c>
      <c r="I29" s="13" t="s">
        <v>435</v>
      </c>
      <c r="J29" s="14"/>
      <c r="K29" s="18"/>
      <c r="L29" s="18">
        <v>42654</v>
      </c>
      <c r="M29" s="13" t="s">
        <v>28</v>
      </c>
      <c r="N29" s="14"/>
      <c r="O29" s="19">
        <v>27</v>
      </c>
      <c r="P29" s="25"/>
      <c r="Q29" s="41">
        <v>17300</v>
      </c>
      <c r="R29" s="19">
        <f t="shared" ref="R29" si="43">61.75*E29</f>
        <v>12350</v>
      </c>
      <c r="S29" s="22">
        <f t="shared" ref="S29" si="44">-35*E29</f>
        <v>-7000</v>
      </c>
      <c r="T29" s="26">
        <f t="shared" ref="T29" si="45">W29*F29*0.005</f>
        <v>3712.6881578947373</v>
      </c>
      <c r="U29" s="19">
        <f>E29*5</f>
        <v>1000</v>
      </c>
      <c r="V29" s="14"/>
      <c r="W29" s="19">
        <f>((O29*F29)+Q29+R29+S29+U29)/G29</f>
        <v>35.342105263157897</v>
      </c>
      <c r="X29" s="19">
        <f>((O29*F29)+Q29+R29+S29+T29+U29)/G29</f>
        <v>35.564155990304712</v>
      </c>
      <c r="Y29" s="23">
        <f>X29*G29</f>
        <v>594632.68815789477</v>
      </c>
      <c r="Z29" s="24">
        <v>42667</v>
      </c>
    </row>
    <row r="30" spans="1:26" s="11" customFormat="1" x14ac:dyDescent="0.25">
      <c r="A30" s="46"/>
      <c r="B30" s="12" t="s">
        <v>24</v>
      </c>
      <c r="C30" s="13" t="s">
        <v>25</v>
      </c>
      <c r="D30" s="13" t="s">
        <v>25</v>
      </c>
      <c r="E30" s="14" t="s">
        <v>26</v>
      </c>
      <c r="F30" s="15">
        <f>41964*0.4536</f>
        <v>19034.8704</v>
      </c>
      <c r="G30" s="16">
        <v>18862.419999999998</v>
      </c>
      <c r="H30" s="16">
        <f>G30-F30</f>
        <v>-172.45040000000154</v>
      </c>
      <c r="I30" s="11" t="s">
        <v>436</v>
      </c>
      <c r="J30" s="17" t="s">
        <v>33</v>
      </c>
      <c r="K30" s="18">
        <v>42655</v>
      </c>
      <c r="L30" s="18">
        <v>42656</v>
      </c>
      <c r="M30" s="13" t="s">
        <v>41</v>
      </c>
      <c r="N30" s="13" t="s">
        <v>434</v>
      </c>
      <c r="O30" s="19"/>
      <c r="P30" s="20">
        <f>0.4758+0.105</f>
        <v>0.58079999999999998</v>
      </c>
      <c r="Q30" s="41">
        <v>20000</v>
      </c>
      <c r="R30" s="19">
        <v>9114.5</v>
      </c>
      <c r="S30" s="22">
        <v>19.25</v>
      </c>
      <c r="T30" s="26">
        <f>W30*F30*0.005</f>
        <v>2502.3077542948872</v>
      </c>
      <c r="V30" s="19">
        <v>0.1</v>
      </c>
      <c r="W30" s="19">
        <f t="shared" ref="W30" si="46">IF(O30&gt;0,O30,((P30*2.2046*S30)+(Q30+R30)/G30)+V30)</f>
        <v>26.291828646176516</v>
      </c>
      <c r="X30" s="19">
        <f t="shared" ref="X30" si="47">IF(O30&gt;0,O30,((P30*2.2046*S30)+(Q30+R30+T30)/G30)+V30)</f>
        <v>26.424489659678223</v>
      </c>
      <c r="Y30" s="23">
        <f t="shared" ref="Y30" si="48">X30*F30</f>
        <v>502986.73605811509</v>
      </c>
      <c r="Z30" s="24">
        <v>42648</v>
      </c>
    </row>
    <row r="31" spans="1:26" s="11" customFormat="1" x14ac:dyDescent="0.25">
      <c r="A31" s="46"/>
      <c r="B31" s="12" t="s">
        <v>36</v>
      </c>
      <c r="C31" s="14" t="s">
        <v>37</v>
      </c>
      <c r="D31" s="13" t="s">
        <v>43</v>
      </c>
      <c r="E31" s="14">
        <f>230</f>
        <v>230</v>
      </c>
      <c r="F31" s="15">
        <f>26465</f>
        <v>26465</v>
      </c>
      <c r="G31" s="16">
        <f>17020</f>
        <v>17020</v>
      </c>
      <c r="H31" s="16">
        <f t="shared" ref="H31:H32" si="49">G31-F31</f>
        <v>-9445</v>
      </c>
      <c r="I31" s="11" t="s">
        <v>437</v>
      </c>
      <c r="J31" s="38">
        <v>200</v>
      </c>
      <c r="K31" s="18"/>
      <c r="L31" s="18">
        <v>42655</v>
      </c>
      <c r="M31" s="13" t="s">
        <v>39</v>
      </c>
      <c r="N31" s="14"/>
      <c r="O31" s="19">
        <v>27</v>
      </c>
      <c r="P31" s="25"/>
      <c r="Q31" s="41">
        <f>17300</f>
        <v>17300</v>
      </c>
      <c r="R31" s="19">
        <f t="shared" ref="R31:R32" si="50">61.75*E31</f>
        <v>14202.5</v>
      </c>
      <c r="S31" s="22">
        <f t="shared" ref="S31:S32" si="51">-35*E31</f>
        <v>-8050</v>
      </c>
      <c r="T31" s="26">
        <f>W31*F31*0.0045</f>
        <v>5172.039633886604</v>
      </c>
      <c r="U31" s="19">
        <f>E31*5</f>
        <v>1150</v>
      </c>
      <c r="V31" s="14"/>
      <c r="W31" s="19">
        <f>((O31*F31)+Q31+R31+S31+U31)/G31</f>
        <v>43.428760282021152</v>
      </c>
      <c r="X31" s="19">
        <f>((O31*F31)+Q31+R31+S31+T31+U31)/G31</f>
        <v>43.732640401520953</v>
      </c>
      <c r="Y31" s="23">
        <f>X31*G31</f>
        <v>744329.53963388666</v>
      </c>
      <c r="Z31" s="24">
        <v>42668</v>
      </c>
    </row>
    <row r="32" spans="1:26" s="11" customFormat="1" x14ac:dyDescent="0.25">
      <c r="A32" s="46"/>
      <c r="B32" s="12" t="s">
        <v>36</v>
      </c>
      <c r="C32" s="14" t="s">
        <v>37</v>
      </c>
      <c r="D32" s="13" t="s">
        <v>53</v>
      </c>
      <c r="E32" s="14">
        <v>100</v>
      </c>
      <c r="F32" s="15">
        <v>9895</v>
      </c>
      <c r="G32" s="16">
        <v>11950</v>
      </c>
      <c r="H32" s="16">
        <f t="shared" si="49"/>
        <v>2055</v>
      </c>
      <c r="I32" s="11" t="s">
        <v>438</v>
      </c>
      <c r="J32" s="38">
        <v>130</v>
      </c>
      <c r="K32" s="18"/>
      <c r="L32" s="18">
        <v>42655</v>
      </c>
      <c r="M32" s="13" t="s">
        <v>39</v>
      </c>
      <c r="N32" s="14"/>
      <c r="O32" s="19">
        <v>27</v>
      </c>
      <c r="P32" s="25"/>
      <c r="Q32" s="41">
        <v>13600</v>
      </c>
      <c r="R32" s="19">
        <f t="shared" si="50"/>
        <v>6175</v>
      </c>
      <c r="S32" s="22">
        <f t="shared" si="51"/>
        <v>-3500</v>
      </c>
      <c r="T32" s="26">
        <f>W32*F32*0.0045</f>
        <v>1058.0032092050208</v>
      </c>
      <c r="U32" s="19">
        <f>E32*5</f>
        <v>500</v>
      </c>
      <c r="V32" s="14"/>
      <c r="W32" s="19">
        <f>((O32*F32)+Q32+R32+S32+U32)/G32</f>
        <v>23.760669456066946</v>
      </c>
      <c r="X32" s="19">
        <f>((O32*F32)+Q32+R32+S32+T32+U32)/G32</f>
        <v>23.849205289473222</v>
      </c>
      <c r="Y32" s="23">
        <f>X32*G32</f>
        <v>284998.003209205</v>
      </c>
      <c r="Z32" s="24">
        <v>42668</v>
      </c>
    </row>
    <row r="33" spans="1:26" s="11" customFormat="1" x14ac:dyDescent="0.25">
      <c r="A33" s="46"/>
      <c r="B33" s="12" t="s">
        <v>24</v>
      </c>
      <c r="C33" s="13" t="s">
        <v>25</v>
      </c>
      <c r="D33" s="13" t="s">
        <v>25</v>
      </c>
      <c r="E33" s="14" t="s">
        <v>26</v>
      </c>
      <c r="F33" s="15">
        <f>42531*0.4536</f>
        <v>19292.061600000001</v>
      </c>
      <c r="G33" s="16">
        <v>19155.62</v>
      </c>
      <c r="H33" s="16">
        <f>G33-F33</f>
        <v>-136.44160000000193</v>
      </c>
      <c r="I33" s="11" t="s">
        <v>439</v>
      </c>
      <c r="J33" s="17" t="s">
        <v>27</v>
      </c>
      <c r="K33" s="18">
        <v>42655</v>
      </c>
      <c r="L33" s="18">
        <v>42656</v>
      </c>
      <c r="M33" s="13" t="s">
        <v>41</v>
      </c>
      <c r="N33" s="13" t="s">
        <v>440</v>
      </c>
      <c r="O33" s="19"/>
      <c r="P33" s="20">
        <f>0.4722+0.105</f>
        <v>0.57720000000000005</v>
      </c>
      <c r="Q33" s="41">
        <v>20000</v>
      </c>
      <c r="R33" s="19">
        <v>9121</v>
      </c>
      <c r="S33" s="22">
        <v>19.253</v>
      </c>
      <c r="T33" s="26">
        <f>W33*F33*0.005</f>
        <v>2519.502852197686</v>
      </c>
      <c r="V33" s="19">
        <v>0.1</v>
      </c>
      <c r="W33" s="19">
        <f t="shared" ref="W33" si="52">IF(O33&gt;0,O33,((P33*2.2046*S33)+(Q33+R33)/G33)+V33)</f>
        <v>26.119581249913548</v>
      </c>
      <c r="X33" s="19">
        <f t="shared" ref="X33" si="53">IF(O33&gt;0,O33,((P33*2.2046*S33)+(Q33+R33+T33)/G33)+V33)</f>
        <v>26.251109378587937</v>
      </c>
      <c r="Y33" s="23">
        <f t="shared" ref="Y33" si="54">X33*F33</f>
        <v>506438.01920005621</v>
      </c>
      <c r="Z33" s="24">
        <v>42649</v>
      </c>
    </row>
    <row r="34" spans="1:26" s="11" customFormat="1" x14ac:dyDescent="0.25">
      <c r="A34" s="46"/>
      <c r="B34" s="12" t="s">
        <v>36</v>
      </c>
      <c r="C34" s="14" t="s">
        <v>37</v>
      </c>
      <c r="D34" s="13" t="s">
        <v>53</v>
      </c>
      <c r="E34" s="14">
        <v>250</v>
      </c>
      <c r="F34" s="15">
        <v>28270</v>
      </c>
      <c r="G34" s="16">
        <v>22910</v>
      </c>
      <c r="H34" s="16">
        <f t="shared" ref="H34:H35" si="55">G34-F34</f>
        <v>-5360</v>
      </c>
      <c r="I34" s="11" t="s">
        <v>441</v>
      </c>
      <c r="J34" s="14"/>
      <c r="K34" s="18"/>
      <c r="L34" s="18">
        <v>42656</v>
      </c>
      <c r="M34" s="13" t="s">
        <v>41</v>
      </c>
      <c r="N34" s="14"/>
      <c r="O34" s="19">
        <v>27.5</v>
      </c>
      <c r="P34" s="25"/>
      <c r="Q34" s="41">
        <v>17300</v>
      </c>
      <c r="R34" s="19">
        <f t="shared" ref="R34:R35" si="56">61.75*E34</f>
        <v>15437.5</v>
      </c>
      <c r="S34" s="22">
        <f t="shared" ref="S34:S35" si="57">-35*E34</f>
        <v>-8750</v>
      </c>
      <c r="T34" s="26">
        <f t="shared" ref="T34:T35" si="58">W34*F34*0.0045</f>
        <v>4457.0366624836315</v>
      </c>
      <c r="U34" s="19">
        <f t="shared" ref="U34:U35" si="59">E34*5</f>
        <v>1250</v>
      </c>
      <c r="V34" s="14"/>
      <c r="W34" s="19">
        <f t="shared" ref="W34:W35" si="60">((O34*F34)+Q34+R34+S34+U34)/G34</f>
        <v>35.035464862505457</v>
      </c>
      <c r="X34" s="19">
        <f t="shared" ref="X34:X35" si="61">((O34*F34)+Q34+R34+S34+T34+U34)/G34</f>
        <v>35.230010330095311</v>
      </c>
      <c r="Y34" s="23">
        <f t="shared" ref="Y34:Y35" si="62">X34*G34</f>
        <v>807119.53666248359</v>
      </c>
      <c r="Z34" s="24">
        <v>42669</v>
      </c>
    </row>
    <row r="35" spans="1:26" s="11" customFormat="1" x14ac:dyDescent="0.25">
      <c r="A35" s="46"/>
      <c r="B35" s="12" t="s">
        <v>36</v>
      </c>
      <c r="C35" s="14" t="s">
        <v>37</v>
      </c>
      <c r="D35" s="13" t="s">
        <v>53</v>
      </c>
      <c r="E35" s="14">
        <v>130</v>
      </c>
      <c r="F35" s="15">
        <v>15345</v>
      </c>
      <c r="G35" s="16">
        <v>12540</v>
      </c>
      <c r="H35" s="16">
        <f t="shared" si="55"/>
        <v>-2805</v>
      </c>
      <c r="I35" s="13" t="s">
        <v>442</v>
      </c>
      <c r="J35" s="14"/>
      <c r="K35" s="18"/>
      <c r="L35" s="18">
        <v>42656</v>
      </c>
      <c r="M35" s="13" t="s">
        <v>41</v>
      </c>
      <c r="N35" s="14"/>
      <c r="O35" s="19">
        <v>27.5</v>
      </c>
      <c r="P35" s="25"/>
      <c r="Q35" s="41">
        <v>13600</v>
      </c>
      <c r="R35" s="19">
        <f t="shared" si="56"/>
        <v>8027.5</v>
      </c>
      <c r="S35" s="22">
        <f t="shared" si="57"/>
        <v>-4550</v>
      </c>
      <c r="T35" s="26">
        <f t="shared" si="58"/>
        <v>2421.3253618421054</v>
      </c>
      <c r="U35" s="19">
        <f t="shared" si="59"/>
        <v>650</v>
      </c>
      <c r="V35" s="14"/>
      <c r="W35" s="19">
        <f t="shared" si="60"/>
        <v>35.064992025518343</v>
      </c>
      <c r="X35" s="19">
        <f t="shared" si="61"/>
        <v>35.258080172395701</v>
      </c>
      <c r="Y35" s="23">
        <f t="shared" si="62"/>
        <v>442136.32536184211</v>
      </c>
      <c r="Z35" s="24">
        <v>42669</v>
      </c>
    </row>
    <row r="36" spans="1:26" s="11" customFormat="1" x14ac:dyDescent="0.25">
      <c r="A36" s="46"/>
      <c r="B36" s="12" t="s">
        <v>24</v>
      </c>
      <c r="C36" s="13" t="s">
        <v>25</v>
      </c>
      <c r="D36" s="13" t="s">
        <v>25</v>
      </c>
      <c r="E36" s="14" t="s">
        <v>26</v>
      </c>
      <c r="F36" s="15">
        <f>42146*0.4536</f>
        <v>19117.425599999999</v>
      </c>
      <c r="G36" s="16">
        <v>18999.23</v>
      </c>
      <c r="H36" s="16">
        <f>G36-F36</f>
        <v>-118.1955999999991</v>
      </c>
      <c r="I36" s="11" t="s">
        <v>443</v>
      </c>
      <c r="J36" s="17" t="s">
        <v>27</v>
      </c>
      <c r="K36" s="18">
        <v>42656</v>
      </c>
      <c r="L36" s="18">
        <v>42657</v>
      </c>
      <c r="M36" s="13" t="s">
        <v>44</v>
      </c>
      <c r="N36" s="13" t="s">
        <v>444</v>
      </c>
      <c r="O36" s="19"/>
      <c r="P36" s="20">
        <f>0.4808+0.105</f>
        <v>0.58579999999999999</v>
      </c>
      <c r="Q36" s="41">
        <v>20000</v>
      </c>
      <c r="R36" s="19">
        <v>9121</v>
      </c>
      <c r="S36" s="22">
        <v>19.25</v>
      </c>
      <c r="T36" s="26">
        <f>W36*F36*0.005</f>
        <v>2532.4135753735513</v>
      </c>
      <c r="V36" s="19">
        <v>0.1</v>
      </c>
      <c r="W36" s="19">
        <f t="shared" ref="W36" si="63">IF(O36&gt;0,O36,((P36*2.2046*S36)+(Q36+R36)/G36)+V36)</f>
        <v>26.493248917087993</v>
      </c>
      <c r="X36" s="19">
        <f t="shared" ref="X36" si="64">IF(O36&gt;0,O36,((P36*2.2046*S36)+(Q36+R36+T36)/G36)+V36)</f>
        <v>26.62653924387353</v>
      </c>
      <c r="Y36" s="23">
        <f t="shared" ref="Y36" si="65">X36*F36</f>
        <v>509030.88298023242</v>
      </c>
      <c r="Z36" s="24">
        <v>42650</v>
      </c>
    </row>
    <row r="37" spans="1:26" s="11" customFormat="1" x14ac:dyDescent="0.25">
      <c r="A37" s="46"/>
      <c r="B37" s="12" t="s">
        <v>36</v>
      </c>
      <c r="C37" s="14" t="s">
        <v>37</v>
      </c>
      <c r="D37" s="13" t="s">
        <v>53</v>
      </c>
      <c r="E37" s="14">
        <f>220+160</f>
        <v>380</v>
      </c>
      <c r="F37" s="15">
        <f>24905+16810</f>
        <v>41715</v>
      </c>
      <c r="G37" s="16">
        <f>22460+10940</f>
        <v>33400</v>
      </c>
      <c r="H37" s="16">
        <f t="shared" ref="H37" si="66">G37-F37</f>
        <v>-8315</v>
      </c>
      <c r="I37" s="11" t="s">
        <v>445</v>
      </c>
      <c r="J37" s="38">
        <f>250+130</f>
        <v>380</v>
      </c>
      <c r="K37" s="18"/>
      <c r="L37" s="18">
        <v>42657</v>
      </c>
      <c r="M37" s="13" t="s">
        <v>44</v>
      </c>
      <c r="N37" s="14"/>
      <c r="O37" s="19">
        <v>27.5</v>
      </c>
      <c r="P37" s="25"/>
      <c r="Q37" s="41">
        <f>17300+13600</f>
        <v>30900</v>
      </c>
      <c r="R37" s="19">
        <f t="shared" ref="R37" si="67">61.75*E37</f>
        <v>23465</v>
      </c>
      <c r="S37" s="22">
        <f>-35*E37</f>
        <v>-13300</v>
      </c>
      <c r="T37" s="26">
        <f>W37*F37*0.0045</f>
        <v>6688.8550593188611</v>
      </c>
      <c r="U37" s="19">
        <f>E37*5</f>
        <v>1900</v>
      </c>
      <c r="V37" s="14"/>
      <c r="W37" s="19">
        <f>((O37*F37)+Q37+R37+S37+U37)/G37</f>
        <v>35.632559880239519</v>
      </c>
      <c r="X37" s="19">
        <f>((O37*F37)+Q37+R37+S37+T37+U37)/G37</f>
        <v>35.832825001776015</v>
      </c>
      <c r="Y37" s="23">
        <f t="shared" ref="Y37" si="68">X37*G37</f>
        <v>1196816.3550593189</v>
      </c>
      <c r="Z37" s="24">
        <v>42670</v>
      </c>
    </row>
    <row r="38" spans="1:26" s="11" customFormat="1" x14ac:dyDescent="0.25">
      <c r="A38" s="46"/>
      <c r="B38" s="12" t="s">
        <v>24</v>
      </c>
      <c r="C38" s="13" t="s">
        <v>29</v>
      </c>
      <c r="D38" s="13" t="s">
        <v>29</v>
      </c>
      <c r="E38" s="14" t="s">
        <v>32</v>
      </c>
      <c r="F38" s="15">
        <f>40175*0.4536</f>
        <v>18223.38</v>
      </c>
      <c r="G38" s="16">
        <v>18210.59</v>
      </c>
      <c r="H38" s="16">
        <f>G38-F38</f>
        <v>-12.790000000000873</v>
      </c>
      <c r="I38" s="11" t="s">
        <v>446</v>
      </c>
      <c r="J38" s="17" t="s">
        <v>27</v>
      </c>
      <c r="K38" s="18">
        <v>42657</v>
      </c>
      <c r="L38" s="18">
        <v>42658</v>
      </c>
      <c r="M38" s="13" t="s">
        <v>47</v>
      </c>
      <c r="N38" s="13" t="s">
        <v>447</v>
      </c>
      <c r="O38" s="19"/>
      <c r="P38" s="20">
        <f>0.4808+0.1</f>
        <v>0.58079999999999998</v>
      </c>
      <c r="Q38" s="41">
        <v>20000</v>
      </c>
      <c r="R38" s="19">
        <v>9121</v>
      </c>
      <c r="S38" s="22">
        <v>18.899999999999999</v>
      </c>
      <c r="T38" s="26">
        <f>W38*F38*0.005</f>
        <v>2359.8623989996768</v>
      </c>
      <c r="V38" s="19">
        <v>0.1</v>
      </c>
      <c r="W38" s="19">
        <f>IF(O38&gt;0,O38,((P38*2.2046*S38)+(Q38+R38)/G38)+V38)</f>
        <v>25.899283217489582</v>
      </c>
      <c r="X38" s="19">
        <f>IF(O38&gt;0,O38,((P38*2.2046*S38)+(Q38+R38+T38)/G38)+V38)</f>
        <v>26.028870583906581</v>
      </c>
      <c r="Y38" s="23">
        <f>X38*F38</f>
        <v>474333.99962135154</v>
      </c>
      <c r="Z38" s="24">
        <v>42669</v>
      </c>
    </row>
    <row r="39" spans="1:26" s="11" customFormat="1" x14ac:dyDescent="0.25">
      <c r="A39" s="46"/>
      <c r="B39" s="12" t="s">
        <v>24</v>
      </c>
      <c r="C39" s="13" t="s">
        <v>448</v>
      </c>
      <c r="D39" s="13" t="s">
        <v>449</v>
      </c>
      <c r="E39" s="14" t="s">
        <v>26</v>
      </c>
      <c r="F39" s="15">
        <v>18178.807000000001</v>
      </c>
      <c r="G39" s="16">
        <v>18086.13</v>
      </c>
      <c r="H39" s="16">
        <f>G39-F39</f>
        <v>-92.67699999999968</v>
      </c>
      <c r="I39" s="30" t="s">
        <v>450</v>
      </c>
      <c r="J39" s="14"/>
      <c r="K39" s="18">
        <v>42656</v>
      </c>
      <c r="L39" s="18">
        <v>42658</v>
      </c>
      <c r="M39" s="13" t="s">
        <v>47</v>
      </c>
      <c r="N39" s="13"/>
      <c r="O39" s="19">
        <v>28</v>
      </c>
      <c r="P39" s="20"/>
      <c r="Q39" s="19"/>
      <c r="R39" s="19"/>
      <c r="S39" s="22"/>
      <c r="T39" s="26"/>
      <c r="V39" s="19"/>
      <c r="W39" s="19">
        <f>IF(O39&gt;0,O39,((P39*2.2046*S39)+(Q39+R39)/G39)+V39)</f>
        <v>28</v>
      </c>
      <c r="X39" s="19">
        <f>IF(O39&gt;0,O39,((P39*2.2046*S39)+(Q39+R39+T39)/G39)+V39)</f>
        <v>28</v>
      </c>
      <c r="Y39" s="23">
        <f>X39*F39</f>
        <v>509006.59600000002</v>
      </c>
      <c r="Z39" s="24">
        <v>42664</v>
      </c>
    </row>
    <row r="40" spans="1:26" s="11" customFormat="1" ht="15.75" thickBot="1" x14ac:dyDescent="0.3">
      <c r="A40" s="46"/>
      <c r="B40" s="27"/>
      <c r="C40" s="3"/>
      <c r="D40" s="3"/>
      <c r="E40" s="3"/>
      <c r="F40" s="28"/>
      <c r="G40" s="28"/>
      <c r="H40" s="28"/>
      <c r="I40" s="5"/>
      <c r="J40" s="3"/>
      <c r="K40" s="6"/>
      <c r="L40" s="6"/>
      <c r="M40" s="3"/>
      <c r="N40" s="3"/>
      <c r="O40" s="7"/>
      <c r="P40" s="8"/>
      <c r="Q40" s="7"/>
      <c r="R40" s="7"/>
      <c r="S40" s="7"/>
      <c r="T40" s="7"/>
      <c r="U40" s="7"/>
      <c r="V40" s="7"/>
      <c r="W40" s="7"/>
      <c r="X40" s="7"/>
      <c r="Y40" s="10"/>
      <c r="Z40" s="29"/>
    </row>
    <row r="41" spans="1:26" s="11" customFormat="1" x14ac:dyDescent="0.25">
      <c r="A41" s="61"/>
      <c r="B41" s="14" t="s">
        <v>36</v>
      </c>
      <c r="C41" s="14" t="s">
        <v>37</v>
      </c>
      <c r="D41" s="13" t="s">
        <v>53</v>
      </c>
      <c r="E41" s="14">
        <f>220+160</f>
        <v>380</v>
      </c>
      <c r="F41" s="15">
        <f>20855+14675</f>
        <v>35530</v>
      </c>
      <c r="G41" s="16">
        <f>18770+9310</f>
        <v>28080</v>
      </c>
      <c r="H41" s="16">
        <f t="shared" ref="H41:H46" si="69">G41-F41</f>
        <v>-7450</v>
      </c>
      <c r="I41" s="13" t="s">
        <v>451</v>
      </c>
      <c r="J41" s="38">
        <f>250+130</f>
        <v>380</v>
      </c>
      <c r="K41" s="18"/>
      <c r="L41" s="18">
        <v>42659</v>
      </c>
      <c r="M41" s="13" t="s">
        <v>48</v>
      </c>
      <c r="N41" s="14"/>
      <c r="O41" s="19">
        <v>28</v>
      </c>
      <c r="P41" s="25"/>
      <c r="Q41" s="41">
        <f>17300+13600</f>
        <v>30900</v>
      </c>
      <c r="R41" s="19">
        <f t="shared" ref="R41:R43" si="70">61.75*E41</f>
        <v>23465</v>
      </c>
      <c r="S41" s="22">
        <f>-35*E41</f>
        <v>-13300</v>
      </c>
      <c r="T41" s="26">
        <f>W41*F41*0.0045</f>
        <v>5909.1685336538458</v>
      </c>
      <c r="U41" s="19">
        <f>E41*5</f>
        <v>1900</v>
      </c>
      <c r="V41" s="14"/>
      <c r="W41" s="19">
        <f>((O41*F41)+Q41+R41+S41+U41)/G41</f>
        <v>36.958867521367523</v>
      </c>
      <c r="X41" s="19">
        <f>((O41*F41)+Q41+R41+S41+T41+U41)/G41</f>
        <v>37.169307996212744</v>
      </c>
      <c r="Y41" s="23">
        <f>X41*G41</f>
        <v>1043714.1685336538</v>
      </c>
      <c r="Z41" s="24">
        <v>42674</v>
      </c>
    </row>
    <row r="42" spans="1:26" s="11" customFormat="1" x14ac:dyDescent="0.25">
      <c r="A42" s="61"/>
      <c r="B42" s="12" t="s">
        <v>36</v>
      </c>
      <c r="C42" s="14" t="s">
        <v>37</v>
      </c>
      <c r="D42" s="13" t="s">
        <v>53</v>
      </c>
      <c r="E42" s="14">
        <v>199</v>
      </c>
      <c r="F42" s="15">
        <v>20700</v>
      </c>
      <c r="G42" s="16">
        <f>16710-95</f>
        <v>16615</v>
      </c>
      <c r="H42" s="16">
        <f t="shared" si="69"/>
        <v>-4085</v>
      </c>
      <c r="I42" s="13" t="s">
        <v>452</v>
      </c>
      <c r="J42" s="38">
        <v>200</v>
      </c>
      <c r="K42" s="18"/>
      <c r="L42" s="18">
        <v>42660</v>
      </c>
      <c r="M42" s="13" t="s">
        <v>49</v>
      </c>
      <c r="N42" s="14"/>
      <c r="O42" s="19">
        <v>28</v>
      </c>
      <c r="P42" s="25"/>
      <c r="Q42" s="41">
        <v>17300</v>
      </c>
      <c r="R42" s="19">
        <f t="shared" si="70"/>
        <v>12288.25</v>
      </c>
      <c r="S42" s="22">
        <f t="shared" ref="S42:S43" si="71">-35*E42</f>
        <v>-6965</v>
      </c>
      <c r="T42" s="26">
        <f>W42*F42*0.0045</f>
        <v>3381.870598104123</v>
      </c>
      <c r="U42" s="19">
        <f>E42*5</f>
        <v>995</v>
      </c>
      <c r="V42" s="14"/>
      <c r="W42" s="19">
        <f>((O42*F42)+Q42+R42+S42+U42)/G42</f>
        <v>36.305642491724349</v>
      </c>
      <c r="X42" s="19">
        <f>((O42*F42)+Q42+R42+S42+T42+U42)/G42</f>
        <v>36.509185711592181</v>
      </c>
      <c r="Y42" s="23">
        <f>X42*G42</f>
        <v>606600.12059810408</v>
      </c>
      <c r="Z42" s="24">
        <v>42674</v>
      </c>
    </row>
    <row r="43" spans="1:26" s="11" customFormat="1" x14ac:dyDescent="0.25">
      <c r="A43" s="61"/>
      <c r="B43" s="12" t="s">
        <v>36</v>
      </c>
      <c r="C43" s="14" t="s">
        <v>37</v>
      </c>
      <c r="D43" s="13" t="s">
        <v>185</v>
      </c>
      <c r="E43" s="14">
        <v>130</v>
      </c>
      <c r="F43" s="15">
        <v>13960</v>
      </c>
      <c r="G43" s="16">
        <f>10970+95</f>
        <v>11065</v>
      </c>
      <c r="H43" s="16">
        <f t="shared" si="69"/>
        <v>-2895</v>
      </c>
      <c r="I43" s="13" t="s">
        <v>453</v>
      </c>
      <c r="J43" s="38">
        <v>129</v>
      </c>
      <c r="K43" s="18"/>
      <c r="L43" s="18">
        <v>42660</v>
      </c>
      <c r="M43" s="13" t="s">
        <v>49</v>
      </c>
      <c r="N43" s="14"/>
      <c r="O43" s="19">
        <v>28</v>
      </c>
      <c r="P43" s="25"/>
      <c r="Q43" s="41">
        <v>13600</v>
      </c>
      <c r="R43" s="19">
        <f t="shared" si="70"/>
        <v>8027.5</v>
      </c>
      <c r="S43" s="22">
        <f t="shared" si="71"/>
        <v>-4550</v>
      </c>
      <c r="T43" s="26">
        <f>W43*F43*0.0045</f>
        <v>2319.8123045639404</v>
      </c>
      <c r="U43" s="19">
        <f>E43*5</f>
        <v>650</v>
      </c>
      <c r="V43" s="14"/>
      <c r="W43" s="19">
        <f>((O43*F43)+Q43+R43+S43+U43)/G43</f>
        <v>36.927925892453686</v>
      </c>
      <c r="X43" s="19">
        <f>((O43*F43)+Q43+R43+S43+T43+U43)/G43</f>
        <v>37.137579060511875</v>
      </c>
      <c r="Y43" s="23">
        <f>X43*G43</f>
        <v>410927.31230456388</v>
      </c>
      <c r="Z43" s="24">
        <v>42674</v>
      </c>
    </row>
    <row r="44" spans="1:26" s="30" customFormat="1" x14ac:dyDescent="0.25">
      <c r="A44" s="61"/>
      <c r="B44" s="12" t="s">
        <v>454</v>
      </c>
      <c r="C44" s="14" t="s">
        <v>25</v>
      </c>
      <c r="D44" s="13" t="s">
        <v>55</v>
      </c>
      <c r="E44" s="14" t="s">
        <v>31</v>
      </c>
      <c r="F44" s="15">
        <f>894.5+933.5</f>
        <v>1828</v>
      </c>
      <c r="G44" s="16">
        <v>1828</v>
      </c>
      <c r="H44" s="16">
        <f t="shared" si="69"/>
        <v>0</v>
      </c>
      <c r="I44" s="13" t="s">
        <v>455</v>
      </c>
      <c r="J44" s="14"/>
      <c r="K44" s="18"/>
      <c r="L44" s="18">
        <v>42661</v>
      </c>
      <c r="M44" s="13" t="s">
        <v>28</v>
      </c>
      <c r="N44" s="14"/>
      <c r="O44" s="19">
        <v>18</v>
      </c>
      <c r="P44" s="25"/>
      <c r="Q44" s="19"/>
      <c r="R44" s="19"/>
      <c r="S44" s="22"/>
      <c r="T44" s="26"/>
      <c r="U44" s="19"/>
      <c r="V44" s="19"/>
      <c r="W44" s="19">
        <f t="shared" ref="W44:W47" si="72">IF(O44&gt;0,O44,((P44*2.2046*S44)+(Q44+R44)/G44)+V44)</f>
        <v>18</v>
      </c>
      <c r="X44" s="19">
        <f t="shared" ref="X44:X47" si="73">IF(O44&gt;0,O44,((P44*2.2046*S44)+(Q44+R44+T44)/G44)+V44)</f>
        <v>18</v>
      </c>
      <c r="Y44" s="23">
        <f t="shared" ref="Y44:Y45" si="74">X44*F44</f>
        <v>32904</v>
      </c>
      <c r="Z44" s="24">
        <v>42668</v>
      </c>
    </row>
    <row r="45" spans="1:26" s="30" customFormat="1" x14ac:dyDescent="0.25">
      <c r="A45" s="61"/>
      <c r="B45" s="12" t="s">
        <v>258</v>
      </c>
      <c r="C45" s="14" t="s">
        <v>259</v>
      </c>
      <c r="D45" s="13" t="s">
        <v>55</v>
      </c>
      <c r="E45" s="14" t="s">
        <v>456</v>
      </c>
      <c r="F45" s="15">
        <v>655.44</v>
      </c>
      <c r="G45" s="16">
        <v>655.44</v>
      </c>
      <c r="H45" s="16">
        <f t="shared" si="69"/>
        <v>0</v>
      </c>
      <c r="I45" s="13" t="s">
        <v>455</v>
      </c>
      <c r="J45" s="14"/>
      <c r="K45" s="18"/>
      <c r="L45" s="18">
        <v>42661</v>
      </c>
      <c r="M45" s="13" t="s">
        <v>28</v>
      </c>
      <c r="N45" s="14"/>
      <c r="O45" s="19">
        <v>84</v>
      </c>
      <c r="P45" s="25"/>
      <c r="Q45" s="19"/>
      <c r="R45" s="19"/>
      <c r="S45" s="22"/>
      <c r="T45" s="26"/>
      <c r="U45" s="19"/>
      <c r="V45" s="19"/>
      <c r="W45" s="19">
        <f t="shared" si="72"/>
        <v>84</v>
      </c>
      <c r="X45" s="19">
        <f t="shared" si="73"/>
        <v>84</v>
      </c>
      <c r="Y45" s="23">
        <f t="shared" si="74"/>
        <v>55056.960000000006</v>
      </c>
      <c r="Z45" s="24">
        <v>42668</v>
      </c>
    </row>
    <row r="46" spans="1:26" s="11" customFormat="1" x14ac:dyDescent="0.25">
      <c r="A46" s="61"/>
      <c r="B46" s="12" t="s">
        <v>24</v>
      </c>
      <c r="C46" s="13" t="s">
        <v>29</v>
      </c>
      <c r="D46" s="13" t="s">
        <v>29</v>
      </c>
      <c r="E46" s="14" t="s">
        <v>32</v>
      </c>
      <c r="F46" s="15">
        <f>40448*0.4536</f>
        <v>18347.212800000001</v>
      </c>
      <c r="G46" s="16">
        <v>18331.45</v>
      </c>
      <c r="H46" s="16">
        <f t="shared" si="69"/>
        <v>-15.762800000000425</v>
      </c>
      <c r="I46" s="11" t="s">
        <v>457</v>
      </c>
      <c r="J46" s="17" t="s">
        <v>27</v>
      </c>
      <c r="K46" s="18">
        <v>42660</v>
      </c>
      <c r="L46" s="18">
        <v>42661</v>
      </c>
      <c r="M46" s="13" t="s">
        <v>28</v>
      </c>
      <c r="N46" s="13" t="s">
        <v>458</v>
      </c>
      <c r="O46" s="19"/>
      <c r="P46" s="20">
        <f>0.49+0.1</f>
        <v>0.59</v>
      </c>
      <c r="Q46" s="41">
        <v>20000</v>
      </c>
      <c r="R46" s="19">
        <v>9121</v>
      </c>
      <c r="S46" s="22">
        <v>18.690000000000001</v>
      </c>
      <c r="T46" s="26">
        <f>W46*F46*0.005</f>
        <v>2385.0391424441073</v>
      </c>
      <c r="V46" s="19">
        <v>0.1</v>
      </c>
      <c r="W46" s="19">
        <f t="shared" si="72"/>
        <v>25.998926032450083</v>
      </c>
      <c r="X46" s="19">
        <f t="shared" si="73"/>
        <v>26.129032442060019</v>
      </c>
      <c r="Y46" s="23">
        <f>X46*F46</f>
        <v>479394.91847257887</v>
      </c>
      <c r="Z46" s="24">
        <v>42671</v>
      </c>
    </row>
    <row r="47" spans="1:26" s="11" customFormat="1" x14ac:dyDescent="0.25">
      <c r="A47" s="61"/>
      <c r="B47" s="12" t="s">
        <v>24</v>
      </c>
      <c r="C47" s="13" t="s">
        <v>25</v>
      </c>
      <c r="D47" s="13" t="s">
        <v>25</v>
      </c>
      <c r="E47" s="14" t="s">
        <v>26</v>
      </c>
      <c r="F47" s="15">
        <f>43016*0.4536</f>
        <v>19512.0576</v>
      </c>
      <c r="G47" s="16">
        <v>19489.25</v>
      </c>
      <c r="H47" s="16">
        <f>G47-F47</f>
        <v>-22.807600000000093</v>
      </c>
      <c r="I47" s="11" t="s">
        <v>459</v>
      </c>
      <c r="J47" s="17" t="s">
        <v>27</v>
      </c>
      <c r="K47" s="18">
        <v>42660</v>
      </c>
      <c r="L47" s="18">
        <v>42661</v>
      </c>
      <c r="M47" s="13" t="s">
        <v>28</v>
      </c>
      <c r="N47" s="13" t="s">
        <v>460</v>
      </c>
      <c r="O47" s="19"/>
      <c r="P47" s="20">
        <f>0.49+0.105</f>
        <v>0.59499999999999997</v>
      </c>
      <c r="Q47" s="41">
        <v>20000</v>
      </c>
      <c r="R47" s="19">
        <v>9121</v>
      </c>
      <c r="S47" s="22">
        <v>19.100000000000001</v>
      </c>
      <c r="T47" s="26">
        <f>W47*F47*0.005</f>
        <v>2599.8241197862085</v>
      </c>
      <c r="V47" s="19">
        <v>0.1</v>
      </c>
      <c r="W47" s="19">
        <f t="shared" si="72"/>
        <v>26.648385045626437</v>
      </c>
      <c r="X47" s="19">
        <f t="shared" si="73"/>
        <v>26.781782899304037</v>
      </c>
      <c r="Y47" s="23">
        <f t="shared" ref="Y47" si="75">X47*F47</f>
        <v>522567.6905619154</v>
      </c>
      <c r="Z47" s="24">
        <v>42648</v>
      </c>
    </row>
    <row r="48" spans="1:26" s="11" customFormat="1" x14ac:dyDescent="0.25">
      <c r="A48" s="61"/>
      <c r="B48" s="12" t="s">
        <v>24</v>
      </c>
      <c r="C48" s="13" t="s">
        <v>25</v>
      </c>
      <c r="D48" s="13" t="s">
        <v>25</v>
      </c>
      <c r="E48" s="14" t="s">
        <v>26</v>
      </c>
      <c r="F48" s="15">
        <f>41615*0.4536</f>
        <v>18876.563999999998</v>
      </c>
      <c r="G48" s="16">
        <v>18809.27</v>
      </c>
      <c r="H48" s="16">
        <f>G48-F48</f>
        <v>-67.29399999999805</v>
      </c>
      <c r="I48" s="11" t="s">
        <v>461</v>
      </c>
      <c r="J48" s="17" t="s">
        <v>38</v>
      </c>
      <c r="K48" s="18">
        <v>42660</v>
      </c>
      <c r="L48" s="18">
        <v>42661</v>
      </c>
      <c r="M48" s="13" t="s">
        <v>41</v>
      </c>
      <c r="N48" s="13" t="s">
        <v>440</v>
      </c>
      <c r="O48" s="19"/>
      <c r="P48" s="20">
        <v>0.59499999999999997</v>
      </c>
      <c r="Q48" s="41">
        <v>20000</v>
      </c>
      <c r="R48" s="19">
        <v>9121</v>
      </c>
      <c r="S48" s="22">
        <v>19.253</v>
      </c>
      <c r="T48" s="26">
        <f t="shared" ref="T48:T49" si="76">W48*F48*0.005</f>
        <v>2539.1902951964448</v>
      </c>
      <c r="V48" s="19">
        <v>0.1</v>
      </c>
      <c r="W48" s="19">
        <f>IF(O48&gt;0,O48,((P48*2.2046*S48)+(Q48+R48)/G48)+V48)</f>
        <v>26.903098415542626</v>
      </c>
      <c r="X48" s="19">
        <f>IF(O48&gt;0,O48,((P48*2.2046*S48)+(Q48+R48+T48)/G48)+V48)</f>
        <v>27.038095164230718</v>
      </c>
      <c r="Y48" s="23">
        <f>X48*F48</f>
        <v>510386.33380569163</v>
      </c>
      <c r="Z48" s="24">
        <v>42649</v>
      </c>
    </row>
    <row r="49" spans="1:26" s="11" customFormat="1" x14ac:dyDescent="0.25">
      <c r="A49" s="61"/>
      <c r="B49" s="12" t="s">
        <v>36</v>
      </c>
      <c r="C49" s="14" t="s">
        <v>37</v>
      </c>
      <c r="D49" s="13" t="s">
        <v>53</v>
      </c>
      <c r="E49" s="14">
        <v>210</v>
      </c>
      <c r="F49" s="15">
        <v>22350</v>
      </c>
      <c r="G49" s="16">
        <f>12890+5120</f>
        <v>18010</v>
      </c>
      <c r="H49" s="16">
        <f t="shared" ref="H49" si="77">G49-F49</f>
        <v>-4340</v>
      </c>
      <c r="I49" s="11" t="s">
        <v>462</v>
      </c>
      <c r="J49" s="14"/>
      <c r="K49" s="18"/>
      <c r="L49" s="18">
        <v>42661</v>
      </c>
      <c r="M49" s="13" t="s">
        <v>28</v>
      </c>
      <c r="N49" s="14"/>
      <c r="O49" s="19">
        <v>28.5</v>
      </c>
      <c r="P49" s="25"/>
      <c r="Q49" s="41">
        <v>17300</v>
      </c>
      <c r="R49" s="19">
        <f t="shared" ref="R49" si="78">61.75*E49</f>
        <v>12967.5</v>
      </c>
      <c r="S49" s="22">
        <f t="shared" ref="S49" si="79">-35*E49</f>
        <v>-7350</v>
      </c>
      <c r="T49" s="26">
        <f t="shared" si="76"/>
        <v>4101.072980288729</v>
      </c>
      <c r="U49" s="19">
        <f>E49*5</f>
        <v>1050</v>
      </c>
      <c r="V49" s="14"/>
      <c r="W49" s="19">
        <f>((O49*F49)+Q49+R49+S49+U49)/G49</f>
        <v>36.698639644641865</v>
      </c>
      <c r="X49" s="19">
        <f>((O49*F49)+Q49+R49+S49+T49+U49)/G49</f>
        <v>36.926350526390273</v>
      </c>
      <c r="Y49" s="23">
        <f>X49*G49</f>
        <v>665043.57298028877</v>
      </c>
      <c r="Z49" s="24">
        <v>42674</v>
      </c>
    </row>
    <row r="50" spans="1:26" s="11" customFormat="1" x14ac:dyDescent="0.25">
      <c r="A50" s="61"/>
      <c r="B50" s="12" t="s">
        <v>24</v>
      </c>
      <c r="C50" s="13" t="s">
        <v>25</v>
      </c>
      <c r="D50" s="13" t="s">
        <v>25</v>
      </c>
      <c r="E50" s="14" t="s">
        <v>26</v>
      </c>
      <c r="F50" s="15">
        <f>42318*0.4536</f>
        <v>19195.444800000001</v>
      </c>
      <c r="G50" s="16">
        <v>19142.009999999998</v>
      </c>
      <c r="H50" s="16">
        <f>G50-F50</f>
        <v>-53.434800000002724</v>
      </c>
      <c r="I50" s="11" t="s">
        <v>463</v>
      </c>
      <c r="J50" s="17" t="s">
        <v>33</v>
      </c>
      <c r="K50" s="18">
        <v>42661</v>
      </c>
      <c r="L50" s="18">
        <v>42662</v>
      </c>
      <c r="M50" s="13" t="s">
        <v>39</v>
      </c>
      <c r="N50" s="13" t="s">
        <v>460</v>
      </c>
      <c r="O50" s="19"/>
      <c r="P50" s="20">
        <f>0.49+0.105</f>
        <v>0.59499999999999997</v>
      </c>
      <c r="Q50" s="41">
        <v>20000</v>
      </c>
      <c r="R50" s="19">
        <v>9121</v>
      </c>
      <c r="S50" s="22">
        <v>19.100000000000001</v>
      </c>
      <c r="T50" s="26">
        <f>W50*F50*0.005</f>
        <v>2560.2395071092328</v>
      </c>
      <c r="V50" s="19">
        <v>0.1</v>
      </c>
      <c r="W50" s="19">
        <f t="shared" ref="W50" si="80">IF(O50&gt;0,O50,((P50*2.2046*S50)+(Q50+R50)/G50)+V50)</f>
        <v>26.675490292459727</v>
      </c>
      <c r="X50" s="19">
        <f t="shared" ref="X50" si="81">IF(O50&gt;0,O50,((P50*2.2046*S50)+(Q50+R50+T50)/G50)+V50)</f>
        <v>26.809240066235272</v>
      </c>
      <c r="Y50" s="23">
        <f t="shared" ref="Y50" si="82">X50*F50</f>
        <v>514615.28782136756</v>
      </c>
      <c r="Z50" s="24">
        <v>42648</v>
      </c>
    </row>
    <row r="51" spans="1:26" s="11" customFormat="1" x14ac:dyDescent="0.25">
      <c r="A51" s="61"/>
      <c r="B51" s="12" t="s">
        <v>36</v>
      </c>
      <c r="C51" s="14" t="s">
        <v>37</v>
      </c>
      <c r="D51" s="13" t="s">
        <v>53</v>
      </c>
      <c r="E51" s="14">
        <v>199</v>
      </c>
      <c r="F51" s="15">
        <v>21055</v>
      </c>
      <c r="G51" s="16">
        <v>17090</v>
      </c>
      <c r="H51" s="16">
        <f t="shared" ref="H51:H52" si="83">G51-F51</f>
        <v>-3965</v>
      </c>
      <c r="I51" s="11" t="s">
        <v>464</v>
      </c>
      <c r="J51" s="14">
        <v>200</v>
      </c>
      <c r="K51" s="18"/>
      <c r="L51" s="18">
        <v>42662</v>
      </c>
      <c r="M51" s="13" t="s">
        <v>39</v>
      </c>
      <c r="N51" s="14"/>
      <c r="O51" s="19">
        <v>28</v>
      </c>
      <c r="P51" s="25"/>
      <c r="Q51" s="41">
        <v>17300</v>
      </c>
      <c r="R51" s="19">
        <f t="shared" ref="R51:R52" si="84">61.75*E51</f>
        <v>12288.25</v>
      </c>
      <c r="S51" s="22">
        <f t="shared" ref="S51:S52" si="85">-35*E51</f>
        <v>-6965</v>
      </c>
      <c r="T51" s="26">
        <f>W51*F51*0.0045</f>
        <v>3399.368712222059</v>
      </c>
      <c r="U51" s="19">
        <f>E51*5</f>
        <v>995</v>
      </c>
      <c r="V51" s="14"/>
      <c r="W51" s="19">
        <f>((O51*F51)+Q51+R51+S51+U51)/G51</f>
        <v>35.87818899941486</v>
      </c>
      <c r="X51" s="19">
        <f>((O51*F51)+Q51+R51+S51+T51+U51)/G51</f>
        <v>36.077098812886021</v>
      </c>
      <c r="Y51" s="23">
        <f>X51*G51</f>
        <v>616557.61871222209</v>
      </c>
      <c r="Z51" s="24">
        <v>42675</v>
      </c>
    </row>
    <row r="52" spans="1:26" s="11" customFormat="1" x14ac:dyDescent="0.25">
      <c r="A52" s="61"/>
      <c r="B52" s="12" t="s">
        <v>36</v>
      </c>
      <c r="C52" s="14" t="s">
        <v>37</v>
      </c>
      <c r="D52" s="13" t="s">
        <v>53</v>
      </c>
      <c r="E52" s="14">
        <v>130</v>
      </c>
      <c r="F52" s="15">
        <v>14450</v>
      </c>
      <c r="G52" s="16">
        <v>11710</v>
      </c>
      <c r="H52" s="16">
        <f t="shared" si="83"/>
        <v>-2740</v>
      </c>
      <c r="I52" s="11" t="s">
        <v>465</v>
      </c>
      <c r="J52" s="36">
        <v>129</v>
      </c>
      <c r="K52" s="18"/>
      <c r="L52" s="18">
        <v>42662</v>
      </c>
      <c r="M52" s="13" t="s">
        <v>39</v>
      </c>
      <c r="N52" s="14"/>
      <c r="O52" s="19">
        <v>28</v>
      </c>
      <c r="P52" s="25"/>
      <c r="Q52" s="41">
        <v>13600</v>
      </c>
      <c r="R52" s="19">
        <f t="shared" si="84"/>
        <v>8027.5</v>
      </c>
      <c r="S52" s="22">
        <f t="shared" si="85"/>
        <v>-4550</v>
      </c>
      <c r="T52" s="26">
        <f>W52*F52*0.0045</f>
        <v>2345.1618862083687</v>
      </c>
      <c r="U52" s="19">
        <f>E52*5</f>
        <v>650</v>
      </c>
      <c r="V52" s="14"/>
      <c r="W52" s="19">
        <f>((O52*F52)+Q52+R52+S52+U52)/G52</f>
        <v>36.065542271562769</v>
      </c>
      <c r="X52" s="19">
        <f>((O52*F52)+Q52+R52+S52+T52+U52)/G52</f>
        <v>36.265812287464421</v>
      </c>
      <c r="Y52" s="23">
        <f>X52*G52</f>
        <v>424672.66188620834</v>
      </c>
      <c r="Z52" s="24">
        <v>42675</v>
      </c>
    </row>
    <row r="53" spans="1:26" s="11" customFormat="1" x14ac:dyDescent="0.25">
      <c r="A53" s="61"/>
      <c r="B53" s="12" t="s">
        <v>24</v>
      </c>
      <c r="C53" s="13" t="s">
        <v>25</v>
      </c>
      <c r="D53" s="13" t="s">
        <v>25</v>
      </c>
      <c r="E53" s="14" t="s">
        <v>26</v>
      </c>
      <c r="F53" s="15">
        <f>42409*0.4536</f>
        <v>19236.722399999999</v>
      </c>
      <c r="G53" s="16">
        <v>19151.560000000001</v>
      </c>
      <c r="H53" s="16">
        <f>G53-F53</f>
        <v>-85.162399999997433</v>
      </c>
      <c r="I53" s="11" t="s">
        <v>466</v>
      </c>
      <c r="J53" s="17" t="s">
        <v>27</v>
      </c>
      <c r="K53" s="18">
        <v>42662</v>
      </c>
      <c r="L53" s="18">
        <v>42663</v>
      </c>
      <c r="M53" s="13" t="s">
        <v>41</v>
      </c>
      <c r="N53" s="13" t="s">
        <v>467</v>
      </c>
      <c r="O53" s="19"/>
      <c r="P53" s="20">
        <f>0.5206+0.105</f>
        <v>0.62559999999999993</v>
      </c>
      <c r="Q53" s="41">
        <v>20000</v>
      </c>
      <c r="R53" s="19">
        <v>9121</v>
      </c>
      <c r="S53" s="22">
        <v>18.97</v>
      </c>
      <c r="T53" s="26">
        <f>W53*F53*0.005</f>
        <v>2672.3593672551383</v>
      </c>
      <c r="V53" s="19">
        <v>0.1</v>
      </c>
      <c r="W53" s="19">
        <f t="shared" ref="W53" si="86">IF(O53&gt;0,O53,((P53*2.2046*S53)+(Q53+R53)/G53)+V53)</f>
        <v>27.783936490710481</v>
      </c>
      <c r="X53" s="19">
        <f t="shared" ref="X53" si="87">IF(O53&gt;0,O53,((P53*2.2046*S53)+(Q53+R53+T53)/G53)+V53)</f>
        <v>27.923473915716858</v>
      </c>
      <c r="Y53" s="23">
        <f t="shared" ref="Y53" si="88">X53*F53</f>
        <v>537156.11616028612</v>
      </c>
      <c r="Z53" s="24">
        <v>42649</v>
      </c>
    </row>
    <row r="54" spans="1:26" s="11" customFormat="1" x14ac:dyDescent="0.25">
      <c r="A54" s="61"/>
      <c r="B54" s="12" t="s">
        <v>24</v>
      </c>
      <c r="C54" s="13" t="s">
        <v>25</v>
      </c>
      <c r="D54" s="13" t="s">
        <v>25</v>
      </c>
      <c r="E54" s="14" t="s">
        <v>26</v>
      </c>
      <c r="F54" s="15">
        <f>42248*0.4536</f>
        <v>19163.692800000001</v>
      </c>
      <c r="G54" s="16">
        <v>19053.78</v>
      </c>
      <c r="H54" s="16">
        <f>G54-F54</f>
        <v>-109.91280000000188</v>
      </c>
      <c r="I54" s="11" t="s">
        <v>468</v>
      </c>
      <c r="J54" s="17" t="s">
        <v>27</v>
      </c>
      <c r="K54" s="18">
        <v>42662</v>
      </c>
      <c r="L54" s="18">
        <v>42663</v>
      </c>
      <c r="M54" s="13" t="s">
        <v>41</v>
      </c>
      <c r="N54" s="13" t="s">
        <v>467</v>
      </c>
      <c r="O54" s="19"/>
      <c r="P54" s="20">
        <v>0.62560000000000004</v>
      </c>
      <c r="Q54" s="41">
        <v>20000</v>
      </c>
      <c r="R54" s="19">
        <v>9121</v>
      </c>
      <c r="S54" s="22">
        <v>18.97</v>
      </c>
      <c r="T54" s="26">
        <f t="shared" ref="T54" si="89">W54*F54*0.005</f>
        <v>2662.9618060856606</v>
      </c>
      <c r="V54" s="19">
        <v>0.1</v>
      </c>
      <c r="W54" s="19">
        <f>IF(O54&gt;0,O54,((P54*2.2046*S54)+(Q54+R54)/G54)+V54)</f>
        <v>27.79173965975556</v>
      </c>
      <c r="X54" s="19">
        <f>IF(O54&gt;0,O54,((P54*2.2046*S54)+(Q54+R54+T54)/G54)+V54)</f>
        <v>27.931499949109465</v>
      </c>
      <c r="Y54" s="23">
        <f>X54*F54</f>
        <v>535270.68446794944</v>
      </c>
      <c r="Z54" s="24">
        <v>42649</v>
      </c>
    </row>
    <row r="55" spans="1:26" s="11" customFormat="1" x14ac:dyDescent="0.25">
      <c r="A55" s="61"/>
      <c r="B55" s="12" t="s">
        <v>36</v>
      </c>
      <c r="C55" s="14" t="s">
        <v>37</v>
      </c>
      <c r="D55" s="13" t="s">
        <v>43</v>
      </c>
      <c r="E55" s="14">
        <f>250</f>
        <v>250</v>
      </c>
      <c r="F55" s="15">
        <f>31060</f>
        <v>31060</v>
      </c>
      <c r="G55" s="16">
        <f>22690</f>
        <v>22690</v>
      </c>
      <c r="H55" s="16">
        <f t="shared" ref="H55:H56" si="90">G55-F55</f>
        <v>-8370</v>
      </c>
      <c r="I55" s="11" t="s">
        <v>469</v>
      </c>
      <c r="J55" s="14"/>
      <c r="K55" s="18"/>
      <c r="L55" s="18">
        <v>42663</v>
      </c>
      <c r="M55" s="13" t="s">
        <v>41</v>
      </c>
      <c r="N55" s="14"/>
      <c r="O55" s="19">
        <v>28</v>
      </c>
      <c r="P55" s="25"/>
      <c r="Q55" s="41">
        <f>17300</f>
        <v>17300</v>
      </c>
      <c r="R55" s="19">
        <f t="shared" ref="R55:R56" si="91">61.75*E55</f>
        <v>15437.5</v>
      </c>
      <c r="S55" s="22">
        <f t="shared" ref="S55:S56" si="92">-35*E55</f>
        <v>-8750</v>
      </c>
      <c r="T55" s="26">
        <f t="shared" ref="T55:T56" si="93">W55*F55*0.0045</f>
        <v>5512.6760235786678</v>
      </c>
      <c r="U55" s="19">
        <f t="shared" ref="U55:U56" si="94">E55*5</f>
        <v>1250</v>
      </c>
      <c r="V55" s="14"/>
      <c r="W55" s="19">
        <f t="shared" ref="W55:W56" si="95">((O55*F55)+Q55+R55+S55+U55)/G55</f>
        <v>39.441053327457027</v>
      </c>
      <c r="X55" s="19">
        <f t="shared" ref="X55:X56" si="96">((O55*F55)+Q55+R55+S55+T55+U55)/G55</f>
        <v>39.68400952065133</v>
      </c>
      <c r="Y55" s="23">
        <f t="shared" ref="Y55:Y56" si="97">X55*G55</f>
        <v>900430.17602357862</v>
      </c>
      <c r="Z55" s="24">
        <v>42676</v>
      </c>
    </row>
    <row r="56" spans="1:26" s="11" customFormat="1" x14ac:dyDescent="0.25">
      <c r="A56" s="61"/>
      <c r="B56" s="12" t="s">
        <v>36</v>
      </c>
      <c r="C56" s="14" t="s">
        <v>37</v>
      </c>
      <c r="D56" s="13" t="s">
        <v>53</v>
      </c>
      <c r="E56" s="14">
        <v>130</v>
      </c>
      <c r="F56" s="15">
        <v>13295</v>
      </c>
      <c r="G56" s="16">
        <v>13030</v>
      </c>
      <c r="H56" s="16">
        <f t="shared" si="90"/>
        <v>-265</v>
      </c>
      <c r="I56" s="13" t="s">
        <v>470</v>
      </c>
      <c r="J56" s="14"/>
      <c r="K56" s="18"/>
      <c r="L56" s="18">
        <v>42663</v>
      </c>
      <c r="M56" s="13" t="s">
        <v>41</v>
      </c>
      <c r="N56" s="14"/>
      <c r="O56" s="19">
        <v>28</v>
      </c>
      <c r="P56" s="25"/>
      <c r="Q56" s="41">
        <v>13600</v>
      </c>
      <c r="R56" s="19">
        <f t="shared" si="91"/>
        <v>8027.5</v>
      </c>
      <c r="S56" s="22">
        <f t="shared" si="92"/>
        <v>-4550</v>
      </c>
      <c r="T56" s="26">
        <f t="shared" si="93"/>
        <v>1790.6352383921719</v>
      </c>
      <c r="U56" s="19">
        <f t="shared" si="94"/>
        <v>650</v>
      </c>
      <c r="V56" s="14"/>
      <c r="W56" s="19">
        <f t="shared" si="95"/>
        <v>29.929969301611667</v>
      </c>
      <c r="X56" s="19">
        <f t="shared" si="96"/>
        <v>30.067393341396176</v>
      </c>
      <c r="Y56" s="23">
        <f t="shared" si="97"/>
        <v>391778.13523839216</v>
      </c>
      <c r="Z56" s="24">
        <v>42676</v>
      </c>
    </row>
    <row r="57" spans="1:26" s="11" customFormat="1" x14ac:dyDescent="0.25">
      <c r="A57" s="61"/>
      <c r="B57" s="12" t="s">
        <v>24</v>
      </c>
      <c r="C57" s="13" t="s">
        <v>25</v>
      </c>
      <c r="D57" s="13" t="s">
        <v>25</v>
      </c>
      <c r="E57" s="14" t="s">
        <v>26</v>
      </c>
      <c r="F57" s="15">
        <f>42094*0.4536</f>
        <v>19093.838400000001</v>
      </c>
      <c r="G57" s="16">
        <v>19044.689999999999</v>
      </c>
      <c r="H57" s="16">
        <f>G57-F57</f>
        <v>-49.148400000001857</v>
      </c>
      <c r="I57" s="11" t="s">
        <v>471</v>
      </c>
      <c r="J57" s="17" t="s">
        <v>27</v>
      </c>
      <c r="K57" s="18">
        <v>42663</v>
      </c>
      <c r="L57" s="18">
        <v>42664</v>
      </c>
      <c r="M57" s="13" t="s">
        <v>44</v>
      </c>
      <c r="N57" s="13" t="s">
        <v>472</v>
      </c>
      <c r="O57" s="19"/>
      <c r="P57" s="20">
        <f>0.5334+0.105</f>
        <v>0.63839999999999997</v>
      </c>
      <c r="Q57" s="41">
        <v>20000</v>
      </c>
      <c r="R57" s="19">
        <v>9134</v>
      </c>
      <c r="S57" s="22">
        <v>18.96</v>
      </c>
      <c r="T57" s="26">
        <f>W57*F57*0.005</f>
        <v>2703.1519099562383</v>
      </c>
      <c r="V57" s="19">
        <v>0.1</v>
      </c>
      <c r="W57" s="19">
        <f t="shared" ref="W57:W58" si="98">IF(O57&gt;0,O57,((P57*2.2046*S57)+(Q57+R57)/G57)+V57)</f>
        <v>28.314389734818725</v>
      </c>
      <c r="X57" s="19">
        <f t="shared" ref="X57:X58" si="99">IF(O57&gt;0,O57,((P57*2.2046*S57)+(Q57+R57+T57)/G57)+V57)</f>
        <v>28.456327036499992</v>
      </c>
      <c r="Y57" s="23">
        <f t="shared" ref="Y57:Y58" si="100">X57*F57</f>
        <v>543340.50989248173</v>
      </c>
      <c r="Z57" s="24">
        <v>42650</v>
      </c>
    </row>
    <row r="58" spans="1:26" s="30" customFormat="1" x14ac:dyDescent="0.25">
      <c r="A58" s="61"/>
      <c r="B58" s="12" t="s">
        <v>54</v>
      </c>
      <c r="C58" s="13" t="s">
        <v>217</v>
      </c>
      <c r="D58" s="13" t="s">
        <v>46</v>
      </c>
      <c r="E58" s="14" t="s">
        <v>59</v>
      </c>
      <c r="F58" s="15">
        <v>18669.847000000002</v>
      </c>
      <c r="G58" s="16">
        <v>18672.919999999998</v>
      </c>
      <c r="H58" s="16">
        <f>G58-F58</f>
        <v>3.0729999999966822</v>
      </c>
      <c r="I58" s="30" t="s">
        <v>473</v>
      </c>
      <c r="J58" s="14"/>
      <c r="K58" s="18"/>
      <c r="L58" s="18">
        <v>42664</v>
      </c>
      <c r="M58" s="13" t="s">
        <v>44</v>
      </c>
      <c r="N58" s="13"/>
      <c r="O58" s="19">
        <v>42.5</v>
      </c>
      <c r="P58" s="20"/>
      <c r="Q58" s="19"/>
      <c r="R58" s="19"/>
      <c r="S58" s="22"/>
      <c r="T58" s="26"/>
      <c r="V58" s="19"/>
      <c r="W58" s="19">
        <f t="shared" si="98"/>
        <v>42.5</v>
      </c>
      <c r="X58" s="19">
        <f t="shared" si="99"/>
        <v>42.5</v>
      </c>
      <c r="Y58" s="23">
        <f t="shared" si="100"/>
        <v>793468.49750000006</v>
      </c>
      <c r="Z58" s="24">
        <v>42684</v>
      </c>
    </row>
    <row r="59" spans="1:26" s="11" customFormat="1" x14ac:dyDescent="0.25">
      <c r="A59" s="61"/>
      <c r="B59" s="12" t="s">
        <v>36</v>
      </c>
      <c r="C59" s="14" t="s">
        <v>37</v>
      </c>
      <c r="D59" s="13" t="s">
        <v>43</v>
      </c>
      <c r="E59" s="14">
        <v>250</v>
      </c>
      <c r="F59" s="15">
        <v>26775</v>
      </c>
      <c r="G59" s="16">
        <v>21220</v>
      </c>
      <c r="H59" s="16">
        <f t="shared" ref="H59:H60" si="101">G59-F59</f>
        <v>-5555</v>
      </c>
      <c r="I59" s="11" t="s">
        <v>474</v>
      </c>
      <c r="J59" s="14"/>
      <c r="K59" s="18"/>
      <c r="L59" s="18">
        <v>42664</v>
      </c>
      <c r="M59" s="13" t="s">
        <v>44</v>
      </c>
      <c r="N59" s="14"/>
      <c r="O59" s="19">
        <v>28.5</v>
      </c>
      <c r="P59" s="25"/>
      <c r="Q59" s="41">
        <v>17300</v>
      </c>
      <c r="R59" s="19">
        <f t="shared" ref="R59:R60" si="102">61.75*E59</f>
        <v>15437.5</v>
      </c>
      <c r="S59" s="22">
        <f>-35*E59</f>
        <v>-8750</v>
      </c>
      <c r="T59" s="26">
        <f>W59*F59*0.0045</f>
        <v>4476.1219810320445</v>
      </c>
      <c r="U59" s="19">
        <f>E59*5</f>
        <v>1250</v>
      </c>
      <c r="V59" s="14"/>
      <c r="W59" s="19">
        <f>((O59*F59)+Q59+R59+S59+U59)/G59</f>
        <v>37.150094250706879</v>
      </c>
      <c r="X59" s="19">
        <f>((O59*F59)+Q59+R59+S59+T59+U59)/G59</f>
        <v>37.361033081104246</v>
      </c>
      <c r="Y59" s="23">
        <f t="shared" ref="Y59:Y60" si="103">X59*G59</f>
        <v>792801.12198103208</v>
      </c>
      <c r="Z59" s="24">
        <v>42677</v>
      </c>
    </row>
    <row r="60" spans="1:26" s="11" customFormat="1" x14ac:dyDescent="0.25">
      <c r="A60" s="61"/>
      <c r="B60" s="12" t="s">
        <v>36</v>
      </c>
      <c r="C60" s="14" t="s">
        <v>37</v>
      </c>
      <c r="D60" s="13" t="s">
        <v>53</v>
      </c>
      <c r="E60" s="14">
        <v>130</v>
      </c>
      <c r="F60" s="15">
        <v>14650</v>
      </c>
      <c r="G60" s="16">
        <v>11560</v>
      </c>
      <c r="H60" s="16">
        <f t="shared" si="101"/>
        <v>-3090</v>
      </c>
      <c r="I60" s="13" t="s">
        <v>475</v>
      </c>
      <c r="J60" s="14"/>
      <c r="K60" s="18"/>
      <c r="L60" s="18">
        <v>42664</v>
      </c>
      <c r="M60" s="13" t="s">
        <v>44</v>
      </c>
      <c r="N60" s="14"/>
      <c r="O60" s="19">
        <v>28</v>
      </c>
      <c r="P60" s="25"/>
      <c r="Q60" s="41">
        <v>13600</v>
      </c>
      <c r="R60" s="19">
        <f t="shared" si="102"/>
        <v>8027.5</v>
      </c>
      <c r="S60" s="22">
        <f>-35*E60</f>
        <v>-4550</v>
      </c>
      <c r="T60" s="26">
        <f>W60*F60*0.0045</f>
        <v>2440.4083423442908</v>
      </c>
      <c r="U60" s="19">
        <f>E60*5</f>
        <v>650</v>
      </c>
      <c r="V60" s="14"/>
      <c r="W60" s="19">
        <f>((O60*F60)+Q60+R60+S60+U60)/G60</f>
        <v>37.017949826989621</v>
      </c>
      <c r="X60" s="19">
        <f>((O60*F60)+Q60+R60+S60+T60+U60)/G60</f>
        <v>37.229057815081688</v>
      </c>
      <c r="Y60" s="23">
        <f t="shared" si="103"/>
        <v>430367.90834234434</v>
      </c>
      <c r="Z60" s="24">
        <v>42677</v>
      </c>
    </row>
    <row r="61" spans="1:26" s="11" customFormat="1" x14ac:dyDescent="0.25">
      <c r="A61" s="61"/>
      <c r="B61" s="12" t="s">
        <v>24</v>
      </c>
      <c r="C61" s="13" t="s">
        <v>34</v>
      </c>
      <c r="D61" s="13" t="s">
        <v>51</v>
      </c>
      <c r="E61" s="14" t="s">
        <v>35</v>
      </c>
      <c r="F61" s="15">
        <v>18748.5</v>
      </c>
      <c r="G61" s="16">
        <v>18660.13</v>
      </c>
      <c r="H61" s="16">
        <f>G61-F61</f>
        <v>-88.369999999998981</v>
      </c>
      <c r="I61" s="11" t="s">
        <v>476</v>
      </c>
      <c r="J61" s="14"/>
      <c r="K61" s="18"/>
      <c r="L61" s="18">
        <v>42665</v>
      </c>
      <c r="M61" s="13" t="s">
        <v>47</v>
      </c>
      <c r="N61" s="13"/>
      <c r="O61" s="19">
        <v>30.5</v>
      </c>
      <c r="P61" s="20"/>
      <c r="Q61" s="19"/>
      <c r="R61" s="19"/>
      <c r="S61" s="22"/>
      <c r="T61" s="26"/>
      <c r="V61" s="19"/>
      <c r="W61" s="19">
        <f t="shared" ref="W61:W62" si="104">IF(O61&gt;0,O61,((P61*2.2046*S61)+(Q61+R61)/G61)+V61)</f>
        <v>30.5</v>
      </c>
      <c r="X61" s="19">
        <f t="shared" ref="X61:X62" si="105">IF(O61&gt;0,O61,((P61*2.2046*S61)+(Q61+R61+T61)/G61)+V61)</f>
        <v>30.5</v>
      </c>
      <c r="Y61" s="23">
        <f t="shared" ref="Y61:Y62" si="106">X61*F61</f>
        <v>571829.25</v>
      </c>
      <c r="Z61" s="24">
        <v>42678</v>
      </c>
    </row>
    <row r="62" spans="1:26" s="11" customFormat="1" x14ac:dyDescent="0.25">
      <c r="A62" s="61"/>
      <c r="B62" s="12" t="s">
        <v>454</v>
      </c>
      <c r="C62" s="13" t="s">
        <v>25</v>
      </c>
      <c r="D62" s="13" t="s">
        <v>55</v>
      </c>
      <c r="E62" s="14" t="s">
        <v>31</v>
      </c>
      <c r="F62" s="15">
        <f>916.7+924.9</f>
        <v>1841.6</v>
      </c>
      <c r="G62" s="16">
        <v>1841.6</v>
      </c>
      <c r="H62" s="16">
        <f>G62-F62</f>
        <v>0</v>
      </c>
      <c r="I62" s="11" t="s">
        <v>477</v>
      </c>
      <c r="J62" s="14"/>
      <c r="K62" s="18"/>
      <c r="L62" s="18">
        <v>42665</v>
      </c>
      <c r="M62" s="13" t="s">
        <v>47</v>
      </c>
      <c r="N62" s="13"/>
      <c r="O62" s="19">
        <v>18.5</v>
      </c>
      <c r="P62" s="20"/>
      <c r="Q62" s="19"/>
      <c r="R62" s="19"/>
      <c r="S62" s="22"/>
      <c r="T62" s="26"/>
      <c r="V62" s="19"/>
      <c r="W62" s="19">
        <f t="shared" si="104"/>
        <v>18.5</v>
      </c>
      <c r="X62" s="19">
        <f t="shared" si="105"/>
        <v>18.5</v>
      </c>
      <c r="Y62" s="23">
        <f t="shared" si="106"/>
        <v>34069.599999999999</v>
      </c>
      <c r="Z62" s="24">
        <v>42671</v>
      </c>
    </row>
    <row r="63" spans="1:26" s="11" customFormat="1" ht="15.75" thickBot="1" x14ac:dyDescent="0.3">
      <c r="A63" s="61"/>
      <c r="B63" s="27"/>
      <c r="C63" s="3"/>
      <c r="D63" s="3"/>
      <c r="E63" s="3"/>
      <c r="F63" s="28"/>
      <c r="G63" s="28"/>
      <c r="H63" s="28"/>
      <c r="I63" s="5"/>
      <c r="J63" s="3"/>
      <c r="K63" s="6"/>
      <c r="L63" s="6"/>
      <c r="M63" s="3"/>
      <c r="N63" s="3"/>
      <c r="O63" s="7"/>
      <c r="P63" s="8"/>
      <c r="Q63" s="7"/>
      <c r="R63" s="7"/>
      <c r="S63" s="7"/>
      <c r="T63" s="7"/>
      <c r="U63" s="7"/>
      <c r="V63" s="7"/>
      <c r="W63" s="7"/>
      <c r="X63" s="7"/>
      <c r="Y63" s="10"/>
      <c r="Z63" s="29"/>
    </row>
    <row r="64" spans="1:26" s="11" customFormat="1" x14ac:dyDescent="0.25">
      <c r="A64" s="50"/>
      <c r="B64" s="14" t="s">
        <v>36</v>
      </c>
      <c r="C64" s="14" t="s">
        <v>37</v>
      </c>
      <c r="D64" s="13" t="s">
        <v>52</v>
      </c>
      <c r="E64" s="14">
        <f>249+130</f>
        <v>379</v>
      </c>
      <c r="F64" s="15">
        <f>28870+13865</f>
        <v>42735</v>
      </c>
      <c r="G64" s="16">
        <f>22470+11810</f>
        <v>34280</v>
      </c>
      <c r="H64" s="16">
        <f t="shared" ref="H64:H66" si="107">G64-F64</f>
        <v>-8455</v>
      </c>
      <c r="I64" s="13" t="s">
        <v>478</v>
      </c>
      <c r="J64" s="38">
        <v>250</v>
      </c>
      <c r="K64" s="18"/>
      <c r="L64" s="18">
        <v>42666</v>
      </c>
      <c r="M64" s="13" t="s">
        <v>48</v>
      </c>
      <c r="N64" s="14"/>
      <c r="O64" s="19">
        <v>28</v>
      </c>
      <c r="P64" s="25"/>
      <c r="Q64" s="19">
        <f>17300+13600</f>
        <v>30900</v>
      </c>
      <c r="R64" s="19">
        <f t="shared" ref="R64:R66" si="108">61.75*E64</f>
        <v>23403.25</v>
      </c>
      <c r="S64" s="22">
        <f>-35*E64</f>
        <v>-13265</v>
      </c>
      <c r="T64" s="26">
        <f>W64*F64*0.0045</f>
        <v>6953.550009462514</v>
      </c>
      <c r="U64" s="19">
        <f>E64*5</f>
        <v>1895</v>
      </c>
      <c r="V64" s="14"/>
      <c r="W64" s="19">
        <f>((O64*F64)+Q64+R64+S64+U64)/G64</f>
        <v>36.158496207701283</v>
      </c>
      <c r="X64" s="19">
        <f>((O64*F64)+Q64+R64+S64+T64+U64)/G64</f>
        <v>36.361341890591092</v>
      </c>
      <c r="Y64" s="23">
        <f>X64*G64</f>
        <v>1246466.8000094625</v>
      </c>
      <c r="Z64" s="24">
        <v>42681</v>
      </c>
    </row>
    <row r="65" spans="1:26" s="11" customFormat="1" x14ac:dyDescent="0.25">
      <c r="A65" s="50"/>
      <c r="B65" s="14" t="s">
        <v>36</v>
      </c>
      <c r="C65" s="14" t="s">
        <v>37</v>
      </c>
      <c r="D65" s="13" t="s">
        <v>53</v>
      </c>
      <c r="E65" s="14">
        <v>130</v>
      </c>
      <c r="F65" s="15">
        <v>13865</v>
      </c>
      <c r="G65" s="16">
        <v>11810</v>
      </c>
      <c r="H65" s="16">
        <v>0</v>
      </c>
      <c r="I65" s="13" t="s">
        <v>479</v>
      </c>
      <c r="J65" s="38">
        <v>129</v>
      </c>
      <c r="K65" s="18"/>
      <c r="L65" s="18">
        <v>42666</v>
      </c>
      <c r="M65" s="13" t="s">
        <v>48</v>
      </c>
      <c r="N65" s="14"/>
      <c r="O65" s="19">
        <v>28</v>
      </c>
      <c r="P65" s="25"/>
      <c r="Q65" s="19">
        <v>13600</v>
      </c>
      <c r="R65" s="19">
        <f t="shared" si="108"/>
        <v>8027.5</v>
      </c>
      <c r="S65" s="22">
        <f>-35*E65</f>
        <v>-4550</v>
      </c>
      <c r="T65" s="26">
        <f>W65*F65*0.0045</f>
        <v>2144.6299232641827</v>
      </c>
      <c r="U65" s="19">
        <f>E65*5</f>
        <v>650</v>
      </c>
      <c r="V65" s="14"/>
      <c r="W65" s="19">
        <f>((O65*F65)+Q65+R65+S65+U65)/G65</f>
        <v>34.373200677392042</v>
      </c>
      <c r="X65" s="19">
        <f>((O65*F65)+Q65+R65+S65+T65+U65)/G65</f>
        <v>34.55479508241018</v>
      </c>
      <c r="Y65" s="23">
        <f>X65*G65</f>
        <v>408092.1299232642</v>
      </c>
      <c r="Z65" s="24">
        <v>42681</v>
      </c>
    </row>
    <row r="66" spans="1:26" s="11" customFormat="1" x14ac:dyDescent="0.25">
      <c r="A66" s="50"/>
      <c r="B66" s="12" t="s">
        <v>36</v>
      </c>
      <c r="C66" s="14" t="s">
        <v>37</v>
      </c>
      <c r="D66" s="13" t="s">
        <v>53</v>
      </c>
      <c r="E66" s="14">
        <f>250+80</f>
        <v>330</v>
      </c>
      <c r="F66" s="15">
        <f>25620+8505</f>
        <v>34125</v>
      </c>
      <c r="G66" s="16">
        <f>16600+11190</f>
        <v>27790</v>
      </c>
      <c r="H66" s="16">
        <f t="shared" si="107"/>
        <v>-6335</v>
      </c>
      <c r="I66" s="13" t="s">
        <v>480</v>
      </c>
      <c r="J66" s="14"/>
      <c r="K66" s="18" t="s">
        <v>481</v>
      </c>
      <c r="L66" s="18">
        <v>42667</v>
      </c>
      <c r="M66" s="13" t="s">
        <v>49</v>
      </c>
      <c r="N66" s="14"/>
      <c r="O66" s="19">
        <v>28</v>
      </c>
      <c r="P66" s="25"/>
      <c r="Q66" s="19">
        <v>17300</v>
      </c>
      <c r="R66" s="19">
        <f t="shared" si="108"/>
        <v>20377.5</v>
      </c>
      <c r="S66" s="22">
        <f t="shared" ref="S66" si="109">-35*E66</f>
        <v>-11550</v>
      </c>
      <c r="T66" s="26">
        <f>W66*F66*0.0045</f>
        <v>5433.413137594458</v>
      </c>
      <c r="U66" s="19">
        <f>E66*5</f>
        <v>1650</v>
      </c>
      <c r="V66" s="14" t="s">
        <v>482</v>
      </c>
      <c r="W66" s="19">
        <f>((O66*F66)+Q66+R66+S66+U66)/G66</f>
        <v>35.382421734436846</v>
      </c>
      <c r="X66" s="19">
        <f>((O66*F66)+Q66+R66+S66+T66+U66)/G66</f>
        <v>35.577938579978209</v>
      </c>
      <c r="Y66" s="23">
        <f>X66*G66</f>
        <v>988710.91313759447</v>
      </c>
      <c r="Z66" s="24">
        <v>42681</v>
      </c>
    </row>
    <row r="67" spans="1:26" s="11" customFormat="1" x14ac:dyDescent="0.25">
      <c r="A67" s="50"/>
      <c r="B67" s="12" t="s">
        <v>24</v>
      </c>
      <c r="C67" s="13" t="s">
        <v>25</v>
      </c>
      <c r="D67" s="13" t="s">
        <v>25</v>
      </c>
      <c r="E67" s="14" t="s">
        <v>26</v>
      </c>
      <c r="F67" s="15">
        <f>42454*0.4536</f>
        <v>19257.134399999999</v>
      </c>
      <c r="G67" s="16">
        <v>19232.419999999998</v>
      </c>
      <c r="H67" s="16">
        <f>G67-F67</f>
        <v>-24.714400000000751</v>
      </c>
      <c r="I67" s="11" t="s">
        <v>483</v>
      </c>
      <c r="J67" s="17" t="s">
        <v>27</v>
      </c>
      <c r="K67" s="18">
        <v>42667</v>
      </c>
      <c r="L67" s="18">
        <v>42668</v>
      </c>
      <c r="M67" s="13" t="s">
        <v>28</v>
      </c>
      <c r="N67" s="13" t="s">
        <v>484</v>
      </c>
      <c r="O67" s="19"/>
      <c r="P67" s="20">
        <f>0.5397+0.105</f>
        <v>0.64469999999999994</v>
      </c>
      <c r="Q67" s="41">
        <v>20000</v>
      </c>
      <c r="R67" s="19">
        <v>9095</v>
      </c>
      <c r="S67" s="22">
        <v>18.928000000000001</v>
      </c>
      <c r="T67" s="26">
        <f>W67*F67*0.005</f>
        <v>2745.6131778119097</v>
      </c>
      <c r="V67" s="19">
        <v>0.1</v>
      </c>
      <c r="W67" s="19">
        <f t="shared" ref="W67" si="110">IF(O67&gt;0,O67,((P67*2.2046*S67)+(Q67+R67)/G67)+V67)</f>
        <v>28.515282915737554</v>
      </c>
      <c r="X67" s="19">
        <f t="shared" ref="X67" si="111">IF(O67&gt;0,O67,((P67*2.2046*S67)+(Q67+R67+T67)/G67)+V67)</f>
        <v>28.658042546497068</v>
      </c>
      <c r="Y67" s="23">
        <f t="shared" ref="Y67" si="112">X67*F67</f>
        <v>551871.77695881226</v>
      </c>
      <c r="Z67" s="24">
        <v>42662</v>
      </c>
    </row>
    <row r="68" spans="1:26" s="11" customFormat="1" x14ac:dyDescent="0.25">
      <c r="A68" s="50"/>
      <c r="B68" s="12" t="s">
        <v>36</v>
      </c>
      <c r="C68" s="14" t="s">
        <v>37</v>
      </c>
      <c r="D68" s="13" t="s">
        <v>50</v>
      </c>
      <c r="E68" s="14">
        <v>210</v>
      </c>
      <c r="F68" s="15">
        <v>24430</v>
      </c>
      <c r="G68" s="16">
        <f>14000+5590</f>
        <v>19590</v>
      </c>
      <c r="H68" s="16">
        <f t="shared" ref="H68" si="113">G68-F68</f>
        <v>-4840</v>
      </c>
      <c r="I68" s="13" t="s">
        <v>485</v>
      </c>
      <c r="J68" s="14"/>
      <c r="K68" s="18"/>
      <c r="L68" s="18">
        <v>42668</v>
      </c>
      <c r="M68" s="13" t="s">
        <v>28</v>
      </c>
      <c r="N68" s="14"/>
      <c r="O68" s="19">
        <v>28.5</v>
      </c>
      <c r="P68" s="25"/>
      <c r="Q68" s="19">
        <v>17300</v>
      </c>
      <c r="R68" s="19">
        <f t="shared" ref="R68" si="114">61.75*E68</f>
        <v>12967.5</v>
      </c>
      <c r="S68" s="22">
        <f t="shared" ref="S68" si="115">-35*E68</f>
        <v>-7350</v>
      </c>
      <c r="T68" s="26">
        <f t="shared" ref="T68" si="116">W68*F68*0.005</f>
        <v>4490.8207440020424</v>
      </c>
      <c r="U68" s="19">
        <f>E68*5</f>
        <v>1050</v>
      </c>
      <c r="V68" s="14"/>
      <c r="W68" s="19">
        <f>((O68*F68)+Q68+R68+S68+U68)/G68</f>
        <v>36.764803471158757</v>
      </c>
      <c r="X68" s="19">
        <f>((O68*F68)+Q68+R68+S68+T68+U68)/G68</f>
        <v>36.994043937927614</v>
      </c>
      <c r="Y68" s="23">
        <f>X68*G68</f>
        <v>724713.32074400201</v>
      </c>
      <c r="Z68" s="24">
        <v>42681</v>
      </c>
    </row>
    <row r="69" spans="1:26" s="11" customFormat="1" x14ac:dyDescent="0.25">
      <c r="A69" s="50"/>
      <c r="B69" s="12" t="s">
        <v>24</v>
      </c>
      <c r="C69" s="13" t="s">
        <v>29</v>
      </c>
      <c r="D69" s="13" t="s">
        <v>29</v>
      </c>
      <c r="E69" s="14" t="s">
        <v>32</v>
      </c>
      <c r="F69" s="15">
        <f>41311*0.4536</f>
        <v>18738.669600000001</v>
      </c>
      <c r="G69" s="16">
        <v>18709.68</v>
      </c>
      <c r="H69" s="16">
        <f>G69-F69</f>
        <v>-28.989600000000792</v>
      </c>
      <c r="I69" s="11" t="s">
        <v>486</v>
      </c>
      <c r="J69" s="17" t="s">
        <v>33</v>
      </c>
      <c r="K69" s="18">
        <v>42667</v>
      </c>
      <c r="L69" s="18">
        <v>42669</v>
      </c>
      <c r="M69" s="13" t="s">
        <v>39</v>
      </c>
      <c r="N69" s="13" t="s">
        <v>487</v>
      </c>
      <c r="O69" s="19"/>
      <c r="P69" s="20">
        <f>0.5376+0.1</f>
        <v>0.63759999999999994</v>
      </c>
      <c r="Q69" s="41">
        <v>20000</v>
      </c>
      <c r="R69" s="19">
        <v>9095</v>
      </c>
      <c r="S69" s="22">
        <v>18.850000000000001</v>
      </c>
      <c r="T69" s="26">
        <f>W69*F69*0.005</f>
        <v>2637.6209973842906</v>
      </c>
      <c r="V69" s="19">
        <v>0.1</v>
      </c>
      <c r="W69" s="19">
        <f>IF(O69&gt;0,O69,((P69*2.2046*S69)+(Q69+R69)/G69)+V69)</f>
        <v>28.151635667713467</v>
      </c>
      <c r="X69" s="19">
        <f>IF(O69&gt;0,O69,((P69*2.2046*S69)+(Q69+R69+T69)/G69)+V69)</f>
        <v>28.292611942956245</v>
      </c>
      <c r="Y69" s="23">
        <f>X69*F69</f>
        <v>530165.90732007113</v>
      </c>
      <c r="Z69" s="24">
        <v>42678</v>
      </c>
    </row>
    <row r="70" spans="1:26" s="11" customFormat="1" x14ac:dyDescent="0.25">
      <c r="A70" s="50"/>
      <c r="B70" s="12" t="s">
        <v>24</v>
      </c>
      <c r="C70" s="13" t="s">
        <v>29</v>
      </c>
      <c r="D70" s="13" t="s">
        <v>29</v>
      </c>
      <c r="E70" s="14" t="s">
        <v>32</v>
      </c>
      <c r="F70" s="15">
        <f>40941*0.4536</f>
        <v>18570.837599999999</v>
      </c>
      <c r="G70" s="16">
        <v>18551.04</v>
      </c>
      <c r="H70" s="16">
        <f>G70-F70</f>
        <v>-19.797599999998056</v>
      </c>
      <c r="I70" s="11" t="s">
        <v>488</v>
      </c>
      <c r="J70" s="17" t="s">
        <v>38</v>
      </c>
      <c r="K70" s="18">
        <v>42667</v>
      </c>
      <c r="L70" s="18">
        <v>42669</v>
      </c>
      <c r="M70" s="13" t="s">
        <v>39</v>
      </c>
      <c r="N70" s="13" t="s">
        <v>487</v>
      </c>
      <c r="O70" s="19"/>
      <c r="P70" s="20">
        <v>0.63759999999999994</v>
      </c>
      <c r="Q70" s="41">
        <v>20000</v>
      </c>
      <c r="R70" s="19">
        <v>9095</v>
      </c>
      <c r="S70" s="22">
        <v>18.850000000000001</v>
      </c>
      <c r="T70" s="26">
        <f>W70*F70*0.005</f>
        <v>2615.2320745416905</v>
      </c>
      <c r="V70" s="19">
        <v>0.1</v>
      </c>
      <c r="W70" s="19">
        <f>IF(O70&gt;0,O70,((P70*2.2046*S70)+(Q70+R70)/G70)+V70)</f>
        <v>28.164933977363418</v>
      </c>
      <c r="X70" s="19">
        <f>IF(O70&gt;0,O70,((P70*2.2046*S70)+(Q70+R70+T70)/G70)+V70)</f>
        <v>28.305908934807405</v>
      </c>
      <c r="Y70" s="23">
        <f>X70*F70</f>
        <v>525664.43794869725</v>
      </c>
      <c r="Z70" s="24">
        <v>42678</v>
      </c>
    </row>
    <row r="71" spans="1:26" s="11" customFormat="1" x14ac:dyDescent="0.25">
      <c r="A71" s="50"/>
      <c r="B71" s="12" t="s">
        <v>24</v>
      </c>
      <c r="C71" s="13" t="s">
        <v>25</v>
      </c>
      <c r="D71" s="13" t="s">
        <v>25</v>
      </c>
      <c r="E71" s="14" t="s">
        <v>26</v>
      </c>
      <c r="F71" s="15">
        <f>41982*0.4536</f>
        <v>19043.035199999998</v>
      </c>
      <c r="G71" s="16">
        <v>19013.759999999998</v>
      </c>
      <c r="H71" s="16">
        <f>G71-F71</f>
        <v>-29.275200000000041</v>
      </c>
      <c r="I71" s="11" t="s">
        <v>489</v>
      </c>
      <c r="J71" s="17" t="s">
        <v>27</v>
      </c>
      <c r="K71" s="18">
        <v>42668</v>
      </c>
      <c r="L71" s="18">
        <v>42669</v>
      </c>
      <c r="M71" s="13" t="s">
        <v>39</v>
      </c>
      <c r="N71" s="13" t="s">
        <v>484</v>
      </c>
      <c r="O71" s="19"/>
      <c r="P71" s="20">
        <f>0.5397+0.105</f>
        <v>0.64469999999999994</v>
      </c>
      <c r="Q71" s="41">
        <v>20000</v>
      </c>
      <c r="R71" s="19">
        <v>9095</v>
      </c>
      <c r="S71" s="22">
        <v>18.928000000000001</v>
      </c>
      <c r="T71" s="26">
        <f>W71*F71*0.005</f>
        <v>2716.7441834083334</v>
      </c>
      <c r="V71" s="19">
        <v>0.1</v>
      </c>
      <c r="W71" s="19">
        <f t="shared" ref="W71" si="117">IF(O71&gt;0,O71,((P71*2.2046*S71)+(Q71+R71)/G71)+V71)</f>
        <v>28.532680372384476</v>
      </c>
      <c r="X71" s="19">
        <f t="shared" ref="X71" si="118">IF(O71&gt;0,O71,((P71*2.2046*S71)+(Q71+R71+T71)/G71)+V71)</f>
        <v>28.675563430938297</v>
      </c>
      <c r="Y71" s="23">
        <f t="shared" ref="Y71" si="119">X71*F71</f>
        <v>546069.76379519072</v>
      </c>
      <c r="Z71" s="24">
        <v>42662</v>
      </c>
    </row>
    <row r="72" spans="1:26" s="11" customFormat="1" x14ac:dyDescent="0.25">
      <c r="A72" s="50"/>
      <c r="B72" s="12" t="s">
        <v>36</v>
      </c>
      <c r="C72" s="14" t="s">
        <v>37</v>
      </c>
      <c r="D72" s="13" t="s">
        <v>53</v>
      </c>
      <c r="E72" s="14">
        <v>200</v>
      </c>
      <c r="F72" s="15">
        <v>21140</v>
      </c>
      <c r="G72" s="16">
        <v>16800</v>
      </c>
      <c r="H72" s="16">
        <f t="shared" ref="H72" si="120">G72-F72</f>
        <v>-4340</v>
      </c>
      <c r="I72" s="11" t="s">
        <v>490</v>
      </c>
      <c r="J72" s="14"/>
      <c r="K72" s="18"/>
      <c r="L72" s="18">
        <v>42669</v>
      </c>
      <c r="M72" s="13" t="s">
        <v>39</v>
      </c>
      <c r="N72" s="14"/>
      <c r="O72" s="19">
        <v>28.5</v>
      </c>
      <c r="P72" s="25"/>
      <c r="Q72" s="19">
        <v>17300</v>
      </c>
      <c r="R72" s="19">
        <f t="shared" ref="R72" si="121">61.75*E72</f>
        <v>12350</v>
      </c>
      <c r="S72" s="22">
        <f t="shared" ref="S72" si="122">-35*E72</f>
        <v>-7000</v>
      </c>
      <c r="T72" s="26">
        <f>W72*F72*0.0045</f>
        <v>3545.5177499999995</v>
      </c>
      <c r="U72" s="19">
        <f>E72*5</f>
        <v>1000</v>
      </c>
      <c r="V72" s="14"/>
      <c r="W72" s="19">
        <f>((O72*F72)+Q72+R72+S72+U72)/G72</f>
        <v>37.270238095238092</v>
      </c>
      <c r="X72" s="19">
        <f>((O72*F72)+Q72+R72+S72+T72+U72)/G72</f>
        <v>37.481280818452383</v>
      </c>
      <c r="Y72" s="23">
        <f>X72*G72</f>
        <v>629685.51775</v>
      </c>
      <c r="Z72" s="24">
        <v>42682</v>
      </c>
    </row>
    <row r="73" spans="1:26" s="11" customFormat="1" x14ac:dyDescent="0.25">
      <c r="A73" s="50"/>
      <c r="B73" s="12" t="s">
        <v>24</v>
      </c>
      <c r="C73" s="13" t="s">
        <v>25</v>
      </c>
      <c r="D73" s="13" t="s">
        <v>25</v>
      </c>
      <c r="E73" s="14" t="s">
        <v>26</v>
      </c>
      <c r="F73" s="15">
        <f>42608*0.4536</f>
        <v>19326.988799999999</v>
      </c>
      <c r="G73" s="16">
        <v>19258.34</v>
      </c>
      <c r="H73" s="16">
        <f>G73-F73</f>
        <v>-68.648799999999028</v>
      </c>
      <c r="I73" s="11" t="s">
        <v>491</v>
      </c>
      <c r="J73" s="17" t="s">
        <v>27</v>
      </c>
      <c r="K73" s="18">
        <v>42669</v>
      </c>
      <c r="L73" s="18">
        <v>42670</v>
      </c>
      <c r="M73" s="13" t="s">
        <v>41</v>
      </c>
      <c r="N73" s="13" t="s">
        <v>492</v>
      </c>
      <c r="O73" s="19"/>
      <c r="P73" s="20">
        <f>0.5376+0.105</f>
        <v>0.64259999999999995</v>
      </c>
      <c r="Q73" s="41">
        <v>20000</v>
      </c>
      <c r="R73" s="19">
        <v>9082</v>
      </c>
      <c r="S73" s="22">
        <v>18.739000000000001</v>
      </c>
      <c r="T73" s="26">
        <f>W73*F73*0.005</f>
        <v>2720.968461037914</v>
      </c>
      <c r="V73" s="19">
        <v>0.1</v>
      </c>
      <c r="W73" s="19">
        <f t="shared" ref="W73" si="123">IF(O73&gt;0,O73,((P73*2.2046*S73)+(Q73+R73)/G73)+V73)</f>
        <v>28.15718981570387</v>
      </c>
      <c r="X73" s="19">
        <f t="shared" ref="X73" si="124">IF(O73&gt;0,O73,((P73*2.2046*S73)+(Q73+R73+T73)/G73)+V73)</f>
        <v>28.298477614186911</v>
      </c>
      <c r="Y73" s="23">
        <f t="shared" ref="Y73" si="125">X73*F73</f>
        <v>546924.35990644118</v>
      </c>
      <c r="Z73" s="24">
        <v>42663</v>
      </c>
    </row>
    <row r="74" spans="1:26" s="11" customFormat="1" x14ac:dyDescent="0.25">
      <c r="A74" s="50"/>
      <c r="B74" s="12" t="s">
        <v>24</v>
      </c>
      <c r="C74" s="13" t="s">
        <v>25</v>
      </c>
      <c r="D74" s="13" t="s">
        <v>25</v>
      </c>
      <c r="E74" s="14" t="s">
        <v>26</v>
      </c>
      <c r="F74" s="15">
        <f>42588*0.4536</f>
        <v>19317.916799999999</v>
      </c>
      <c r="G74" s="16">
        <v>19302.900000000001</v>
      </c>
      <c r="H74" s="16">
        <f>G74-F74</f>
        <v>-15.016799999997602</v>
      </c>
      <c r="I74" s="11" t="s">
        <v>493</v>
      </c>
      <c r="J74" s="17" t="s">
        <v>27</v>
      </c>
      <c r="K74" s="18">
        <v>42669</v>
      </c>
      <c r="L74" s="18">
        <v>42670</v>
      </c>
      <c r="M74" s="13" t="s">
        <v>41</v>
      </c>
      <c r="N74" s="13" t="s">
        <v>492</v>
      </c>
      <c r="O74" s="19"/>
      <c r="P74" s="20">
        <v>0.64259999999999995</v>
      </c>
      <c r="Q74" s="41">
        <v>20000</v>
      </c>
      <c r="R74" s="19">
        <v>9082</v>
      </c>
      <c r="S74" s="22">
        <v>18.739000000000001</v>
      </c>
      <c r="T74" s="26">
        <f t="shared" ref="T74" si="126">W74*F74*0.005</f>
        <v>2719.3545391071707</v>
      </c>
      <c r="V74" s="19">
        <v>0.1</v>
      </c>
      <c r="W74" s="19">
        <f>IF(O74&gt;0,O74,((P74*2.2046*S74)+(Q74+R74)/G74)+V74)</f>
        <v>28.153703810414701</v>
      </c>
      <c r="X74" s="19">
        <f>IF(O74&gt;0,O74,((P74*2.2046*S74)+(Q74+R74+T74)/G74)+V74)</f>
        <v>28.294581841130665</v>
      </c>
      <c r="Y74" s="23">
        <f>X74*F74</f>
        <v>546592.37789775291</v>
      </c>
      <c r="Z74" s="24">
        <v>42663</v>
      </c>
    </row>
    <row r="75" spans="1:26" s="11" customFormat="1" x14ac:dyDescent="0.25">
      <c r="A75" s="50"/>
      <c r="B75" s="12" t="s">
        <v>36</v>
      </c>
      <c r="C75" s="14" t="s">
        <v>37</v>
      </c>
      <c r="D75" s="13" t="s">
        <v>53</v>
      </c>
      <c r="E75" s="14">
        <v>250</v>
      </c>
      <c r="F75" s="15">
        <v>27060</v>
      </c>
      <c r="G75" s="16">
        <f>21790-200</f>
        <v>21590</v>
      </c>
      <c r="H75" s="16">
        <f t="shared" ref="H75:H77" si="127">G75-F75</f>
        <v>-5470</v>
      </c>
      <c r="I75" s="11" t="s">
        <v>494</v>
      </c>
      <c r="J75" s="14"/>
      <c r="K75" s="18"/>
      <c r="L75" s="18">
        <v>42670</v>
      </c>
      <c r="M75" s="13" t="s">
        <v>41</v>
      </c>
      <c r="N75" s="14"/>
      <c r="O75" s="19">
        <v>28.5</v>
      </c>
      <c r="P75" s="25"/>
      <c r="Q75" s="19">
        <v>17300</v>
      </c>
      <c r="R75" s="19">
        <f t="shared" ref="R75:R76" si="128">61.75*E75</f>
        <v>15437.5</v>
      </c>
      <c r="S75" s="22">
        <f t="shared" ref="S75:S76" si="129">-35*E75</f>
        <v>-8750</v>
      </c>
      <c r="T75" s="26">
        <f t="shared" ref="T75:T76" si="130">W75*F75*0.0045</f>
        <v>4492.0524351551639</v>
      </c>
      <c r="U75" s="19">
        <f t="shared" ref="U75:U76" si="131">E75*5</f>
        <v>1250</v>
      </c>
      <c r="V75" s="14"/>
      <c r="W75" s="19">
        <f t="shared" ref="W75:W76" si="132">((O75*F75)+Q75+R75+S75+U75)/G75</f>
        <v>36.889647985178321</v>
      </c>
      <c r="X75" s="19">
        <f t="shared" ref="X75:X76" si="133">((O75*F75)+Q75+R75+S75+T75+U75)/G75</f>
        <v>37.097709700563001</v>
      </c>
      <c r="Y75" s="23">
        <f t="shared" ref="Y75:Y76" si="134">X75*G75</f>
        <v>800939.55243515514</v>
      </c>
      <c r="Z75" s="24">
        <v>42683</v>
      </c>
    </row>
    <row r="76" spans="1:26" s="11" customFormat="1" x14ac:dyDescent="0.25">
      <c r="A76" s="50"/>
      <c r="B76" s="12" t="s">
        <v>36</v>
      </c>
      <c r="C76" s="14" t="s">
        <v>37</v>
      </c>
      <c r="D76" s="13" t="s">
        <v>52</v>
      </c>
      <c r="E76" s="14">
        <v>129</v>
      </c>
      <c r="F76" s="15">
        <v>15010</v>
      </c>
      <c r="G76" s="16">
        <f>11780+200</f>
        <v>11980</v>
      </c>
      <c r="H76" s="16">
        <f t="shared" si="127"/>
        <v>-3030</v>
      </c>
      <c r="I76" s="13" t="s">
        <v>495</v>
      </c>
      <c r="J76" s="14"/>
      <c r="K76" s="18"/>
      <c r="L76" s="18">
        <v>42670</v>
      </c>
      <c r="M76" s="13" t="s">
        <v>41</v>
      </c>
      <c r="N76" s="14"/>
      <c r="O76" s="19">
        <v>28.5</v>
      </c>
      <c r="P76" s="25"/>
      <c r="Q76" s="19">
        <v>13600</v>
      </c>
      <c r="R76" s="19">
        <f t="shared" si="128"/>
        <v>7965.75</v>
      </c>
      <c r="S76" s="22">
        <f t="shared" si="129"/>
        <v>-4515</v>
      </c>
      <c r="T76" s="26">
        <f t="shared" si="130"/>
        <v>2511.6859147537562</v>
      </c>
      <c r="U76" s="19">
        <f t="shared" si="131"/>
        <v>645</v>
      </c>
      <c r="V76" s="14"/>
      <c r="W76" s="19">
        <f t="shared" si="132"/>
        <v>37.185371452420704</v>
      </c>
      <c r="X76" s="19">
        <f t="shared" si="133"/>
        <v>37.395028039628862</v>
      </c>
      <c r="Y76" s="23">
        <f t="shared" si="134"/>
        <v>447992.43591475376</v>
      </c>
      <c r="Z76" s="24">
        <v>42683</v>
      </c>
    </row>
    <row r="77" spans="1:26" s="11" customFormat="1" x14ac:dyDescent="0.25">
      <c r="A77" s="50"/>
      <c r="B77" s="12" t="s">
        <v>496</v>
      </c>
      <c r="C77" s="14"/>
      <c r="D77" s="13" t="s">
        <v>55</v>
      </c>
      <c r="E77" s="14" t="s">
        <v>116</v>
      </c>
      <c r="F77" s="15">
        <v>3128.55</v>
      </c>
      <c r="G77" s="16">
        <v>3128.55</v>
      </c>
      <c r="H77" s="16">
        <f t="shared" si="127"/>
        <v>0</v>
      </c>
      <c r="I77" s="13" t="s">
        <v>497</v>
      </c>
      <c r="J77" s="14"/>
      <c r="K77" s="18"/>
      <c r="L77" s="18">
        <v>42670</v>
      </c>
      <c r="M77" s="13" t="s">
        <v>41</v>
      </c>
      <c r="N77" s="14"/>
      <c r="O77" s="19">
        <v>87.5</v>
      </c>
      <c r="P77" s="25"/>
      <c r="Q77" s="19"/>
      <c r="R77" s="19"/>
      <c r="S77" s="22"/>
      <c r="T77" s="26"/>
      <c r="U77" s="19"/>
      <c r="V77" s="19"/>
      <c r="W77" s="19">
        <f t="shared" ref="W77:W78" si="135">IF(O77&gt;0,O77,((P77*2.2046*S77)+(Q77+R77)/G77)+V77)</f>
        <v>87.5</v>
      </c>
      <c r="X77" s="19">
        <f t="shared" ref="X77:X78" si="136">IF(O77&gt;0,O77,((P77*2.2046*S77)+(Q77+R77+T77)/G77)+V77)</f>
        <v>87.5</v>
      </c>
      <c r="Y77" s="23">
        <f t="shared" ref="Y77:Y78" si="137">X77*F77</f>
        <v>273748.125</v>
      </c>
      <c r="Z77" s="24">
        <v>42677</v>
      </c>
    </row>
    <row r="78" spans="1:26" s="11" customFormat="1" x14ac:dyDescent="0.25">
      <c r="A78" s="50"/>
      <c r="B78" s="12" t="s">
        <v>24</v>
      </c>
      <c r="C78" s="13" t="s">
        <v>25</v>
      </c>
      <c r="D78" s="13" t="s">
        <v>25</v>
      </c>
      <c r="E78" s="14" t="s">
        <v>26</v>
      </c>
      <c r="F78" s="15">
        <f>42470*0.4536</f>
        <v>19264.392</v>
      </c>
      <c r="G78" s="16">
        <v>19126.07</v>
      </c>
      <c r="H78" s="16">
        <f>G78-F78</f>
        <v>-138.32200000000012</v>
      </c>
      <c r="I78" s="11" t="s">
        <v>498</v>
      </c>
      <c r="J78" s="17" t="s">
        <v>27</v>
      </c>
      <c r="K78" s="18">
        <v>42670</v>
      </c>
      <c r="L78" s="18">
        <v>42671</v>
      </c>
      <c r="M78" s="13" t="s">
        <v>44</v>
      </c>
      <c r="N78" s="13" t="s">
        <v>499</v>
      </c>
      <c r="O78" s="19"/>
      <c r="P78" s="20">
        <f>0.5593+0.105</f>
        <v>0.6643</v>
      </c>
      <c r="Q78" s="41">
        <v>20000</v>
      </c>
      <c r="R78" s="19">
        <v>9095</v>
      </c>
      <c r="S78" s="22">
        <v>18.64</v>
      </c>
      <c r="T78" s="26">
        <f>W78*F78*0.005</f>
        <v>2785.6114546962535</v>
      </c>
      <c r="V78" s="19">
        <v>0.1</v>
      </c>
      <c r="W78" s="19">
        <f t="shared" si="135"/>
        <v>28.919796219846997</v>
      </c>
      <c r="X78" s="19">
        <f t="shared" si="136"/>
        <v>29.065440957877144</v>
      </c>
      <c r="Y78" s="23">
        <f t="shared" si="137"/>
        <v>559928.04826540081</v>
      </c>
      <c r="Z78" s="24">
        <v>42664</v>
      </c>
    </row>
    <row r="79" spans="1:26" s="11" customFormat="1" x14ac:dyDescent="0.25">
      <c r="A79" s="50"/>
      <c r="B79" s="12" t="s">
        <v>36</v>
      </c>
      <c r="C79" s="14" t="s">
        <v>37</v>
      </c>
      <c r="D79" s="13" t="s">
        <v>50</v>
      </c>
      <c r="E79" s="14">
        <v>230</v>
      </c>
      <c r="F79" s="15">
        <v>27235</v>
      </c>
      <c r="G79" s="16">
        <f>23720-1900</f>
        <v>21820</v>
      </c>
      <c r="H79" s="16">
        <f t="shared" ref="H79:H80" si="138">G79-F79</f>
        <v>-5415</v>
      </c>
      <c r="I79" s="11" t="s">
        <v>500</v>
      </c>
      <c r="J79" s="38">
        <v>250</v>
      </c>
      <c r="K79" s="18"/>
      <c r="L79" s="18">
        <v>42671</v>
      </c>
      <c r="M79" s="13" t="s">
        <v>44</v>
      </c>
      <c r="N79" s="14"/>
      <c r="O79" s="19">
        <v>28.5</v>
      </c>
      <c r="P79" s="25"/>
      <c r="Q79" s="19">
        <v>17300</v>
      </c>
      <c r="R79" s="19">
        <f t="shared" ref="R79:R80" si="139">61.75*E79</f>
        <v>14202.5</v>
      </c>
      <c r="S79" s="22">
        <f>-35*E79</f>
        <v>-8050</v>
      </c>
      <c r="T79" s="26">
        <f>W79*F79*0.0045</f>
        <v>4497.8939505041244</v>
      </c>
      <c r="U79" s="19">
        <f>E79*5</f>
        <v>1150</v>
      </c>
      <c r="V79" s="14"/>
      <c r="W79" s="19">
        <f>((O79*F79)+Q79+R79+S79+U79)/G79</f>
        <v>36.700274977085243</v>
      </c>
      <c r="X79" s="19">
        <f>((O79*F79)+Q79+R79+S79+T79+U79)/G79</f>
        <v>36.906411271792123</v>
      </c>
      <c r="Y79" s="23">
        <f t="shared" ref="Y79:Y80" si="140">X79*G79</f>
        <v>805297.89395050413</v>
      </c>
      <c r="Z79" s="24">
        <v>42684</v>
      </c>
    </row>
    <row r="80" spans="1:26" s="11" customFormat="1" x14ac:dyDescent="0.25">
      <c r="A80" s="50"/>
      <c r="B80" s="12" t="s">
        <v>36</v>
      </c>
      <c r="C80" s="14" t="s">
        <v>37</v>
      </c>
      <c r="D80" s="13" t="s">
        <v>52</v>
      </c>
      <c r="E80" s="14">
        <v>150</v>
      </c>
      <c r="F80" s="15">
        <v>17370</v>
      </c>
      <c r="G80" s="16">
        <f>11980+1900</f>
        <v>13880</v>
      </c>
      <c r="H80" s="16">
        <f t="shared" si="138"/>
        <v>-3490</v>
      </c>
      <c r="I80" s="13" t="s">
        <v>501</v>
      </c>
      <c r="J80" s="38">
        <v>130</v>
      </c>
      <c r="K80" s="18"/>
      <c r="L80" s="18">
        <v>42671</v>
      </c>
      <c r="M80" s="13" t="s">
        <v>44</v>
      </c>
      <c r="N80" s="14"/>
      <c r="O80" s="19">
        <v>28.5</v>
      </c>
      <c r="P80" s="25"/>
      <c r="Q80" s="19">
        <v>13600</v>
      </c>
      <c r="R80" s="19">
        <f t="shared" si="139"/>
        <v>9262.5</v>
      </c>
      <c r="S80" s="22">
        <f>-35*E80</f>
        <v>-5250</v>
      </c>
      <c r="T80" s="26">
        <f>W80*F80*0.0045</f>
        <v>2891.2461986671469</v>
      </c>
      <c r="U80" s="19">
        <f>E80*5</f>
        <v>750</v>
      </c>
      <c r="V80" s="14"/>
      <c r="W80" s="19">
        <f>((O80*F80)+Q80+R80+S80+U80)/G80</f>
        <v>36.989012968299711</v>
      </c>
      <c r="X80" s="19">
        <f>((O80*F80)+Q80+R80+S80+T80+U80)/G80</f>
        <v>37.197316008549507</v>
      </c>
      <c r="Y80" s="23">
        <f t="shared" si="140"/>
        <v>516298.74619866716</v>
      </c>
      <c r="Z80" s="24">
        <v>42684</v>
      </c>
    </row>
    <row r="81" spans="1:26" s="11" customFormat="1" x14ac:dyDescent="0.25">
      <c r="A81" s="50"/>
      <c r="B81" s="12" t="s">
        <v>24</v>
      </c>
      <c r="C81" s="13" t="s">
        <v>29</v>
      </c>
      <c r="D81" s="13" t="s">
        <v>29</v>
      </c>
      <c r="E81" s="14" t="s">
        <v>26</v>
      </c>
      <c r="F81" s="15">
        <f>41527*0.4536</f>
        <v>18836.647199999999</v>
      </c>
      <c r="G81" s="16">
        <v>18767.45</v>
      </c>
      <c r="H81" s="16">
        <f>G81-F81</f>
        <v>-69.197199999998702</v>
      </c>
      <c r="I81" s="11" t="s">
        <v>502</v>
      </c>
      <c r="J81" s="17" t="s">
        <v>27</v>
      </c>
      <c r="K81" s="18">
        <v>42671</v>
      </c>
      <c r="L81" s="18">
        <v>42672</v>
      </c>
      <c r="M81" s="13" t="s">
        <v>47</v>
      </c>
      <c r="N81" s="13" t="s">
        <v>503</v>
      </c>
      <c r="O81" s="19"/>
      <c r="P81" s="20">
        <f>0.5593+0.1</f>
        <v>0.6593</v>
      </c>
      <c r="Q81" s="41">
        <v>20000</v>
      </c>
      <c r="R81" s="19">
        <v>9095</v>
      </c>
      <c r="S81" s="22">
        <v>18.899999999999999</v>
      </c>
      <c r="T81" s="26">
        <f>W81*F81*0.005</f>
        <v>2742.7386540045613</v>
      </c>
      <c r="V81" s="19">
        <v>0.1</v>
      </c>
      <c r="W81" s="19">
        <f>IF(O81&gt;0,O81,((P81*2.2046*S81)+(Q81+R81)/G81)+V81)</f>
        <v>29.121304071613775</v>
      </c>
      <c r="X81" s="19">
        <f>IF(O81&gt;0,O81,((P81*2.2046*S81)+(Q81+R81+T81)/G81)+V81)</f>
        <v>29.267447455717878</v>
      </c>
      <c r="Y81" s="23">
        <f>X81*F81</f>
        <v>551300.58216789528</v>
      </c>
      <c r="Z81" s="24">
        <v>42683</v>
      </c>
    </row>
    <row r="82" spans="1:26" s="11" customFormat="1" ht="15.75" thickBot="1" x14ac:dyDescent="0.3">
      <c r="A82" s="50"/>
      <c r="B82" s="27"/>
      <c r="C82" s="3"/>
      <c r="D82" s="3"/>
      <c r="E82" s="3"/>
      <c r="F82" s="28"/>
      <c r="G82" s="28"/>
      <c r="H82" s="28"/>
      <c r="I82" s="5"/>
      <c r="J82" s="3"/>
      <c r="K82" s="6"/>
      <c r="L82" s="6"/>
      <c r="M82" s="3"/>
      <c r="N82" s="3"/>
      <c r="O82" s="7"/>
      <c r="P82" s="8"/>
      <c r="Q82" s="7"/>
      <c r="R82" s="7"/>
      <c r="S82" s="7"/>
      <c r="T82" s="7"/>
      <c r="U82" s="7"/>
      <c r="V82" s="7"/>
      <c r="W82" s="7"/>
      <c r="X82" s="7"/>
      <c r="Y82" s="10"/>
      <c r="Z82" s="29"/>
    </row>
    <row r="83" spans="1:26" s="11" customFormat="1" x14ac:dyDescent="0.25">
      <c r="A83" s="62"/>
      <c r="B83" s="14" t="s">
        <v>36</v>
      </c>
      <c r="C83" s="14" t="s">
        <v>37</v>
      </c>
      <c r="D83" s="13" t="s">
        <v>52</v>
      </c>
      <c r="E83" s="14">
        <v>259</v>
      </c>
      <c r="F83" s="15">
        <v>28020</v>
      </c>
      <c r="G83" s="16">
        <f>11170+11070</f>
        <v>22240</v>
      </c>
      <c r="H83" s="16">
        <f t="shared" ref="H83:H84" si="141">G83-F83</f>
        <v>-5780</v>
      </c>
      <c r="I83" s="13" t="s">
        <v>504</v>
      </c>
      <c r="J83" s="14"/>
      <c r="K83" s="18"/>
      <c r="L83" s="18">
        <v>42673</v>
      </c>
      <c r="M83" s="13" t="s">
        <v>48</v>
      </c>
      <c r="N83" s="14"/>
      <c r="O83" s="19">
        <v>28.5</v>
      </c>
      <c r="P83" s="25"/>
      <c r="Q83" s="19">
        <v>17300</v>
      </c>
      <c r="R83" s="19">
        <f t="shared" ref="R83:R84" si="142">61.75*E83</f>
        <v>15993.25</v>
      </c>
      <c r="S83" s="22">
        <f>-35*E83</f>
        <v>-9065</v>
      </c>
      <c r="T83" s="26">
        <f>W83*F83*0.0045</f>
        <v>4672.2085383318345</v>
      </c>
      <c r="U83" s="19">
        <f>E83*5</f>
        <v>1295</v>
      </c>
      <c r="V83" s="14"/>
      <c r="W83" s="19">
        <f>((O83*F83)+Q83+R83+S83+U83)/G83</f>
        <v>37.054552607913671</v>
      </c>
      <c r="X83" s="19">
        <f>((O83*F83)+Q83+R83+S83+T83+U83)/G83</f>
        <v>37.264633927083267</v>
      </c>
      <c r="Y83" s="23">
        <f>X83*G83</f>
        <v>828765.45853833191</v>
      </c>
      <c r="Z83" s="24">
        <v>42688</v>
      </c>
    </row>
    <row r="84" spans="1:26" s="11" customFormat="1" x14ac:dyDescent="0.25">
      <c r="A84" s="62"/>
      <c r="B84" s="12" t="s">
        <v>36</v>
      </c>
      <c r="C84" s="14" t="s">
        <v>37</v>
      </c>
      <c r="D84" s="13" t="s">
        <v>505</v>
      </c>
      <c r="E84" s="14">
        <v>200</v>
      </c>
      <c r="F84" s="15">
        <v>21135</v>
      </c>
      <c r="G84" s="16">
        <f>11980+5110</f>
        <v>17090</v>
      </c>
      <c r="H84" s="16">
        <f t="shared" si="141"/>
        <v>-4045</v>
      </c>
      <c r="I84" s="13" t="s">
        <v>506</v>
      </c>
      <c r="J84" s="14"/>
      <c r="K84" s="18"/>
      <c r="L84" s="18">
        <v>42674</v>
      </c>
      <c r="M84" s="13" t="s">
        <v>49</v>
      </c>
      <c r="N84" s="14"/>
      <c r="O84" s="19">
        <v>28.5</v>
      </c>
      <c r="P84" s="25"/>
      <c r="Q84" s="19">
        <v>17300</v>
      </c>
      <c r="R84" s="19">
        <f t="shared" si="142"/>
        <v>12350</v>
      </c>
      <c r="S84" s="22">
        <f t="shared" ref="S84" si="143">-35*E84</f>
        <v>-7000</v>
      </c>
      <c r="T84" s="26">
        <f>W84*F84*0.0045</f>
        <v>3483.7365261117607</v>
      </c>
      <c r="U84" s="19">
        <f>E84*5</f>
        <v>1000</v>
      </c>
      <c r="V84" s="14"/>
      <c r="W84" s="19">
        <f>((O84*F84)+Q84+R84+S84+U84)/G84</f>
        <v>36.629461673493267</v>
      </c>
      <c r="X84" s="19">
        <f>((O84*F84)+Q84+R84+S84+T84+U84)/G84</f>
        <v>36.833308164196119</v>
      </c>
      <c r="Y84" s="23">
        <f>X84*G84</f>
        <v>629481.23652611172</v>
      </c>
      <c r="Z84" s="24">
        <v>42688</v>
      </c>
    </row>
    <row r="85" spans="1:26" s="11" customFormat="1" ht="15.75" thickBot="1" x14ac:dyDescent="0.3">
      <c r="A85" s="62"/>
      <c r="B85" s="27"/>
      <c r="C85" s="3"/>
      <c r="D85" s="3"/>
      <c r="E85" s="3"/>
      <c r="F85" s="28"/>
      <c r="G85" s="28"/>
      <c r="H85" s="28"/>
      <c r="I85" s="5"/>
      <c r="J85" s="3"/>
      <c r="K85" s="6"/>
      <c r="L85" s="6"/>
      <c r="M85" s="3"/>
      <c r="N85" s="3"/>
      <c r="O85" s="7"/>
      <c r="P85" s="8"/>
      <c r="Q85" s="7"/>
      <c r="R85" s="7"/>
      <c r="S85" s="7"/>
      <c r="T85" s="7"/>
      <c r="U85" s="7"/>
      <c r="V85" s="7"/>
      <c r="W85" s="7"/>
      <c r="X85" s="7"/>
      <c r="Y85" s="10"/>
      <c r="Z85" s="29"/>
    </row>
  </sheetData>
  <pageMargins left="0.70866141732283472" right="0.11811023622047245" top="0.15748031496062992" bottom="0.15748031496062992" header="0.31496062992125984" footer="0.31496062992125984"/>
  <pageSetup scale="8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may</vt:lpstr>
      <vt:lpstr>septiembre 16</vt:lpstr>
      <vt:lpstr>octubre 16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cp:lastPrinted>2016-11-04T14:32:44Z</cp:lastPrinted>
  <dcterms:created xsi:type="dcterms:W3CDTF">2016-01-16T20:25:47Z</dcterms:created>
  <dcterms:modified xsi:type="dcterms:W3CDTF">2016-11-04T14:33:48Z</dcterms:modified>
</cp:coreProperties>
</file>