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20" activeTab="23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J U L I O    2016 " sheetId="13" r:id="rId13"/>
    <sheet name="REMISIONES  J U L I O  2016" sheetId="14" r:id="rId14"/>
    <sheet name="A G O S T O   2016  " sheetId="15" r:id="rId15"/>
    <sheet name="REMISIONES  AGOSTO  2016  " sheetId="16" r:id="rId16"/>
    <sheet name="Septiembre 2016     " sheetId="17" r:id="rId17"/>
    <sheet name="Remisiones Septiembre 2016" sheetId="18" r:id="rId18"/>
    <sheet name="Octubre 2016   " sheetId="19" r:id="rId19"/>
    <sheet name="Remisiones Octubre 2016   " sheetId="20" r:id="rId20"/>
    <sheet name="NOVIEMBRE 2016   " sheetId="21" r:id="rId21"/>
    <sheet name="REMISIONES NOVIEMBRE 2016  " sheetId="22" r:id="rId22"/>
    <sheet name="DICIEMBRE   2016   " sheetId="23" r:id="rId23"/>
    <sheet name="REMISIONES DICIEMBRE 2016  " sheetId="24" r:id="rId24"/>
    <sheet name="Hoja2" sheetId="25" r:id="rId25"/>
    <sheet name="Hoja3" sheetId="26" r:id="rId26"/>
  </sheets>
  <calcPr calcId="144525"/>
</workbook>
</file>

<file path=xl/calcChain.xml><?xml version="1.0" encoding="utf-8"?>
<calcChain xmlns="http://schemas.openxmlformats.org/spreadsheetml/2006/main">
  <c r="D62" i="24" l="1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F62" i="24"/>
  <c r="G10" i="24"/>
  <c r="G9" i="24"/>
  <c r="G8" i="24"/>
  <c r="G7" i="24"/>
  <c r="G6" i="24"/>
  <c r="G5" i="24"/>
  <c r="G4" i="24"/>
  <c r="L37" i="23"/>
  <c r="K37" i="23"/>
  <c r="I37" i="23"/>
  <c r="J39" i="23" s="1"/>
  <c r="F37" i="23"/>
  <c r="F40" i="23" s="1"/>
  <c r="F43" i="23" s="1"/>
  <c r="F45" i="23" s="1"/>
  <c r="K43" i="23" s="1"/>
  <c r="K45" i="23" s="1"/>
  <c r="C37" i="23"/>
  <c r="G11" i="24" l="1"/>
  <c r="G62" i="24" s="1"/>
  <c r="F11" i="22"/>
  <c r="W28" i="22" l="1"/>
  <c r="W17" i="22"/>
  <c r="W14" i="22"/>
  <c r="W27" i="22"/>
  <c r="W25" i="22"/>
  <c r="W21" i="22"/>
  <c r="W19" i="22"/>
  <c r="W12" i="22" l="1"/>
  <c r="W13" i="22"/>
  <c r="W9" i="22"/>
  <c r="W7" i="22"/>
  <c r="W6" i="22"/>
  <c r="AB67" i="22"/>
  <c r="Y67" i="22"/>
  <c r="W67" i="22"/>
  <c r="L37" i="21" l="1"/>
  <c r="K37" i="21"/>
  <c r="I37" i="21"/>
  <c r="J39" i="21" s="1"/>
  <c r="F37" i="21"/>
  <c r="F40" i="21" s="1"/>
  <c r="F43" i="21" s="1"/>
  <c r="F45" i="21" s="1"/>
  <c r="K43" i="21" s="1"/>
  <c r="K45" i="21" s="1"/>
  <c r="C37" i="21"/>
  <c r="K44" i="19" l="1"/>
  <c r="K6" i="19" l="1"/>
  <c r="D91" i="20"/>
  <c r="F53" i="20" l="1"/>
  <c r="L60" i="22" l="1"/>
  <c r="L59" i="22"/>
  <c r="L56" i="22"/>
  <c r="L55" i="22"/>
  <c r="L54" i="22"/>
  <c r="L53" i="22"/>
  <c r="L52" i="22"/>
  <c r="L51" i="22"/>
  <c r="L50" i="22"/>
  <c r="Q78" i="22"/>
  <c r="N78" i="22"/>
  <c r="L78" i="22"/>
  <c r="G58" i="22" l="1"/>
  <c r="G59" i="22"/>
  <c r="G60" i="22"/>
  <c r="G61" i="22"/>
  <c r="F32" i="20"/>
  <c r="L23" i="22" l="1"/>
  <c r="L19" i="22"/>
  <c r="L16" i="22"/>
  <c r="L37" i="19" l="1"/>
  <c r="I37" i="19"/>
  <c r="F37" i="19"/>
  <c r="C37" i="19"/>
  <c r="K7" i="19"/>
  <c r="K37" i="19"/>
  <c r="L14" i="22"/>
  <c r="L12" i="22"/>
  <c r="Y6" i="19"/>
  <c r="AM6" i="19"/>
  <c r="L9" i="22"/>
  <c r="L8" i="22"/>
  <c r="L7" i="22"/>
  <c r="Q36" i="22"/>
  <c r="N36" i="22"/>
  <c r="L36" i="22"/>
  <c r="Y44" i="19"/>
  <c r="Z37" i="19"/>
  <c r="W37" i="19"/>
  <c r="T37" i="19"/>
  <c r="Q37" i="19"/>
  <c r="Y7" i="19"/>
  <c r="Y37" i="19" s="1"/>
  <c r="J39" i="19" l="1"/>
  <c r="F40" i="19" s="1"/>
  <c r="F43" i="19" s="1"/>
  <c r="F45" i="19" s="1"/>
  <c r="K43" i="19" s="1"/>
  <c r="K45" i="19" s="1"/>
  <c r="X39" i="19"/>
  <c r="T40" i="19" s="1"/>
  <c r="T43" i="19" s="1"/>
  <c r="T45" i="19" s="1"/>
  <c r="Y43" i="19" s="1"/>
  <c r="Y45" i="19" s="1"/>
  <c r="D62" i="22" l="1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F62" i="22"/>
  <c r="G6" i="22"/>
  <c r="G5" i="22"/>
  <c r="G4" i="22"/>
  <c r="Z37" i="21"/>
  <c r="W37" i="21"/>
  <c r="T37" i="21"/>
  <c r="Q37" i="21"/>
  <c r="Y37" i="21"/>
  <c r="G7" i="22" l="1"/>
  <c r="G62" i="22" s="1"/>
  <c r="X39" i="21"/>
  <c r="T40" i="21" s="1"/>
  <c r="T43" i="21" s="1"/>
  <c r="T45" i="21" s="1"/>
  <c r="Y43" i="21" s="1"/>
  <c r="Y45" i="21" s="1"/>
  <c r="G57" i="20"/>
  <c r="G56" i="20"/>
  <c r="G55" i="20"/>
  <c r="D60" i="18" l="1"/>
  <c r="F60" i="18"/>
  <c r="D62" i="20"/>
  <c r="F62" i="20"/>
  <c r="G44" i="20"/>
  <c r="G45" i="20"/>
  <c r="G46" i="20"/>
  <c r="G47" i="20"/>
  <c r="G48" i="20"/>
  <c r="G49" i="20"/>
  <c r="G50" i="20"/>
  <c r="G51" i="20"/>
  <c r="G52" i="20"/>
  <c r="G53" i="20"/>
  <c r="G54" i="20"/>
  <c r="G61" i="20"/>
  <c r="AM44" i="19" l="1"/>
  <c r="AN37" i="19"/>
  <c r="AK37" i="19"/>
  <c r="AH37" i="19"/>
  <c r="AE37" i="19"/>
  <c r="AM7" i="19"/>
  <c r="AM37" i="19" s="1"/>
  <c r="AL39" i="19" l="1"/>
  <c r="AH40" i="19" s="1"/>
  <c r="AH43" i="19" s="1"/>
  <c r="AH45" i="19" s="1"/>
  <c r="AM43" i="19" s="1"/>
  <c r="AM45" i="19" s="1"/>
  <c r="F18" i="20" l="1"/>
  <c r="Z29" i="20" l="1"/>
  <c r="U29" i="20"/>
  <c r="W29" i="20"/>
  <c r="U17" i="20"/>
  <c r="U16" i="20"/>
  <c r="U15" i="20"/>
  <c r="U12" i="20"/>
  <c r="U10" i="20"/>
  <c r="U11" i="20"/>
  <c r="U6" i="20" l="1"/>
  <c r="L44" i="17" l="1"/>
  <c r="F7" i="20" l="1"/>
  <c r="K52" i="20"/>
  <c r="K48" i="20"/>
  <c r="P59" i="20"/>
  <c r="K45" i="20"/>
  <c r="K44" i="20"/>
  <c r="M59" i="20"/>
  <c r="K59" i="20"/>
  <c r="F19" i="18" l="1"/>
  <c r="G25" i="20" l="1"/>
  <c r="G26" i="20"/>
  <c r="G27" i="20"/>
  <c r="G28" i="20"/>
  <c r="G29" i="20"/>
  <c r="G30" i="20"/>
  <c r="G31" i="20"/>
  <c r="G32" i="20"/>
  <c r="G33" i="20"/>
  <c r="G34" i="20"/>
  <c r="G35" i="20"/>
  <c r="G36" i="20"/>
  <c r="G37" i="20"/>
  <c r="K18" i="20"/>
  <c r="K17" i="20"/>
  <c r="K15" i="20"/>
  <c r="K13" i="20"/>
  <c r="K12" i="20"/>
  <c r="K10" i="20"/>
  <c r="K8" i="20"/>
  <c r="K7" i="20"/>
  <c r="K5" i="20"/>
  <c r="P36" i="20"/>
  <c r="M36" i="20"/>
  <c r="K36" i="20"/>
  <c r="G43" i="20" l="1"/>
  <c r="G42" i="20"/>
  <c r="G41" i="20"/>
  <c r="G40" i="20"/>
  <c r="G39" i="20"/>
  <c r="G38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6" i="20"/>
  <c r="G5" i="20"/>
  <c r="G4" i="20"/>
  <c r="BA44" i="19"/>
  <c r="BB37" i="19"/>
  <c r="AY37" i="19"/>
  <c r="AV37" i="19"/>
  <c r="AS37" i="19"/>
  <c r="BA7" i="19"/>
  <c r="BA37" i="19" s="1"/>
  <c r="G62" i="20" l="1"/>
  <c r="G7" i="20"/>
  <c r="AZ39" i="19"/>
  <c r="AV40" i="19" s="1"/>
  <c r="AV43" i="19" s="1"/>
  <c r="AV45" i="19" s="1"/>
  <c r="BA43" i="19" s="1"/>
  <c r="BA45" i="19" s="1"/>
  <c r="Z7" i="17"/>
  <c r="D80" i="18"/>
  <c r="L37" i="17"/>
  <c r="I37" i="17"/>
  <c r="F37" i="17"/>
  <c r="C37" i="17"/>
  <c r="K7" i="17"/>
  <c r="K37" i="17" s="1"/>
  <c r="Z44" i="17"/>
  <c r="AA37" i="17"/>
  <c r="X37" i="17"/>
  <c r="U37" i="17"/>
  <c r="R37" i="17"/>
  <c r="Z37" i="17"/>
  <c r="J39" i="17" l="1"/>
  <c r="F40" i="17" s="1"/>
  <c r="F43" i="17" s="1"/>
  <c r="F45" i="17" s="1"/>
  <c r="K43" i="17" s="1"/>
  <c r="K45" i="17" s="1"/>
  <c r="Y39" i="17"/>
  <c r="U40" i="17" s="1"/>
  <c r="U43" i="17" s="1"/>
  <c r="U45" i="17" s="1"/>
  <c r="Z43" i="17" s="1"/>
  <c r="Z45" i="17" s="1"/>
  <c r="F13" i="18" l="1"/>
  <c r="V40" i="18"/>
  <c r="V39" i="18"/>
  <c r="D70" i="18"/>
  <c r="V37" i="18"/>
  <c r="V35" i="18"/>
  <c r="AA59" i="18"/>
  <c r="X59" i="18"/>
  <c r="V59" i="18"/>
  <c r="AO44" i="17" l="1"/>
  <c r="F7" i="18" l="1"/>
  <c r="V10" i="18" l="1"/>
  <c r="V9" i="18"/>
  <c r="V8" i="18"/>
  <c r="V6" i="18"/>
  <c r="AA28" i="18"/>
  <c r="X28" i="18"/>
  <c r="V28" i="18"/>
  <c r="F47" i="16" l="1"/>
  <c r="Q59" i="18"/>
  <c r="L47" i="18"/>
  <c r="D88" i="16" l="1"/>
  <c r="L45" i="18" l="1"/>
  <c r="AK6" i="15"/>
  <c r="X6" i="15"/>
  <c r="K6" i="15"/>
  <c r="L42" i="18"/>
  <c r="N59" i="18"/>
  <c r="L59" i="18"/>
  <c r="Z45" i="15" l="1"/>
  <c r="K44" i="15"/>
  <c r="L37" i="15"/>
  <c r="I37" i="15"/>
  <c r="F37" i="15"/>
  <c r="C37" i="15"/>
  <c r="K7" i="15"/>
  <c r="K37" i="15" s="1"/>
  <c r="J39" i="15" l="1"/>
  <c r="F40" i="15" s="1"/>
  <c r="F43" i="15" s="1"/>
  <c r="F45" i="15" s="1"/>
  <c r="K43" i="15" s="1"/>
  <c r="K45" i="15" s="1"/>
  <c r="F32" i="16"/>
  <c r="L16" i="18"/>
  <c r="L14" i="18"/>
  <c r="L12" i="18"/>
  <c r="L10" i="18"/>
  <c r="L9" i="18"/>
  <c r="Q34" i="18"/>
  <c r="N34" i="18"/>
  <c r="L34" i="18"/>
  <c r="G59" i="18" l="1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0" i="18"/>
  <c r="G15" i="18"/>
  <c r="G14" i="18"/>
  <c r="G13" i="18"/>
  <c r="G6" i="18"/>
  <c r="G17" i="18"/>
  <c r="G16" i="18"/>
  <c r="G12" i="18"/>
  <c r="G11" i="18"/>
  <c r="G8" i="18"/>
  <c r="G7" i="18"/>
  <c r="G5" i="18"/>
  <c r="G4" i="18"/>
  <c r="AO7" i="17"/>
  <c r="AP37" i="17"/>
  <c r="AM37" i="17"/>
  <c r="AJ37" i="17"/>
  <c r="AG37" i="17"/>
  <c r="AO37" i="17"/>
  <c r="G9" i="18" l="1"/>
  <c r="G60" i="18" s="1"/>
  <c r="AN39" i="17"/>
  <c r="AJ40" i="17" s="1"/>
  <c r="AJ43" i="17" s="1"/>
  <c r="AJ45" i="17" s="1"/>
  <c r="AO43" i="17" s="1"/>
  <c r="AO45" i="17" s="1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X44" i="15" l="1"/>
  <c r="Y37" i="15"/>
  <c r="V37" i="15"/>
  <c r="S37" i="15"/>
  <c r="P37" i="15"/>
  <c r="X7" i="15"/>
  <c r="X37" i="15" s="1"/>
  <c r="AK44" i="15"/>
  <c r="AL37" i="15"/>
  <c r="AI37" i="15"/>
  <c r="AF37" i="15"/>
  <c r="AC37" i="15"/>
  <c r="AK7" i="15"/>
  <c r="AK37" i="15" s="1"/>
  <c r="K43" i="13"/>
  <c r="AX44" i="15"/>
  <c r="W39" i="15" l="1"/>
  <c r="S40" i="15" s="1"/>
  <c r="S43" i="15" s="1"/>
  <c r="S45" i="15" s="1"/>
  <c r="X43" i="15" s="1"/>
  <c r="X45" i="15" s="1"/>
  <c r="AJ39" i="15"/>
  <c r="AF40" i="15" s="1"/>
  <c r="AF43" i="15" s="1"/>
  <c r="AF45" i="15" s="1"/>
  <c r="AK43" i="15" s="1"/>
  <c r="AK45" i="15" s="1"/>
  <c r="F17" i="16" l="1"/>
  <c r="T16" i="16"/>
  <c r="T18" i="16"/>
  <c r="T14" i="16"/>
  <c r="T11" i="16"/>
  <c r="T10" i="16"/>
  <c r="T7" i="16" l="1"/>
  <c r="Y32" i="16"/>
  <c r="V32" i="16"/>
  <c r="T32" i="16"/>
  <c r="G36" i="16" l="1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66" i="16"/>
  <c r="F7" i="16" l="1"/>
  <c r="F31" i="14"/>
  <c r="K64" i="16"/>
  <c r="K62" i="16"/>
  <c r="K58" i="16"/>
  <c r="K56" i="16"/>
  <c r="P76" i="16" l="1"/>
  <c r="M76" i="16"/>
  <c r="K76" i="16"/>
  <c r="K7" i="13" l="1"/>
  <c r="AX7" i="15"/>
  <c r="K13" i="13" l="1"/>
  <c r="K44" i="13" l="1"/>
  <c r="L37" i="13"/>
  <c r="I37" i="13"/>
  <c r="F37" i="13"/>
  <c r="C37" i="13"/>
  <c r="K37" i="13"/>
  <c r="D66" i="14"/>
  <c r="J39" i="13" l="1"/>
  <c r="F40" i="13" s="1"/>
  <c r="F43" i="13" s="1"/>
  <c r="F45" i="13" s="1"/>
  <c r="K45" i="13" s="1"/>
  <c r="F26" i="14" l="1"/>
  <c r="K35" i="16"/>
  <c r="K33" i="16"/>
  <c r="K28" i="16"/>
  <c r="K26" i="16"/>
  <c r="P45" i="16" l="1"/>
  <c r="M45" i="16"/>
  <c r="K45" i="16"/>
  <c r="F24" i="14" l="1"/>
  <c r="F16" i="14"/>
  <c r="K7" i="16"/>
  <c r="K6" i="16"/>
  <c r="K5" i="16"/>
  <c r="P17" i="16" l="1"/>
  <c r="M17" i="16"/>
  <c r="K17" i="16"/>
  <c r="D67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F67" i="16"/>
  <c r="G13" i="16"/>
  <c r="G12" i="16"/>
  <c r="G11" i="16"/>
  <c r="G10" i="16"/>
  <c r="G9" i="16"/>
  <c r="G8" i="16"/>
  <c r="G7" i="16"/>
  <c r="G6" i="16"/>
  <c r="G5" i="16"/>
  <c r="G4" i="16"/>
  <c r="AY37" i="15"/>
  <c r="AV37" i="15"/>
  <c r="AS37" i="15"/>
  <c r="AP37" i="15"/>
  <c r="AX37" i="15"/>
  <c r="G14" i="16" l="1"/>
  <c r="G67" i="16" s="1"/>
  <c r="AW39" i="15"/>
  <c r="AS40" i="15" s="1"/>
  <c r="AS43" i="15" s="1"/>
  <c r="AS45" i="15" s="1"/>
  <c r="AX43" i="15" s="1"/>
  <c r="AX45" i="15" s="1"/>
  <c r="F17" i="14"/>
  <c r="V24" i="14"/>
  <c r="X24" i="14"/>
  <c r="AA24" i="14"/>
  <c r="V11" i="14"/>
  <c r="V9" i="14"/>
  <c r="AN7" i="13"/>
  <c r="Y7" i="13"/>
  <c r="Y44" i="13"/>
  <c r="Z37" i="13"/>
  <c r="W37" i="13"/>
  <c r="T37" i="13"/>
  <c r="Q37" i="13"/>
  <c r="Y37" i="13"/>
  <c r="V7" i="14"/>
  <c r="V6" i="14"/>
  <c r="V5" i="14"/>
  <c r="X39" i="13" l="1"/>
  <c r="T40" i="13" s="1"/>
  <c r="T43" i="13" s="1"/>
  <c r="T45" i="13" s="1"/>
  <c r="Y43" i="13" s="1"/>
  <c r="Y45" i="13" s="1"/>
  <c r="V36" i="14"/>
  <c r="F14" i="14" l="1"/>
  <c r="L51" i="14" l="1"/>
  <c r="L48" i="14"/>
  <c r="L50" i="14"/>
  <c r="Q80" i="14" l="1"/>
  <c r="N80" i="14"/>
  <c r="L80" i="14"/>
  <c r="AN44" i="13" l="1"/>
  <c r="AO37" i="13"/>
  <c r="AL37" i="13"/>
  <c r="AI37" i="13"/>
  <c r="AF37" i="13"/>
  <c r="AN37" i="13"/>
  <c r="AM39" i="13" l="1"/>
  <c r="AI40" i="13" s="1"/>
  <c r="AI43" i="13" s="1"/>
  <c r="AI45" i="13" s="1"/>
  <c r="AN43" i="13" s="1"/>
  <c r="AN45" i="13" s="1"/>
  <c r="F26" i="12"/>
  <c r="L19" i="14"/>
  <c r="G36" i="14"/>
  <c r="G37" i="14"/>
  <c r="G38" i="14"/>
  <c r="G39" i="14"/>
  <c r="G40" i="14"/>
  <c r="G41" i="14"/>
  <c r="G42" i="14"/>
  <c r="G23" i="14"/>
  <c r="G24" i="14"/>
  <c r="G25" i="14"/>
  <c r="G26" i="14"/>
  <c r="G28" i="14"/>
  <c r="G29" i="14"/>
  <c r="G30" i="14"/>
  <c r="G31" i="14"/>
  <c r="G32" i="14"/>
  <c r="G33" i="14"/>
  <c r="G34" i="14"/>
  <c r="G27" i="14"/>
  <c r="G35" i="14"/>
  <c r="L18" i="14"/>
  <c r="L17" i="14"/>
  <c r="L16" i="14"/>
  <c r="L14" i="14"/>
  <c r="L11" i="14"/>
  <c r="L7" i="14" l="1"/>
  <c r="L4" i="14" l="1"/>
  <c r="K7" i="11"/>
  <c r="BC7" i="13"/>
  <c r="D54" i="12" l="1"/>
  <c r="Q42" i="14" l="1"/>
  <c r="N42" i="14"/>
  <c r="L42" i="14"/>
  <c r="K44" i="11"/>
  <c r="L37" i="11"/>
  <c r="I37" i="11"/>
  <c r="F37" i="11"/>
  <c r="C37" i="11"/>
  <c r="K37" i="11"/>
  <c r="J39" i="11" l="1"/>
  <c r="F40" i="11" s="1"/>
  <c r="F43" i="11" s="1"/>
  <c r="F45" i="11" s="1"/>
  <c r="K43" i="11" s="1"/>
  <c r="K45" i="11" s="1"/>
  <c r="D44" i="14" l="1"/>
  <c r="G4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44" i="14"/>
  <c r="G6" i="14"/>
  <c r="G5" i="14"/>
  <c r="G4" i="14"/>
  <c r="BC44" i="13"/>
  <c r="BD37" i="13"/>
  <c r="BA37" i="13"/>
  <c r="AX37" i="13"/>
  <c r="AU37" i="13"/>
  <c r="BC37" i="13"/>
  <c r="G7" i="14" l="1"/>
  <c r="G44" i="14" s="1"/>
  <c r="BB39" i="13"/>
  <c r="AX40" i="13" s="1"/>
  <c r="AX43" i="13" s="1"/>
  <c r="AX45" i="13" s="1"/>
  <c r="BC43" i="13" s="1"/>
  <c r="BC45" i="13" s="1"/>
  <c r="F11" i="12"/>
  <c r="L84" i="12"/>
  <c r="L83" i="12"/>
  <c r="L81" i="12"/>
  <c r="L79" i="12"/>
  <c r="L78" i="12"/>
  <c r="L77" i="12"/>
  <c r="Q109" i="12"/>
  <c r="N109" i="12"/>
  <c r="L109" i="12"/>
  <c r="Z7" i="11" l="1"/>
  <c r="F7" i="12" l="1"/>
  <c r="Q67" i="12"/>
  <c r="L50" i="12" l="1"/>
  <c r="L49" i="12"/>
  <c r="Z44" i="11" l="1"/>
  <c r="AA37" i="11"/>
  <c r="X37" i="11"/>
  <c r="U37" i="11"/>
  <c r="R37" i="11"/>
  <c r="Z37" i="11"/>
  <c r="AO44" i="11"/>
  <c r="BD43" i="11"/>
  <c r="BD45" i="11"/>
  <c r="AQ17" i="11"/>
  <c r="AQ16" i="11"/>
  <c r="Y39" i="11" l="1"/>
  <c r="U40" i="11" s="1"/>
  <c r="U43" i="11" s="1"/>
  <c r="U45" i="11" s="1"/>
  <c r="Z43" i="11" s="1"/>
  <c r="Z45" i="11" s="1"/>
  <c r="AQ15" i="11" l="1"/>
  <c r="AQ14" i="11" l="1"/>
  <c r="AQ13" i="11"/>
  <c r="L46" i="12"/>
  <c r="N67" i="12"/>
  <c r="L67" i="12"/>
  <c r="AQ11" i="11"/>
  <c r="AO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P37" i="11" l="1"/>
  <c r="AM37" i="11"/>
  <c r="AJ37" i="11"/>
  <c r="AG37" i="11"/>
  <c r="AO37" i="11"/>
  <c r="AN39" i="11" s="1"/>
  <c r="AJ40" i="11" s="1"/>
  <c r="AJ43" i="11" s="1"/>
  <c r="AJ45" i="11" s="1"/>
  <c r="AO43" i="11" s="1"/>
  <c r="AO45" i="11" s="1"/>
  <c r="L10" i="12" l="1"/>
  <c r="G22" i="12"/>
  <c r="G23" i="12"/>
  <c r="G24" i="12"/>
  <c r="G25" i="12"/>
  <c r="G26" i="12"/>
  <c r="G27" i="12"/>
  <c r="G36" i="12"/>
  <c r="L4" i="12"/>
  <c r="K7" i="9"/>
  <c r="BD7" i="11"/>
  <c r="L7" i="12" l="1"/>
  <c r="L5" i="12"/>
  <c r="N37" i="12" l="1"/>
  <c r="L37" i="12"/>
  <c r="D40" i="12" l="1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BD44" i="11"/>
  <c r="BE37" i="11"/>
  <c r="BB37" i="11"/>
  <c r="AY37" i="11"/>
  <c r="AV37" i="11"/>
  <c r="BD37" i="11"/>
  <c r="G5" i="12" l="1"/>
  <c r="G40" i="12" s="1"/>
  <c r="BC39" i="11"/>
  <c r="AY40" i="11" s="1"/>
  <c r="AY43" i="11" s="1"/>
  <c r="AY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<sst xmlns="http://schemas.openxmlformats.org/spreadsheetml/2006/main" count="3260" uniqueCount="816">
  <si>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</si>
  <si>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</si>
  <si>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</si>
  <si>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</si>
  <si>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</si>
  <si>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</si>
  <si>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</si>
  <si>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</si>
  <si>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</si>
  <si>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</si>
  <si>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</si>
  <si>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</si>
  <si>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</si>
  <si>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</si>
  <si>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</si>
  <si>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</si>
  <si>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</si>
  <si>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</si>
  <si>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</si>
  <si>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</si>
  <si>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</si>
  <si>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</si>
  <si>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</si>
  <si>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</si>
  <si>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</si>
  <si>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</si>
  <si>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</si>
  <si>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</si>
  <si>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</si>
  <si>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</si>
  <si>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</si>
  <si>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</si>
  <si>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</si>
  <si>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</si>
  <si>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</si>
  <si>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</si>
  <si>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</si>
  <si>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</si>
  <si>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</si>
  <si>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</si>
  <si>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</si>
  <si>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</si>
  <si>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</si>
  <si>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</si>
  <si>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</si>
  <si>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</si>
  <si>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</si>
  <si>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</si>
  <si>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</si>
  <si>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</si>
  <si>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</si>
  <si>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</si>
  <si>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</si>
  <si>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</si>
  <si>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</si>
  <si>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</si>
  <si>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</si>
  <si>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</si>
  <si>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</si>
  <si>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</si>
  <si>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</si>
  <si>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</si>
  <si>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</si>
  <si>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</si>
  <si>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</si>
  <si>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</si>
  <si>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</si>
  <si>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</si>
  <si>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</si>
  <si>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</si>
  <si>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</si>
  <si>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</si>
  <si>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</si>
  <si>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</si>
  <si>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</si>
  <si>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</si>
  <si>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</si>
  <si>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</si>
  <si>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</si>
  <si>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</si>
  <si>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</si>
  <si>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</si>
  <si>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</si>
  <si>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</si>
  <si>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</si>
  <si>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</si>
  <si>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</si>
  <si>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</si>
  <si>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</si>
  <si>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</si>
  <si>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</si>
  <si>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</si>
  <si>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</si>
  <si>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</si>
  <si>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</si>
  <si>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</si>
  <si>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</si>
  <si>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</si>
  <si>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</si>
  <si>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</si>
  <si>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</si>
  <si>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</si>
  <si>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</si>
  <si>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</si>
  <si>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</si>
  <si>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</si>
  <si>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</si>
  <si>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</si>
  <si>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</si>
  <si>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</si>
  <si>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</si>
  <si>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</si>
  <si>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</si>
  <si>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</si>
  <si>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</si>
  <si>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</si>
  <si>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</si>
  <si>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</si>
  <si>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</si>
  <si>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</si>
  <si>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</si>
  <si>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</si>
  <si>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</si>
  <si>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</si>
  <si>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</si>
  <si>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</si>
  <si>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</si>
  <si>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</si>
  <si>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</si>
  <si>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</si>
  <si>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</si>
  <si>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</si>
  <si>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</si>
  <si>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</si>
  <si>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</si>
  <si>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</si>
  <si>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</si>
  <si>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</si>
  <si>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</si>
  <si>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</si>
  <si>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</si>
  <si>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</si>
  <si>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</si>
  <si>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</si>
  <si>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</si>
  <si>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</si>
  <si>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</si>
  <si>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</si>
  <si>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</si>
  <si>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</si>
  <si>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</si>
  <si>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</si>
  <si>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</si>
  <si>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</si>
  <si>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</si>
  <si>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</si>
  <si>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</si>
  <si>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</si>
  <si>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</si>
  <si>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</si>
  <si>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</si>
  <si>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</si>
  <si>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</si>
  <si>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</si>
  <si>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</si>
  <si>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</si>
  <si>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</si>
  <si>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</si>
  <si>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</si>
  <si>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</si>
  <si>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</si>
  <si>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</si>
  <si>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</si>
  <si>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</si>
  <si>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</si>
  <si>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</si>
  <si>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</si>
  <si>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</si>
  <si>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</si>
  <si>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</si>
  <si>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</si>
  <si>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</si>
  <si>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</si>
  <si>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</si>
  <si>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</si>
  <si>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</si>
  <si>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</si>
  <si>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</si>
  <si>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</si>
  <si>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</si>
  <si>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</si>
  <si>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</si>
  <si>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</si>
  <si>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</si>
  <si>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</si>
  <si>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</si>
  <si>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</si>
  <si>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</si>
  <si>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</si>
  <si>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</si>
  <si>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</si>
  <si>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</si>
  <si>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</si>
  <si>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</si>
  <si>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</si>
  <si>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</si>
  <si>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</si>
  <si>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</si>
  <si>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</si>
  <si>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</si>
  <si>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</si>
  <si>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</si>
  <si>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</si>
  <si>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</si>
  <si>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</si>
  <si>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</si>
  <si>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</si>
  <si>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</si>
  <si>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</si>
  <si>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</si>
  <si>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</si>
  <si>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</si>
  <si>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</si>
  <si>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</si>
  <si>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</si>
  <si>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</si>
  <si>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</si>
  <si>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</si>
  <si>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</si>
  <si>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</si>
  <si>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</si>
  <si>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</si>
  <si>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</si>
  <si>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</si>
  <si>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</si>
  <si>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</si>
  <si>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</si>
  <si>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</si>
  <si>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</si>
  <si>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</si>
  <si>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</si>
  <si>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</si>
  <si>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</si>
  <si>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</si>
  <si>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</si>
  <si>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</si>
  <si>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</si>
  <si>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</si>
  <si>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</si>
  <si>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</si>
  <si>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</si>
  <si>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</si>
  <si>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</si>
  <si>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</si>
  <si>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</si>
  <si>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</si>
  <si>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</si>
  <si>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</si>
  <si>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</si>
  <si>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</si>
  <si>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</si>
  <si>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</si>
  <si>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</si>
  <si>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</si>
  <si>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</si>
  <si>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</si>
  <si>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</si>
  <si>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</si>
  <si>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</si>
  <si>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</si>
  <si>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</si>
  <si>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</si>
  <si>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</si>
  <si>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</si>
  <si>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</si>
  <si>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</si>
  <si>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</si>
  <si>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</si>
  <si>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</si>
  <si>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</si>
  <si>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</si>
  <si>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</si>
  <si>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</si>
  <si>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</si>
  <si>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</si>
  <si>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</si>
  <si>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</si>
  <si>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</si>
  <si>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</si>
  <si>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</si>
  <si>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</si>
  <si>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</si>
  <si>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</si>
  <si>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</si>
  <si>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</si>
  <si>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</si>
  <si>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</si>
  <si>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</si>
  <si>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</si>
  <si>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</si>
  <si>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</si>
  <si>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</si>
  <si>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</si>
  <si>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</si>
  <si>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</si>
  <si>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</si>
  <si>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</si>
  <si>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</si>
  <si>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</si>
  <si>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</si>
  <si>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</si>
  <si>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</si>
  <si>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</si>
  <si>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</si>
  <si>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</si>
  <si>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</si>
  <si>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</si>
  <si>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</si>
  <si>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</si>
  <si>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</si>
  <si>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</si>
  <si>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</si>
  <si>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</si>
  <si>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</si>
  <si>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</si>
  <si>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</si>
  <si>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</si>
  <si>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</si>
  <si>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</si>
  <si>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</si>
  <si>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</si>
  <si>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</si>
  <si>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</si>
  <si>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</si>
  <si>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</si>
  <si>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</si>
  <si>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</si>
  <si>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</si>
  <si>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</si>
  <si>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</si>
  <si>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</si>
  <si>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</si>
  <si>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</si>
  <si>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</si>
  <si>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</si>
  <si>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</si>
  <si>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</si>
  <si>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</si>
  <si>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</si>
  <si>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</si>
  <si>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</si>
  <si>
    <t xml:space="preserve">BALANCE    DE     J U L I O          2016    C O M E R C I O </t>
  </si>
  <si>
    <t>22750 B</t>
  </si>
  <si>
    <t>22769 B</t>
  </si>
  <si>
    <t>22854 B</t>
  </si>
  <si>
    <t>22860 B</t>
  </si>
  <si>
    <t>22876 B</t>
  </si>
  <si>
    <t>22901 B</t>
  </si>
  <si>
    <t>22974 B</t>
  </si>
  <si>
    <t>23359 B</t>
  </si>
  <si>
    <t>23452 B</t>
  </si>
  <si>
    <t>23738 B</t>
  </si>
  <si>
    <t>23765 B</t>
  </si>
  <si>
    <t>23911 B</t>
  </si>
  <si>
    <t>24119 B</t>
  </si>
  <si>
    <t>R-21360</t>
  </si>
  <si>
    <t>R-21360-21724-21509</t>
  </si>
  <si>
    <t>R-21509-22576</t>
  </si>
  <si>
    <t>R-21576-Sanchocho</t>
  </si>
  <si>
    <t>R-21576--21933</t>
  </si>
  <si>
    <t>R-21933--21918--Albicia</t>
  </si>
  <si>
    <t>R21918--prioledo</t>
  </si>
  <si>
    <t>R-21918</t>
  </si>
  <si>
    <t>R-21918-22272-2274</t>
  </si>
  <si>
    <t>Fumigacion</t>
  </si>
  <si>
    <t>VACACIONES</t>
  </si>
  <si>
    <t>R-22274-22276-22420-22497-22750</t>
  </si>
  <si>
    <t>MANTECA-SANCOCHO</t>
  </si>
  <si>
    <t xml:space="preserve">30-Jun --15-Jul </t>
  </si>
  <si>
    <t>NOMINA 27</t>
  </si>
  <si>
    <t>NOMINA 28</t>
  </si>
  <si>
    <t>NOMINA 29</t>
  </si>
  <si>
    <t>NOMINA 30</t>
  </si>
  <si>
    <t>R-22750-22769-22854-22860</t>
  </si>
  <si>
    <t>R-22860-22876-22901</t>
  </si>
  <si>
    <t>R-22901-22974 pulpa</t>
  </si>
  <si>
    <t>pulpa</t>
  </si>
  <si>
    <t>R-22974-23359 sancocho</t>
  </si>
  <si>
    <t>R-23359</t>
  </si>
  <si>
    <t>LUZ  May-Junio-Julio</t>
  </si>
  <si>
    <t>R-23359-23452</t>
  </si>
  <si>
    <t>R-23452-23765 Espaldilla</t>
  </si>
  <si>
    <t>R-23765-23911</t>
  </si>
  <si>
    <t>R-23911-23738</t>
  </si>
  <si>
    <t>R-23738</t>
  </si>
  <si>
    <t>R-23738 SANCOCHO</t>
  </si>
  <si>
    <t>R-22738-24119</t>
  </si>
  <si>
    <t>24630 B</t>
  </si>
  <si>
    <t>24637 B</t>
  </si>
  <si>
    <t>24663 B</t>
  </si>
  <si>
    <t>24671 B</t>
  </si>
  <si>
    <t>R-24119</t>
  </si>
  <si>
    <t>R-24119-24630</t>
  </si>
  <si>
    <t xml:space="preserve">15-Jul --23-Jul </t>
  </si>
  <si>
    <t>24855 B</t>
  </si>
  <si>
    <t>24959 B</t>
  </si>
  <si>
    <t>00094 C</t>
  </si>
  <si>
    <t>00115 C</t>
  </si>
  <si>
    <t>00502 C</t>
  </si>
  <si>
    <t>00503 C</t>
  </si>
  <si>
    <t>00819 C</t>
  </si>
  <si>
    <t>R-24630-24637</t>
  </si>
  <si>
    <t>R-24637-24663</t>
  </si>
  <si>
    <t>espaldilla</t>
  </si>
  <si>
    <t xml:space="preserve">muelles </t>
  </si>
  <si>
    <t>R-24663-24671-24855</t>
  </si>
  <si>
    <t>R-24855-24959-94</t>
  </si>
  <si>
    <t>PATA</t>
  </si>
  <si>
    <t>R-094</t>
  </si>
  <si>
    <t>R-94--115</t>
  </si>
  <si>
    <t>Abono</t>
  </si>
  <si>
    <t xml:space="preserve">23-Jul --27-Jul </t>
  </si>
  <si>
    <t>01042 C</t>
  </si>
  <si>
    <t>00991 C</t>
  </si>
  <si>
    <t>01334 C</t>
  </si>
  <si>
    <t>01353 C</t>
  </si>
  <si>
    <t>01420 C</t>
  </si>
  <si>
    <t xml:space="preserve">BALANCE    DE     A G O S T O           2016    C O M E R C I O </t>
  </si>
  <si>
    <t>00771 C</t>
  </si>
  <si>
    <t xml:space="preserve">23-Jul --06-Ago </t>
  </si>
  <si>
    <t xml:space="preserve">27-Jul --06-Ago </t>
  </si>
  <si>
    <t>00504 C</t>
  </si>
  <si>
    <t>01652 C</t>
  </si>
  <si>
    <t>01660 C</t>
  </si>
  <si>
    <t>01684 C</t>
  </si>
  <si>
    <t>01815 C</t>
  </si>
  <si>
    <t>02048 C</t>
  </si>
  <si>
    <t>02123 C</t>
  </si>
  <si>
    <t>02206 C</t>
  </si>
  <si>
    <t>02211 C</t>
  </si>
  <si>
    <t>02315 C</t>
  </si>
  <si>
    <t>02431 C</t>
  </si>
  <si>
    <t>02512 C</t>
  </si>
  <si>
    <t>02529 C</t>
  </si>
  <si>
    <t xml:space="preserve">06-Ago--12-Ago </t>
  </si>
  <si>
    <t>Albicia R-00115</t>
  </si>
  <si>
    <t>Pechos</t>
  </si>
  <si>
    <t>Cuero R-00115--00502</t>
  </si>
  <si>
    <t>CUERO</t>
  </si>
  <si>
    <t>R-502-503-24119</t>
  </si>
  <si>
    <t>R-503--Sancocho</t>
  </si>
  <si>
    <t>R-503-819-albicia</t>
  </si>
  <si>
    <t>NOMINA 31</t>
  </si>
  <si>
    <t>R-819-991--1042</t>
  </si>
  <si>
    <t>R-1042</t>
  </si>
  <si>
    <t>NOMINA 32</t>
  </si>
  <si>
    <t>NOMINA 34</t>
  </si>
  <si>
    <t>NOMINA 33</t>
  </si>
  <si>
    <t>NOMINA 35</t>
  </si>
  <si>
    <t>R-1042-1334-1420-1652-771-1353-1660</t>
  </si>
  <si>
    <t>PATA--Panza</t>
  </si>
  <si>
    <t>r-1660 --pata-panza</t>
  </si>
  <si>
    <t>R-1660+1684-1815</t>
  </si>
  <si>
    <t>R-1815-sancocho</t>
  </si>
  <si>
    <t>R-1815-2048</t>
  </si>
  <si>
    <t>R-2048-2123-2211-25315-2206</t>
  </si>
  <si>
    <t>pecho--panza--pata</t>
  </si>
  <si>
    <t>R-2206</t>
  </si>
  <si>
    <t>cuero</t>
  </si>
  <si>
    <t>02625 C</t>
  </si>
  <si>
    <t>02629 C</t>
  </si>
  <si>
    <t>02687 C</t>
  </si>
  <si>
    <t>02800 C</t>
  </si>
  <si>
    <t>03033 C</t>
  </si>
  <si>
    <t>03055 C</t>
  </si>
  <si>
    <t>03056 C</t>
  </si>
  <si>
    <t>03213 C</t>
  </si>
  <si>
    <t>03340 C</t>
  </si>
  <si>
    <t>03380 C</t>
  </si>
  <si>
    <t>03369 C</t>
  </si>
  <si>
    <t>03513 C</t>
  </si>
  <si>
    <t>03597 C</t>
  </si>
  <si>
    <t xml:space="preserve">12-Ago --19-Ago </t>
  </si>
  <si>
    <t>03619 C</t>
  </si>
  <si>
    <t>03620 C</t>
  </si>
  <si>
    <t>03711 C</t>
  </si>
  <si>
    <t>03796 C</t>
  </si>
  <si>
    <t>03828 C</t>
  </si>
  <si>
    <t>03921 C</t>
  </si>
  <si>
    <t>04002 C</t>
  </si>
  <si>
    <t>03911 C</t>
  </si>
  <si>
    <t>04204 C</t>
  </si>
  <si>
    <t>04207 C</t>
  </si>
  <si>
    <t>04244 C</t>
  </si>
  <si>
    <t>lomo</t>
  </si>
  <si>
    <t>03131 C</t>
  </si>
  <si>
    <t>03371 C</t>
  </si>
  <si>
    <t>04338 C</t>
  </si>
  <si>
    <t>04130 C</t>
  </si>
  <si>
    <t>cabeza</t>
  </si>
  <si>
    <t>ch ahumada</t>
  </si>
  <si>
    <t>manteca, cuero, pecho</t>
  </si>
  <si>
    <t xml:space="preserve">19-Ago --26-Ago </t>
  </si>
  <si>
    <t>R-2206-Albicia</t>
  </si>
  <si>
    <t>Jamon-Albicia</t>
  </si>
  <si>
    <t>Ahumada, patitas</t>
  </si>
  <si>
    <t>Profeco Basc</t>
  </si>
  <si>
    <t>R-2431-2206-1042-2512-patitas-ahu,ada</t>
  </si>
  <si>
    <t>R-2512-2529-2625</t>
  </si>
  <si>
    <t>R-2625-2629-Sancocho</t>
  </si>
  <si>
    <t>R-2629-2687-2800-3033</t>
  </si>
  <si>
    <t>R-3033-3055-3056-3131--LOMO</t>
  </si>
  <si>
    <t>R-3131-3213-CABEZA</t>
  </si>
  <si>
    <t>R-3213-3340-3369-3371-Ch ahum</t>
  </si>
  <si>
    <t>R-3371-3380-3597-3619</t>
  </si>
  <si>
    <t>B</t>
  </si>
  <si>
    <t>R-3619-3513</t>
  </si>
  <si>
    <t>R-3513-3620-Manteca, pecho, cuero</t>
  </si>
  <si>
    <t>R-3620-3711-3796-3828-3921</t>
  </si>
  <si>
    <t>04587 C</t>
  </si>
  <si>
    <t>04688 C</t>
  </si>
  <si>
    <t>04696 C</t>
  </si>
  <si>
    <t>04492 c</t>
  </si>
  <si>
    <t>04722 C</t>
  </si>
  <si>
    <t>04737 C</t>
  </si>
  <si>
    <t>04822 C</t>
  </si>
  <si>
    <t>05027 C</t>
  </si>
  <si>
    <t>05063 C</t>
  </si>
  <si>
    <t>05064 C</t>
  </si>
  <si>
    <t xml:space="preserve">BALANCE    DE     Septiembre            2016    C O M E R C I O </t>
  </si>
  <si>
    <t>05186 C</t>
  </si>
  <si>
    <t>26-Ago-03-Sep</t>
  </si>
  <si>
    <t>Correccion</t>
  </si>
  <si>
    <t>05436 C</t>
  </si>
  <si>
    <t>05497 C</t>
  </si>
  <si>
    <t>05608 C</t>
  </si>
  <si>
    <t>05551 C</t>
  </si>
  <si>
    <t>05851 C</t>
  </si>
  <si>
    <t>05963 C</t>
  </si>
  <si>
    <t>R-3921-4002</t>
  </si>
  <si>
    <t>R-4002-3911-4130-4204</t>
  </si>
  <si>
    <t>R-4204-4207-4244 VARIOS</t>
  </si>
  <si>
    <t>contra-sancocho--cabeza lomo--ahumada</t>
  </si>
  <si>
    <t xml:space="preserve">ahumada  </t>
  </si>
  <si>
    <t>R-4244-Ahumada</t>
  </si>
  <si>
    <t>R-4244-4338-4587-4492</t>
  </si>
  <si>
    <t>R-4492</t>
  </si>
  <si>
    <t>R-4492-4688-4696</t>
  </si>
  <si>
    <t>R-4696-4737-cabeza d lomo</t>
  </si>
  <si>
    <t>cabeza de lomo</t>
  </si>
  <si>
    <t>R-4737-4722-4822-5027-5063-pecho</t>
  </si>
  <si>
    <t xml:space="preserve">pecho  </t>
  </si>
  <si>
    <t>R-5063-5064-5186</t>
  </si>
  <si>
    <t xml:space="preserve">Camara de comercio </t>
  </si>
  <si>
    <t>R-5186</t>
  </si>
  <si>
    <t xml:space="preserve">03-Sep --10-Sep </t>
  </si>
  <si>
    <t>06335 C</t>
  </si>
  <si>
    <t>06343 C</t>
  </si>
  <si>
    <t>05464 C</t>
  </si>
  <si>
    <t>06090 C</t>
  </si>
  <si>
    <t>06218 C</t>
  </si>
  <si>
    <t>06231 C</t>
  </si>
  <si>
    <t>05627 C</t>
  </si>
  <si>
    <t>DANIEL</t>
  </si>
  <si>
    <t>Sin Remision</t>
  </si>
  <si>
    <t xml:space="preserve">10-Sep --15-Sep </t>
  </si>
  <si>
    <t>06800 C</t>
  </si>
  <si>
    <t>R-5186-5436-5497--Sancocho</t>
  </si>
  <si>
    <t>NOMINA 36</t>
  </si>
  <si>
    <t>NOMINA 37</t>
  </si>
  <si>
    <t>NOMINA 38</t>
  </si>
  <si>
    <t>NOMINA 39</t>
  </si>
  <si>
    <t>R-5497-5608-5551-Chuleta-cabeza</t>
  </si>
  <si>
    <t>Cabeza --chuleta</t>
  </si>
  <si>
    <t>R-5551-56217-pecho</t>
  </si>
  <si>
    <t>pecho</t>
  </si>
  <si>
    <t>R-5627-5851-pata</t>
  </si>
  <si>
    <t xml:space="preserve">pata </t>
  </si>
  <si>
    <t>R-5851</t>
  </si>
  <si>
    <t>R-5851-5963</t>
  </si>
  <si>
    <t>r-5963-5464-6090</t>
  </si>
  <si>
    <t>R-6090-Sancocho</t>
  </si>
  <si>
    <t>R-6090-6218-6231</t>
  </si>
  <si>
    <t>R-6231-Cuero</t>
  </si>
  <si>
    <t xml:space="preserve">CUERO </t>
  </si>
  <si>
    <t>06977 C</t>
  </si>
  <si>
    <t>07305 C</t>
  </si>
  <si>
    <t>07445 C</t>
  </si>
  <si>
    <t>07544 C</t>
  </si>
  <si>
    <t>pecho--canales</t>
  </si>
  <si>
    <t>canales albicia</t>
  </si>
  <si>
    <t xml:space="preserve">Cueo Central </t>
  </si>
  <si>
    <t xml:space="preserve">15-Sep --26-Sep </t>
  </si>
  <si>
    <t>07868 C</t>
  </si>
  <si>
    <t>07881 C</t>
  </si>
  <si>
    <t>07998 C</t>
  </si>
  <si>
    <t>R-6231-6335-6343</t>
  </si>
  <si>
    <t xml:space="preserve">R-6343-Pechos--Canales </t>
  </si>
  <si>
    <t>R-6343-6800</t>
  </si>
  <si>
    <t>R-6800-canales</t>
  </si>
  <si>
    <t xml:space="preserve">R-6800-Cuero </t>
  </si>
  <si>
    <t>R-6800-R-6977-Canales</t>
  </si>
  <si>
    <t>R-6977--7305</t>
  </si>
  <si>
    <t>R-7305-7445-7544-Sancocho</t>
  </si>
  <si>
    <t xml:space="preserve">LUZ   22-Sep </t>
  </si>
  <si>
    <t>R-7544</t>
  </si>
  <si>
    <t>07380 C</t>
  </si>
  <si>
    <t>08200 C</t>
  </si>
  <si>
    <t>08322 C</t>
  </si>
  <si>
    <t>08363 C</t>
  </si>
  <si>
    <t>08451 C</t>
  </si>
  <si>
    <t>08474 C</t>
  </si>
  <si>
    <t>08609 C</t>
  </si>
  <si>
    <t>08708 C</t>
  </si>
  <si>
    <t xml:space="preserve">BALANCE    DE     Octubre            2016    C O M E R C I O </t>
  </si>
  <si>
    <t>08755 C</t>
  </si>
  <si>
    <t>08847 C</t>
  </si>
  <si>
    <t>08856 C</t>
  </si>
  <si>
    <t>08870 C</t>
  </si>
  <si>
    <t>08982 C</t>
  </si>
  <si>
    <t>09076 C</t>
  </si>
  <si>
    <t>09118 C</t>
  </si>
  <si>
    <t>09184 C</t>
  </si>
  <si>
    <t>09199 C</t>
  </si>
  <si>
    <t>09241 C</t>
  </si>
  <si>
    <t>09260 C</t>
  </si>
  <si>
    <t>09350 C</t>
  </si>
  <si>
    <t>09421 C</t>
  </si>
  <si>
    <t>09502 C</t>
  </si>
  <si>
    <t>09603 C</t>
  </si>
  <si>
    <t>09730 C</t>
  </si>
  <si>
    <t xml:space="preserve">26-Sep --11-Oct </t>
  </si>
  <si>
    <t>09745 C</t>
  </si>
  <si>
    <t>09847 C</t>
  </si>
  <si>
    <t>09958 C</t>
  </si>
  <si>
    <t>10080 C</t>
  </si>
  <si>
    <t>10105 C</t>
  </si>
  <si>
    <t>10141 C</t>
  </si>
  <si>
    <t>10192 C</t>
  </si>
  <si>
    <t>10222 C</t>
  </si>
  <si>
    <t xml:space="preserve">11-Oct --13-Octr </t>
  </si>
  <si>
    <t>R-7998</t>
  </si>
  <si>
    <t>R-7868-7881-7998</t>
  </si>
  <si>
    <t>R-7544-7868-pulpa</t>
  </si>
  <si>
    <t>NLP</t>
  </si>
  <si>
    <t>R-7998-8200-canales-cabeza</t>
  </si>
  <si>
    <t>R-8200</t>
  </si>
  <si>
    <t>R-8200-8322-Sancocho</t>
  </si>
  <si>
    <t>cabeza--canales</t>
  </si>
  <si>
    <t>R-8451-8609</t>
  </si>
  <si>
    <t>R-7380-8363-8474-8451-pecho-</t>
  </si>
  <si>
    <t>R-8609-8708--pecho</t>
  </si>
  <si>
    <t>R-8708-8755-8847-8856-8870</t>
  </si>
  <si>
    <t>PECHO</t>
  </si>
  <si>
    <t>R-8870-8982-9076</t>
  </si>
  <si>
    <t>R-9076-9118--Albicia</t>
  </si>
  <si>
    <t>Canal  Albicia</t>
  </si>
  <si>
    <t>R-9118-9184-9199--Sancocho</t>
  </si>
  <si>
    <t>R-9241-9260-9350-9421-9502--pecho-canales</t>
  </si>
  <si>
    <t>R-9502-9603-pulpa--pecho</t>
  </si>
  <si>
    <t>pulpa--pecho</t>
  </si>
  <si>
    <t>R-9603-9730-9745-canal-pecho-pulpa-cuero</t>
  </si>
  <si>
    <t>cana-cuero-pecho-pulpa</t>
  </si>
  <si>
    <t>R-9745--pecho</t>
  </si>
  <si>
    <t>10272 C</t>
  </si>
  <si>
    <t>10397 C</t>
  </si>
  <si>
    <t>10512 C</t>
  </si>
  <si>
    <t>10630 C</t>
  </si>
  <si>
    <t>10717 C</t>
  </si>
  <si>
    <t>10833 C</t>
  </si>
  <si>
    <t>10841 C</t>
  </si>
  <si>
    <t>10960 C</t>
  </si>
  <si>
    <t>11113 C</t>
  </si>
  <si>
    <t>11206 C</t>
  </si>
  <si>
    <t>11302 C</t>
  </si>
  <si>
    <t xml:space="preserve">13-Oct --22-Oct </t>
  </si>
  <si>
    <t>R-9745-9847-9958-10080-10105</t>
  </si>
  <si>
    <t>R-10105-10192-Albicia</t>
  </si>
  <si>
    <t>R-10192-10222-10272-10141</t>
  </si>
  <si>
    <t>R-10141-10397-LIOMO</t>
  </si>
  <si>
    <t>R-10397-10512</t>
  </si>
  <si>
    <t>R-10512-10630</t>
  </si>
  <si>
    <t>NOMINA 40</t>
  </si>
  <si>
    <t>NOMINA 41</t>
  </si>
  <si>
    <t>NOMINA 42</t>
  </si>
  <si>
    <t>NOMINA 43</t>
  </si>
  <si>
    <t>R-10630-10717-albicia</t>
  </si>
  <si>
    <t>11413 C</t>
  </si>
  <si>
    <t>11499 C</t>
  </si>
  <si>
    <t>11506 C</t>
  </si>
  <si>
    <t>11614 C</t>
  </si>
  <si>
    <t>11870 C</t>
  </si>
  <si>
    <t>11880 C</t>
  </si>
  <si>
    <t>11526 C</t>
  </si>
  <si>
    <t>11951 C</t>
  </si>
  <si>
    <t>11957 C</t>
  </si>
  <si>
    <t>11959 C</t>
  </si>
  <si>
    <t>12007 C</t>
  </si>
  <si>
    <t>12011C</t>
  </si>
  <si>
    <t>12092 C</t>
  </si>
  <si>
    <t>12143 C</t>
  </si>
  <si>
    <t>12213 C</t>
  </si>
  <si>
    <t>12285 C</t>
  </si>
  <si>
    <t>12370 C</t>
  </si>
  <si>
    <t>12413 C</t>
  </si>
  <si>
    <t>12577 C</t>
  </si>
  <si>
    <t>12714 C</t>
  </si>
  <si>
    <t>xxxxxxx</t>
  </si>
  <si>
    <t>R-10841-10960-10833</t>
  </si>
  <si>
    <t>pierna con cuero ALBICIA</t>
  </si>
  <si>
    <t>R-10960</t>
  </si>
  <si>
    <t>R-10960-1113</t>
  </si>
  <si>
    <t>R-11113-11206</t>
  </si>
  <si>
    <t>R-11206-11302-11413-11506-11499-Sancocho</t>
  </si>
  <si>
    <t>LUZ   23 Oct</t>
  </si>
  <si>
    <t xml:space="preserve">R-11499 -pecho-chul ahum, </t>
  </si>
  <si>
    <t>pecho-chlul ahu</t>
  </si>
  <si>
    <t xml:space="preserve">R-11499-11526--canales </t>
  </si>
  <si>
    <t>GABRIEL</t>
  </si>
  <si>
    <t>CANALES  Albicia</t>
  </si>
  <si>
    <t>R-11526-11614-11870</t>
  </si>
  <si>
    <t>R-11870--chuleta--combos</t>
  </si>
  <si>
    <t xml:space="preserve">combos---Chuleta </t>
  </si>
  <si>
    <t>R-11870-11880-11951-11957</t>
  </si>
  <si>
    <t>R-11957-11959-12007-cabeza</t>
  </si>
  <si>
    <t xml:space="preserve">MARIBEL ( Cesar ) </t>
  </si>
  <si>
    <t>R-12092-12143-12213</t>
  </si>
  <si>
    <t xml:space="preserve">22-Oct ---05-Nov </t>
  </si>
  <si>
    <t>12803 C</t>
  </si>
  <si>
    <t>13077 C</t>
  </si>
  <si>
    <t>13172 C</t>
  </si>
  <si>
    <t>13245 C</t>
  </si>
  <si>
    <t>13368 C</t>
  </si>
  <si>
    <t>13491 C</t>
  </si>
  <si>
    <t>13501 C</t>
  </si>
  <si>
    <t>13257 C</t>
  </si>
  <si>
    <t>13603 C</t>
  </si>
  <si>
    <t>13853 C</t>
  </si>
  <si>
    <t>13870 C</t>
  </si>
  <si>
    <t>13871 C</t>
  </si>
  <si>
    <t>14100 C</t>
  </si>
  <si>
    <t xml:space="preserve">05-Nov --15-Nov </t>
  </si>
  <si>
    <t>NOMINA 44</t>
  </si>
  <si>
    <t>R-12213--12285</t>
  </si>
  <si>
    <t>R-12285--12370</t>
  </si>
  <si>
    <t>CABEZA</t>
  </si>
  <si>
    <t xml:space="preserve">BALANCE    DE     NOVIEMBRE            2016    C O M E R C I O </t>
  </si>
  <si>
    <t>NOMINA 45</t>
  </si>
  <si>
    <t>NOMINA 46</t>
  </si>
  <si>
    <t>NOMINA 47</t>
  </si>
  <si>
    <t>NOMINA 48</t>
  </si>
  <si>
    <t>CANAL--CHULETA--SANCOCHO</t>
  </si>
  <si>
    <t>R-12370-12413-CANAL-CHULETA-SANCOCHO</t>
  </si>
  <si>
    <t>R-12413-12577</t>
  </si>
  <si>
    <t>R-12577-12714</t>
  </si>
  <si>
    <t>R-12714--12803</t>
  </si>
  <si>
    <t>R-12803--13077</t>
  </si>
  <si>
    <t>R-13077</t>
  </si>
  <si>
    <t>R-13077-13172-13245-13257</t>
  </si>
  <si>
    <t>R-13257-13491-combo</t>
  </si>
  <si>
    <t>COMBO Albicia</t>
  </si>
  <si>
    <t>R-13491-13368-13501</t>
  </si>
  <si>
    <t>R-13501-13603</t>
  </si>
  <si>
    <t xml:space="preserve">R-13603--Cuero </t>
  </si>
  <si>
    <t>R-13603--</t>
  </si>
  <si>
    <t>14007 C</t>
  </si>
  <si>
    <t>14235 C</t>
  </si>
  <si>
    <t>14389 C</t>
  </si>
  <si>
    <t>14576 C</t>
  </si>
  <si>
    <t>14635 C</t>
  </si>
  <si>
    <t>14740 C</t>
  </si>
  <si>
    <t>14582 C</t>
  </si>
  <si>
    <t>14808 C</t>
  </si>
  <si>
    <t>14895 C</t>
  </si>
  <si>
    <t>14957 C</t>
  </si>
  <si>
    <t>14965 C</t>
  </si>
  <si>
    <t>15037 C</t>
  </si>
  <si>
    <t>15040 C</t>
  </si>
  <si>
    <t>15235 C</t>
  </si>
  <si>
    <t>15314 C</t>
  </si>
  <si>
    <t>15360 C</t>
  </si>
  <si>
    <t>15401 C</t>
  </si>
  <si>
    <t>15416 C</t>
  </si>
  <si>
    <t>15447 C</t>
  </si>
  <si>
    <t xml:space="preserve">cuero </t>
  </si>
  <si>
    <t>15508 C</t>
  </si>
  <si>
    <t>15189 C</t>
  </si>
  <si>
    <t>15607 C</t>
  </si>
  <si>
    <t>Resto</t>
  </si>
  <si>
    <t xml:space="preserve">15-Nov --30- Nov </t>
  </si>
  <si>
    <t>15707 C</t>
  </si>
  <si>
    <t>15776 C</t>
  </si>
  <si>
    <t>15874 C</t>
  </si>
  <si>
    <t>16162 C</t>
  </si>
  <si>
    <t>16052 C</t>
  </si>
  <si>
    <t xml:space="preserve">BALANCE    DE     DICIEMBRE             2016    C O M E R C I O </t>
  </si>
  <si>
    <t>16362 C</t>
  </si>
  <si>
    <t>16473 C</t>
  </si>
  <si>
    <t>16490 C</t>
  </si>
  <si>
    <t>16504 C</t>
  </si>
  <si>
    <t>16594 C</t>
  </si>
  <si>
    <t>16634 C</t>
  </si>
  <si>
    <t>16948 C</t>
  </si>
  <si>
    <t>16995 C</t>
  </si>
  <si>
    <t>17058 C</t>
  </si>
  <si>
    <t>17228 C</t>
  </si>
  <si>
    <t>17289 C</t>
  </si>
  <si>
    <t>17417 C</t>
  </si>
  <si>
    <t>17429 C</t>
  </si>
  <si>
    <t>17462 C</t>
  </si>
  <si>
    <t>17478 C</t>
  </si>
  <si>
    <t>17487 C</t>
  </si>
  <si>
    <t>17570 C</t>
  </si>
  <si>
    <t>17585 C</t>
  </si>
  <si>
    <t>17587 C</t>
  </si>
  <si>
    <t>17588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</si>
</sst>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FF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165" fontId="14" fillId="0" borderId="32" xfId="0" applyNumberFormat="1" applyFont="1" applyFill="1" applyBorder="1"/>
    <xf numFmtId="165" fontId="14" fillId="5" borderId="32" xfId="0" applyNumberFormat="1" applyFont="1" applyFill="1" applyBorder="1"/>
    <xf numFmtId="165" fontId="24" fillId="5" borderId="30" xfId="0" applyNumberFormat="1" applyFont="1" applyFill="1" applyBorder="1"/>
    <xf numFmtId="44" fontId="14" fillId="4" borderId="30" xfId="1" applyFont="1" applyFill="1" applyBorder="1"/>
    <xf numFmtId="44" fontId="2" fillId="4" borderId="21" xfId="1" applyFont="1" applyFill="1" applyBorder="1"/>
    <xf numFmtId="44" fontId="2" fillId="0" borderId="13" xfId="1" applyFont="1" applyBorder="1"/>
    <xf numFmtId="165" fontId="2" fillId="0" borderId="21" xfId="0" applyNumberFormat="1" applyFont="1" applyBorder="1"/>
    <xf numFmtId="44" fontId="2" fillId="0" borderId="17" xfId="1" applyFont="1" applyBorder="1"/>
    <xf numFmtId="0" fontId="2" fillId="0" borderId="0" xfId="0" applyFont="1" applyFill="1" applyBorder="1" applyAlignment="1">
      <alignment horizontal="center"/>
    </xf>
    <xf numFmtId="165" fontId="2" fillId="0" borderId="46" xfId="0" applyNumberFormat="1" applyFont="1" applyFill="1" applyBorder="1"/>
    <xf numFmtId="164" fontId="20" fillId="13" borderId="35" xfId="1" applyNumberFormat="1" applyFont="1" applyFill="1" applyBorder="1" applyAlignment="1">
      <alignment horizontal="center"/>
    </xf>
    <xf numFmtId="44" fontId="14" fillId="13" borderId="30" xfId="1" applyFont="1" applyFill="1" applyBorder="1"/>
    <xf numFmtId="0" fontId="22" fillId="13" borderId="30" xfId="0" applyFont="1" applyFill="1" applyBorder="1" applyAlignment="1">
      <alignment horizontal="center"/>
    </xf>
    <xf numFmtId="164" fontId="20" fillId="14" borderId="35" xfId="1" applyNumberFormat="1" applyFont="1" applyFill="1" applyBorder="1" applyAlignment="1">
      <alignment horizontal="center"/>
    </xf>
    <xf numFmtId="165" fontId="23" fillId="0" borderId="48" xfId="0" applyNumberFormat="1" applyFont="1" applyFill="1" applyBorder="1"/>
    <xf numFmtId="1" fontId="19" fillId="0" borderId="21" xfId="1" applyNumberFormat="1" applyFont="1" applyBorder="1" applyAlignment="1">
      <alignment horizontal="center"/>
    </xf>
    <xf numFmtId="164" fontId="2" fillId="0" borderId="21" xfId="0" applyNumberFormat="1" applyFont="1" applyBorder="1"/>
    <xf numFmtId="164" fontId="2" fillId="0" borderId="21" xfId="0" applyNumberFormat="1" applyFont="1" applyBorder="1" applyAlignment="1">
      <alignment horizontal="center"/>
    </xf>
    <xf numFmtId="1" fontId="28" fillId="0" borderId="21" xfId="0" applyNumberFormat="1" applyFont="1" applyFill="1" applyBorder="1" applyAlignment="1">
      <alignment horizontal="center"/>
    </xf>
    <xf numFmtId="44" fontId="2" fillId="0" borderId="21" xfId="1" applyFont="1" applyBorder="1"/>
    <xf numFmtId="164" fontId="20" fillId="10" borderId="35" xfId="1" applyNumberFormat="1" applyFont="1" applyFill="1" applyBorder="1" applyAlignment="1">
      <alignment horizontal="center"/>
    </xf>
    <xf numFmtId="164" fontId="2" fillId="7" borderId="21" xfId="0" applyNumberFormat="1" applyFont="1" applyFill="1" applyBorder="1" applyAlignment="1">
      <alignment horizontal="center"/>
    </xf>
    <xf numFmtId="1" fontId="19" fillId="7" borderId="30" xfId="1" applyNumberFormat="1" applyFont="1" applyFill="1" applyBorder="1" applyAlignment="1">
      <alignment horizontal="center"/>
    </xf>
    <xf numFmtId="44" fontId="2" fillId="7" borderId="30" xfId="1" applyFont="1" applyFill="1" applyBorder="1"/>
    <xf numFmtId="1" fontId="28" fillId="0" borderId="30" xfId="0" applyNumberFormat="1" applyFont="1" applyFill="1" applyBorder="1" applyAlignment="1">
      <alignment horizontal="center"/>
    </xf>
    <xf numFmtId="1" fontId="19" fillId="0" borderId="30" xfId="1" applyNumberFormat="1" applyFont="1" applyBorder="1" applyAlignment="1">
      <alignment horizontal="center"/>
    </xf>
    <xf numFmtId="44" fontId="2" fillId="0" borderId="30" xfId="1" applyFont="1" applyBorder="1"/>
    <xf numFmtId="0" fontId="2" fillId="0" borderId="21" xfId="0" applyFont="1" applyBorder="1" applyAlignment="1">
      <alignment horizontal="center"/>
    </xf>
    <xf numFmtId="44" fontId="2" fillId="0" borderId="0" xfId="0" applyNumberFormat="1" applyFont="1" applyBorder="1"/>
    <xf numFmtId="0" fontId="13" fillId="0" borderId="22" xfId="0" applyFont="1" applyBorder="1" applyAlignment="1">
      <alignment wrapText="1"/>
    </xf>
    <xf numFmtId="16" fontId="2" fillId="0" borderId="20" xfId="0" applyNumberFormat="1" applyFont="1" applyBorder="1" applyAlignment="1">
      <alignment wrapText="1"/>
    </xf>
    <xf numFmtId="0" fontId="11" fillId="0" borderId="19" xfId="0" applyFont="1" applyBorder="1" applyAlignment="1">
      <alignment wrapText="1"/>
    </xf>
    <xf numFmtId="44" fontId="2" fillId="0" borderId="15" xfId="1" applyFont="1" applyFill="1" applyBorder="1"/>
    <xf numFmtId="44" fontId="2" fillId="4" borderId="0" xfId="1" applyFont="1" applyFill="1" applyBorder="1"/>
    <xf numFmtId="44" fontId="2" fillId="0" borderId="13" xfId="1" applyFont="1" applyFill="1" applyBorder="1"/>
    <xf numFmtId="164" fontId="2" fillId="0" borderId="20" xfId="0" applyNumberFormat="1" applyFont="1" applyBorder="1" applyAlignment="1">
      <alignment horizontal="center"/>
    </xf>
    <xf numFmtId="1" fontId="19" fillId="0" borderId="20" xfId="1" applyNumberFormat="1" applyFont="1" applyBorder="1" applyAlignment="1">
      <alignment horizontal="center"/>
    </xf>
    <xf numFmtId="44" fontId="2" fillId="0" borderId="20" xfId="1" applyFont="1" applyBorder="1"/>
    <xf numFmtId="165" fontId="23" fillId="0" borderId="49" xfId="0" applyNumberFormat="1" applyFont="1" applyFill="1" applyBorder="1"/>
    <xf numFmtId="1" fontId="19" fillId="0" borderId="30" xfId="1" applyNumberFormat="1" applyFont="1" applyFill="1" applyBorder="1" applyAlignment="1">
      <alignment horizontal="center"/>
    </xf>
    <xf numFmtId="1" fontId="19" fillId="0" borderId="21" xfId="1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" fontId="19" fillId="0" borderId="20" xfId="1" applyNumberFormat="1" applyFont="1" applyFill="1" applyBorder="1" applyAlignment="1">
      <alignment horizontal="center"/>
    </xf>
    <xf numFmtId="44" fontId="2" fillId="15" borderId="21" xfId="1" applyFont="1" applyFill="1" applyBorder="1"/>
    <xf numFmtId="44" fontId="2" fillId="5" borderId="0" xfId="1" applyFont="1" applyFill="1"/>
    <xf numFmtId="165" fontId="23" fillId="5" borderId="48" xfId="0" applyNumberFormat="1" applyFont="1" applyFill="1" applyBorder="1"/>
    <xf numFmtId="44" fontId="2" fillId="5" borderId="21" xfId="1" applyFont="1" applyFill="1" applyBorder="1"/>
    <xf numFmtId="44" fontId="2" fillId="0" borderId="50" xfId="1" applyFont="1" applyFill="1" applyBorder="1"/>
    <xf numFmtId="0" fontId="22" fillId="0" borderId="51" xfId="0" applyFont="1" applyFill="1" applyBorder="1" applyAlignment="1">
      <alignment horizontal="center"/>
    </xf>
    <xf numFmtId="44" fontId="14" fillId="0" borderId="51" xfId="1" applyFont="1" applyFill="1" applyBorder="1"/>
    <xf numFmtId="44" fontId="2" fillId="0" borderId="51" xfId="1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44" fontId="0" fillId="0" borderId="51" xfId="1" applyFont="1" applyFill="1" applyBorder="1"/>
    <xf numFmtId="164" fontId="0" fillId="0" borderId="51" xfId="0" applyNumberFormat="1" applyFont="1" applyFill="1" applyBorder="1"/>
    <xf numFmtId="0" fontId="2" fillId="0" borderId="0" xfId="0" applyFont="1" applyBorder="1" applyAlignment="1">
      <alignment horizontal="center"/>
    </xf>
    <xf numFmtId="44" fontId="14" fillId="7" borderId="30" xfId="1" applyFont="1" applyFill="1" applyBorder="1"/>
    <xf numFmtId="0" fontId="0" fillId="0" borderId="0" xfId="0" applyAlignment="1">
      <alignment horizontal="center"/>
    </xf>
    <xf numFmtId="165" fontId="2" fillId="7" borderId="0" xfId="0" applyNumberFormat="1" applyFont="1" applyFill="1" applyBorder="1"/>
    <xf numFmtId="44" fontId="2" fillId="0" borderId="51" xfId="1" applyFont="1" applyFill="1" applyBorder="1"/>
    <xf numFmtId="44" fontId="12" fillId="0" borderId="21" xfId="1" applyFont="1" applyFill="1" applyBorder="1" applyAlignment="1">
      <alignment horizontal="center"/>
    </xf>
    <xf numFmtId="44" fontId="2" fillId="4" borderId="15" xfId="1" applyFont="1" applyFill="1" applyBorder="1"/>
    <xf numFmtId="44" fontId="2" fillId="9" borderId="11" xfId="1" applyFont="1" applyFill="1" applyBorder="1"/>
    <xf numFmtId="0" fontId="2" fillId="0" borderId="51" xfId="0" applyFont="1" applyFill="1" applyBorder="1" applyAlignment="1">
      <alignment horizontal="center"/>
    </xf>
    <xf numFmtId="164" fontId="2" fillId="0" borderId="51" xfId="0" applyNumberFormat="1" applyFont="1" applyFill="1" applyBorder="1"/>
    <xf numFmtId="0" fontId="26" fillId="0" borderId="44" xfId="0" applyFont="1" applyFill="1" applyBorder="1" applyAlignment="1">
      <alignment horizontal="center"/>
    </xf>
    <xf numFmtId="165" fontId="12" fillId="0" borderId="0" xfId="0" applyNumberFormat="1" applyFont="1" applyFill="1"/>
    <xf numFmtId="164" fontId="0" fillId="0" borderId="0" xfId="0" applyNumberFormat="1"/>
    <xf numFmtId="164" fontId="33" fillId="0" borderId="0" xfId="1" applyNumberFormat="1" applyFont="1" applyAlignment="1">
      <alignment horizontal="right"/>
    </xf>
    <xf numFmtId="164" fontId="34" fillId="0" borderId="0" xfId="1" applyNumberFormat="1" applyFont="1" applyAlignment="1">
      <alignment horizontal="right"/>
    </xf>
    <xf numFmtId="0" fontId="26" fillId="0" borderId="51" xfId="0" applyFont="1" applyFill="1" applyBorder="1" applyAlignment="1">
      <alignment horizontal="center"/>
    </xf>
    <xf numFmtId="44" fontId="2" fillId="7" borderId="13" xfId="1" applyFont="1" applyFill="1" applyBorder="1"/>
    <xf numFmtId="165" fontId="23" fillId="0" borderId="21" xfId="0" applyNumberFormat="1" applyFont="1" applyFill="1" applyBorder="1"/>
    <xf numFmtId="0" fontId="0" fillId="0" borderId="21" xfId="0" applyFill="1" applyBorder="1"/>
    <xf numFmtId="44" fontId="21" fillId="0" borderId="21" xfId="1" applyFont="1" applyBorder="1"/>
    <xf numFmtId="165" fontId="21" fillId="0" borderId="21" xfId="0" applyNumberFormat="1" applyFont="1" applyBorder="1"/>
    <xf numFmtId="165" fontId="21" fillId="0" borderId="21" xfId="0" applyNumberFormat="1" applyFont="1" applyFill="1" applyBorder="1"/>
    <xf numFmtId="0" fontId="19" fillId="0" borderId="21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16" fontId="19" fillId="0" borderId="21" xfId="0" applyNumberFormat="1" applyFont="1" applyBorder="1" applyAlignment="1">
      <alignment horizontal="center"/>
    </xf>
    <xf numFmtId="164" fontId="35" fillId="0" borderId="21" xfId="1" applyNumberFormat="1" applyFont="1" applyBorder="1" applyAlignment="1">
      <alignment horizontal="right"/>
    </xf>
    <xf numFmtId="164" fontId="19" fillId="0" borderId="21" xfId="1" applyNumberFormat="1" applyFont="1" applyBorder="1" applyAlignment="1">
      <alignment horizontal="right"/>
    </xf>
    <xf numFmtId="44" fontId="27" fillId="0" borderId="21" xfId="1" applyFont="1" applyBorder="1"/>
    <xf numFmtId="0" fontId="21" fillId="0" borderId="44" xfId="0" applyFont="1" applyFill="1" applyBorder="1" applyAlignment="1">
      <alignment horizontal="center"/>
    </xf>
    <xf numFmtId="0" fontId="22" fillId="3" borderId="30" xfId="0" applyFont="1" applyFill="1" applyBorder="1" applyAlignment="1">
      <alignment horizontal="center"/>
    </xf>
    <xf numFmtId="44" fontId="14" fillId="3" borderId="30" xfId="1" applyFont="1" applyFill="1" applyBorder="1"/>
    <xf numFmtId="165" fontId="23" fillId="15" borderId="32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99FF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2" name="3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8" name="5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0" name="5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2" name="6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3" name="6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4" name="6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5" name="6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6" name="6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7" name="6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8" name="67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9" name="6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408" t="s">
        <v>20</v>
      </c>
      <c r="D1" s="408"/>
      <c r="E1" s="408"/>
      <c r="F1" s="408"/>
      <c r="G1" s="408"/>
      <c r="H1" s="408"/>
      <c r="I1" s="408"/>
      <c r="J1" s="408"/>
      <c r="Q1" s="408" t="s">
        <v>20</v>
      </c>
      <c r="R1" s="408"/>
      <c r="S1" s="408"/>
      <c r="T1" s="408"/>
      <c r="U1" s="408"/>
      <c r="V1" s="408"/>
      <c r="W1" s="408"/>
      <c r="X1" s="408"/>
      <c r="AE1" s="408" t="s">
        <v>20</v>
      </c>
      <c r="AF1" s="408"/>
      <c r="AG1" s="408"/>
      <c r="AH1" s="408"/>
      <c r="AI1" s="408"/>
      <c r="AJ1" s="408"/>
      <c r="AK1" s="408"/>
      <c r="AL1" s="408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409" t="s">
        <v>2</v>
      </c>
      <c r="F3" s="410"/>
      <c r="I3" s="411" t="s">
        <v>3</v>
      </c>
      <c r="J3" s="412"/>
      <c r="K3" s="413"/>
      <c r="L3" s="10" t="s">
        <v>4</v>
      </c>
      <c r="O3" s="6" t="s">
        <v>1</v>
      </c>
      <c r="P3" s="7"/>
      <c r="Q3" s="8">
        <v>580958.05000000005</v>
      </c>
      <c r="R3" s="9"/>
      <c r="S3" s="409" t="s">
        <v>2</v>
      </c>
      <c r="T3" s="410"/>
      <c r="W3" s="411" t="s">
        <v>3</v>
      </c>
      <c r="X3" s="412"/>
      <c r="Y3" s="413"/>
      <c r="Z3" s="10" t="s">
        <v>4</v>
      </c>
      <c r="AC3" s="6" t="s">
        <v>1</v>
      </c>
      <c r="AD3" s="7"/>
      <c r="AE3" s="8">
        <v>580958.05000000005</v>
      </c>
      <c r="AF3" s="9"/>
      <c r="AG3" s="409" t="s">
        <v>2</v>
      </c>
      <c r="AH3" s="410"/>
      <c r="AK3" s="411" t="s">
        <v>3</v>
      </c>
      <c r="AL3" s="412"/>
      <c r="AM3" s="413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414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414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414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415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415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415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416"/>
      <c r="B38" s="416"/>
      <c r="C38" s="50"/>
      <c r="I38" s="64"/>
      <c r="K38" s="64"/>
      <c r="O38" s="416"/>
      <c r="P38" s="416"/>
      <c r="Q38" s="50"/>
      <c r="W38" s="64"/>
      <c r="Y38" s="64"/>
      <c r="AA38" s="41"/>
      <c r="AC38" s="416"/>
      <c r="AD38" s="416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93008.389999999985</v>
      </c>
      <c r="K39" s="403"/>
      <c r="L39" s="68"/>
      <c r="O39" s="65"/>
      <c r="P39" s="66"/>
      <c r="Q39" s="50"/>
      <c r="R39" s="67"/>
      <c r="S39" s="66"/>
      <c r="T39" s="66"/>
      <c r="V39" s="400" t="s">
        <v>12</v>
      </c>
      <c r="W39" s="401"/>
      <c r="X39" s="402">
        <f>W37+Y37</f>
        <v>62112.56</v>
      </c>
      <c r="Y39" s="403"/>
      <c r="Z39" s="68"/>
      <c r="AA39" s="41"/>
      <c r="AC39" s="65"/>
      <c r="AD39" s="66"/>
      <c r="AE39" s="50"/>
      <c r="AF39" s="67"/>
      <c r="AG39" s="66"/>
      <c r="AH39" s="66"/>
      <c r="AJ39" s="400" t="s">
        <v>12</v>
      </c>
      <c r="AK39" s="401"/>
      <c r="AL39" s="402">
        <f>AK37+AM37</f>
        <v>28175.99</v>
      </c>
      <c r="AM39" s="403"/>
      <c r="AN39" s="68"/>
      <c r="AO39"/>
    </row>
    <row r="40" spans="1:41" ht="15.75" customHeight="1" x14ac:dyDescent="0.25">
      <c r="A40" s="404"/>
      <c r="B40" s="404"/>
      <c r="C40" s="50"/>
      <c r="D40" s="405" t="s">
        <v>13</v>
      </c>
      <c r="E40" s="405"/>
      <c r="F40" s="69">
        <f>F37-J39-C37</f>
        <v>2727889.61</v>
      </c>
      <c r="I40" s="70"/>
      <c r="O40" s="404"/>
      <c r="P40" s="404"/>
      <c r="Q40" s="50"/>
      <c r="R40" s="405" t="s">
        <v>13</v>
      </c>
      <c r="S40" s="405"/>
      <c r="T40" s="69">
        <f>T37-X39-Q37</f>
        <v>2402023.94</v>
      </c>
      <c r="W40" s="70"/>
      <c r="AA40" s="41"/>
      <c r="AC40" s="404"/>
      <c r="AD40" s="404"/>
      <c r="AE40" s="50"/>
      <c r="AF40" s="405" t="s">
        <v>13</v>
      </c>
      <c r="AG40" s="405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406" t="s">
        <v>19</v>
      </c>
      <c r="J45" s="407"/>
      <c r="K45" s="79">
        <f>K43+K44</f>
        <v>347437.17999999993</v>
      </c>
      <c r="S45" s="60" t="s">
        <v>18</v>
      </c>
      <c r="T45" s="78">
        <f>T44+T43</f>
        <v>667253.93999999994</v>
      </c>
      <c r="W45" s="406" t="s">
        <v>19</v>
      </c>
      <c r="X45" s="407"/>
      <c r="Y45" s="79">
        <f>Y43+Y44</f>
        <v>396174.79999999981</v>
      </c>
      <c r="AG45" s="60" t="s">
        <v>18</v>
      </c>
      <c r="AH45" s="78">
        <f>AH44+AH43</f>
        <v>445688.06000000006</v>
      </c>
      <c r="AK45" s="406" t="s">
        <v>19</v>
      </c>
      <c r="AL45" s="407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99"/>
      <c r="I51" s="399"/>
      <c r="J51" s="80"/>
      <c r="K51" s="81"/>
      <c r="L51"/>
      <c r="P51"/>
      <c r="Q51"/>
      <c r="S51"/>
      <c r="T51"/>
      <c r="V51" s="399"/>
      <c r="W51" s="399"/>
      <c r="X51" s="80"/>
      <c r="Y51" s="81"/>
      <c r="Z51"/>
      <c r="AD51"/>
      <c r="AE51"/>
      <c r="AG51"/>
      <c r="AH51"/>
      <c r="AJ51" s="399"/>
      <c r="AK51" s="399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K45:AL45"/>
    <mergeCell ref="AJ51:AK51"/>
    <mergeCell ref="AC40:AD40"/>
    <mergeCell ref="AF40:AG40"/>
    <mergeCell ref="AJ39:AK39"/>
    <mergeCell ref="AL39:AM39"/>
    <mergeCell ref="AL20:AL21"/>
    <mergeCell ref="AC38:AD38"/>
    <mergeCell ref="AE1:AL1"/>
    <mergeCell ref="AG3:AH3"/>
    <mergeCell ref="AK3:AM3"/>
    <mergeCell ref="C1:J1"/>
    <mergeCell ref="E3:F3"/>
    <mergeCell ref="I3:K3"/>
    <mergeCell ref="J20:J21"/>
    <mergeCell ref="A38:B38"/>
    <mergeCell ref="H51:I51"/>
    <mergeCell ref="H39:I39"/>
    <mergeCell ref="J39:K39"/>
    <mergeCell ref="A40:B40"/>
    <mergeCell ref="D40:E40"/>
    <mergeCell ref="I45:J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417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418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417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418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417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418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417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418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G111"/>
  <sheetViews>
    <sheetView topLeftCell="A16" workbookViewId="0">
      <selection activeCell="F45" sqref="F4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2.5703125" bestFit="1" customWidth="1"/>
    <col min="41" max="41" width="12.7109375" bestFit="1" customWidth="1"/>
    <col min="43" max="44" width="12.5703125" bestFit="1" customWidth="1"/>
    <col min="48" max="48" width="14" customWidth="1"/>
    <col min="51" max="51" width="12.5703125" bestFit="1" customWidth="1"/>
    <col min="56" max="56" width="12.7109375" bestFit="1" customWidth="1"/>
    <col min="58" max="58" width="11.42578125" style="3"/>
    <col min="59" max="59" width="12.5703125" bestFit="1" customWidth="1"/>
  </cols>
  <sheetData>
    <row r="1" spans="1:59" ht="24" thickBot="1" x14ac:dyDescent="0.4">
      <c r="B1" s="1"/>
      <c r="C1" s="408" t="s">
        <v>288</v>
      </c>
      <c r="D1" s="408"/>
      <c r="E1" s="408"/>
      <c r="F1" s="408"/>
      <c r="G1" s="408"/>
      <c r="H1" s="408"/>
      <c r="I1" s="408"/>
      <c r="J1" s="408"/>
      <c r="K1" s="300" t="s">
        <v>293</v>
      </c>
      <c r="L1" s="2"/>
      <c r="M1" s="2"/>
      <c r="Q1" s="1"/>
      <c r="R1" s="408" t="s">
        <v>288</v>
      </c>
      <c r="S1" s="408"/>
      <c r="T1" s="408"/>
      <c r="U1" s="408"/>
      <c r="V1" s="408"/>
      <c r="W1" s="408"/>
      <c r="X1" s="408"/>
      <c r="Y1" s="408"/>
      <c r="Z1" s="300" t="s">
        <v>273</v>
      </c>
      <c r="AA1" s="2"/>
      <c r="AB1" s="2"/>
      <c r="AF1" s="1"/>
      <c r="AG1" s="408" t="s">
        <v>288</v>
      </c>
      <c r="AH1" s="408"/>
      <c r="AI1" s="408"/>
      <c r="AJ1" s="408"/>
      <c r="AK1" s="408"/>
      <c r="AL1" s="408"/>
      <c r="AM1" s="408"/>
      <c r="AN1" s="408"/>
      <c r="AO1" s="300" t="s">
        <v>257</v>
      </c>
      <c r="AP1" s="2"/>
      <c r="AQ1" s="2"/>
      <c r="AR1" s="2"/>
      <c r="AU1" s="1"/>
      <c r="AV1" s="408" t="s">
        <v>288</v>
      </c>
      <c r="AW1" s="408"/>
      <c r="AX1" s="408"/>
      <c r="AY1" s="408"/>
      <c r="AZ1" s="408"/>
      <c r="BA1" s="408"/>
      <c r="BB1" s="408"/>
      <c r="BC1" s="408"/>
      <c r="BD1" s="300" t="s">
        <v>256</v>
      </c>
      <c r="BE1" s="2"/>
    </row>
    <row r="2" spans="1:59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  <c r="AR2" s="2"/>
      <c r="AU2" s="1"/>
      <c r="AV2" s="4" t="s">
        <v>0</v>
      </c>
      <c r="AX2" s="5"/>
      <c r="AY2" s="5"/>
      <c r="BA2" s="1"/>
      <c r="BB2" s="1"/>
      <c r="BC2" s="1"/>
      <c r="BD2" s="1"/>
      <c r="BE2" s="2"/>
    </row>
    <row r="3" spans="1:59" ht="20.25" thickTop="1" thickBot="1" x14ac:dyDescent="0.35">
      <c r="A3" s="6" t="s">
        <v>1</v>
      </c>
      <c r="B3" s="7"/>
      <c r="C3" s="8">
        <v>389370.9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M3" s="10"/>
      <c r="P3" s="6" t="s">
        <v>1</v>
      </c>
      <c r="Q3" s="7"/>
      <c r="R3" s="8">
        <v>389370.9</v>
      </c>
      <c r="S3" s="9"/>
      <c r="T3" s="409" t="s">
        <v>2</v>
      </c>
      <c r="U3" s="410"/>
      <c r="W3" s="1"/>
      <c r="X3" s="411" t="s">
        <v>3</v>
      </c>
      <c r="Y3" s="412"/>
      <c r="Z3" s="413"/>
      <c r="AA3" s="10" t="s">
        <v>4</v>
      </c>
      <c r="AB3" s="10"/>
      <c r="AE3" s="6" t="s">
        <v>1</v>
      </c>
      <c r="AF3" s="7"/>
      <c r="AG3" s="8">
        <v>389370.9</v>
      </c>
      <c r="AH3" s="9"/>
      <c r="AI3" s="409" t="s">
        <v>2</v>
      </c>
      <c r="AJ3" s="410"/>
      <c r="AL3" s="1"/>
      <c r="AM3" s="411" t="s">
        <v>3</v>
      </c>
      <c r="AN3" s="412"/>
      <c r="AO3" s="413"/>
      <c r="AP3" s="10" t="s">
        <v>4</v>
      </c>
      <c r="AQ3" s="10"/>
      <c r="AR3" s="10"/>
      <c r="AT3" s="6" t="s">
        <v>1</v>
      </c>
      <c r="AU3" s="7"/>
      <c r="AV3" s="8">
        <v>389370.9</v>
      </c>
      <c r="AW3" s="9"/>
      <c r="AX3" s="409" t="s">
        <v>2</v>
      </c>
      <c r="AY3" s="410"/>
      <c r="BA3" s="1"/>
      <c r="BB3" s="411" t="s">
        <v>3</v>
      </c>
      <c r="BC3" s="412"/>
      <c r="BD3" s="413"/>
      <c r="BE3" s="10" t="s">
        <v>4</v>
      </c>
    </row>
    <row r="4" spans="1:59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  <c r="AQ4" s="18"/>
      <c r="AR4" s="18"/>
      <c r="AU4" s="11">
        <v>42522</v>
      </c>
      <c r="AV4" s="12">
        <v>555580.5</v>
      </c>
      <c r="AW4" s="40" t="s">
        <v>300</v>
      </c>
      <c r="AX4" s="186">
        <v>42522</v>
      </c>
      <c r="AY4" s="13">
        <v>53969.5</v>
      </c>
      <c r="AZ4" s="14"/>
      <c r="BA4" s="187">
        <v>42522</v>
      </c>
      <c r="BB4" s="15">
        <v>0</v>
      </c>
      <c r="BC4" s="16"/>
      <c r="BD4" s="17"/>
      <c r="BE4" s="18">
        <v>0</v>
      </c>
    </row>
    <row r="5" spans="1:59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649</v>
      </c>
      <c r="AP5" s="18">
        <v>0</v>
      </c>
      <c r="AQ5" s="18"/>
      <c r="AR5" s="18"/>
      <c r="AU5" s="11">
        <v>42523</v>
      </c>
      <c r="AV5" s="12">
        <v>38710.5</v>
      </c>
      <c r="AW5" s="19" t="s">
        <v>302</v>
      </c>
      <c r="AX5" s="20">
        <v>42523</v>
      </c>
      <c r="AY5" s="13">
        <v>28894.5</v>
      </c>
      <c r="AZ5" s="21"/>
      <c r="BA5" s="22">
        <v>42523</v>
      </c>
      <c r="BB5" s="15">
        <v>0</v>
      </c>
      <c r="BC5" s="23" t="s">
        <v>5</v>
      </c>
      <c r="BD5" s="24">
        <v>0</v>
      </c>
      <c r="BE5" s="18">
        <v>0</v>
      </c>
    </row>
    <row r="6" spans="1:59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5" t="s">
        <v>6</v>
      </c>
      <c r="AO6" s="24">
        <v>0</v>
      </c>
      <c r="AP6" s="18">
        <v>0</v>
      </c>
      <c r="AQ6" s="18"/>
      <c r="AR6" s="18"/>
      <c r="AU6" s="11">
        <v>42524</v>
      </c>
      <c r="AV6" s="12">
        <v>63149.5</v>
      </c>
      <c r="AW6" s="19" t="s">
        <v>301</v>
      </c>
      <c r="AX6" s="20">
        <v>42524</v>
      </c>
      <c r="AY6" s="13">
        <v>63149.5</v>
      </c>
      <c r="AZ6" s="14"/>
      <c r="BA6" s="22">
        <v>42524</v>
      </c>
      <c r="BB6" s="15">
        <v>0</v>
      </c>
      <c r="BC6" s="270" t="s">
        <v>6</v>
      </c>
      <c r="BD6" s="24">
        <v>0</v>
      </c>
      <c r="BE6" s="18">
        <v>0</v>
      </c>
    </row>
    <row r="7" spans="1:59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7187.5+7187.5+7187.5+7187.5</f>
        <v>28750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7187.5+7187.5+7187.5</f>
        <v>21562.5</v>
      </c>
      <c r="AA7" s="18">
        <v>0</v>
      </c>
      <c r="AB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7187.5+7187.5</f>
        <v>14375</v>
      </c>
      <c r="AP7" s="18">
        <v>0</v>
      </c>
      <c r="AQ7" s="18"/>
      <c r="AR7" s="18"/>
      <c r="AU7" s="11">
        <v>42525</v>
      </c>
      <c r="AV7" s="12">
        <v>136218</v>
      </c>
      <c r="AW7" s="26" t="s">
        <v>303</v>
      </c>
      <c r="AX7" s="20">
        <v>42525</v>
      </c>
      <c r="AY7" s="13">
        <v>136318</v>
      </c>
      <c r="AZ7" s="14"/>
      <c r="BA7" s="22">
        <v>42525</v>
      </c>
      <c r="BB7" s="15">
        <v>100</v>
      </c>
      <c r="BC7" s="23" t="s">
        <v>7</v>
      </c>
      <c r="BD7" s="24">
        <f>7187.5</f>
        <v>7187.5</v>
      </c>
      <c r="BE7" s="18">
        <v>0</v>
      </c>
    </row>
    <row r="8" spans="1:59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  <c r="AQ8" s="18"/>
      <c r="AR8" s="18"/>
      <c r="AU8" s="11">
        <v>42526</v>
      </c>
      <c r="AV8" s="12">
        <v>53090.1</v>
      </c>
      <c r="AW8" s="19" t="s">
        <v>304</v>
      </c>
      <c r="AX8" s="20">
        <v>42526</v>
      </c>
      <c r="AY8" s="13">
        <v>53156</v>
      </c>
      <c r="AZ8" s="14"/>
      <c r="BA8" s="22">
        <v>42526</v>
      </c>
      <c r="BB8" s="15">
        <v>66</v>
      </c>
      <c r="BC8" s="23" t="s">
        <v>309</v>
      </c>
      <c r="BD8" s="13">
        <v>5820.79</v>
      </c>
      <c r="BE8" s="18">
        <v>0</v>
      </c>
    </row>
    <row r="9" spans="1:59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6523.76</v>
      </c>
      <c r="AP9" s="18">
        <v>0</v>
      </c>
      <c r="AQ9" s="18"/>
      <c r="AR9" s="18"/>
      <c r="AU9" s="11">
        <v>42527</v>
      </c>
      <c r="AV9" s="12">
        <v>97321</v>
      </c>
      <c r="AW9" s="26" t="s">
        <v>313</v>
      </c>
      <c r="AX9" s="20">
        <v>42527</v>
      </c>
      <c r="AY9" s="13">
        <v>97321.1</v>
      </c>
      <c r="AZ9" s="14"/>
      <c r="BA9" s="22">
        <v>42527</v>
      </c>
      <c r="BB9" s="15">
        <v>0</v>
      </c>
      <c r="BC9" s="23" t="s">
        <v>310</v>
      </c>
      <c r="BD9" s="13">
        <v>0</v>
      </c>
      <c r="BE9" s="18">
        <v>0</v>
      </c>
    </row>
    <row r="10" spans="1:59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13">
        <v>97827.1</v>
      </c>
      <c r="V10" s="14"/>
      <c r="W10" s="22">
        <v>42528</v>
      </c>
      <c r="X10" s="15">
        <v>0</v>
      </c>
      <c r="Y10" s="23" t="s">
        <v>311</v>
      </c>
      <c r="Z10" s="13">
        <v>6523.76</v>
      </c>
      <c r="AA10" s="18">
        <v>0</v>
      </c>
      <c r="AB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  <c r="AQ10" s="18"/>
      <c r="AR10" s="18"/>
      <c r="AT10" s="27"/>
      <c r="AU10" s="11">
        <v>42528</v>
      </c>
      <c r="AV10" s="12">
        <v>97827.5</v>
      </c>
      <c r="AW10" s="26" t="s">
        <v>313</v>
      </c>
      <c r="AX10" s="20">
        <v>42528</v>
      </c>
      <c r="AY10" s="230">
        <v>97827.1</v>
      </c>
      <c r="AZ10" s="14"/>
      <c r="BA10" s="22">
        <v>42528</v>
      </c>
      <c r="BB10" s="15">
        <v>0</v>
      </c>
      <c r="BC10" s="23" t="s">
        <v>311</v>
      </c>
      <c r="BD10" s="13">
        <v>0</v>
      </c>
      <c r="BE10" s="18">
        <v>0</v>
      </c>
    </row>
    <row r="11" spans="1:59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6721.54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18"/>
      <c r="AF11" s="11">
        <v>42529</v>
      </c>
      <c r="AG11" s="12">
        <v>186091.5</v>
      </c>
      <c r="AH11" s="26" t="s">
        <v>318</v>
      </c>
      <c r="AI11" s="20">
        <v>42529</v>
      </c>
      <c r="AJ11" s="13">
        <v>186891.5</v>
      </c>
      <c r="AK11" s="14"/>
      <c r="AL11" s="22">
        <v>42529</v>
      </c>
      <c r="AM11" s="15">
        <v>0</v>
      </c>
      <c r="AN11" s="23" t="s">
        <v>312</v>
      </c>
      <c r="AO11" s="13">
        <v>0</v>
      </c>
      <c r="AP11" s="18">
        <v>0</v>
      </c>
      <c r="AQ11" s="312">
        <f>50000+34638</f>
        <v>84638</v>
      </c>
      <c r="AR11" s="18"/>
      <c r="AU11" s="11">
        <v>42529</v>
      </c>
      <c r="AV11" s="12"/>
      <c r="AW11" s="26"/>
      <c r="AX11" s="20">
        <v>42529</v>
      </c>
      <c r="AY11" s="13"/>
      <c r="AZ11" s="14"/>
      <c r="BA11" s="22">
        <v>42529</v>
      </c>
      <c r="BB11" s="15"/>
      <c r="BC11" s="23" t="s">
        <v>312</v>
      </c>
      <c r="BD11" s="13">
        <v>0</v>
      </c>
      <c r="BE11" s="18">
        <v>0</v>
      </c>
    </row>
    <row r="12" spans="1:59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7715</v>
      </c>
      <c r="AB12" s="18"/>
      <c r="AE12" s="28"/>
      <c r="AF12" s="11">
        <v>42530</v>
      </c>
      <c r="AG12" s="12">
        <v>51932.2</v>
      </c>
      <c r="AH12" s="19" t="s">
        <v>321</v>
      </c>
      <c r="AI12" s="20">
        <v>42530</v>
      </c>
      <c r="AJ12" s="13">
        <v>59647.1</v>
      </c>
      <c r="AK12" s="14"/>
      <c r="AL12" s="22">
        <v>42530</v>
      </c>
      <c r="AM12" s="15">
        <v>0</v>
      </c>
      <c r="AN12" s="23" t="s">
        <v>117</v>
      </c>
      <c r="AO12" s="13">
        <v>0</v>
      </c>
      <c r="AP12" s="18">
        <v>0</v>
      </c>
      <c r="AQ12" s="312">
        <v>26407</v>
      </c>
      <c r="AR12" s="18"/>
      <c r="AT12" s="28"/>
      <c r="AU12" s="11">
        <v>42530</v>
      </c>
      <c r="AV12" s="12"/>
      <c r="AW12" s="19"/>
      <c r="AX12" s="20">
        <v>42530</v>
      </c>
      <c r="AY12" s="13"/>
      <c r="AZ12" s="14"/>
      <c r="BA12" s="22">
        <v>42530</v>
      </c>
      <c r="BB12" s="15"/>
      <c r="BC12" s="23" t="s">
        <v>117</v>
      </c>
      <c r="BD12" s="13">
        <v>0</v>
      </c>
      <c r="BE12" s="18">
        <v>0</v>
      </c>
    </row>
    <row r="13" spans="1:59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18"/>
      <c r="AE13" s="28"/>
      <c r="AF13" s="11">
        <v>42531</v>
      </c>
      <c r="AG13" s="12">
        <v>77837</v>
      </c>
      <c r="AH13" s="40" t="s">
        <v>322</v>
      </c>
      <c r="AI13" s="20">
        <v>42531</v>
      </c>
      <c r="AJ13" s="13">
        <v>77837</v>
      </c>
      <c r="AK13" s="14"/>
      <c r="AL13" s="22">
        <v>42531</v>
      </c>
      <c r="AM13" s="15">
        <v>0</v>
      </c>
      <c r="AN13" s="30" t="s">
        <v>8</v>
      </c>
      <c r="AO13" s="13">
        <v>800</v>
      </c>
      <c r="AP13" s="18">
        <v>0</v>
      </c>
      <c r="AQ13" s="312">
        <f>35000+42837</f>
        <v>77837</v>
      </c>
      <c r="AR13" s="18"/>
      <c r="AT13" s="28"/>
      <c r="AU13" s="11">
        <v>42531</v>
      </c>
      <c r="AV13" s="12"/>
      <c r="AW13" s="40"/>
      <c r="AX13" s="20">
        <v>42531</v>
      </c>
      <c r="AY13" s="13"/>
      <c r="AZ13" s="14"/>
      <c r="BA13" s="22">
        <v>42531</v>
      </c>
      <c r="BB13" s="15"/>
      <c r="BC13" s="30" t="s">
        <v>8</v>
      </c>
      <c r="BD13" s="13">
        <v>0</v>
      </c>
      <c r="BE13" s="18">
        <v>0</v>
      </c>
      <c r="BG13" s="67"/>
    </row>
    <row r="14" spans="1:59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18"/>
      <c r="AF14" s="11">
        <v>42532</v>
      </c>
      <c r="AG14" s="12">
        <v>128846</v>
      </c>
      <c r="AH14" s="19" t="s">
        <v>323</v>
      </c>
      <c r="AI14" s="20">
        <v>42532</v>
      </c>
      <c r="AJ14" s="13">
        <v>128846</v>
      </c>
      <c r="AK14" s="14"/>
      <c r="AL14" s="22">
        <v>42532</v>
      </c>
      <c r="AM14" s="15">
        <v>0</v>
      </c>
      <c r="AN14" s="31">
        <v>42529</v>
      </c>
      <c r="AO14" s="13">
        <v>0</v>
      </c>
      <c r="AP14" s="18">
        <v>0</v>
      </c>
      <c r="AQ14" s="312">
        <f>50000+40865+35701</f>
        <v>126566</v>
      </c>
      <c r="AR14" s="18"/>
      <c r="AU14" s="11">
        <v>42532</v>
      </c>
      <c r="AV14" s="12"/>
      <c r="AW14" s="19"/>
      <c r="AX14" s="20">
        <v>42532</v>
      </c>
      <c r="AY14" s="13"/>
      <c r="AZ14" s="14"/>
      <c r="BA14" s="22">
        <v>42532</v>
      </c>
      <c r="BB14" s="15"/>
      <c r="BC14" s="31"/>
      <c r="BD14" s="13">
        <v>0</v>
      </c>
      <c r="BE14" s="18">
        <v>0</v>
      </c>
      <c r="BF14" s="33"/>
      <c r="BG14" s="308"/>
    </row>
    <row r="15" spans="1:59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18"/>
      <c r="AE15" s="28"/>
      <c r="AF15" s="11">
        <v>42533</v>
      </c>
      <c r="AG15" s="12">
        <v>56981.5</v>
      </c>
      <c r="AH15" s="19" t="s">
        <v>322</v>
      </c>
      <c r="AI15" s="20">
        <v>42533</v>
      </c>
      <c r="AJ15" s="13">
        <v>56981.5</v>
      </c>
      <c r="AK15" s="14"/>
      <c r="AL15" s="22">
        <v>42533</v>
      </c>
      <c r="AM15" s="15">
        <v>0</v>
      </c>
      <c r="AN15" s="23" t="s">
        <v>225</v>
      </c>
      <c r="AO15" s="13">
        <v>0</v>
      </c>
      <c r="AP15" s="18">
        <v>0</v>
      </c>
      <c r="AQ15" s="312">
        <f>10781+25000+21200.5</f>
        <v>56981.5</v>
      </c>
      <c r="AR15" s="18"/>
      <c r="AT15" s="28"/>
      <c r="AU15" s="11">
        <v>42533</v>
      </c>
      <c r="AV15" s="12"/>
      <c r="AW15" s="19"/>
      <c r="AX15" s="20">
        <v>42533</v>
      </c>
      <c r="AY15" s="13"/>
      <c r="AZ15" s="14"/>
      <c r="BA15" s="22">
        <v>42533</v>
      </c>
      <c r="BB15" s="15"/>
      <c r="BC15" s="23" t="s">
        <v>225</v>
      </c>
      <c r="BD15" s="13">
        <v>0</v>
      </c>
      <c r="BE15" s="18">
        <v>0</v>
      </c>
      <c r="BF15" s="33"/>
      <c r="BG15" s="216"/>
    </row>
    <row r="16" spans="1:59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18"/>
      <c r="AE16" s="28"/>
      <c r="AF16" s="11">
        <v>42534</v>
      </c>
      <c r="AG16" s="12">
        <v>105594</v>
      </c>
      <c r="AH16" s="19" t="s">
        <v>325</v>
      </c>
      <c r="AI16" s="20">
        <v>42534</v>
      </c>
      <c r="AJ16" s="13">
        <v>105594</v>
      </c>
      <c r="AK16" s="14"/>
      <c r="AL16" s="22">
        <v>42534</v>
      </c>
      <c r="AM16" s="15">
        <v>0</v>
      </c>
      <c r="AN16" s="34"/>
      <c r="AO16" s="13">
        <v>0</v>
      </c>
      <c r="AP16" s="18">
        <v>0</v>
      </c>
      <c r="AQ16" s="312">
        <f>18053+4358+42000+23000+9909</f>
        <v>97320</v>
      </c>
      <c r="AR16" s="18"/>
      <c r="AT16" s="28"/>
      <c r="AU16" s="11">
        <v>42534</v>
      </c>
      <c r="AV16" s="12"/>
      <c r="AW16" s="19"/>
      <c r="AX16" s="20">
        <v>42534</v>
      </c>
      <c r="AY16" s="13"/>
      <c r="AZ16" s="14"/>
      <c r="BA16" s="22">
        <v>42534</v>
      </c>
      <c r="BB16" s="15"/>
      <c r="BC16" s="34"/>
      <c r="BD16" s="13">
        <v>0</v>
      </c>
      <c r="BE16" s="18">
        <v>0</v>
      </c>
      <c r="BG16" s="216"/>
    </row>
    <row r="17" spans="1:59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18"/>
      <c r="AE17" s="28"/>
      <c r="AF17" s="11">
        <v>42535</v>
      </c>
      <c r="AG17" s="12">
        <v>84205</v>
      </c>
      <c r="AH17" s="19" t="s">
        <v>326</v>
      </c>
      <c r="AI17" s="20">
        <v>42535</v>
      </c>
      <c r="AJ17" s="13">
        <v>84205</v>
      </c>
      <c r="AK17" s="14"/>
      <c r="AL17" s="22">
        <v>42535</v>
      </c>
      <c r="AM17" s="15">
        <v>0</v>
      </c>
      <c r="AN17" s="35"/>
      <c r="AO17" s="13">
        <v>0</v>
      </c>
      <c r="AP17" s="18">
        <v>0</v>
      </c>
      <c r="AQ17" s="312">
        <f>25000+20175+36500</f>
        <v>81675</v>
      </c>
      <c r="AR17" s="18"/>
      <c r="AT17" s="28"/>
      <c r="AU17" s="11">
        <v>42535</v>
      </c>
      <c r="AV17" s="12"/>
      <c r="AW17" s="19"/>
      <c r="AX17" s="20">
        <v>42535</v>
      </c>
      <c r="AY17" s="13"/>
      <c r="AZ17" s="14"/>
      <c r="BA17" s="22">
        <v>42535</v>
      </c>
      <c r="BB17" s="15"/>
      <c r="BC17" s="35" t="s">
        <v>210</v>
      </c>
      <c r="BD17" s="13">
        <v>0</v>
      </c>
      <c r="BE17" s="18">
        <v>0</v>
      </c>
      <c r="BF17" s="81"/>
      <c r="BG17" s="216"/>
    </row>
    <row r="18" spans="1:59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>
        <v>42684.78</v>
      </c>
      <c r="S18" s="19" t="s">
        <v>331</v>
      </c>
      <c r="T18" s="20">
        <v>42536</v>
      </c>
      <c r="U18" s="13">
        <v>43495.5</v>
      </c>
      <c r="V18" s="14"/>
      <c r="W18" s="22">
        <v>42536</v>
      </c>
      <c r="X18" s="15">
        <v>0</v>
      </c>
      <c r="Y18" s="36"/>
      <c r="Z18" s="24">
        <v>0</v>
      </c>
      <c r="AA18" s="18">
        <v>811</v>
      </c>
      <c r="AB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18"/>
      <c r="AR18" s="18"/>
      <c r="AU18" s="11">
        <v>42536</v>
      </c>
      <c r="AV18" s="12"/>
      <c r="AW18" s="19"/>
      <c r="AX18" s="20">
        <v>42536</v>
      </c>
      <c r="AY18" s="13"/>
      <c r="AZ18" s="14"/>
      <c r="BA18" s="22">
        <v>42536</v>
      </c>
      <c r="BB18" s="15"/>
      <c r="BC18" s="36"/>
      <c r="BD18" s="24">
        <v>0</v>
      </c>
      <c r="BE18" s="18">
        <v>0</v>
      </c>
      <c r="BF18" s="81"/>
      <c r="BG18" s="216"/>
    </row>
    <row r="19" spans="1:59" x14ac:dyDescent="0.25">
      <c r="A19" s="28"/>
      <c r="B19" s="11">
        <v>42537</v>
      </c>
      <c r="C19" s="12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42537</v>
      </c>
      <c r="R19" s="12">
        <v>129719.5</v>
      </c>
      <c r="S19" s="19" t="s">
        <v>332</v>
      </c>
      <c r="T19" s="20">
        <v>42537</v>
      </c>
      <c r="U19" s="13">
        <v>129719.5</v>
      </c>
      <c r="V19" s="14"/>
      <c r="W19" s="22">
        <v>42537</v>
      </c>
      <c r="X19" s="15">
        <v>0</v>
      </c>
      <c r="Y19" s="37"/>
      <c r="Z19" s="13">
        <v>0</v>
      </c>
      <c r="AA19" s="18">
        <v>0</v>
      </c>
      <c r="AB19" s="18"/>
      <c r="AC19" s="67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18"/>
      <c r="AR19" s="18"/>
      <c r="AT19" s="28"/>
      <c r="AU19" s="11">
        <v>42537</v>
      </c>
      <c r="AV19" s="12"/>
      <c r="AW19" s="19"/>
      <c r="AX19" s="20">
        <v>42537</v>
      </c>
      <c r="AY19" s="13"/>
      <c r="AZ19" s="14"/>
      <c r="BA19" s="22">
        <v>42537</v>
      </c>
      <c r="BB19" s="15"/>
      <c r="BC19" s="37"/>
      <c r="BD19" s="13">
        <v>0</v>
      </c>
      <c r="BE19" s="18">
        <v>0</v>
      </c>
      <c r="BF19" s="81"/>
      <c r="BG19" s="216"/>
    </row>
    <row r="20" spans="1:59" x14ac:dyDescent="0.25">
      <c r="B20" s="11">
        <v>42538</v>
      </c>
      <c r="C20" s="12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414"/>
      <c r="K20" s="39">
        <v>0</v>
      </c>
      <c r="L20" s="18">
        <v>0</v>
      </c>
      <c r="M20" s="18"/>
      <c r="Q20" s="11">
        <v>42538</v>
      </c>
      <c r="R20" s="12">
        <v>81350.5</v>
      </c>
      <c r="S20" s="19" t="s">
        <v>332</v>
      </c>
      <c r="T20" s="20">
        <v>42538</v>
      </c>
      <c r="U20" s="13">
        <v>81350.5</v>
      </c>
      <c r="V20" s="14"/>
      <c r="W20" s="22">
        <v>42538</v>
      </c>
      <c r="X20" s="38">
        <v>0</v>
      </c>
      <c r="Y20" s="414"/>
      <c r="Z20" s="39">
        <v>0</v>
      </c>
      <c r="AA20" s="18">
        <v>0</v>
      </c>
      <c r="AB20" s="18"/>
      <c r="AC20" s="216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414"/>
      <c r="AO20" s="39">
        <v>0</v>
      </c>
      <c r="AP20" s="18">
        <v>0</v>
      </c>
      <c r="AQ20" s="18"/>
      <c r="AR20" s="18"/>
      <c r="AU20" s="11">
        <v>42538</v>
      </c>
      <c r="AV20" s="12"/>
      <c r="AW20" s="19"/>
      <c r="AX20" s="20">
        <v>42538</v>
      </c>
      <c r="AY20" s="13"/>
      <c r="AZ20" s="14"/>
      <c r="BA20" s="22">
        <v>42538</v>
      </c>
      <c r="BB20" s="38"/>
      <c r="BC20" s="414"/>
      <c r="BD20" s="39">
        <v>0</v>
      </c>
      <c r="BE20" s="18">
        <v>0</v>
      </c>
      <c r="BG20" s="272"/>
    </row>
    <row r="21" spans="1:59" x14ac:dyDescent="0.25">
      <c r="B21" s="11">
        <v>42539</v>
      </c>
      <c r="C21" s="12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415"/>
      <c r="K21" s="24">
        <v>0</v>
      </c>
      <c r="L21" s="18">
        <v>0</v>
      </c>
      <c r="M21" s="18"/>
      <c r="Q21" s="11">
        <v>42539</v>
      </c>
      <c r="R21" s="12">
        <v>82702</v>
      </c>
      <c r="S21" s="40" t="s">
        <v>332</v>
      </c>
      <c r="T21" s="20">
        <v>42539</v>
      </c>
      <c r="U21" s="13">
        <v>82702</v>
      </c>
      <c r="V21" s="14"/>
      <c r="W21" s="22">
        <v>42539</v>
      </c>
      <c r="X21" s="38">
        <v>0</v>
      </c>
      <c r="Y21" s="415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415"/>
      <c r="AO21" s="24">
        <v>0</v>
      </c>
      <c r="AP21" s="18">
        <v>0</v>
      </c>
      <c r="AQ21" s="18"/>
      <c r="AR21" s="216"/>
      <c r="AU21" s="11">
        <v>42539</v>
      </c>
      <c r="AV21" s="12"/>
      <c r="AW21" s="40"/>
      <c r="AX21" s="20">
        <v>42539</v>
      </c>
      <c r="AY21" s="13"/>
      <c r="AZ21" s="14"/>
      <c r="BA21" s="22">
        <v>42539</v>
      </c>
      <c r="BB21" s="38"/>
      <c r="BC21" s="415"/>
      <c r="BD21" s="24">
        <v>0</v>
      </c>
      <c r="BE21" s="18">
        <v>0</v>
      </c>
    </row>
    <row r="22" spans="1:59" x14ac:dyDescent="0.25">
      <c r="B22" s="11">
        <v>42540</v>
      </c>
      <c r="C22" s="12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Q22" s="11">
        <v>42540</v>
      </c>
      <c r="R22" s="12">
        <v>85855</v>
      </c>
      <c r="S22" s="40" t="s">
        <v>333</v>
      </c>
      <c r="T22" s="20">
        <v>42540</v>
      </c>
      <c r="U22" s="13">
        <v>85921</v>
      </c>
      <c r="V22" s="21"/>
      <c r="W22" s="22">
        <v>42540</v>
      </c>
      <c r="X22" s="15">
        <v>66</v>
      </c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  <c r="AQ22" s="18"/>
      <c r="AR22" s="216"/>
      <c r="AU22" s="11">
        <v>42540</v>
      </c>
      <c r="AV22" s="12"/>
      <c r="AW22" s="40"/>
      <c r="AX22" s="20">
        <v>42540</v>
      </c>
      <c r="AY22" s="13"/>
      <c r="AZ22" s="21"/>
      <c r="BA22" s="22">
        <v>42540</v>
      </c>
      <c r="BB22" s="15"/>
      <c r="BC22" s="23"/>
      <c r="BD22" s="24">
        <v>0</v>
      </c>
      <c r="BE22" s="18">
        <v>0</v>
      </c>
    </row>
    <row r="23" spans="1:59" x14ac:dyDescent="0.25">
      <c r="A23" s="28"/>
      <c r="B23" s="11">
        <v>42541</v>
      </c>
      <c r="C23" s="12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P23" s="28"/>
      <c r="Q23" s="11">
        <v>42541</v>
      </c>
      <c r="R23" s="12">
        <v>75510.5</v>
      </c>
      <c r="S23" s="40" t="s">
        <v>338</v>
      </c>
      <c r="T23" s="20">
        <v>42541</v>
      </c>
      <c r="U23" s="13">
        <v>75510.5</v>
      </c>
      <c r="V23" s="14"/>
      <c r="W23" s="22">
        <v>42541</v>
      </c>
      <c r="X23" s="15">
        <v>0</v>
      </c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  <c r="AQ23" s="18"/>
      <c r="AR23" s="216"/>
      <c r="AT23" s="28"/>
      <c r="AU23" s="11">
        <v>42541</v>
      </c>
      <c r="AV23" s="12"/>
      <c r="AW23" s="40"/>
      <c r="AX23" s="20">
        <v>42541</v>
      </c>
      <c r="AY23" s="13"/>
      <c r="AZ23" s="14"/>
      <c r="BA23" s="22">
        <v>42541</v>
      </c>
      <c r="BB23" s="15"/>
      <c r="BC23" s="32"/>
      <c r="BD23" s="13">
        <v>0</v>
      </c>
      <c r="BE23" s="18">
        <v>0</v>
      </c>
    </row>
    <row r="24" spans="1:59" x14ac:dyDescent="0.25">
      <c r="A24" s="28"/>
      <c r="B24" s="11">
        <v>42542</v>
      </c>
      <c r="C24" s="12">
        <v>107413.5</v>
      </c>
      <c r="D24" s="40" t="s">
        <v>339</v>
      </c>
      <c r="E24" s="20">
        <v>42542</v>
      </c>
      <c r="F24" s="13">
        <v>107413.6</v>
      </c>
      <c r="G24" s="14"/>
      <c r="H24" s="22">
        <v>42542</v>
      </c>
      <c r="I24" s="15">
        <v>0</v>
      </c>
      <c r="J24" s="34"/>
      <c r="K24" s="24"/>
      <c r="L24" s="18">
        <v>0</v>
      </c>
      <c r="M24" s="18"/>
      <c r="P24" s="28"/>
      <c r="Q24" s="11">
        <v>42542</v>
      </c>
      <c r="R24" s="12">
        <v>107413.5</v>
      </c>
      <c r="S24" s="40" t="s">
        <v>339</v>
      </c>
      <c r="T24" s="20">
        <v>42542</v>
      </c>
      <c r="U24" s="230">
        <v>107413.6</v>
      </c>
      <c r="V24" s="14"/>
      <c r="W24" s="22">
        <v>42542</v>
      </c>
      <c r="X24" s="231">
        <v>0</v>
      </c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/>
      <c r="AO24" s="24"/>
      <c r="AP24" s="18">
        <v>0</v>
      </c>
      <c r="AQ24" s="18"/>
      <c r="AR24" s="216"/>
      <c r="AT24" s="28"/>
      <c r="AU24" s="11">
        <v>42542</v>
      </c>
      <c r="AV24" s="12"/>
      <c r="AW24" s="40"/>
      <c r="AX24" s="20">
        <v>42542</v>
      </c>
      <c r="AY24" s="13"/>
      <c r="AZ24" s="14"/>
      <c r="BA24" s="22">
        <v>42542</v>
      </c>
      <c r="BB24" s="15"/>
      <c r="BC24" s="34" t="s">
        <v>282</v>
      </c>
      <c r="BD24" s="24"/>
      <c r="BE24" s="18">
        <v>0</v>
      </c>
      <c r="BF24" s="33"/>
    </row>
    <row r="25" spans="1:59" x14ac:dyDescent="0.25">
      <c r="B25" s="11">
        <v>42543</v>
      </c>
      <c r="C25" s="12">
        <v>42568</v>
      </c>
      <c r="D25" s="19" t="s">
        <v>365</v>
      </c>
      <c r="E25" s="20">
        <v>42543</v>
      </c>
      <c r="F25" s="13">
        <v>42648</v>
      </c>
      <c r="G25" s="14"/>
      <c r="H25" s="22">
        <v>42543</v>
      </c>
      <c r="I25" s="15">
        <v>80</v>
      </c>
      <c r="J25" s="23"/>
      <c r="K25" s="24"/>
      <c r="L25" s="18">
        <v>0</v>
      </c>
      <c r="M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18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/>
      <c r="AO25" s="24"/>
      <c r="AP25" s="18">
        <v>0</v>
      </c>
      <c r="AQ25" s="18"/>
      <c r="AR25" s="216"/>
      <c r="AU25" s="11">
        <v>42543</v>
      </c>
      <c r="AV25" s="12"/>
      <c r="AW25" s="19"/>
      <c r="AX25" s="20">
        <v>42543</v>
      </c>
      <c r="AY25" s="13"/>
      <c r="AZ25" s="14"/>
      <c r="BA25" s="22">
        <v>42543</v>
      </c>
      <c r="BB25" s="15"/>
      <c r="BC25" s="23" t="s">
        <v>173</v>
      </c>
      <c r="BD25" s="24"/>
      <c r="BE25" s="18">
        <v>0</v>
      </c>
      <c r="BF25" s="33"/>
    </row>
    <row r="26" spans="1:59" x14ac:dyDescent="0.25">
      <c r="B26" s="11">
        <v>42544</v>
      </c>
      <c r="C26" s="12">
        <v>30226</v>
      </c>
      <c r="D26" s="19" t="s">
        <v>366</v>
      </c>
      <c r="E26" s="20">
        <v>42544</v>
      </c>
      <c r="F26" s="13">
        <v>30226</v>
      </c>
      <c r="G26" s="14"/>
      <c r="H26" s="22">
        <v>42544</v>
      </c>
      <c r="I26" s="15">
        <v>0</v>
      </c>
      <c r="J26" s="23"/>
      <c r="K26" s="24"/>
      <c r="L26" s="18">
        <v>0</v>
      </c>
      <c r="M26" s="18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216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  <c r="AQ26" s="18"/>
      <c r="AR26" s="18"/>
      <c r="AU26" s="11">
        <v>42544</v>
      </c>
      <c r="AV26" s="12"/>
      <c r="AW26" s="19"/>
      <c r="AX26" s="20">
        <v>42544</v>
      </c>
      <c r="AY26" s="13"/>
      <c r="AZ26" s="14"/>
      <c r="BA26" s="22">
        <v>42544</v>
      </c>
      <c r="BB26" s="15"/>
      <c r="BC26" s="23"/>
      <c r="BD26" s="24"/>
      <c r="BE26" s="18">
        <v>0</v>
      </c>
    </row>
    <row r="27" spans="1:59" x14ac:dyDescent="0.25">
      <c r="B27" s="11">
        <v>42545</v>
      </c>
      <c r="C27" s="12">
        <v>43926.46</v>
      </c>
      <c r="D27" s="19" t="s">
        <v>367</v>
      </c>
      <c r="E27" s="20">
        <v>42545</v>
      </c>
      <c r="F27" s="13">
        <v>43926.5</v>
      </c>
      <c r="G27" s="14"/>
      <c r="H27" s="22">
        <v>42545</v>
      </c>
      <c r="I27" s="15">
        <v>0</v>
      </c>
      <c r="J27" s="23"/>
      <c r="K27" s="24"/>
      <c r="L27" s="18">
        <v>0</v>
      </c>
      <c r="M27" s="18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  <c r="AQ27" s="18"/>
      <c r="AR27" s="216"/>
      <c r="AU27" s="11">
        <v>42545</v>
      </c>
      <c r="AV27" s="12"/>
      <c r="AW27" s="19"/>
      <c r="AX27" s="20">
        <v>42545</v>
      </c>
      <c r="AY27" s="13"/>
      <c r="AZ27" s="14"/>
      <c r="BA27" s="22">
        <v>42545</v>
      </c>
      <c r="BB27" s="15"/>
      <c r="BC27" s="23"/>
      <c r="BD27" s="24"/>
      <c r="BE27" s="18">
        <v>0</v>
      </c>
    </row>
    <row r="28" spans="1:59" x14ac:dyDescent="0.25">
      <c r="B28" s="11">
        <v>42546</v>
      </c>
      <c r="C28" s="12">
        <v>78604</v>
      </c>
      <c r="D28" s="19" t="s">
        <v>368</v>
      </c>
      <c r="E28" s="20">
        <v>42546</v>
      </c>
      <c r="F28" s="13">
        <v>78604</v>
      </c>
      <c r="G28" s="14"/>
      <c r="H28" s="22">
        <v>42546</v>
      </c>
      <c r="I28" s="15">
        <v>0</v>
      </c>
      <c r="J28" s="23"/>
      <c r="K28" s="24"/>
      <c r="L28" s="18">
        <v>0</v>
      </c>
      <c r="M28" s="18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  <c r="AQ28" s="18"/>
      <c r="AR28" s="216"/>
      <c r="AU28" s="11">
        <v>42546</v>
      </c>
      <c r="AV28" s="12"/>
      <c r="AW28" s="19"/>
      <c r="AX28" s="20">
        <v>42546</v>
      </c>
      <c r="AY28" s="13"/>
      <c r="AZ28" s="14"/>
      <c r="BA28" s="22">
        <v>42546</v>
      </c>
      <c r="BB28" s="15"/>
      <c r="BC28" s="23"/>
      <c r="BD28" s="24"/>
      <c r="BE28" s="18">
        <v>0</v>
      </c>
    </row>
    <row r="29" spans="1:59" x14ac:dyDescent="0.25">
      <c r="B29" s="11">
        <v>42547</v>
      </c>
      <c r="C29" s="12">
        <v>102188.5</v>
      </c>
      <c r="D29" s="19" t="s">
        <v>369</v>
      </c>
      <c r="E29" s="20">
        <v>42547</v>
      </c>
      <c r="F29" s="13">
        <v>102188.5</v>
      </c>
      <c r="G29" s="14"/>
      <c r="H29" s="22">
        <v>42547</v>
      </c>
      <c r="I29" s="15">
        <v>0</v>
      </c>
      <c r="J29" s="23"/>
      <c r="K29" s="24"/>
      <c r="L29" s="18">
        <v>0</v>
      </c>
      <c r="M29" s="18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  <c r="AQ29" s="18"/>
      <c r="AR29" s="216"/>
      <c r="AU29" s="11">
        <v>42547</v>
      </c>
      <c r="AV29" s="12"/>
      <c r="AW29" s="19"/>
      <c r="AX29" s="20">
        <v>42547</v>
      </c>
      <c r="AY29" s="13"/>
      <c r="AZ29" s="14"/>
      <c r="BA29" s="22">
        <v>42547</v>
      </c>
      <c r="BB29" s="15"/>
      <c r="BC29" s="23"/>
      <c r="BD29" s="24"/>
      <c r="BE29" s="18"/>
    </row>
    <row r="30" spans="1:59" x14ac:dyDescent="0.25">
      <c r="B30" s="11">
        <v>42548</v>
      </c>
      <c r="C30" s="12">
        <v>136578.5</v>
      </c>
      <c r="D30" s="19" t="s">
        <v>370</v>
      </c>
      <c r="E30" s="20">
        <v>42548</v>
      </c>
      <c r="F30" s="13">
        <v>136578.5</v>
      </c>
      <c r="G30" s="14"/>
      <c r="H30" s="22">
        <v>42548</v>
      </c>
      <c r="I30" s="15">
        <v>0</v>
      </c>
      <c r="J30" s="23"/>
      <c r="K30" s="24"/>
      <c r="L30" s="18">
        <v>0</v>
      </c>
      <c r="M30" s="18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  <c r="AQ30" s="18"/>
      <c r="AR30" s="216"/>
      <c r="AU30" s="11">
        <v>42548</v>
      </c>
      <c r="AV30" s="12"/>
      <c r="AW30" s="19"/>
      <c r="AX30" s="20">
        <v>42548</v>
      </c>
      <c r="AY30" s="13"/>
      <c r="AZ30" s="14"/>
      <c r="BA30" s="22">
        <v>42548</v>
      </c>
      <c r="BB30" s="15"/>
      <c r="BC30" s="23"/>
      <c r="BD30" s="24"/>
      <c r="BE30" s="18"/>
    </row>
    <row r="31" spans="1:59" x14ac:dyDescent="0.25">
      <c r="B31" s="11">
        <v>42549</v>
      </c>
      <c r="C31" s="12">
        <v>27867</v>
      </c>
      <c r="D31" s="19" t="s">
        <v>371</v>
      </c>
      <c r="E31" s="20">
        <v>42549</v>
      </c>
      <c r="F31" s="13">
        <v>27909.5</v>
      </c>
      <c r="G31" s="14"/>
      <c r="H31" s="22">
        <v>42549</v>
      </c>
      <c r="I31" s="15">
        <v>0</v>
      </c>
      <c r="J31" s="23"/>
      <c r="K31" s="24"/>
      <c r="L31" s="18">
        <v>0</v>
      </c>
      <c r="M31" s="18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  <c r="AQ31" s="18"/>
      <c r="AR31" s="216"/>
      <c r="AU31" s="11">
        <v>42549</v>
      </c>
      <c r="AV31" s="12"/>
      <c r="AW31" s="19"/>
      <c r="AX31" s="20">
        <v>42549</v>
      </c>
      <c r="AY31" s="13"/>
      <c r="AZ31" s="14"/>
      <c r="BA31" s="22">
        <v>42549</v>
      </c>
      <c r="BB31" s="15"/>
      <c r="BC31" s="23"/>
      <c r="BD31" s="24"/>
      <c r="BE31" s="18"/>
    </row>
    <row r="32" spans="1:59" x14ac:dyDescent="0.25">
      <c r="B32" s="11">
        <v>42550</v>
      </c>
      <c r="C32" s="12">
        <v>69755</v>
      </c>
      <c r="D32" s="42" t="s">
        <v>372</v>
      </c>
      <c r="E32" s="20">
        <v>42550</v>
      </c>
      <c r="F32" s="13">
        <v>69854.63</v>
      </c>
      <c r="G32" s="14"/>
      <c r="H32" s="22">
        <v>42550</v>
      </c>
      <c r="I32" s="15">
        <v>100</v>
      </c>
      <c r="J32" s="23"/>
      <c r="K32" s="24"/>
      <c r="L32" s="18">
        <v>0</v>
      </c>
      <c r="M32" s="18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216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  <c r="AQ32" s="18"/>
      <c r="AR32" s="18"/>
      <c r="AU32" s="11">
        <v>42550</v>
      </c>
      <c r="AV32" s="12"/>
      <c r="AW32" s="42"/>
      <c r="AX32" s="20">
        <v>42550</v>
      </c>
      <c r="AY32" s="13"/>
      <c r="AZ32" s="14"/>
      <c r="BA32" s="22">
        <v>42550</v>
      </c>
      <c r="BB32" s="15"/>
      <c r="BC32" s="23"/>
      <c r="BD32" s="24"/>
      <c r="BE32" s="18"/>
    </row>
    <row r="33" spans="1:58" x14ac:dyDescent="0.25">
      <c r="B33" s="11">
        <v>42551</v>
      </c>
      <c r="C33" s="12">
        <v>35474.5</v>
      </c>
      <c r="D33" s="19" t="s">
        <v>372</v>
      </c>
      <c r="E33" s="20">
        <v>42551</v>
      </c>
      <c r="F33" s="13">
        <v>35474.5</v>
      </c>
      <c r="G33" s="14"/>
      <c r="H33" s="22">
        <v>42551</v>
      </c>
      <c r="I33" s="15">
        <v>0</v>
      </c>
      <c r="J33" s="23"/>
      <c r="K33" s="24"/>
      <c r="L33" s="18">
        <v>0</v>
      </c>
      <c r="M33" s="18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216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  <c r="AQ33" s="18"/>
      <c r="AR33" s="18"/>
      <c r="AU33" s="11">
        <v>42551</v>
      </c>
      <c r="AV33" s="12"/>
      <c r="AW33" s="19"/>
      <c r="AX33" s="20">
        <v>42551</v>
      </c>
      <c r="AY33" s="13"/>
      <c r="AZ33" s="14"/>
      <c r="BA33" s="22">
        <v>42551</v>
      </c>
      <c r="BB33" s="15"/>
      <c r="BC33" s="23"/>
      <c r="BD33" s="24"/>
      <c r="BE33" s="18"/>
      <c r="BF33"/>
    </row>
    <row r="34" spans="1:58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216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  <c r="AQ34" s="18"/>
      <c r="AR34" s="18"/>
      <c r="AT34" s="28"/>
      <c r="AU34" s="11"/>
      <c r="AV34" s="12"/>
      <c r="AW34" s="19"/>
      <c r="AX34" s="20"/>
      <c r="AY34" s="13"/>
      <c r="AZ34" s="14"/>
      <c r="BA34" s="22"/>
      <c r="BB34" s="15"/>
      <c r="BC34" s="23"/>
      <c r="BD34" s="24"/>
      <c r="BE34" s="18"/>
      <c r="BF34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50"/>
      <c r="AT35" s="43"/>
      <c r="AU35" s="44"/>
      <c r="AV35" s="45">
        <v>0</v>
      </c>
      <c r="AW35" s="46"/>
      <c r="AX35" s="47"/>
      <c r="AY35" s="24">
        <v>0</v>
      </c>
      <c r="BA35" s="48"/>
      <c r="BB35" s="49"/>
      <c r="BC35" s="23"/>
      <c r="BD35" s="24"/>
      <c r="BE35" s="50">
        <v>0</v>
      </c>
      <c r="BF35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50"/>
      <c r="AT36" s="51"/>
      <c r="AU36" s="52" t="s">
        <v>0</v>
      </c>
      <c r="AV36" s="53">
        <v>0</v>
      </c>
      <c r="AW36" s="46"/>
      <c r="AX36" s="54"/>
      <c r="AY36" s="55">
        <v>0</v>
      </c>
      <c r="BA36" s="56"/>
      <c r="BB36" s="57">
        <v>0</v>
      </c>
      <c r="BC36" s="58"/>
      <c r="BD36" s="55"/>
      <c r="BE36" s="59">
        <v>0</v>
      </c>
      <c r="BF36"/>
    </row>
    <row r="37" spans="1:58" x14ac:dyDescent="0.25">
      <c r="B37" s="60" t="s">
        <v>11</v>
      </c>
      <c r="C37" s="61">
        <f>SUM(C4:C36)</f>
        <v>2905808.04</v>
      </c>
      <c r="D37" s="46"/>
      <c r="E37" s="62" t="s">
        <v>11</v>
      </c>
      <c r="F37" s="63">
        <f>SUM(F4:F36)</f>
        <v>2404160.5299999998</v>
      </c>
      <c r="H37" s="1" t="s">
        <v>11</v>
      </c>
      <c r="I37" s="64">
        <f>SUM(I4:I36)</f>
        <v>412</v>
      </c>
      <c r="J37" s="64"/>
      <c r="K37" s="64">
        <f t="shared" ref="K37" si="0">SUM(K4:K36)</f>
        <v>55788.850000000006</v>
      </c>
      <c r="L37" s="2">
        <f>SUM(L4:L36)</f>
        <v>8526</v>
      </c>
      <c r="M37" s="2"/>
      <c r="Q37" s="60" t="s">
        <v>11</v>
      </c>
      <c r="R37" s="61">
        <f>SUM(R4:R36)</f>
        <v>2338620.08</v>
      </c>
      <c r="S37" s="46"/>
      <c r="T37" s="62" t="s">
        <v>11</v>
      </c>
      <c r="U37" s="63">
        <f>SUM(U4:U36)</f>
        <v>1836750.4</v>
      </c>
      <c r="W37" s="1" t="s">
        <v>11</v>
      </c>
      <c r="X37" s="64">
        <f>SUM(X4:X36)</f>
        <v>232</v>
      </c>
      <c r="Y37" s="64"/>
      <c r="Z37" s="64">
        <f t="shared" ref="Z37" si="1">SUM(Z4:Z36)</f>
        <v>41879.810000000005</v>
      </c>
      <c r="AA37" s="2">
        <f>SUM(AA4:AA36)</f>
        <v>8526</v>
      </c>
      <c r="AB37" s="2"/>
      <c r="AC37" s="272"/>
      <c r="AF37" s="60" t="s">
        <v>11</v>
      </c>
      <c r="AG37" s="61">
        <f>SUM(AG4:AG36)</f>
        <v>1733384.3</v>
      </c>
      <c r="AH37" s="46"/>
      <c r="AI37" s="62" t="s">
        <v>11</v>
      </c>
      <c r="AJ37" s="63">
        <f>SUM(AJ4:AJ36)</f>
        <v>1230637.7999999998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28168.550000000003</v>
      </c>
      <c r="AP37" s="2">
        <f>SUM(AP4:AP36)</f>
        <v>0</v>
      </c>
      <c r="AQ37" s="2"/>
      <c r="AR37" s="2"/>
      <c r="AU37" s="60" t="s">
        <v>11</v>
      </c>
      <c r="AV37" s="61">
        <f>SUM(AV4:AV36)</f>
        <v>1041897.1</v>
      </c>
      <c r="AW37" s="46"/>
      <c r="AX37" s="62" t="s">
        <v>11</v>
      </c>
      <c r="AY37" s="63">
        <f>SUM(AY4:AY36)</f>
        <v>530635.69999999995</v>
      </c>
      <c r="BA37" s="1" t="s">
        <v>11</v>
      </c>
      <c r="BB37" s="64">
        <f>SUM(BB4:BB36)</f>
        <v>166</v>
      </c>
      <c r="BC37" s="64"/>
      <c r="BD37" s="64">
        <f t="shared" ref="BD37" si="3">SUM(BD4:BD36)</f>
        <v>13008.29</v>
      </c>
      <c r="BE37" s="2">
        <f>SUM(BE4:BE36)</f>
        <v>0</v>
      </c>
      <c r="BF37"/>
    </row>
    <row r="38" spans="1:58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M38" s="2"/>
      <c r="P38" s="416"/>
      <c r="Q38" s="416"/>
      <c r="R38" s="50"/>
      <c r="T38" s="1"/>
      <c r="U38" s="1"/>
      <c r="W38" s="1"/>
      <c r="X38" s="64"/>
      <c r="Y38" s="1"/>
      <c r="Z38" s="64"/>
      <c r="AA38" s="2"/>
      <c r="AB38" s="2"/>
      <c r="AE38" s="416"/>
      <c r="AF38" s="416"/>
      <c r="AG38" s="50"/>
      <c r="AI38" s="1"/>
      <c r="AJ38" s="1"/>
      <c r="AL38" s="1"/>
      <c r="AM38" s="64"/>
      <c r="AN38" s="1"/>
      <c r="AO38" s="64"/>
      <c r="AP38" s="2"/>
      <c r="AQ38" s="2"/>
      <c r="AR38" s="2"/>
      <c r="AT38" s="416"/>
      <c r="AU38" s="416"/>
      <c r="AV38" s="50"/>
      <c r="AX38" s="1"/>
      <c r="AY38" s="1"/>
      <c r="BA38" s="1"/>
      <c r="BB38" s="64"/>
      <c r="BC38" s="1"/>
      <c r="BD38" s="64"/>
      <c r="BE38" s="2"/>
      <c r="BF38"/>
    </row>
    <row r="39" spans="1:58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56200.850000000006</v>
      </c>
      <c r="K39" s="403"/>
      <c r="L39" s="68"/>
      <c r="M39" s="68"/>
      <c r="P39" s="65"/>
      <c r="Q39" s="66"/>
      <c r="R39" s="50"/>
      <c r="S39" s="67"/>
      <c r="T39" s="66"/>
      <c r="U39" s="66"/>
      <c r="W39" s="400" t="s">
        <v>12</v>
      </c>
      <c r="X39" s="401"/>
      <c r="Y39" s="402">
        <f>X37+Z37</f>
        <v>42111.810000000005</v>
      </c>
      <c r="Z39" s="403"/>
      <c r="AA39" s="68"/>
      <c r="AB39" s="68"/>
      <c r="AE39" s="65"/>
      <c r="AF39" s="66"/>
      <c r="AG39" s="50"/>
      <c r="AH39" s="67"/>
      <c r="AI39" s="66"/>
      <c r="AJ39" s="66"/>
      <c r="AL39" s="400" t="s">
        <v>12</v>
      </c>
      <c r="AM39" s="401"/>
      <c r="AN39" s="402">
        <f>AM37+AO37</f>
        <v>28334.550000000003</v>
      </c>
      <c r="AO39" s="403"/>
      <c r="AP39" s="68"/>
      <c r="AQ39" s="68"/>
      <c r="AR39" s="68"/>
      <c r="AT39" s="65"/>
      <c r="AU39" s="66"/>
      <c r="AV39" s="50"/>
      <c r="AW39" s="67"/>
      <c r="AX39" s="66"/>
      <c r="AY39" s="66"/>
      <c r="BA39" s="400" t="s">
        <v>12</v>
      </c>
      <c r="BB39" s="401"/>
      <c r="BC39" s="402">
        <f>BB37+BD37</f>
        <v>13174.29</v>
      </c>
      <c r="BD39" s="403"/>
      <c r="BE39" s="68"/>
      <c r="BF39"/>
    </row>
    <row r="40" spans="1:58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2347959.6799999997</v>
      </c>
      <c r="H40" s="1"/>
      <c r="I40" s="70"/>
      <c r="J40" s="1"/>
      <c r="K40" s="1"/>
      <c r="L40" s="2"/>
      <c r="M40" s="2"/>
      <c r="P40" s="404"/>
      <c r="Q40" s="404"/>
      <c r="R40" s="50"/>
      <c r="S40" s="405" t="s">
        <v>13</v>
      </c>
      <c r="T40" s="405"/>
      <c r="U40" s="69">
        <f>U37-Y39</f>
        <v>1794638.5899999999</v>
      </c>
      <c r="W40" s="1"/>
      <c r="X40" s="70"/>
      <c r="Y40" s="1"/>
      <c r="Z40" s="1"/>
      <c r="AA40" s="2"/>
      <c r="AB40" s="2"/>
      <c r="AE40" s="404"/>
      <c r="AF40" s="404"/>
      <c r="AG40" s="50"/>
      <c r="AH40" s="405" t="s">
        <v>13</v>
      </c>
      <c r="AI40" s="405"/>
      <c r="AJ40" s="69">
        <f>AJ37-AN39</f>
        <v>1202303.2499999998</v>
      </c>
      <c r="AL40" s="1"/>
      <c r="AM40" s="70"/>
      <c r="AN40" s="1"/>
      <c r="AO40" s="1"/>
      <c r="AP40" s="2"/>
      <c r="AQ40" s="2"/>
      <c r="AR40" s="2"/>
      <c r="AT40" s="404"/>
      <c r="AU40" s="404"/>
      <c r="AV40" s="50"/>
      <c r="AW40" s="405" t="s">
        <v>13</v>
      </c>
      <c r="AX40" s="405"/>
      <c r="AY40" s="69">
        <f>AY37-BC39</f>
        <v>517461.41</v>
      </c>
      <c r="BA40" s="1"/>
      <c r="BB40" s="70"/>
      <c r="BC40" s="1"/>
      <c r="BD40" s="1"/>
      <c r="BE40" s="2"/>
      <c r="BF40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  <c r="AR41" s="2"/>
      <c r="AT41" s="67"/>
      <c r="AU41" s="66"/>
      <c r="AV41" s="50"/>
      <c r="AW41" s="67"/>
      <c r="AX41" s="66"/>
      <c r="AY41" s="69">
        <v>0</v>
      </c>
      <c r="BA41" s="1"/>
      <c r="BB41" s="1"/>
      <c r="BC41" s="1"/>
      <c r="BD41" s="1"/>
      <c r="BE41" s="2"/>
      <c r="BF41"/>
    </row>
    <row r="42" spans="1:58" ht="15.75" thickBot="1" x14ac:dyDescent="0.3">
      <c r="B42" s="1"/>
      <c r="C42" s="2"/>
      <c r="E42" s="71" t="s">
        <v>14</v>
      </c>
      <c r="F42" s="50">
        <v>-2256671.02</v>
      </c>
      <c r="H42" s="1"/>
      <c r="I42" s="72" t="s">
        <v>15</v>
      </c>
      <c r="J42" s="275"/>
      <c r="K42" s="276">
        <v>276782.38</v>
      </c>
      <c r="L42" s="2"/>
      <c r="M42" s="2"/>
      <c r="Q42" s="1"/>
      <c r="R42" s="2"/>
      <c r="T42" s="71" t="s">
        <v>14</v>
      </c>
      <c r="U42" s="50">
        <v>-1462896.66</v>
      </c>
      <c r="W42" s="1"/>
      <c r="X42" s="72" t="s">
        <v>15</v>
      </c>
      <c r="Y42" s="275"/>
      <c r="Z42" s="276">
        <v>119366.96</v>
      </c>
      <c r="AA42" s="2"/>
      <c r="AB42" s="2"/>
      <c r="AF42" s="1"/>
      <c r="AG42" s="2"/>
      <c r="AI42" s="71" t="s">
        <v>14</v>
      </c>
      <c r="AJ42" s="50">
        <v>-950799.8</v>
      </c>
      <c r="AL42" s="1"/>
      <c r="AM42" s="72" t="s">
        <v>15</v>
      </c>
      <c r="AN42" s="275"/>
      <c r="AO42" s="276">
        <v>111697.58</v>
      </c>
      <c r="AP42" s="2"/>
      <c r="AQ42" s="2"/>
      <c r="AR42" s="2"/>
      <c r="AU42" s="1"/>
      <c r="AV42" s="2"/>
      <c r="AX42" s="71" t="s">
        <v>14</v>
      </c>
      <c r="AY42" s="50">
        <v>-412750.8</v>
      </c>
      <c r="BA42" s="1"/>
      <c r="BB42" s="72" t="s">
        <v>15</v>
      </c>
      <c r="BC42" s="275"/>
      <c r="BD42" s="276">
        <v>265442.45</v>
      </c>
      <c r="BE42" s="2"/>
      <c r="BF42"/>
    </row>
    <row r="43" spans="1:58" ht="15.75" thickTop="1" x14ac:dyDescent="0.25">
      <c r="B43" s="1"/>
      <c r="C43" s="2"/>
      <c r="E43" s="1" t="s">
        <v>16</v>
      </c>
      <c r="F43" s="64">
        <f>SUM(F40:F42)</f>
        <v>91288.659999999683</v>
      </c>
      <c r="H43" s="1"/>
      <c r="I43" s="1"/>
      <c r="J43" s="1"/>
      <c r="K43" s="64">
        <f>F45+K42</f>
        <v>369375.53999999969</v>
      </c>
      <c r="L43" s="2"/>
      <c r="M43" s="2"/>
      <c r="Q43" s="1"/>
      <c r="R43" s="2"/>
      <c r="T43" s="1" t="s">
        <v>16</v>
      </c>
      <c r="U43" s="64">
        <f>SUM(U40:U42)</f>
        <v>331741.92999999993</v>
      </c>
      <c r="W43" s="1"/>
      <c r="X43" s="1"/>
      <c r="Y43" s="1"/>
      <c r="Z43" s="64">
        <f>U45+Z42</f>
        <v>463388.38999999996</v>
      </c>
      <c r="AA43" s="2"/>
      <c r="AB43" s="2"/>
      <c r="AF43" s="1"/>
      <c r="AG43" s="2"/>
      <c r="AI43" s="1" t="s">
        <v>16</v>
      </c>
      <c r="AJ43" s="64">
        <f>SUM(AJ40:AJ42)</f>
        <v>251503.44999999972</v>
      </c>
      <c r="AL43" s="1"/>
      <c r="AM43" s="1"/>
      <c r="AN43" s="1"/>
      <c r="AO43" s="64">
        <f>AJ45+AO42</f>
        <v>375379.02999999974</v>
      </c>
      <c r="AP43" s="2"/>
      <c r="AQ43" s="2"/>
      <c r="AR43" s="2"/>
      <c r="AU43" s="1"/>
      <c r="AV43" s="2"/>
      <c r="AX43" s="1" t="s">
        <v>16</v>
      </c>
      <c r="AY43" s="64">
        <f>SUM(AY40:AY42)</f>
        <v>104710.60999999999</v>
      </c>
      <c r="BA43" s="1"/>
      <c r="BB43" s="1"/>
      <c r="BC43" s="1"/>
      <c r="BD43" s="64">
        <f>AY45+BD42</f>
        <v>373607.06</v>
      </c>
      <c r="BE43" s="2"/>
      <c r="BF43"/>
    </row>
    <row r="44" spans="1:58" ht="15.75" thickBot="1" x14ac:dyDescent="0.3">
      <c r="B44" s="1"/>
      <c r="C44" s="2"/>
      <c r="D44" s="62" t="s">
        <v>17</v>
      </c>
      <c r="E44" s="62"/>
      <c r="F44" s="75">
        <v>1304.5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12279.5</v>
      </c>
      <c r="W44" s="1"/>
      <c r="X44" s="1" t="s">
        <v>1</v>
      </c>
      <c r="Y44" s="76"/>
      <c r="Z44" s="77">
        <f>-R3</f>
        <v>-389370.9</v>
      </c>
      <c r="AA44" s="2"/>
      <c r="AB44" s="2"/>
      <c r="AF44" s="1"/>
      <c r="AG44" s="2"/>
      <c r="AH44" s="62" t="s">
        <v>17</v>
      </c>
      <c r="AI44" s="62"/>
      <c r="AJ44" s="75">
        <v>12178</v>
      </c>
      <c r="AL44" s="1"/>
      <c r="AM44" s="1" t="s">
        <v>1</v>
      </c>
      <c r="AN44" s="76"/>
      <c r="AO44" s="77">
        <f>-AG3</f>
        <v>-389370.9</v>
      </c>
      <c r="AP44" s="2"/>
      <c r="AQ44" s="2"/>
      <c r="AR44" s="2"/>
      <c r="AU44" s="1"/>
      <c r="AV44" s="2"/>
      <c r="AW44" s="62" t="s">
        <v>17</v>
      </c>
      <c r="AX44" s="62"/>
      <c r="AY44" s="75">
        <v>3454</v>
      </c>
      <c r="BA44" s="1"/>
      <c r="BB44" s="1" t="s">
        <v>1</v>
      </c>
      <c r="BC44" s="76"/>
      <c r="BD44" s="77">
        <f>-AV3</f>
        <v>-389370.9</v>
      </c>
      <c r="BE44" s="2"/>
      <c r="BF44"/>
    </row>
    <row r="45" spans="1:58" ht="20.25" thickTop="1" thickBot="1" x14ac:dyDescent="0.35">
      <c r="B45" s="1"/>
      <c r="C45" s="2"/>
      <c r="E45" s="60" t="s">
        <v>18</v>
      </c>
      <c r="F45" s="78">
        <f>F44+F43</f>
        <v>92593.159999999683</v>
      </c>
      <c r="H45" s="1"/>
      <c r="I45" s="406" t="s">
        <v>175</v>
      </c>
      <c r="J45" s="407"/>
      <c r="K45" s="79">
        <f>K43+K44</f>
        <v>-19995.360000000335</v>
      </c>
      <c r="L45" s="2"/>
      <c r="M45" s="2"/>
      <c r="Q45" s="1"/>
      <c r="R45" s="2"/>
      <c r="T45" s="60" t="s">
        <v>18</v>
      </c>
      <c r="U45" s="78">
        <f>U44+U43</f>
        <v>344021.42999999993</v>
      </c>
      <c r="W45" s="1"/>
      <c r="X45" s="406" t="s">
        <v>175</v>
      </c>
      <c r="Y45" s="407"/>
      <c r="Z45" s="79">
        <f>Z43+Z44</f>
        <v>74017.489999999932</v>
      </c>
      <c r="AA45" s="2"/>
      <c r="AB45" s="2"/>
      <c r="AF45" s="1"/>
      <c r="AG45" s="2"/>
      <c r="AI45" s="60" t="s">
        <v>18</v>
      </c>
      <c r="AJ45" s="78">
        <f>AJ44+AJ43</f>
        <v>263681.44999999972</v>
      </c>
      <c r="AL45" s="1"/>
      <c r="AM45" s="406" t="s">
        <v>175</v>
      </c>
      <c r="AN45" s="407"/>
      <c r="AO45" s="79">
        <f>AO43+AO44</f>
        <v>-13991.870000000286</v>
      </c>
      <c r="AP45" s="2"/>
      <c r="AQ45" s="2"/>
      <c r="AR45" s="2"/>
      <c r="AU45" s="1"/>
      <c r="AV45" s="2"/>
      <c r="AX45" s="60" t="s">
        <v>18</v>
      </c>
      <c r="AY45" s="78">
        <f>AY44+AY43</f>
        <v>108164.60999999999</v>
      </c>
      <c r="BA45" s="1"/>
      <c r="BB45" s="406" t="s">
        <v>175</v>
      </c>
      <c r="BC45" s="407"/>
      <c r="BD45" s="79">
        <f>BD43+BD44</f>
        <v>-15763.840000000026</v>
      </c>
      <c r="BE45" s="2"/>
      <c r="BF45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  <c r="AR46" s="2"/>
      <c r="AU46" s="1"/>
      <c r="AV46" s="2"/>
      <c r="AX46" s="1"/>
      <c r="AY46" s="1"/>
      <c r="BA46" s="1"/>
      <c r="BB46" s="1"/>
      <c r="BC46" s="1"/>
      <c r="BD46" s="1"/>
      <c r="BE46" s="2"/>
      <c r="BF46"/>
    </row>
    <row r="49" spans="58:58" x14ac:dyDescent="0.25">
      <c r="BF49"/>
    </row>
    <row r="50" spans="58:58" x14ac:dyDescent="0.25">
      <c r="BF50"/>
    </row>
    <row r="51" spans="58:58" x14ac:dyDescent="0.25">
      <c r="BF51"/>
    </row>
    <row r="52" spans="58:58" x14ac:dyDescent="0.25">
      <c r="BF52"/>
    </row>
    <row r="53" spans="58:58" x14ac:dyDescent="0.25">
      <c r="BF53"/>
    </row>
    <row r="54" spans="58:58" x14ac:dyDescent="0.25">
      <c r="BF54"/>
    </row>
    <row r="55" spans="58:58" x14ac:dyDescent="0.25">
      <c r="BF55"/>
    </row>
    <row r="56" spans="58:58" x14ac:dyDescent="0.25">
      <c r="BF56"/>
    </row>
    <row r="57" spans="58:58" x14ac:dyDescent="0.25">
      <c r="BF57"/>
    </row>
    <row r="58" spans="58:58" x14ac:dyDescent="0.25">
      <c r="BF58"/>
    </row>
    <row r="59" spans="58:58" x14ac:dyDescent="0.25">
      <c r="BF59"/>
    </row>
    <row r="60" spans="58:58" x14ac:dyDescent="0.25">
      <c r="BF60"/>
    </row>
    <row r="61" spans="58:58" x14ac:dyDescent="0.25">
      <c r="BF61"/>
    </row>
    <row r="62" spans="58:58" x14ac:dyDescent="0.25">
      <c r="BF62"/>
    </row>
    <row r="63" spans="58:58" x14ac:dyDescent="0.25">
      <c r="BF63"/>
    </row>
    <row r="64" spans="58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</sheetData>
  <mergeCells count="40"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39:AM39"/>
    <mergeCell ref="AN39:AO39"/>
    <mergeCell ref="AE40:AF40"/>
    <mergeCell ref="AH40:AI40"/>
    <mergeCell ref="AM45:AN45"/>
    <mergeCell ref="AG1:AN1"/>
    <mergeCell ref="AI3:AJ3"/>
    <mergeCell ref="AM3:AO3"/>
    <mergeCell ref="AN20:AN21"/>
    <mergeCell ref="AE38:AF38"/>
    <mergeCell ref="BC20:BC21"/>
    <mergeCell ref="AV1:BC1"/>
    <mergeCell ref="AX3:AY3"/>
    <mergeCell ref="BB3:BD3"/>
    <mergeCell ref="BB45:BC45"/>
    <mergeCell ref="AT40:AU40"/>
    <mergeCell ref="AW40:AX40"/>
    <mergeCell ref="AT38:AU38"/>
    <mergeCell ref="BA39:BB39"/>
    <mergeCell ref="BC39:BD39"/>
    <mergeCell ref="R1:Y1"/>
    <mergeCell ref="T3:U3"/>
    <mergeCell ref="X3:Z3"/>
    <mergeCell ref="Y20:Y21"/>
    <mergeCell ref="P38:Q38"/>
    <mergeCell ref="W39:X39"/>
    <mergeCell ref="Y39:Z39"/>
    <mergeCell ref="P40:Q40"/>
    <mergeCell ref="S40:T40"/>
    <mergeCell ref="X45:Y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A22" workbookViewId="0">
      <selection activeCell="C32" sqref="C3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417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8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102">
        <v>42566</v>
      </c>
      <c r="F25" s="101">
        <v>256226.63</v>
      </c>
      <c r="G25" s="99">
        <f t="shared" si="0"/>
        <v>0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102" t="s">
        <v>378</v>
      </c>
      <c r="F26" s="315">
        <f>1784.76+16033.72</f>
        <v>17818.48</v>
      </c>
      <c r="G26" s="314">
        <f t="shared" si="0"/>
        <v>0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102">
        <v>42566</v>
      </c>
      <c r="F27" s="101">
        <v>38173.870000000003</v>
      </c>
      <c r="G27" s="99">
        <f t="shared" si="0"/>
        <v>0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102">
        <v>42566</v>
      </c>
      <c r="F28" s="101">
        <v>38229.629999999997</v>
      </c>
      <c r="G28" s="99">
        <f t="shared" si="0"/>
        <v>0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102">
        <v>42566</v>
      </c>
      <c r="F29" s="101">
        <v>38508.43</v>
      </c>
      <c r="G29" s="99">
        <f t="shared" si="0"/>
        <v>0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102">
        <v>42566</v>
      </c>
      <c r="F30" s="101">
        <v>41956.4</v>
      </c>
      <c r="G30" s="99">
        <f t="shared" si="0"/>
        <v>0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102">
        <v>42566</v>
      </c>
      <c r="F31" s="101">
        <v>647.70000000000005</v>
      </c>
      <c r="G31" s="99">
        <f t="shared" si="0"/>
        <v>0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102"/>
      <c r="F32" s="101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2208794.4000000004</v>
      </c>
      <c r="G40" s="109">
        <f>SUM(G4:G39)</f>
        <v>0</v>
      </c>
    </row>
    <row r="41" spans="1:18" ht="19.5" thickBot="1" x14ac:dyDescent="0.35">
      <c r="L41" s="33"/>
      <c r="M41" s="417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418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 s="159">
        <v>42546</v>
      </c>
      <c r="D50" s="3">
        <v>2568</v>
      </c>
      <c r="E50" t="s">
        <v>49</v>
      </c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 s="159">
        <v>42547</v>
      </c>
      <c r="D51" s="3">
        <v>413</v>
      </c>
      <c r="E51" t="s">
        <v>54</v>
      </c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 s="159">
        <v>42548</v>
      </c>
      <c r="D52" s="3">
        <v>443.12</v>
      </c>
      <c r="E52" t="s">
        <v>54</v>
      </c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 s="159">
        <v>42549</v>
      </c>
      <c r="D53" s="3">
        <v>248</v>
      </c>
      <c r="E53" t="s">
        <v>173</v>
      </c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D54" s="3">
        <f>SUM(D44:D53)</f>
        <v>47876.62</v>
      </c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417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418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F46"/>
  <sheetViews>
    <sheetView workbookViewId="0">
      <selection activeCell="L44" sqref="L44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7" max="17" width="14" customWidth="1"/>
    <col min="20" max="20" width="14.140625" bestFit="1" customWidth="1"/>
    <col min="25" max="25" width="14.140625" bestFit="1" customWidth="1"/>
    <col min="27" max="27" width="12.5703125" bestFit="1" customWidth="1"/>
    <col min="28" max="28" width="14.140625" bestFit="1" customWidth="1"/>
    <col min="32" max="32" width="14" customWidth="1"/>
    <col min="35" max="35" width="14.140625" bestFit="1" customWidth="1"/>
    <col min="40" max="40" width="14.140625" bestFit="1" customWidth="1"/>
    <col min="42" max="42" width="12.5703125" bestFit="1" customWidth="1"/>
    <col min="43" max="43" width="14.140625" bestFit="1" customWidth="1"/>
    <col min="47" max="47" width="14" customWidth="1"/>
    <col min="50" max="50" width="14.140625" bestFit="1" customWidth="1"/>
    <col min="55" max="55" width="14.140625" bestFit="1" customWidth="1"/>
    <col min="57" max="57" width="12.5703125" bestFit="1" customWidth="1"/>
    <col min="58" max="58" width="14.140625" bestFit="1" customWidth="1"/>
  </cols>
  <sheetData>
    <row r="1" spans="1:57" ht="24" thickBot="1" x14ac:dyDescent="0.4">
      <c r="B1" s="1"/>
      <c r="C1" s="408" t="s">
        <v>351</v>
      </c>
      <c r="D1" s="408"/>
      <c r="E1" s="408"/>
      <c r="F1" s="408"/>
      <c r="G1" s="408"/>
      <c r="H1" s="408"/>
      <c r="I1" s="408"/>
      <c r="J1" s="408"/>
      <c r="K1" s="300" t="s">
        <v>293</v>
      </c>
      <c r="L1" s="2"/>
      <c r="M1" s="2"/>
      <c r="P1" s="1"/>
      <c r="Q1" s="408" t="s">
        <v>351</v>
      </c>
      <c r="R1" s="408"/>
      <c r="S1" s="408"/>
      <c r="T1" s="408"/>
      <c r="U1" s="408"/>
      <c r="V1" s="408"/>
      <c r="W1" s="408"/>
      <c r="X1" s="408"/>
      <c r="Y1" s="300" t="s">
        <v>273</v>
      </c>
      <c r="Z1" s="2"/>
      <c r="AA1" s="2"/>
      <c r="AE1" s="1"/>
      <c r="AF1" s="408" t="s">
        <v>351</v>
      </c>
      <c r="AG1" s="408"/>
      <c r="AH1" s="408"/>
      <c r="AI1" s="408"/>
      <c r="AJ1" s="408"/>
      <c r="AK1" s="408"/>
      <c r="AL1" s="408"/>
      <c r="AM1" s="408"/>
      <c r="AN1" s="300" t="s">
        <v>257</v>
      </c>
      <c r="AO1" s="2"/>
      <c r="AP1" s="2"/>
      <c r="AT1" s="1"/>
      <c r="AU1" s="408" t="s">
        <v>351</v>
      </c>
      <c r="AV1" s="408"/>
      <c r="AW1" s="408"/>
      <c r="AX1" s="408"/>
      <c r="AY1" s="408"/>
      <c r="AZ1" s="408"/>
      <c r="BA1" s="408"/>
      <c r="BB1" s="408"/>
      <c r="BC1" s="300" t="s">
        <v>256</v>
      </c>
      <c r="BD1" s="2"/>
      <c r="BE1" s="2"/>
    </row>
    <row r="2" spans="1:57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P2" s="1"/>
      <c r="Q2" s="4" t="s">
        <v>0</v>
      </c>
      <c r="S2" s="5"/>
      <c r="T2" s="5"/>
      <c r="V2" s="1"/>
      <c r="W2" s="1"/>
      <c r="X2" s="1"/>
      <c r="Y2" s="1"/>
      <c r="Z2" s="2"/>
      <c r="AA2" s="2"/>
      <c r="AE2" s="1"/>
      <c r="AF2" s="4" t="s">
        <v>0</v>
      </c>
      <c r="AH2" s="5"/>
      <c r="AI2" s="5"/>
      <c r="AK2" s="1"/>
      <c r="AL2" s="1"/>
      <c r="AM2" s="1"/>
      <c r="AN2" s="1"/>
      <c r="AO2" s="2"/>
      <c r="AP2" s="2"/>
      <c r="AT2" s="1"/>
      <c r="AU2" s="4" t="s">
        <v>0</v>
      </c>
      <c r="AW2" s="5"/>
      <c r="AX2" s="5"/>
      <c r="AZ2" s="1"/>
      <c r="BA2" s="1"/>
      <c r="BB2" s="1"/>
      <c r="BC2" s="1"/>
      <c r="BD2" s="2"/>
      <c r="BE2" s="2"/>
    </row>
    <row r="3" spans="1:57" ht="20.25" thickTop="1" thickBot="1" x14ac:dyDescent="0.35">
      <c r="A3" s="6" t="s">
        <v>1</v>
      </c>
      <c r="B3" s="7"/>
      <c r="C3" s="8">
        <v>276782.38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M3" s="10"/>
      <c r="O3" s="6" t="s">
        <v>1</v>
      </c>
      <c r="P3" s="7"/>
      <c r="Q3" s="8">
        <v>276782.38</v>
      </c>
      <c r="R3" s="9"/>
      <c r="S3" s="409" t="s">
        <v>2</v>
      </c>
      <c r="T3" s="410"/>
      <c r="V3" s="1"/>
      <c r="W3" s="411" t="s">
        <v>3</v>
      </c>
      <c r="X3" s="412"/>
      <c r="Y3" s="413"/>
      <c r="Z3" s="10" t="s">
        <v>4</v>
      </c>
      <c r="AA3" s="10"/>
      <c r="AD3" s="6" t="s">
        <v>1</v>
      </c>
      <c r="AE3" s="7"/>
      <c r="AF3" s="8">
        <v>276782.38</v>
      </c>
      <c r="AG3" s="9"/>
      <c r="AH3" s="409" t="s">
        <v>2</v>
      </c>
      <c r="AI3" s="410"/>
      <c r="AK3" s="1"/>
      <c r="AL3" s="411" t="s">
        <v>3</v>
      </c>
      <c r="AM3" s="412"/>
      <c r="AN3" s="413"/>
      <c r="AO3" s="10" t="s">
        <v>4</v>
      </c>
      <c r="AP3" s="10"/>
      <c r="AS3" s="6" t="s">
        <v>1</v>
      </c>
      <c r="AT3" s="7"/>
      <c r="AU3" s="8">
        <v>276782.38</v>
      </c>
      <c r="AV3" s="9"/>
      <c r="AW3" s="409" t="s">
        <v>2</v>
      </c>
      <c r="AX3" s="410"/>
      <c r="AZ3" s="1"/>
      <c r="BA3" s="411" t="s">
        <v>3</v>
      </c>
      <c r="BB3" s="412"/>
      <c r="BC3" s="413"/>
      <c r="BD3" s="10" t="s">
        <v>4</v>
      </c>
      <c r="BE3" s="10"/>
    </row>
    <row r="4" spans="1:57" ht="15.75" thickTop="1" x14ac:dyDescent="0.25">
      <c r="B4" s="11">
        <v>42552</v>
      </c>
      <c r="C4" s="12">
        <v>47018.6</v>
      </c>
      <c r="D4" s="40" t="s">
        <v>373</v>
      </c>
      <c r="E4" s="186">
        <v>42552</v>
      </c>
      <c r="F4" s="13">
        <v>47018.6</v>
      </c>
      <c r="G4" s="14"/>
      <c r="H4" s="187">
        <v>42552</v>
      </c>
      <c r="I4" s="15">
        <v>0</v>
      </c>
      <c r="J4" s="16" t="s">
        <v>5</v>
      </c>
      <c r="K4" s="320">
        <v>699</v>
      </c>
      <c r="L4" s="18">
        <v>0</v>
      </c>
      <c r="M4" s="18"/>
      <c r="P4" s="11">
        <v>42552</v>
      </c>
      <c r="Q4" s="12">
        <v>47018.6</v>
      </c>
      <c r="R4" s="40" t="s">
        <v>373</v>
      </c>
      <c r="S4" s="186">
        <v>42552</v>
      </c>
      <c r="T4" s="13">
        <v>47018.6</v>
      </c>
      <c r="U4" s="14"/>
      <c r="V4" s="187">
        <v>42552</v>
      </c>
      <c r="W4" s="15">
        <v>0</v>
      </c>
      <c r="X4" s="16" t="s">
        <v>5</v>
      </c>
      <c r="Y4" s="320">
        <v>699</v>
      </c>
      <c r="Z4" s="18">
        <v>0</v>
      </c>
      <c r="AA4" s="18"/>
      <c r="AE4" s="11">
        <v>42552</v>
      </c>
      <c r="AF4" s="12">
        <v>47018.6</v>
      </c>
      <c r="AG4" s="40" t="s">
        <v>373</v>
      </c>
      <c r="AH4" s="186">
        <v>42552</v>
      </c>
      <c r="AI4" s="13">
        <v>47018.6</v>
      </c>
      <c r="AJ4" s="14"/>
      <c r="AK4" s="187">
        <v>42552</v>
      </c>
      <c r="AL4" s="15">
        <v>0</v>
      </c>
      <c r="AM4" s="16" t="s">
        <v>5</v>
      </c>
      <c r="AN4" s="320">
        <v>0</v>
      </c>
      <c r="AO4" s="18">
        <v>0</v>
      </c>
      <c r="AP4" s="18"/>
      <c r="AT4" s="11">
        <v>42552</v>
      </c>
      <c r="AU4" s="12">
        <v>47018.6</v>
      </c>
      <c r="AV4" s="40" t="s">
        <v>373</v>
      </c>
      <c r="AW4" s="186">
        <v>42552</v>
      </c>
      <c r="AX4" s="13">
        <v>47018.6</v>
      </c>
      <c r="AY4" s="14"/>
      <c r="AZ4" s="187">
        <v>42552</v>
      </c>
      <c r="BA4" s="15">
        <v>0</v>
      </c>
      <c r="BB4" s="16" t="s">
        <v>5</v>
      </c>
      <c r="BC4" s="320">
        <v>0</v>
      </c>
      <c r="BD4" s="18">
        <v>0</v>
      </c>
      <c r="BE4" s="18"/>
    </row>
    <row r="5" spans="1:57" x14ac:dyDescent="0.25">
      <c r="B5" s="11">
        <v>42553</v>
      </c>
      <c r="C5" s="12">
        <v>138598.76</v>
      </c>
      <c r="D5" s="19" t="s">
        <v>376</v>
      </c>
      <c r="E5" s="20">
        <v>42553</v>
      </c>
      <c r="F5" s="13">
        <v>139455.9</v>
      </c>
      <c r="G5" s="21"/>
      <c r="H5" s="22">
        <v>42553</v>
      </c>
      <c r="I5" s="38">
        <v>0</v>
      </c>
      <c r="J5" s="420" t="s">
        <v>389</v>
      </c>
      <c r="K5" s="318">
        <v>0</v>
      </c>
      <c r="L5" s="18">
        <v>0</v>
      </c>
      <c r="M5" s="18"/>
      <c r="P5" s="11">
        <v>42553</v>
      </c>
      <c r="Q5" s="12">
        <v>138598.76</v>
      </c>
      <c r="R5" s="19" t="s">
        <v>376</v>
      </c>
      <c r="S5" s="20">
        <v>42553</v>
      </c>
      <c r="T5" s="13">
        <v>139455.9</v>
      </c>
      <c r="U5" s="21"/>
      <c r="V5" s="22">
        <v>42553</v>
      </c>
      <c r="W5" s="38">
        <v>0</v>
      </c>
      <c r="X5" s="420" t="s">
        <v>389</v>
      </c>
      <c r="Y5" s="318">
        <v>0</v>
      </c>
      <c r="Z5" s="18">
        <v>0</v>
      </c>
      <c r="AA5" s="18"/>
      <c r="AE5" s="11">
        <v>42553</v>
      </c>
      <c r="AF5" s="12">
        <v>138598.76</v>
      </c>
      <c r="AG5" s="19" t="s">
        <v>376</v>
      </c>
      <c r="AH5" s="20">
        <v>42553</v>
      </c>
      <c r="AI5" s="13">
        <v>139455.9</v>
      </c>
      <c r="AJ5" s="21"/>
      <c r="AK5" s="22">
        <v>42553</v>
      </c>
      <c r="AL5" s="38">
        <v>0</v>
      </c>
      <c r="AM5" s="420" t="s">
        <v>389</v>
      </c>
      <c r="AN5" s="318">
        <v>0</v>
      </c>
      <c r="AO5" s="18">
        <v>0</v>
      </c>
      <c r="AP5" s="18"/>
      <c r="AT5" s="11">
        <v>42553</v>
      </c>
      <c r="AU5" s="12">
        <v>138598.76</v>
      </c>
      <c r="AV5" s="19" t="s">
        <v>376</v>
      </c>
      <c r="AW5" s="20">
        <v>42553</v>
      </c>
      <c r="AX5" s="13">
        <v>139455.9</v>
      </c>
      <c r="AY5" s="21"/>
      <c r="AZ5" s="22">
        <v>42553</v>
      </c>
      <c r="BA5" s="38">
        <v>0</v>
      </c>
      <c r="BB5" s="420" t="s">
        <v>389</v>
      </c>
      <c r="BC5" s="318">
        <v>0</v>
      </c>
      <c r="BD5" s="18">
        <v>0</v>
      </c>
      <c r="BE5" s="18"/>
    </row>
    <row r="6" spans="1:57" x14ac:dyDescent="0.25">
      <c r="B6" s="11">
        <v>42554</v>
      </c>
      <c r="C6" s="12">
        <v>111385.60000000001</v>
      </c>
      <c r="D6" s="19" t="s">
        <v>383</v>
      </c>
      <c r="E6" s="20">
        <v>42554</v>
      </c>
      <c r="F6" s="13">
        <v>111385.60000000001</v>
      </c>
      <c r="G6" s="14"/>
      <c r="H6" s="22">
        <v>42554</v>
      </c>
      <c r="I6" s="38">
        <v>0</v>
      </c>
      <c r="J6" s="421"/>
      <c r="K6" s="319">
        <v>30000</v>
      </c>
      <c r="L6" s="18">
        <v>0</v>
      </c>
      <c r="M6" s="18"/>
      <c r="P6" s="11">
        <v>42554</v>
      </c>
      <c r="Q6" s="12">
        <v>111385.60000000001</v>
      </c>
      <c r="R6" s="19" t="s">
        <v>383</v>
      </c>
      <c r="S6" s="20">
        <v>42554</v>
      </c>
      <c r="T6" s="13">
        <v>111385.60000000001</v>
      </c>
      <c r="U6" s="14"/>
      <c r="V6" s="22">
        <v>42554</v>
      </c>
      <c r="W6" s="38">
        <v>0</v>
      </c>
      <c r="X6" s="421"/>
      <c r="Y6" s="319">
        <v>30000</v>
      </c>
      <c r="Z6" s="18">
        <v>0</v>
      </c>
      <c r="AA6" s="18"/>
      <c r="AE6" s="11">
        <v>42554</v>
      </c>
      <c r="AF6" s="12">
        <v>111385.60000000001</v>
      </c>
      <c r="AG6" s="19" t="s">
        <v>383</v>
      </c>
      <c r="AH6" s="20">
        <v>42554</v>
      </c>
      <c r="AI6" s="13">
        <v>111385.60000000001</v>
      </c>
      <c r="AJ6" s="14"/>
      <c r="AK6" s="22">
        <v>42554</v>
      </c>
      <c r="AL6" s="38">
        <v>0</v>
      </c>
      <c r="AM6" s="421"/>
      <c r="AN6" s="319">
        <v>30000</v>
      </c>
      <c r="AO6" s="18">
        <v>0</v>
      </c>
      <c r="AP6" s="18"/>
      <c r="AT6" s="11">
        <v>42554</v>
      </c>
      <c r="AU6" s="12">
        <v>111385.60000000001</v>
      </c>
      <c r="AV6" s="19" t="s">
        <v>383</v>
      </c>
      <c r="AW6" s="20">
        <v>42554</v>
      </c>
      <c r="AX6" s="13">
        <v>111385.60000000001</v>
      </c>
      <c r="AY6" s="14"/>
      <c r="AZ6" s="22">
        <v>42554</v>
      </c>
      <c r="BA6" s="38">
        <v>0</v>
      </c>
      <c r="BB6" s="421"/>
      <c r="BC6" s="319">
        <v>30000</v>
      </c>
      <c r="BD6" s="18">
        <v>0</v>
      </c>
      <c r="BE6" s="18"/>
    </row>
    <row r="7" spans="1:57" x14ac:dyDescent="0.25">
      <c r="B7" s="11">
        <v>42555</v>
      </c>
      <c r="C7" s="12">
        <v>185582.1</v>
      </c>
      <c r="D7" s="26" t="s">
        <v>384</v>
      </c>
      <c r="E7" s="20">
        <v>42555</v>
      </c>
      <c r="F7" s="13">
        <v>185582.1</v>
      </c>
      <c r="G7" s="14"/>
      <c r="H7" s="22">
        <v>42555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M7" s="18"/>
      <c r="P7" s="11">
        <v>42555</v>
      </c>
      <c r="Q7" s="12">
        <v>185582.1</v>
      </c>
      <c r="R7" s="26" t="s">
        <v>384</v>
      </c>
      <c r="S7" s="20">
        <v>42555</v>
      </c>
      <c r="T7" s="13">
        <v>185582.1</v>
      </c>
      <c r="U7" s="14"/>
      <c r="V7" s="22">
        <v>42555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A7" s="18"/>
      <c r="AE7" s="11">
        <v>42555</v>
      </c>
      <c r="AF7" s="12">
        <v>185582.1</v>
      </c>
      <c r="AG7" s="26" t="s">
        <v>384</v>
      </c>
      <c r="AH7" s="20">
        <v>42555</v>
      </c>
      <c r="AI7" s="13">
        <v>185582.1</v>
      </c>
      <c r="AJ7" s="14"/>
      <c r="AK7" s="22">
        <v>42555</v>
      </c>
      <c r="AL7" s="15">
        <v>0</v>
      </c>
      <c r="AM7" s="23" t="s">
        <v>7</v>
      </c>
      <c r="AN7" s="24">
        <f>7187.5+7187.5</f>
        <v>14375</v>
      </c>
      <c r="AO7" s="18">
        <v>0</v>
      </c>
      <c r="AP7" s="18"/>
      <c r="AT7" s="11">
        <v>42555</v>
      </c>
      <c r="AU7" s="12">
        <v>185582.1</v>
      </c>
      <c r="AV7" s="26" t="s">
        <v>384</v>
      </c>
      <c r="AW7" s="20">
        <v>42555</v>
      </c>
      <c r="AX7" s="13">
        <v>185582.1</v>
      </c>
      <c r="AY7" s="14"/>
      <c r="AZ7" s="22">
        <v>42555</v>
      </c>
      <c r="BA7" s="15">
        <v>0</v>
      </c>
      <c r="BB7" s="23" t="s">
        <v>7</v>
      </c>
      <c r="BC7" s="24">
        <f>7187.5</f>
        <v>7187.5</v>
      </c>
      <c r="BD7" s="18">
        <v>0</v>
      </c>
      <c r="BE7" s="18"/>
    </row>
    <row r="8" spans="1:57" x14ac:dyDescent="0.25">
      <c r="B8" s="11">
        <v>42556</v>
      </c>
      <c r="C8" s="12">
        <v>72067.5</v>
      </c>
      <c r="D8" s="19" t="s">
        <v>385</v>
      </c>
      <c r="E8" s="20">
        <v>42556</v>
      </c>
      <c r="F8" s="13">
        <v>72067.5</v>
      </c>
      <c r="G8" s="14"/>
      <c r="H8" s="22">
        <v>42556</v>
      </c>
      <c r="I8" s="15">
        <v>0</v>
      </c>
      <c r="J8" s="23" t="s">
        <v>379</v>
      </c>
      <c r="K8" s="13">
        <v>6308.45</v>
      </c>
      <c r="L8" s="18">
        <v>31.5</v>
      </c>
      <c r="M8" s="18" t="s">
        <v>216</v>
      </c>
      <c r="P8" s="11">
        <v>42556</v>
      </c>
      <c r="Q8" s="12">
        <v>72067.5</v>
      </c>
      <c r="R8" s="19" t="s">
        <v>385</v>
      </c>
      <c r="S8" s="20">
        <v>42556</v>
      </c>
      <c r="T8" s="13">
        <v>72067.5</v>
      </c>
      <c r="U8" s="14"/>
      <c r="V8" s="22">
        <v>42556</v>
      </c>
      <c r="W8" s="15">
        <v>0</v>
      </c>
      <c r="X8" s="23" t="s">
        <v>379</v>
      </c>
      <c r="Y8" s="13">
        <v>6308.45</v>
      </c>
      <c r="Z8" s="18">
        <v>31.5</v>
      </c>
      <c r="AA8" s="18" t="s">
        <v>216</v>
      </c>
      <c r="AE8" s="11">
        <v>42556</v>
      </c>
      <c r="AF8" s="12">
        <v>72067.5</v>
      </c>
      <c r="AG8" s="19" t="s">
        <v>385</v>
      </c>
      <c r="AH8" s="20">
        <v>42556</v>
      </c>
      <c r="AI8" s="13">
        <v>72067.5</v>
      </c>
      <c r="AJ8" s="14"/>
      <c r="AK8" s="22">
        <v>42556</v>
      </c>
      <c r="AL8" s="15">
        <v>0</v>
      </c>
      <c r="AM8" s="23" t="s">
        <v>379</v>
      </c>
      <c r="AN8" s="13">
        <v>6308.45</v>
      </c>
      <c r="AO8" s="18">
        <v>31.5</v>
      </c>
      <c r="AP8" s="18" t="s">
        <v>216</v>
      </c>
      <c r="AT8" s="11">
        <v>42556</v>
      </c>
      <c r="AU8" s="12">
        <v>72067.5</v>
      </c>
      <c r="AV8" s="19" t="s">
        <v>385</v>
      </c>
      <c r="AW8" s="20">
        <v>42556</v>
      </c>
      <c r="AX8" s="13">
        <v>72067.5</v>
      </c>
      <c r="AY8" s="14"/>
      <c r="AZ8" s="22">
        <v>42556</v>
      </c>
      <c r="BA8" s="15">
        <v>0</v>
      </c>
      <c r="BB8" s="23" t="s">
        <v>379</v>
      </c>
      <c r="BC8" s="13">
        <v>6308.45</v>
      </c>
      <c r="BD8" s="18">
        <v>31.5</v>
      </c>
      <c r="BE8" s="18" t="s">
        <v>216</v>
      </c>
    </row>
    <row r="9" spans="1:57" x14ac:dyDescent="0.25">
      <c r="B9" s="11">
        <v>42557</v>
      </c>
      <c r="C9" s="12">
        <v>101534.5</v>
      </c>
      <c r="D9" s="26" t="s">
        <v>387</v>
      </c>
      <c r="E9" s="20">
        <v>42557</v>
      </c>
      <c r="F9" s="13">
        <v>100376</v>
      </c>
      <c r="G9" s="14"/>
      <c r="H9" s="22">
        <v>42557</v>
      </c>
      <c r="I9" s="15">
        <v>146</v>
      </c>
      <c r="J9" s="23" t="s">
        <v>380</v>
      </c>
      <c r="K9" s="13">
        <v>5982.46</v>
      </c>
      <c r="L9" s="18">
        <v>0</v>
      </c>
      <c r="M9" s="18"/>
      <c r="P9" s="11">
        <v>42557</v>
      </c>
      <c r="Q9" s="12">
        <v>101534.5</v>
      </c>
      <c r="R9" s="26" t="s">
        <v>387</v>
      </c>
      <c r="S9" s="20">
        <v>42557</v>
      </c>
      <c r="T9" s="13">
        <v>100376</v>
      </c>
      <c r="U9" s="14"/>
      <c r="V9" s="22">
        <v>42557</v>
      </c>
      <c r="W9" s="15">
        <v>146</v>
      </c>
      <c r="X9" s="23" t="s">
        <v>380</v>
      </c>
      <c r="Y9" s="13">
        <v>5982.46</v>
      </c>
      <c r="Z9" s="18">
        <v>0</v>
      </c>
      <c r="AA9" s="18"/>
      <c r="AE9" s="11">
        <v>42557</v>
      </c>
      <c r="AF9" s="12">
        <v>101534.5</v>
      </c>
      <c r="AG9" s="26" t="s">
        <v>387</v>
      </c>
      <c r="AH9" s="20">
        <v>42557</v>
      </c>
      <c r="AI9" s="13">
        <v>100376</v>
      </c>
      <c r="AJ9" s="14"/>
      <c r="AK9" s="22">
        <v>42557</v>
      </c>
      <c r="AL9" s="15">
        <v>146</v>
      </c>
      <c r="AM9" s="23" t="s">
        <v>380</v>
      </c>
      <c r="AN9" s="13">
        <v>5982.46</v>
      </c>
      <c r="AO9" s="18">
        <v>0</v>
      </c>
      <c r="AP9" s="18"/>
      <c r="AT9" s="11">
        <v>42557</v>
      </c>
      <c r="AU9" s="12">
        <v>101534.5</v>
      </c>
      <c r="AV9" s="26" t="s">
        <v>387</v>
      </c>
      <c r="AW9" s="20">
        <v>42557</v>
      </c>
      <c r="AX9" s="13">
        <v>100376</v>
      </c>
      <c r="AY9" s="14"/>
      <c r="AZ9" s="22">
        <v>42557</v>
      </c>
      <c r="BA9" s="15">
        <v>146</v>
      </c>
      <c r="BB9" s="23" t="s">
        <v>380</v>
      </c>
      <c r="BC9" s="13">
        <v>5982.46</v>
      </c>
      <c r="BD9" s="18">
        <v>0</v>
      </c>
      <c r="BE9" s="18"/>
    </row>
    <row r="10" spans="1:57" x14ac:dyDescent="0.25">
      <c r="A10" s="27"/>
      <c r="B10" s="11">
        <v>42558</v>
      </c>
      <c r="C10" s="12">
        <v>89951.5</v>
      </c>
      <c r="D10" s="26" t="s">
        <v>388</v>
      </c>
      <c r="E10" s="20">
        <v>42558</v>
      </c>
      <c r="F10" s="13">
        <v>89551.5</v>
      </c>
      <c r="G10" s="14"/>
      <c r="H10" s="22">
        <v>42558</v>
      </c>
      <c r="I10" s="15">
        <v>0</v>
      </c>
      <c r="J10" s="23" t="s">
        <v>381</v>
      </c>
      <c r="K10" s="13">
        <v>5545.6</v>
      </c>
      <c r="L10" s="18">
        <v>0</v>
      </c>
      <c r="M10" s="18"/>
      <c r="O10" s="27"/>
      <c r="P10" s="11">
        <v>42558</v>
      </c>
      <c r="Q10" s="12">
        <v>89951.5</v>
      </c>
      <c r="R10" s="26" t="s">
        <v>388</v>
      </c>
      <c r="S10" s="20">
        <v>42558</v>
      </c>
      <c r="T10" s="13">
        <v>89551.5</v>
      </c>
      <c r="U10" s="14"/>
      <c r="V10" s="22">
        <v>42558</v>
      </c>
      <c r="W10" s="15">
        <v>0</v>
      </c>
      <c r="X10" s="23" t="s">
        <v>381</v>
      </c>
      <c r="Y10" s="13">
        <v>5545.6</v>
      </c>
      <c r="Z10" s="18">
        <v>0</v>
      </c>
      <c r="AA10" s="18"/>
      <c r="AB10" s="216"/>
      <c r="AD10" s="27"/>
      <c r="AE10" s="11">
        <v>42558</v>
      </c>
      <c r="AF10" s="12">
        <v>89951.5</v>
      </c>
      <c r="AG10" s="26" t="s">
        <v>388</v>
      </c>
      <c r="AH10" s="20">
        <v>42558</v>
      </c>
      <c r="AI10" s="13">
        <v>89551.5</v>
      </c>
      <c r="AJ10" s="14"/>
      <c r="AK10" s="22">
        <v>42558</v>
      </c>
      <c r="AL10" s="15">
        <v>0</v>
      </c>
      <c r="AM10" s="23" t="s">
        <v>381</v>
      </c>
      <c r="AN10" s="13">
        <v>5545.6</v>
      </c>
      <c r="AO10" s="18">
        <v>0</v>
      </c>
      <c r="AP10" s="18"/>
      <c r="AS10" s="27"/>
      <c r="AT10" s="11">
        <v>42558</v>
      </c>
      <c r="AU10" s="12">
        <v>89951.5</v>
      </c>
      <c r="AV10" s="26" t="s">
        <v>388</v>
      </c>
      <c r="AW10" s="20">
        <v>42558</v>
      </c>
      <c r="AX10" s="13">
        <v>89551.5</v>
      </c>
      <c r="AY10" s="14"/>
      <c r="AZ10" s="22">
        <v>42558</v>
      </c>
      <c r="BA10" s="15">
        <v>0</v>
      </c>
      <c r="BB10" s="23" t="s">
        <v>381</v>
      </c>
      <c r="BC10" s="13">
        <v>0</v>
      </c>
      <c r="BD10" s="18">
        <v>0</v>
      </c>
      <c r="BE10" s="18"/>
    </row>
    <row r="11" spans="1:57" x14ac:dyDescent="0.25">
      <c r="B11" s="11">
        <v>42559</v>
      </c>
      <c r="C11" s="12">
        <v>68553.5</v>
      </c>
      <c r="D11" s="26" t="s">
        <v>390</v>
      </c>
      <c r="E11" s="20">
        <v>42559</v>
      </c>
      <c r="F11" s="13">
        <v>99053.5</v>
      </c>
      <c r="G11" s="14"/>
      <c r="H11" s="22">
        <v>42559</v>
      </c>
      <c r="I11" s="15">
        <v>500</v>
      </c>
      <c r="J11" s="23" t="s">
        <v>382</v>
      </c>
      <c r="K11" s="13">
        <v>6550.11</v>
      </c>
      <c r="L11" s="18">
        <v>0</v>
      </c>
      <c r="M11" s="18"/>
      <c r="P11" s="11">
        <v>42559</v>
      </c>
      <c r="Q11" s="12">
        <v>68553.5</v>
      </c>
      <c r="R11" s="26" t="s">
        <v>390</v>
      </c>
      <c r="S11" s="20">
        <v>42559</v>
      </c>
      <c r="T11" s="13">
        <v>99053.5</v>
      </c>
      <c r="U11" s="14"/>
      <c r="V11" s="22">
        <v>42559</v>
      </c>
      <c r="W11" s="15">
        <v>500</v>
      </c>
      <c r="X11" s="23" t="s">
        <v>382</v>
      </c>
      <c r="Y11" s="13">
        <v>6550.11</v>
      </c>
      <c r="Z11" s="18">
        <v>0</v>
      </c>
      <c r="AA11" s="18"/>
      <c r="AB11" s="216"/>
      <c r="AE11" s="11">
        <v>42559</v>
      </c>
      <c r="AF11" s="12">
        <v>68553.5</v>
      </c>
      <c r="AG11" s="26" t="s">
        <v>390</v>
      </c>
      <c r="AH11" s="20">
        <v>42559</v>
      </c>
      <c r="AI11" s="13">
        <v>99053.5</v>
      </c>
      <c r="AJ11" s="14"/>
      <c r="AK11" s="22">
        <v>42559</v>
      </c>
      <c r="AL11" s="15">
        <v>500</v>
      </c>
      <c r="AM11" s="23" t="s">
        <v>382</v>
      </c>
      <c r="AN11" s="13">
        <v>0</v>
      </c>
      <c r="AO11" s="18">
        <v>0</v>
      </c>
      <c r="AP11" s="18"/>
      <c r="AT11" s="11">
        <v>42559</v>
      </c>
      <c r="AU11" s="12">
        <v>68553.5</v>
      </c>
      <c r="AV11" s="26" t="s">
        <v>390</v>
      </c>
      <c r="AW11" s="20">
        <v>42559</v>
      </c>
      <c r="AX11" s="13">
        <v>99053.5</v>
      </c>
      <c r="AY11" s="14"/>
      <c r="AZ11" s="22">
        <v>42559</v>
      </c>
      <c r="BA11" s="15">
        <v>500</v>
      </c>
      <c r="BB11" s="23" t="s">
        <v>382</v>
      </c>
      <c r="BC11" s="13">
        <v>0</v>
      </c>
      <c r="BD11" s="18">
        <v>0</v>
      </c>
      <c r="BE11" s="18"/>
    </row>
    <row r="12" spans="1:57" x14ac:dyDescent="0.25">
      <c r="A12" s="28"/>
      <c r="B12" s="11">
        <v>42560</v>
      </c>
      <c r="C12" s="12">
        <v>147658.5</v>
      </c>
      <c r="D12" s="19" t="s">
        <v>391</v>
      </c>
      <c r="E12" s="20">
        <v>42560</v>
      </c>
      <c r="F12" s="13">
        <v>147658.5</v>
      </c>
      <c r="G12" s="14"/>
      <c r="H12" s="22">
        <v>42560</v>
      </c>
      <c r="I12" s="15">
        <v>0</v>
      </c>
      <c r="J12" s="23" t="s">
        <v>452</v>
      </c>
      <c r="K12" s="13">
        <v>6550.11</v>
      </c>
      <c r="L12" s="18">
        <v>0</v>
      </c>
      <c r="M12" s="18"/>
      <c r="O12" s="28"/>
      <c r="P12" s="11">
        <v>42560</v>
      </c>
      <c r="Q12" s="12">
        <v>147658.5</v>
      </c>
      <c r="R12" s="19" t="s">
        <v>391</v>
      </c>
      <c r="S12" s="20">
        <v>42560</v>
      </c>
      <c r="T12" s="13">
        <v>147658.5</v>
      </c>
      <c r="U12" s="14"/>
      <c r="V12" s="22">
        <v>42560</v>
      </c>
      <c r="W12" s="15">
        <v>0</v>
      </c>
      <c r="X12" s="23" t="s">
        <v>117</v>
      </c>
      <c r="Y12" s="13">
        <v>0</v>
      </c>
      <c r="Z12" s="18">
        <v>0</v>
      </c>
      <c r="AA12" s="18"/>
      <c r="AB12" s="216"/>
      <c r="AD12" s="28"/>
      <c r="AE12" s="11">
        <v>42560</v>
      </c>
      <c r="AF12" s="12">
        <v>147658.5</v>
      </c>
      <c r="AG12" s="19" t="s">
        <v>391</v>
      </c>
      <c r="AH12" s="20">
        <v>42560</v>
      </c>
      <c r="AI12" s="13">
        <v>147658.5</v>
      </c>
      <c r="AJ12" s="14"/>
      <c r="AK12" s="22">
        <v>42560</v>
      </c>
      <c r="AL12" s="15">
        <v>0</v>
      </c>
      <c r="AM12" s="23" t="s">
        <v>117</v>
      </c>
      <c r="AN12" s="13">
        <v>0</v>
      </c>
      <c r="AO12" s="18">
        <v>0</v>
      </c>
      <c r="AP12" s="18"/>
      <c r="AS12" s="28"/>
      <c r="AT12" s="11">
        <v>42560</v>
      </c>
      <c r="AU12" s="12">
        <v>147658.5</v>
      </c>
      <c r="AV12" s="19" t="s">
        <v>391</v>
      </c>
      <c r="AW12" s="20">
        <v>42560</v>
      </c>
      <c r="AX12" s="13">
        <v>147658.5</v>
      </c>
      <c r="AY12" s="14"/>
      <c r="AZ12" s="22">
        <v>42560</v>
      </c>
      <c r="BA12" s="15">
        <v>0</v>
      </c>
      <c r="BB12" s="23" t="s">
        <v>117</v>
      </c>
      <c r="BC12" s="13">
        <v>0</v>
      </c>
      <c r="BD12" s="18">
        <v>0</v>
      </c>
      <c r="BE12" s="18"/>
    </row>
    <row r="13" spans="1:57" x14ac:dyDescent="0.25">
      <c r="A13" s="28"/>
      <c r="B13" s="11">
        <v>42561</v>
      </c>
      <c r="C13" s="12">
        <v>118817.5</v>
      </c>
      <c r="D13" s="40" t="s">
        <v>392</v>
      </c>
      <c r="E13" s="20">
        <v>42561</v>
      </c>
      <c r="F13" s="13">
        <v>118817.5</v>
      </c>
      <c r="G13" s="14"/>
      <c r="H13" s="22">
        <v>42561</v>
      </c>
      <c r="I13" s="15">
        <v>0</v>
      </c>
      <c r="J13" s="30" t="s">
        <v>375</v>
      </c>
      <c r="K13" s="13">
        <f>857.14+311.86</f>
        <v>1169</v>
      </c>
      <c r="L13" s="18">
        <v>0</v>
      </c>
      <c r="M13" s="18"/>
      <c r="O13" s="28"/>
      <c r="P13" s="11">
        <v>42561</v>
      </c>
      <c r="Q13" s="12">
        <v>118817.5</v>
      </c>
      <c r="R13" s="40" t="s">
        <v>392</v>
      </c>
      <c r="S13" s="20">
        <v>42561</v>
      </c>
      <c r="T13" s="13">
        <v>118817.5</v>
      </c>
      <c r="U13" s="14"/>
      <c r="V13" s="22">
        <v>42561</v>
      </c>
      <c r="W13" s="15">
        <v>0</v>
      </c>
      <c r="X13" s="30" t="s">
        <v>375</v>
      </c>
      <c r="Y13" s="13">
        <v>857.14</v>
      </c>
      <c r="Z13" s="18">
        <v>0</v>
      </c>
      <c r="AA13" s="18"/>
      <c r="AB13" s="216"/>
      <c r="AD13" s="28"/>
      <c r="AE13" s="11">
        <v>42561</v>
      </c>
      <c r="AF13" s="12">
        <v>118817.5</v>
      </c>
      <c r="AG13" s="40" t="s">
        <v>392</v>
      </c>
      <c r="AH13" s="20">
        <v>42561</v>
      </c>
      <c r="AI13" s="13">
        <v>118817.5</v>
      </c>
      <c r="AJ13" s="14"/>
      <c r="AK13" s="22">
        <v>42561</v>
      </c>
      <c r="AL13" s="15">
        <v>0</v>
      </c>
      <c r="AM13" s="30" t="s">
        <v>375</v>
      </c>
      <c r="AN13" s="13">
        <v>857.14</v>
      </c>
      <c r="AO13" s="18">
        <v>0</v>
      </c>
      <c r="AP13" s="18"/>
      <c r="AS13" s="28"/>
      <c r="AT13" s="11">
        <v>42561</v>
      </c>
      <c r="AU13" s="12">
        <v>118817.5</v>
      </c>
      <c r="AV13" s="40" t="s">
        <v>392</v>
      </c>
      <c r="AW13" s="20">
        <v>42561</v>
      </c>
      <c r="AX13" s="13">
        <v>118817.5</v>
      </c>
      <c r="AY13" s="14"/>
      <c r="AZ13" s="22">
        <v>42561</v>
      </c>
      <c r="BA13" s="15">
        <v>0</v>
      </c>
      <c r="BB13" s="30" t="s">
        <v>375</v>
      </c>
      <c r="BC13" s="13">
        <v>857.14</v>
      </c>
      <c r="BD13" s="18">
        <v>0</v>
      </c>
      <c r="BE13" s="18"/>
    </row>
    <row r="14" spans="1:57" x14ac:dyDescent="0.25">
      <c r="B14" s="11">
        <v>42562</v>
      </c>
      <c r="C14" s="12">
        <v>234168.6</v>
      </c>
      <c r="D14" s="19" t="s">
        <v>393</v>
      </c>
      <c r="E14" s="20">
        <v>42562</v>
      </c>
      <c r="F14" s="13">
        <v>234168.6</v>
      </c>
      <c r="G14" s="14"/>
      <c r="H14" s="22">
        <v>42562</v>
      </c>
      <c r="I14" s="15">
        <v>0</v>
      </c>
      <c r="J14" s="31"/>
      <c r="K14" s="13">
        <v>0</v>
      </c>
      <c r="L14" s="18">
        <v>0</v>
      </c>
      <c r="M14" s="18"/>
      <c r="P14" s="11">
        <v>42562</v>
      </c>
      <c r="Q14" s="12">
        <v>234168.6</v>
      </c>
      <c r="R14" s="19" t="s">
        <v>393</v>
      </c>
      <c r="S14" s="20">
        <v>42562</v>
      </c>
      <c r="T14" s="13">
        <v>234168.6</v>
      </c>
      <c r="U14" s="14"/>
      <c r="V14" s="22">
        <v>42562</v>
      </c>
      <c r="W14" s="15">
        <v>0</v>
      </c>
      <c r="X14" s="31"/>
      <c r="Y14" s="13">
        <v>0</v>
      </c>
      <c r="Z14" s="18">
        <v>0</v>
      </c>
      <c r="AA14" s="18"/>
      <c r="AB14" s="216"/>
      <c r="AE14" s="11">
        <v>42562</v>
      </c>
      <c r="AF14" s="12">
        <v>234168.6</v>
      </c>
      <c r="AG14" s="19" t="s">
        <v>393</v>
      </c>
      <c r="AH14" s="20">
        <v>42562</v>
      </c>
      <c r="AI14" s="13">
        <v>234168.6</v>
      </c>
      <c r="AJ14" s="14"/>
      <c r="AK14" s="22">
        <v>42562</v>
      </c>
      <c r="AL14" s="15">
        <v>0</v>
      </c>
      <c r="AM14" s="31"/>
      <c r="AN14" s="13">
        <v>0</v>
      </c>
      <c r="AO14" s="18">
        <v>0</v>
      </c>
      <c r="AP14" s="18"/>
      <c r="AT14" s="11">
        <v>42562</v>
      </c>
      <c r="AU14" s="12">
        <v>234168.6</v>
      </c>
      <c r="AV14" s="19" t="s">
        <v>393</v>
      </c>
      <c r="AW14" s="20">
        <v>42562</v>
      </c>
      <c r="AX14" s="13">
        <v>234168.6</v>
      </c>
      <c r="AY14" s="14"/>
      <c r="AZ14" s="22">
        <v>42562</v>
      </c>
      <c r="BA14" s="15">
        <v>0</v>
      </c>
      <c r="BB14" s="31"/>
      <c r="BC14" s="13">
        <v>0</v>
      </c>
      <c r="BD14" s="18">
        <v>0</v>
      </c>
      <c r="BE14" s="18"/>
    </row>
    <row r="15" spans="1:57" x14ac:dyDescent="0.25">
      <c r="A15" s="28"/>
      <c r="B15" s="11">
        <v>42563</v>
      </c>
      <c r="C15" s="12">
        <v>105754.5</v>
      </c>
      <c r="D15" s="19" t="s">
        <v>394</v>
      </c>
      <c r="E15" s="20">
        <v>42563</v>
      </c>
      <c r="F15" s="13">
        <v>107854</v>
      </c>
      <c r="G15" s="14"/>
      <c r="H15" s="22">
        <v>42563</v>
      </c>
      <c r="I15" s="15">
        <v>2000</v>
      </c>
      <c r="J15" s="23" t="s">
        <v>225</v>
      </c>
      <c r="K15" s="13">
        <v>0</v>
      </c>
      <c r="L15" s="18">
        <v>0</v>
      </c>
      <c r="M15" s="18"/>
      <c r="O15" s="28"/>
      <c r="P15" s="11">
        <v>42563</v>
      </c>
      <c r="Q15" s="12">
        <v>105754.5</v>
      </c>
      <c r="R15" s="19" t="s">
        <v>394</v>
      </c>
      <c r="S15" s="20">
        <v>42563</v>
      </c>
      <c r="T15" s="13">
        <v>107854</v>
      </c>
      <c r="U15" s="14"/>
      <c r="V15" s="22">
        <v>42563</v>
      </c>
      <c r="W15" s="15">
        <v>2000</v>
      </c>
      <c r="X15" s="23" t="s">
        <v>225</v>
      </c>
      <c r="Y15" s="13">
        <v>0</v>
      </c>
      <c r="Z15" s="18">
        <v>0</v>
      </c>
      <c r="AA15" s="18"/>
      <c r="AB15" s="18"/>
      <c r="AD15" s="28"/>
      <c r="AE15" s="11">
        <v>42563</v>
      </c>
      <c r="AF15" s="12">
        <v>105754.5</v>
      </c>
      <c r="AG15" s="19" t="s">
        <v>394</v>
      </c>
      <c r="AH15" s="20">
        <v>42563</v>
      </c>
      <c r="AI15" s="13">
        <v>107854</v>
      </c>
      <c r="AJ15" s="14"/>
      <c r="AK15" s="22">
        <v>42563</v>
      </c>
      <c r="AL15" s="15">
        <v>2000</v>
      </c>
      <c r="AM15" s="23" t="s">
        <v>225</v>
      </c>
      <c r="AN15" s="13">
        <v>0</v>
      </c>
      <c r="AO15" s="18">
        <v>0</v>
      </c>
      <c r="AP15" s="18"/>
      <c r="AS15" s="28"/>
      <c r="AT15" s="11">
        <v>42563</v>
      </c>
      <c r="AU15" s="12">
        <v>105754.5</v>
      </c>
      <c r="AV15" s="19" t="s">
        <v>394</v>
      </c>
      <c r="AW15" s="20">
        <v>42563</v>
      </c>
      <c r="AX15" s="230">
        <v>107854</v>
      </c>
      <c r="AY15" s="14"/>
      <c r="AZ15" s="22">
        <v>42563</v>
      </c>
      <c r="BA15" s="231">
        <v>2000</v>
      </c>
      <c r="BB15" s="23" t="s">
        <v>225</v>
      </c>
      <c r="BC15" s="13">
        <v>0</v>
      </c>
      <c r="BD15" s="18">
        <v>0</v>
      </c>
      <c r="BE15" s="18"/>
    </row>
    <row r="16" spans="1:57" x14ac:dyDescent="0.25">
      <c r="A16" s="28"/>
      <c r="B16" s="11">
        <v>42564</v>
      </c>
      <c r="C16" s="12">
        <v>99567</v>
      </c>
      <c r="D16" s="19" t="s">
        <v>395</v>
      </c>
      <c r="E16" s="20">
        <v>42564</v>
      </c>
      <c r="F16" s="13">
        <v>99566.9</v>
      </c>
      <c r="G16" s="14"/>
      <c r="H16" s="22">
        <v>42564</v>
      </c>
      <c r="I16" s="15">
        <v>0</v>
      </c>
      <c r="J16" s="34"/>
      <c r="K16" s="13">
        <v>0</v>
      </c>
      <c r="L16" s="18">
        <v>0</v>
      </c>
      <c r="M16" s="18"/>
      <c r="O16" s="28"/>
      <c r="P16" s="11">
        <v>42564</v>
      </c>
      <c r="Q16" s="12">
        <v>99567</v>
      </c>
      <c r="R16" s="19" t="s">
        <v>395</v>
      </c>
      <c r="S16" s="20">
        <v>42564</v>
      </c>
      <c r="T16" s="13">
        <v>99566.9</v>
      </c>
      <c r="U16" s="14"/>
      <c r="V16" s="22">
        <v>42564</v>
      </c>
      <c r="W16" s="15">
        <v>0</v>
      </c>
      <c r="X16" s="34"/>
      <c r="Y16" s="13">
        <v>0</v>
      </c>
      <c r="Z16" s="18">
        <v>0</v>
      </c>
      <c r="AA16" s="18"/>
      <c r="AB16" s="216"/>
      <c r="AD16" s="28"/>
      <c r="AE16" s="11">
        <v>42564</v>
      </c>
      <c r="AF16" s="12">
        <v>99567</v>
      </c>
      <c r="AG16" s="19" t="s">
        <v>395</v>
      </c>
      <c r="AH16" s="20">
        <v>42564</v>
      </c>
      <c r="AI16" s="13">
        <v>99566.9</v>
      </c>
      <c r="AJ16" s="14"/>
      <c r="AK16" s="22">
        <v>42564</v>
      </c>
      <c r="AL16" s="15">
        <v>0</v>
      </c>
      <c r="AM16" s="34"/>
      <c r="AN16" s="13">
        <v>0</v>
      </c>
      <c r="AO16" s="18">
        <v>0</v>
      </c>
      <c r="AP16" s="18"/>
      <c r="AQ16" s="216"/>
      <c r="AS16" s="28"/>
      <c r="AT16" s="11">
        <v>42564</v>
      </c>
      <c r="AU16" s="12"/>
      <c r="AV16" s="19"/>
      <c r="AW16" s="20">
        <v>42564</v>
      </c>
      <c r="AX16" s="13"/>
      <c r="AY16" s="14"/>
      <c r="AZ16" s="22">
        <v>42564</v>
      </c>
      <c r="BA16" s="15"/>
      <c r="BB16" s="34"/>
      <c r="BC16" s="13">
        <v>0</v>
      </c>
      <c r="BD16" s="18">
        <v>0</v>
      </c>
      <c r="BE16" s="18"/>
    </row>
    <row r="17" spans="1:58" x14ac:dyDescent="0.25">
      <c r="A17" s="28"/>
      <c r="B17" s="11">
        <v>42565</v>
      </c>
      <c r="C17" s="12">
        <v>131362</v>
      </c>
      <c r="D17" s="19" t="s">
        <v>396</v>
      </c>
      <c r="E17" s="20">
        <v>42565</v>
      </c>
      <c r="F17" s="13">
        <v>132228</v>
      </c>
      <c r="G17" s="14"/>
      <c r="H17" s="22">
        <v>42565</v>
      </c>
      <c r="I17" s="15">
        <v>66</v>
      </c>
      <c r="J17" s="35" t="s">
        <v>374</v>
      </c>
      <c r="K17" s="13">
        <v>800</v>
      </c>
      <c r="L17" s="18">
        <v>0</v>
      </c>
      <c r="M17" s="18"/>
      <c r="O17" s="28"/>
      <c r="P17" s="11">
        <v>42565</v>
      </c>
      <c r="Q17" s="12">
        <v>131362</v>
      </c>
      <c r="R17" s="19" t="s">
        <v>396</v>
      </c>
      <c r="S17" s="20">
        <v>42565</v>
      </c>
      <c r="T17" s="13">
        <v>132228</v>
      </c>
      <c r="U17" s="14"/>
      <c r="V17" s="22">
        <v>42565</v>
      </c>
      <c r="W17" s="15">
        <v>66</v>
      </c>
      <c r="X17" s="35" t="s">
        <v>374</v>
      </c>
      <c r="Y17" s="13">
        <v>800</v>
      </c>
      <c r="Z17" s="18">
        <v>0</v>
      </c>
      <c r="AA17" s="18"/>
      <c r="AB17" s="216"/>
      <c r="AD17" s="28"/>
      <c r="AE17" s="11">
        <v>42565</v>
      </c>
      <c r="AF17" s="12">
        <v>131362</v>
      </c>
      <c r="AG17" s="19" t="s">
        <v>396</v>
      </c>
      <c r="AH17" s="20">
        <v>42565</v>
      </c>
      <c r="AI17" s="13">
        <v>132228</v>
      </c>
      <c r="AJ17" s="14"/>
      <c r="AK17" s="22">
        <v>42565</v>
      </c>
      <c r="AL17" s="15">
        <v>66</v>
      </c>
      <c r="AM17" s="35" t="s">
        <v>374</v>
      </c>
      <c r="AN17" s="13">
        <v>800</v>
      </c>
      <c r="AO17" s="18">
        <v>0</v>
      </c>
      <c r="AP17" s="18"/>
      <c r="AQ17" s="216"/>
      <c r="AS17" s="28"/>
      <c r="AT17" s="11">
        <v>42565</v>
      </c>
      <c r="AU17" s="12"/>
      <c r="AV17" s="19"/>
      <c r="AW17" s="20">
        <v>42565</v>
      </c>
      <c r="AX17" s="13"/>
      <c r="AY17" s="14"/>
      <c r="AZ17" s="22">
        <v>42565</v>
      </c>
      <c r="BA17" s="15"/>
      <c r="BB17" s="35" t="s">
        <v>374</v>
      </c>
      <c r="BC17" s="13">
        <v>0</v>
      </c>
      <c r="BD17" s="18">
        <v>0</v>
      </c>
      <c r="BE17" s="18"/>
    </row>
    <row r="18" spans="1:58" x14ac:dyDescent="0.25">
      <c r="B18" s="11">
        <v>42566</v>
      </c>
      <c r="C18" s="12">
        <v>98654</v>
      </c>
      <c r="D18" s="19" t="s">
        <v>401</v>
      </c>
      <c r="E18" s="20">
        <v>42566</v>
      </c>
      <c r="F18" s="13">
        <v>98654</v>
      </c>
      <c r="G18" s="14"/>
      <c r="H18" s="22">
        <v>42566</v>
      </c>
      <c r="I18" s="15">
        <v>0</v>
      </c>
      <c r="J18" s="36">
        <v>42565</v>
      </c>
      <c r="K18" s="24">
        <v>0</v>
      </c>
      <c r="L18" s="18">
        <v>0</v>
      </c>
      <c r="M18" s="18"/>
      <c r="P18" s="11">
        <v>42566</v>
      </c>
      <c r="Q18" s="12">
        <v>98654</v>
      </c>
      <c r="R18" s="19" t="s">
        <v>401</v>
      </c>
      <c r="S18" s="20">
        <v>42566</v>
      </c>
      <c r="T18" s="13">
        <v>98654</v>
      </c>
      <c r="U18" s="14"/>
      <c r="V18" s="22">
        <v>42566</v>
      </c>
      <c r="W18" s="15">
        <v>0</v>
      </c>
      <c r="X18" s="36">
        <v>42565</v>
      </c>
      <c r="Y18" s="24">
        <v>0</v>
      </c>
      <c r="Z18" s="18">
        <v>0</v>
      </c>
      <c r="AA18" s="18"/>
      <c r="AB18" s="216"/>
      <c r="AE18" s="11">
        <v>42566</v>
      </c>
      <c r="AF18" s="12">
        <v>98654</v>
      </c>
      <c r="AG18" s="19" t="s">
        <v>401</v>
      </c>
      <c r="AH18" s="20">
        <v>42566</v>
      </c>
      <c r="AI18" s="13">
        <v>98654</v>
      </c>
      <c r="AJ18" s="14"/>
      <c r="AK18" s="22">
        <v>42566</v>
      </c>
      <c r="AL18" s="15">
        <v>0</v>
      </c>
      <c r="AM18" s="36">
        <v>42565</v>
      </c>
      <c r="AN18" s="24">
        <v>0</v>
      </c>
      <c r="AO18" s="18">
        <v>0</v>
      </c>
      <c r="AP18" s="18"/>
      <c r="AQ18" s="216"/>
      <c r="AT18" s="11">
        <v>42566</v>
      </c>
      <c r="AU18" s="12"/>
      <c r="AV18" s="19"/>
      <c r="AW18" s="20">
        <v>42566</v>
      </c>
      <c r="AX18" s="13"/>
      <c r="AY18" s="14"/>
      <c r="AZ18" s="22">
        <v>42566</v>
      </c>
      <c r="BA18" s="15"/>
      <c r="BB18" s="36"/>
      <c r="BC18" s="24">
        <v>0</v>
      </c>
      <c r="BD18" s="18">
        <v>0</v>
      </c>
      <c r="BE18" s="18"/>
    </row>
    <row r="19" spans="1:58" x14ac:dyDescent="0.25">
      <c r="A19" s="28"/>
      <c r="B19" s="11">
        <v>42567</v>
      </c>
      <c r="C19" s="12">
        <v>114139</v>
      </c>
      <c r="D19" s="19" t="s">
        <v>401</v>
      </c>
      <c r="E19" s="20">
        <v>42567</v>
      </c>
      <c r="F19" s="13">
        <v>114139</v>
      </c>
      <c r="G19" s="14"/>
      <c r="H19" s="22">
        <v>42567</v>
      </c>
      <c r="I19" s="15">
        <v>0</v>
      </c>
      <c r="J19" s="37"/>
      <c r="K19" s="13">
        <v>0</v>
      </c>
      <c r="L19" s="18">
        <v>0</v>
      </c>
      <c r="M19" s="18"/>
      <c r="O19" s="28"/>
      <c r="P19" s="11">
        <v>42567</v>
      </c>
      <c r="Q19" s="12">
        <v>114139</v>
      </c>
      <c r="R19" s="19" t="s">
        <v>401</v>
      </c>
      <c r="S19" s="20">
        <v>42567</v>
      </c>
      <c r="T19" s="13">
        <v>114139</v>
      </c>
      <c r="U19" s="14"/>
      <c r="V19" s="22">
        <v>42567</v>
      </c>
      <c r="W19" s="15">
        <v>0</v>
      </c>
      <c r="X19" s="37"/>
      <c r="Y19" s="13">
        <v>0</v>
      </c>
      <c r="Z19" s="18">
        <v>0</v>
      </c>
      <c r="AA19" s="18"/>
      <c r="AB19" s="216"/>
      <c r="AD19" s="28"/>
      <c r="AE19" s="11">
        <v>42567</v>
      </c>
      <c r="AF19" s="12">
        <v>114139</v>
      </c>
      <c r="AG19" s="19" t="s">
        <v>401</v>
      </c>
      <c r="AH19" s="20">
        <v>42567</v>
      </c>
      <c r="AI19" s="13">
        <v>114139</v>
      </c>
      <c r="AJ19" s="14"/>
      <c r="AK19" s="22">
        <v>42567</v>
      </c>
      <c r="AL19" s="15">
        <v>0</v>
      </c>
      <c r="AM19" s="37"/>
      <c r="AN19" s="13">
        <v>0</v>
      </c>
      <c r="AO19" s="18">
        <v>0</v>
      </c>
      <c r="AP19" s="18"/>
      <c r="AQ19" s="216"/>
      <c r="AS19" s="28"/>
      <c r="AT19" s="11">
        <v>42567</v>
      </c>
      <c r="AU19" s="12"/>
      <c r="AV19" s="19"/>
      <c r="AW19" s="20">
        <v>42567</v>
      </c>
      <c r="AX19" s="13"/>
      <c r="AY19" s="14"/>
      <c r="AZ19" s="22">
        <v>42567</v>
      </c>
      <c r="BA19" s="15"/>
      <c r="BB19" s="37"/>
      <c r="BC19" s="13">
        <v>0</v>
      </c>
      <c r="BD19" s="18">
        <v>0</v>
      </c>
      <c r="BE19" s="18"/>
      <c r="BF19" s="67"/>
    </row>
    <row r="20" spans="1:58" x14ac:dyDescent="0.25">
      <c r="B20" s="11">
        <v>42568</v>
      </c>
      <c r="C20" s="12">
        <v>100336</v>
      </c>
      <c r="D20" s="19" t="s">
        <v>402</v>
      </c>
      <c r="E20" s="20">
        <v>42568</v>
      </c>
      <c r="F20" s="13">
        <v>100336</v>
      </c>
      <c r="G20" s="14"/>
      <c r="H20" s="22">
        <v>42568</v>
      </c>
      <c r="I20" s="38">
        <v>0</v>
      </c>
      <c r="J20" s="414"/>
      <c r="K20" s="39">
        <v>0</v>
      </c>
      <c r="L20" s="18">
        <v>0</v>
      </c>
      <c r="M20" s="18"/>
      <c r="P20" s="11">
        <v>42568</v>
      </c>
      <c r="Q20" s="12">
        <v>100336</v>
      </c>
      <c r="R20" s="19" t="s">
        <v>402</v>
      </c>
      <c r="S20" s="20">
        <v>42568</v>
      </c>
      <c r="T20" s="13">
        <v>100336</v>
      </c>
      <c r="U20" s="14"/>
      <c r="V20" s="22">
        <v>42568</v>
      </c>
      <c r="W20" s="38">
        <v>0</v>
      </c>
      <c r="X20" s="414"/>
      <c r="Y20" s="39">
        <v>0</v>
      </c>
      <c r="Z20" s="18">
        <v>0</v>
      </c>
      <c r="AA20" s="18"/>
      <c r="AB20" s="216"/>
      <c r="AE20" s="11">
        <v>42568</v>
      </c>
      <c r="AF20" s="12">
        <v>100336</v>
      </c>
      <c r="AG20" s="19" t="s">
        <v>402</v>
      </c>
      <c r="AH20" s="20">
        <v>42568</v>
      </c>
      <c r="AI20" s="13">
        <v>100336</v>
      </c>
      <c r="AJ20" s="14"/>
      <c r="AK20" s="22">
        <v>42568</v>
      </c>
      <c r="AL20" s="38">
        <v>0</v>
      </c>
      <c r="AM20" s="414"/>
      <c r="AN20" s="39">
        <v>0</v>
      </c>
      <c r="AO20" s="18">
        <v>0</v>
      </c>
      <c r="AP20" s="18"/>
      <c r="AQ20" s="216"/>
      <c r="AT20" s="11">
        <v>42568</v>
      </c>
      <c r="AU20" s="12"/>
      <c r="AV20" s="19"/>
      <c r="AW20" s="20">
        <v>42568</v>
      </c>
      <c r="AX20" s="13"/>
      <c r="AY20" s="14"/>
      <c r="AZ20" s="22">
        <v>42568</v>
      </c>
      <c r="BA20" s="38"/>
      <c r="BB20" s="414"/>
      <c r="BC20" s="39">
        <v>0</v>
      </c>
      <c r="BD20" s="18">
        <v>0</v>
      </c>
      <c r="BE20" s="18"/>
      <c r="BF20" s="216"/>
    </row>
    <row r="21" spans="1:58" x14ac:dyDescent="0.25">
      <c r="B21" s="11">
        <v>42569</v>
      </c>
      <c r="C21" s="12">
        <v>109477.5</v>
      </c>
      <c r="D21" s="40" t="s">
        <v>411</v>
      </c>
      <c r="E21" s="20">
        <v>42569</v>
      </c>
      <c r="F21" s="13">
        <v>109477.5</v>
      </c>
      <c r="G21" s="14"/>
      <c r="H21" s="22">
        <v>42569</v>
      </c>
      <c r="I21" s="38">
        <v>0</v>
      </c>
      <c r="J21" s="415"/>
      <c r="K21" s="24">
        <v>0</v>
      </c>
      <c r="L21" s="18">
        <v>0</v>
      </c>
      <c r="M21" s="18"/>
      <c r="P21" s="11">
        <v>42569</v>
      </c>
      <c r="Q21" s="12">
        <v>109477.5</v>
      </c>
      <c r="R21" s="40" t="s">
        <v>411</v>
      </c>
      <c r="S21" s="20">
        <v>42569</v>
      </c>
      <c r="T21" s="13">
        <v>109477.5</v>
      </c>
      <c r="U21" s="14"/>
      <c r="V21" s="22">
        <v>42569</v>
      </c>
      <c r="W21" s="38">
        <v>0</v>
      </c>
      <c r="X21" s="415"/>
      <c r="Y21" s="24">
        <v>0</v>
      </c>
      <c r="Z21" s="18">
        <v>0</v>
      </c>
      <c r="AA21" s="18"/>
      <c r="AB21" s="216"/>
      <c r="AE21" s="11">
        <v>42569</v>
      </c>
      <c r="AF21" s="12">
        <v>109477.5</v>
      </c>
      <c r="AG21" s="40" t="s">
        <v>411</v>
      </c>
      <c r="AH21" s="20">
        <v>42569</v>
      </c>
      <c r="AI21" s="13">
        <v>109477.5</v>
      </c>
      <c r="AJ21" s="14"/>
      <c r="AK21" s="22">
        <v>42569</v>
      </c>
      <c r="AL21" s="38">
        <v>0</v>
      </c>
      <c r="AM21" s="415"/>
      <c r="AN21" s="24">
        <v>0</v>
      </c>
      <c r="AO21" s="18">
        <v>0</v>
      </c>
      <c r="AP21" s="18"/>
      <c r="AQ21" s="18"/>
      <c r="AT21" s="11">
        <v>42569</v>
      </c>
      <c r="AU21" s="12"/>
      <c r="AV21" s="40"/>
      <c r="AW21" s="20">
        <v>42569</v>
      </c>
      <c r="AX21" s="13"/>
      <c r="AY21" s="14"/>
      <c r="AZ21" s="22">
        <v>42569</v>
      </c>
      <c r="BA21" s="38"/>
      <c r="BB21" s="415"/>
      <c r="BC21" s="24">
        <v>0</v>
      </c>
      <c r="BD21" s="18">
        <v>0</v>
      </c>
      <c r="BE21" s="18"/>
      <c r="BF21" s="216"/>
    </row>
    <row r="22" spans="1:58" x14ac:dyDescent="0.25">
      <c r="B22" s="11">
        <v>42570</v>
      </c>
      <c r="C22" s="12">
        <v>107498.6</v>
      </c>
      <c r="D22" s="40" t="s">
        <v>412</v>
      </c>
      <c r="E22" s="20">
        <v>42570</v>
      </c>
      <c r="F22" s="13">
        <v>107498.6</v>
      </c>
      <c r="G22" s="21"/>
      <c r="H22" s="22">
        <v>42570</v>
      </c>
      <c r="I22" s="15">
        <v>0</v>
      </c>
      <c r="J22" s="23"/>
      <c r="K22" s="24">
        <v>0</v>
      </c>
      <c r="L22" s="18">
        <v>0</v>
      </c>
      <c r="M22" s="18"/>
      <c r="P22" s="11">
        <v>42570</v>
      </c>
      <c r="Q22" s="12">
        <v>107498.6</v>
      </c>
      <c r="R22" s="40" t="s">
        <v>412</v>
      </c>
      <c r="S22" s="20">
        <v>42570</v>
      </c>
      <c r="T22" s="13">
        <v>107498.6</v>
      </c>
      <c r="U22" s="21"/>
      <c r="V22" s="22">
        <v>42570</v>
      </c>
      <c r="W22" s="15">
        <v>0</v>
      </c>
      <c r="X22" s="23"/>
      <c r="Y22" s="24">
        <v>0</v>
      </c>
      <c r="Z22" s="18">
        <v>0</v>
      </c>
      <c r="AA22" s="18"/>
      <c r="AB22" s="216"/>
      <c r="AE22" s="11">
        <v>42570</v>
      </c>
      <c r="AF22" s="12">
        <v>107498.6</v>
      </c>
      <c r="AG22" s="40" t="s">
        <v>412</v>
      </c>
      <c r="AH22" s="20">
        <v>42570</v>
      </c>
      <c r="AI22" s="230">
        <v>107498.6</v>
      </c>
      <c r="AJ22" s="21"/>
      <c r="AK22" s="22">
        <v>42570</v>
      </c>
      <c r="AL22" s="231">
        <v>0</v>
      </c>
      <c r="AM22" s="23"/>
      <c r="AN22" s="24">
        <v>0</v>
      </c>
      <c r="AO22" s="18">
        <v>0</v>
      </c>
      <c r="AP22" s="18"/>
      <c r="AQ22" s="216"/>
      <c r="AT22" s="11">
        <v>42570</v>
      </c>
      <c r="AU22" s="12"/>
      <c r="AV22" s="40"/>
      <c r="AW22" s="20">
        <v>42570</v>
      </c>
      <c r="AX22" s="13"/>
      <c r="AY22" s="21"/>
      <c r="AZ22" s="22">
        <v>42570</v>
      </c>
      <c r="BA22" s="15"/>
      <c r="BB22" s="23"/>
      <c r="BC22" s="24">
        <v>0</v>
      </c>
      <c r="BD22" s="18">
        <v>0</v>
      </c>
      <c r="BE22" s="18"/>
      <c r="BF22" s="216"/>
    </row>
    <row r="23" spans="1:58" x14ac:dyDescent="0.25">
      <c r="A23" s="28"/>
      <c r="B23" s="11">
        <v>42571</v>
      </c>
      <c r="C23" s="12">
        <v>69125</v>
      </c>
      <c r="D23" s="40" t="s">
        <v>415</v>
      </c>
      <c r="E23" s="20">
        <v>42571</v>
      </c>
      <c r="F23" s="13">
        <v>70259</v>
      </c>
      <c r="G23" s="14"/>
      <c r="H23" s="22">
        <v>42571</v>
      </c>
      <c r="I23" s="15">
        <v>90</v>
      </c>
      <c r="J23" s="23" t="s">
        <v>414</v>
      </c>
      <c r="K23" s="13">
        <v>1044</v>
      </c>
      <c r="L23" s="18">
        <v>0</v>
      </c>
      <c r="M23" s="18"/>
      <c r="O23" s="28"/>
      <c r="P23" s="11">
        <v>42571</v>
      </c>
      <c r="Q23" s="12">
        <v>69125</v>
      </c>
      <c r="R23" s="40" t="s">
        <v>415</v>
      </c>
      <c r="S23" s="20">
        <v>42571</v>
      </c>
      <c r="T23" s="13">
        <v>70259</v>
      </c>
      <c r="U23" s="14"/>
      <c r="V23" s="22">
        <v>42571</v>
      </c>
      <c r="W23" s="15">
        <v>90</v>
      </c>
      <c r="X23" s="23" t="s">
        <v>414</v>
      </c>
      <c r="Y23" s="13">
        <v>1044</v>
      </c>
      <c r="Z23" s="18">
        <v>0</v>
      </c>
      <c r="AA23" s="18"/>
      <c r="AB23" s="216"/>
      <c r="AD23" s="28"/>
      <c r="AE23" s="11">
        <v>42571</v>
      </c>
      <c r="AF23" s="12"/>
      <c r="AG23" s="40"/>
      <c r="AH23" s="20">
        <v>42571</v>
      </c>
      <c r="AI23" s="13"/>
      <c r="AJ23" s="14"/>
      <c r="AK23" s="22">
        <v>42571</v>
      </c>
      <c r="AL23" s="15"/>
      <c r="AM23" s="32"/>
      <c r="AN23" s="13">
        <v>0</v>
      </c>
      <c r="AO23" s="18">
        <v>0</v>
      </c>
      <c r="AP23" s="18"/>
      <c r="AQ23" s="216"/>
      <c r="AS23" s="28"/>
      <c r="AT23" s="11">
        <v>42571</v>
      </c>
      <c r="AU23" s="12"/>
      <c r="AV23" s="40"/>
      <c r="AW23" s="20">
        <v>42571</v>
      </c>
      <c r="AX23" s="13"/>
      <c r="AY23" s="14"/>
      <c r="AZ23" s="22">
        <v>42571</v>
      </c>
      <c r="BA23" s="15"/>
      <c r="BB23" s="32"/>
      <c r="BC23" s="13">
        <v>0</v>
      </c>
      <c r="BD23" s="18">
        <v>0</v>
      </c>
      <c r="BE23" s="18"/>
      <c r="BF23" s="216"/>
    </row>
    <row r="24" spans="1:58" x14ac:dyDescent="0.25">
      <c r="A24" s="28"/>
      <c r="B24" s="11">
        <v>42572</v>
      </c>
      <c r="C24" s="12">
        <v>194707.3</v>
      </c>
      <c r="D24" s="40" t="s">
        <v>416</v>
      </c>
      <c r="E24" s="20">
        <v>42572</v>
      </c>
      <c r="F24" s="13">
        <v>194707.3</v>
      </c>
      <c r="G24" s="14"/>
      <c r="H24" s="22">
        <v>42572</v>
      </c>
      <c r="I24" s="15">
        <v>0</v>
      </c>
      <c r="J24" s="34"/>
      <c r="K24" s="24"/>
      <c r="L24" s="18">
        <v>0</v>
      </c>
      <c r="M24" s="18"/>
      <c r="O24" s="28"/>
      <c r="P24" s="11">
        <v>42572</v>
      </c>
      <c r="Q24" s="12">
        <v>194707.3</v>
      </c>
      <c r="R24" s="40" t="s">
        <v>416</v>
      </c>
      <c r="S24" s="20">
        <v>42572</v>
      </c>
      <c r="T24" s="13">
        <v>194707.3</v>
      </c>
      <c r="U24" s="14"/>
      <c r="V24" s="22">
        <v>42572</v>
      </c>
      <c r="W24" s="15">
        <v>0</v>
      </c>
      <c r="X24" s="34"/>
      <c r="Y24" s="24"/>
      <c r="Z24" s="18">
        <v>0</v>
      </c>
      <c r="AA24" s="18"/>
      <c r="AB24" s="216"/>
      <c r="AD24" s="28"/>
      <c r="AE24" s="11">
        <v>42572</v>
      </c>
      <c r="AF24" s="12"/>
      <c r="AG24" s="40"/>
      <c r="AH24" s="20">
        <v>42572</v>
      </c>
      <c r="AI24" s="13"/>
      <c r="AJ24" s="14"/>
      <c r="AK24" s="22">
        <v>42572</v>
      </c>
      <c r="AL24" s="15"/>
      <c r="AM24" s="34"/>
      <c r="AN24" s="24"/>
      <c r="AO24" s="18">
        <v>0</v>
      </c>
      <c r="AP24" s="18"/>
      <c r="AQ24" s="216"/>
      <c r="AS24" s="28"/>
      <c r="AT24" s="11">
        <v>42572</v>
      </c>
      <c r="AU24" s="12"/>
      <c r="AV24" s="40"/>
      <c r="AW24" s="20">
        <v>42572</v>
      </c>
      <c r="AX24" s="13"/>
      <c r="AY24" s="14"/>
      <c r="AZ24" s="22">
        <v>42572</v>
      </c>
      <c r="BA24" s="15"/>
      <c r="BB24" s="34"/>
      <c r="BC24" s="24"/>
      <c r="BD24" s="18">
        <v>0</v>
      </c>
      <c r="BE24" s="18"/>
      <c r="BF24" s="216"/>
    </row>
    <row r="25" spans="1:58" x14ac:dyDescent="0.25">
      <c r="B25" s="11">
        <v>42573</v>
      </c>
      <c r="C25" s="12">
        <v>75523</v>
      </c>
      <c r="D25" s="19" t="s">
        <v>418</v>
      </c>
      <c r="E25" s="20">
        <v>42573</v>
      </c>
      <c r="F25" s="13">
        <v>75523</v>
      </c>
      <c r="G25" s="14"/>
      <c r="H25" s="22">
        <v>42573</v>
      </c>
      <c r="I25" s="15">
        <v>0</v>
      </c>
      <c r="J25" s="23"/>
      <c r="K25" s="24"/>
      <c r="L25" s="18">
        <v>0</v>
      </c>
      <c r="M25" s="18"/>
      <c r="P25" s="11">
        <v>42573</v>
      </c>
      <c r="Q25" s="12">
        <v>75523</v>
      </c>
      <c r="R25" s="19" t="s">
        <v>418</v>
      </c>
      <c r="S25" s="20">
        <v>42573</v>
      </c>
      <c r="T25" s="13">
        <v>75523</v>
      </c>
      <c r="U25" s="14"/>
      <c r="V25" s="22">
        <v>42573</v>
      </c>
      <c r="W25" s="15">
        <v>0</v>
      </c>
      <c r="X25" s="23"/>
      <c r="Y25" s="24"/>
      <c r="Z25" s="18">
        <v>0</v>
      </c>
      <c r="AA25" s="18"/>
      <c r="AB25" s="216"/>
      <c r="AE25" s="11">
        <v>42573</v>
      </c>
      <c r="AF25" s="12"/>
      <c r="AG25" s="19"/>
      <c r="AH25" s="20">
        <v>42573</v>
      </c>
      <c r="AI25" s="13"/>
      <c r="AJ25" s="14"/>
      <c r="AK25" s="22">
        <v>42573</v>
      </c>
      <c r="AL25" s="15"/>
      <c r="AM25" s="23"/>
      <c r="AN25" s="24"/>
      <c r="AO25" s="18">
        <v>0</v>
      </c>
      <c r="AP25" s="18"/>
      <c r="AQ25" s="216"/>
      <c r="AT25" s="11">
        <v>42573</v>
      </c>
      <c r="AU25" s="12"/>
      <c r="AV25" s="19"/>
      <c r="AW25" s="20">
        <v>42573</v>
      </c>
      <c r="AX25" s="13"/>
      <c r="AY25" s="14"/>
      <c r="AZ25" s="22">
        <v>42573</v>
      </c>
      <c r="BA25" s="15"/>
      <c r="BB25" s="23"/>
      <c r="BC25" s="24"/>
      <c r="BD25" s="18">
        <v>0</v>
      </c>
      <c r="BE25" s="18"/>
      <c r="BF25" s="18"/>
    </row>
    <row r="26" spans="1:58" x14ac:dyDescent="0.25">
      <c r="B26" s="11">
        <v>42574</v>
      </c>
      <c r="C26" s="12">
        <v>33494</v>
      </c>
      <c r="D26" s="19" t="s">
        <v>419</v>
      </c>
      <c r="E26" s="20">
        <v>42574</v>
      </c>
      <c r="F26" s="13">
        <v>33494</v>
      </c>
      <c r="G26" s="14"/>
      <c r="H26" s="22">
        <v>42574</v>
      </c>
      <c r="I26" s="15">
        <v>0</v>
      </c>
      <c r="J26" s="23"/>
      <c r="K26" s="24"/>
      <c r="L26" s="18">
        <v>0</v>
      </c>
      <c r="M26" s="18"/>
      <c r="P26" s="11">
        <v>42574</v>
      </c>
      <c r="Q26" s="12">
        <v>33494</v>
      </c>
      <c r="R26" s="19" t="s">
        <v>419</v>
      </c>
      <c r="S26" s="20">
        <v>42574</v>
      </c>
      <c r="T26" s="13">
        <v>33494</v>
      </c>
      <c r="U26" s="14"/>
      <c r="V26" s="22">
        <v>42574</v>
      </c>
      <c r="W26" s="15">
        <v>0</v>
      </c>
      <c r="X26" s="23"/>
      <c r="Y26" s="24"/>
      <c r="Z26" s="18">
        <v>0</v>
      </c>
      <c r="AA26" s="18"/>
      <c r="AB26" s="216"/>
      <c r="AE26" s="11">
        <v>42574</v>
      </c>
      <c r="AF26" s="12"/>
      <c r="AG26" s="19"/>
      <c r="AH26" s="20">
        <v>42574</v>
      </c>
      <c r="AI26" s="13"/>
      <c r="AJ26" s="14"/>
      <c r="AK26" s="22">
        <v>42574</v>
      </c>
      <c r="AL26" s="15"/>
      <c r="AM26" s="23"/>
      <c r="AN26" s="24"/>
      <c r="AO26" s="18">
        <v>0</v>
      </c>
      <c r="AP26" s="18"/>
      <c r="AQ26" s="216"/>
      <c r="AT26" s="11">
        <v>42574</v>
      </c>
      <c r="AU26" s="12"/>
      <c r="AV26" s="19"/>
      <c r="AW26" s="20">
        <v>42574</v>
      </c>
      <c r="AX26" s="13"/>
      <c r="AY26" s="14"/>
      <c r="AZ26" s="22">
        <v>42574</v>
      </c>
      <c r="BA26" s="15"/>
      <c r="BB26" s="23"/>
      <c r="BC26" s="24"/>
      <c r="BD26" s="18">
        <v>0</v>
      </c>
      <c r="BE26" s="18"/>
      <c r="BF26" s="216"/>
    </row>
    <row r="27" spans="1:58" x14ac:dyDescent="0.25">
      <c r="B27" s="11">
        <v>42575</v>
      </c>
      <c r="C27" s="12">
        <v>37583.5</v>
      </c>
      <c r="D27" s="19" t="s">
        <v>445</v>
      </c>
      <c r="E27" s="20">
        <v>42575</v>
      </c>
      <c r="F27" s="13">
        <v>37649.5</v>
      </c>
      <c r="G27" s="14"/>
      <c r="H27" s="22">
        <v>42575</v>
      </c>
      <c r="I27" s="15">
        <v>66</v>
      </c>
      <c r="J27" s="23"/>
      <c r="K27" s="24"/>
      <c r="L27" s="18">
        <v>0</v>
      </c>
      <c r="M27" s="18"/>
      <c r="P27" s="11">
        <v>42575</v>
      </c>
      <c r="Q27" s="12">
        <v>37583.5</v>
      </c>
      <c r="R27" s="19" t="s">
        <v>445</v>
      </c>
      <c r="S27" s="20">
        <v>42575</v>
      </c>
      <c r="T27" s="13">
        <v>37649.5</v>
      </c>
      <c r="U27" s="14"/>
      <c r="V27" s="22">
        <v>42575</v>
      </c>
      <c r="W27" s="15">
        <v>66</v>
      </c>
      <c r="X27" s="23"/>
      <c r="Y27" s="24"/>
      <c r="Z27" s="18">
        <v>0</v>
      </c>
      <c r="AA27" s="18"/>
      <c r="AB27" s="216"/>
      <c r="AE27" s="11">
        <v>42575</v>
      </c>
      <c r="AF27" s="12"/>
      <c r="AG27" s="19"/>
      <c r="AH27" s="20">
        <v>42575</v>
      </c>
      <c r="AI27" s="13"/>
      <c r="AJ27" s="14"/>
      <c r="AK27" s="22">
        <v>42575</v>
      </c>
      <c r="AL27" s="15"/>
      <c r="AM27" s="23"/>
      <c r="AN27" s="24"/>
      <c r="AO27" s="18">
        <v>0</v>
      </c>
      <c r="AP27" s="18"/>
      <c r="AQ27" s="216"/>
      <c r="AT27" s="11">
        <v>42575</v>
      </c>
      <c r="AU27" s="12"/>
      <c r="AV27" s="19"/>
      <c r="AW27" s="20">
        <v>42575</v>
      </c>
      <c r="AX27" s="13"/>
      <c r="AY27" s="14"/>
      <c r="AZ27" s="22">
        <v>42575</v>
      </c>
      <c r="BA27" s="15"/>
      <c r="BB27" s="23"/>
      <c r="BC27" s="24"/>
      <c r="BD27" s="18">
        <v>0</v>
      </c>
      <c r="BE27" s="18"/>
      <c r="BF27" s="216"/>
    </row>
    <row r="28" spans="1:58" x14ac:dyDescent="0.25">
      <c r="B28" s="11">
        <v>42576</v>
      </c>
      <c r="C28" s="12">
        <v>79991</v>
      </c>
      <c r="D28" s="19" t="s">
        <v>447</v>
      </c>
      <c r="E28" s="20">
        <v>42576</v>
      </c>
      <c r="F28" s="13">
        <v>79991</v>
      </c>
      <c r="G28" s="14"/>
      <c r="H28" s="22">
        <v>42576</v>
      </c>
      <c r="I28" s="15">
        <v>0</v>
      </c>
      <c r="J28" s="23"/>
      <c r="K28" s="24"/>
      <c r="L28" s="18">
        <v>0</v>
      </c>
      <c r="M28" s="18"/>
      <c r="P28" s="11">
        <v>42576</v>
      </c>
      <c r="Q28" s="12">
        <v>79991</v>
      </c>
      <c r="R28" s="19" t="s">
        <v>447</v>
      </c>
      <c r="S28" s="20">
        <v>42576</v>
      </c>
      <c r="T28" s="13">
        <v>79991</v>
      </c>
      <c r="U28" s="14"/>
      <c r="V28" s="22">
        <v>42576</v>
      </c>
      <c r="W28" s="15">
        <v>0</v>
      </c>
      <c r="X28" s="23"/>
      <c r="Y28" s="24"/>
      <c r="Z28" s="18">
        <v>0</v>
      </c>
      <c r="AA28" s="18"/>
      <c r="AB28" s="216"/>
      <c r="AE28" s="11">
        <v>42576</v>
      </c>
      <c r="AF28" s="12"/>
      <c r="AG28" s="19"/>
      <c r="AH28" s="20">
        <v>42576</v>
      </c>
      <c r="AI28" s="13"/>
      <c r="AJ28" s="14"/>
      <c r="AK28" s="22">
        <v>42576</v>
      </c>
      <c r="AL28" s="15"/>
      <c r="AM28" s="23"/>
      <c r="AN28" s="24"/>
      <c r="AO28" s="18">
        <v>0</v>
      </c>
      <c r="AP28" s="18"/>
      <c r="AQ28" s="216"/>
      <c r="AT28" s="11">
        <v>42576</v>
      </c>
      <c r="AU28" s="12"/>
      <c r="AV28" s="19"/>
      <c r="AW28" s="20">
        <v>42576</v>
      </c>
      <c r="AX28" s="13"/>
      <c r="AY28" s="14"/>
      <c r="AZ28" s="22">
        <v>42576</v>
      </c>
      <c r="BA28" s="15"/>
      <c r="BB28" s="23"/>
      <c r="BC28" s="24"/>
      <c r="BD28" s="18">
        <v>0</v>
      </c>
      <c r="BE28" s="18"/>
      <c r="BF28" s="216"/>
    </row>
    <row r="29" spans="1:58" x14ac:dyDescent="0.25">
      <c r="B29" s="11">
        <v>42577</v>
      </c>
      <c r="C29" s="12">
        <v>159770</v>
      </c>
      <c r="D29" s="19" t="s">
        <v>449</v>
      </c>
      <c r="E29" s="20">
        <v>42577</v>
      </c>
      <c r="F29" s="13">
        <v>159770</v>
      </c>
      <c r="G29" s="14"/>
      <c r="H29" s="22">
        <v>42577</v>
      </c>
      <c r="I29" s="15">
        <v>0</v>
      </c>
      <c r="J29" s="23"/>
      <c r="K29" s="24"/>
      <c r="L29" s="18">
        <v>0</v>
      </c>
      <c r="M29" s="18"/>
      <c r="P29" s="11">
        <v>42577</v>
      </c>
      <c r="Q29" s="12">
        <v>159770</v>
      </c>
      <c r="R29" s="19" t="s">
        <v>449</v>
      </c>
      <c r="S29" s="20">
        <v>42577</v>
      </c>
      <c r="T29" s="230">
        <v>159770</v>
      </c>
      <c r="U29" s="14"/>
      <c r="V29" s="22">
        <v>42577</v>
      </c>
      <c r="W29" s="231">
        <v>0</v>
      </c>
      <c r="X29" s="23"/>
      <c r="Y29" s="24"/>
      <c r="Z29" s="18">
        <v>0</v>
      </c>
      <c r="AA29" s="18"/>
      <c r="AB29" s="216"/>
      <c r="AE29" s="11">
        <v>42577</v>
      </c>
      <c r="AF29" s="12"/>
      <c r="AG29" s="19"/>
      <c r="AH29" s="20">
        <v>42577</v>
      </c>
      <c r="AI29" s="13"/>
      <c r="AJ29" s="14"/>
      <c r="AK29" s="22">
        <v>42577</v>
      </c>
      <c r="AL29" s="15"/>
      <c r="AM29" s="23"/>
      <c r="AN29" s="24"/>
      <c r="AO29" s="18"/>
      <c r="AP29" s="18"/>
      <c r="AQ29" s="216"/>
      <c r="AT29" s="11">
        <v>42577</v>
      </c>
      <c r="AU29" s="12"/>
      <c r="AV29" s="19"/>
      <c r="AW29" s="20">
        <v>42577</v>
      </c>
      <c r="AX29" s="13"/>
      <c r="AY29" s="14"/>
      <c r="AZ29" s="22">
        <v>42577</v>
      </c>
      <c r="BA29" s="15"/>
      <c r="BB29" s="23"/>
      <c r="BC29" s="24"/>
      <c r="BD29" s="18"/>
      <c r="BE29" s="18"/>
      <c r="BF29" s="216"/>
    </row>
    <row r="30" spans="1:58" x14ac:dyDescent="0.25">
      <c r="B30" s="11">
        <v>42578</v>
      </c>
      <c r="C30" s="12">
        <v>59274</v>
      </c>
      <c r="D30" s="19" t="s">
        <v>450</v>
      </c>
      <c r="E30" s="20">
        <v>42578</v>
      </c>
      <c r="F30" s="13">
        <v>59274.2</v>
      </c>
      <c r="G30" s="14"/>
      <c r="H30" s="22">
        <v>42578</v>
      </c>
      <c r="I30" s="15">
        <v>0</v>
      </c>
      <c r="J30" s="23"/>
      <c r="K30" s="24"/>
      <c r="L30" s="18">
        <v>0</v>
      </c>
      <c r="M30" s="18"/>
      <c r="P30" s="11">
        <v>42578</v>
      </c>
      <c r="Q30" s="12"/>
      <c r="R30" s="19"/>
      <c r="S30" s="20">
        <v>42578</v>
      </c>
      <c r="T30" s="13"/>
      <c r="U30" s="14"/>
      <c r="V30" s="22">
        <v>42578</v>
      </c>
      <c r="W30" s="15"/>
      <c r="X30" s="23"/>
      <c r="Y30" s="24"/>
      <c r="Z30" s="18"/>
      <c r="AA30" s="18"/>
      <c r="AB30" s="216"/>
      <c r="AE30" s="11">
        <v>42578</v>
      </c>
      <c r="AF30" s="12"/>
      <c r="AG30" s="19"/>
      <c r="AH30" s="20">
        <v>42578</v>
      </c>
      <c r="AI30" s="13"/>
      <c r="AJ30" s="14"/>
      <c r="AK30" s="22">
        <v>42578</v>
      </c>
      <c r="AL30" s="15"/>
      <c r="AM30" s="23"/>
      <c r="AN30" s="24"/>
      <c r="AO30" s="18"/>
      <c r="AP30" s="18"/>
      <c r="AQ30" s="216"/>
      <c r="AT30" s="11">
        <v>42578</v>
      </c>
      <c r="AU30" s="12"/>
      <c r="AV30" s="19"/>
      <c r="AW30" s="20">
        <v>42578</v>
      </c>
      <c r="AX30" s="13"/>
      <c r="AY30" s="14"/>
      <c r="AZ30" s="22">
        <v>42578</v>
      </c>
      <c r="BA30" s="15"/>
      <c r="BB30" s="23"/>
      <c r="BC30" s="24"/>
      <c r="BD30" s="18"/>
      <c r="BE30" s="18"/>
      <c r="BF30" s="216"/>
    </row>
    <row r="31" spans="1:58" x14ac:dyDescent="0.25">
      <c r="B31" s="11">
        <v>42579</v>
      </c>
      <c r="C31" s="12">
        <v>26704</v>
      </c>
      <c r="D31" s="19" t="s">
        <v>450</v>
      </c>
      <c r="E31" s="20">
        <v>42579</v>
      </c>
      <c r="F31" s="13">
        <v>26704</v>
      </c>
      <c r="G31" s="14"/>
      <c r="H31" s="22">
        <v>42579</v>
      </c>
      <c r="I31" s="15">
        <v>0</v>
      </c>
      <c r="J31" s="23"/>
      <c r="K31" s="24"/>
      <c r="L31" s="18">
        <v>0</v>
      </c>
      <c r="M31" s="18"/>
      <c r="P31" s="11">
        <v>42579</v>
      </c>
      <c r="Q31" s="12"/>
      <c r="R31" s="19"/>
      <c r="S31" s="20">
        <v>42579</v>
      </c>
      <c r="T31" s="13"/>
      <c r="U31" s="14"/>
      <c r="V31" s="22">
        <v>42579</v>
      </c>
      <c r="W31" s="15"/>
      <c r="X31" s="23"/>
      <c r="Y31" s="24"/>
      <c r="Z31" s="18"/>
      <c r="AA31" s="18"/>
      <c r="AB31" s="216"/>
      <c r="AE31" s="11">
        <v>42579</v>
      </c>
      <c r="AF31" s="12"/>
      <c r="AG31" s="19"/>
      <c r="AH31" s="20">
        <v>42579</v>
      </c>
      <c r="AI31" s="13"/>
      <c r="AJ31" s="14"/>
      <c r="AK31" s="22">
        <v>42579</v>
      </c>
      <c r="AL31" s="15"/>
      <c r="AM31" s="23"/>
      <c r="AN31" s="24"/>
      <c r="AO31" s="18"/>
      <c r="AP31" s="18"/>
      <c r="AQ31" s="216"/>
      <c r="AT31" s="11">
        <v>42579</v>
      </c>
      <c r="AU31" s="12"/>
      <c r="AV31" s="19"/>
      <c r="AW31" s="20">
        <v>42579</v>
      </c>
      <c r="AX31" s="13"/>
      <c r="AY31" s="14"/>
      <c r="AZ31" s="22">
        <v>42579</v>
      </c>
      <c r="BA31" s="15"/>
      <c r="BB31" s="23"/>
      <c r="BC31" s="24"/>
      <c r="BD31" s="18"/>
      <c r="BE31" s="18"/>
      <c r="BF31" s="216"/>
    </row>
    <row r="32" spans="1:58" x14ac:dyDescent="0.25">
      <c r="B32" s="11">
        <v>42580</v>
      </c>
      <c r="C32" s="12">
        <v>73907.5</v>
      </c>
      <c r="D32" s="42" t="s">
        <v>451</v>
      </c>
      <c r="E32" s="20">
        <v>42580</v>
      </c>
      <c r="F32" s="13">
        <v>73907.5</v>
      </c>
      <c r="G32" s="14"/>
      <c r="H32" s="22">
        <v>42580</v>
      </c>
      <c r="I32" s="15">
        <v>0</v>
      </c>
      <c r="J32" s="23"/>
      <c r="K32" s="24"/>
      <c r="L32" s="18">
        <v>0</v>
      </c>
      <c r="M32" s="18"/>
      <c r="P32" s="11">
        <v>42580</v>
      </c>
      <c r="Q32" s="12"/>
      <c r="R32" s="42"/>
      <c r="S32" s="20">
        <v>42580</v>
      </c>
      <c r="T32" s="13"/>
      <c r="U32" s="14"/>
      <c r="V32" s="22">
        <v>42580</v>
      </c>
      <c r="W32" s="15"/>
      <c r="X32" s="23"/>
      <c r="Y32" s="24"/>
      <c r="Z32" s="18"/>
      <c r="AA32" s="18"/>
      <c r="AB32" s="216"/>
      <c r="AE32" s="11">
        <v>42580</v>
      </c>
      <c r="AF32" s="12"/>
      <c r="AG32" s="42"/>
      <c r="AH32" s="20">
        <v>42580</v>
      </c>
      <c r="AI32" s="13"/>
      <c r="AJ32" s="14"/>
      <c r="AK32" s="22">
        <v>42580</v>
      </c>
      <c r="AL32" s="15"/>
      <c r="AM32" s="23"/>
      <c r="AN32" s="24"/>
      <c r="AO32" s="18"/>
      <c r="AP32" s="18"/>
      <c r="AQ32" s="216"/>
      <c r="AT32" s="11">
        <v>42580</v>
      </c>
      <c r="AU32" s="12"/>
      <c r="AV32" s="42"/>
      <c r="AW32" s="20">
        <v>42580</v>
      </c>
      <c r="AX32" s="13"/>
      <c r="AY32" s="14"/>
      <c r="AZ32" s="22">
        <v>42580</v>
      </c>
      <c r="BA32" s="15"/>
      <c r="BB32" s="23"/>
      <c r="BC32" s="24"/>
      <c r="BD32" s="18"/>
      <c r="BE32" s="18"/>
      <c r="BF32" s="216"/>
    </row>
    <row r="33" spans="1:58" x14ac:dyDescent="0.25">
      <c r="B33" s="11">
        <v>42581</v>
      </c>
      <c r="C33" s="12">
        <v>59475</v>
      </c>
      <c r="D33" s="19" t="s">
        <v>453</v>
      </c>
      <c r="E33" s="20">
        <v>42581</v>
      </c>
      <c r="F33" s="13">
        <v>59475</v>
      </c>
      <c r="G33" s="14"/>
      <c r="H33" s="22">
        <v>42581</v>
      </c>
      <c r="I33" s="15">
        <v>0</v>
      </c>
      <c r="J33" s="23"/>
      <c r="K33" s="24"/>
      <c r="L33" s="18">
        <v>0</v>
      </c>
      <c r="M33" s="18"/>
      <c r="P33" s="11">
        <v>42581</v>
      </c>
      <c r="Q33" s="12"/>
      <c r="R33" s="19"/>
      <c r="S33" s="20">
        <v>42581</v>
      </c>
      <c r="T33" s="13"/>
      <c r="U33" s="14"/>
      <c r="V33" s="22">
        <v>42581</v>
      </c>
      <c r="W33" s="15"/>
      <c r="X33" s="23"/>
      <c r="Y33" s="24"/>
      <c r="Z33" s="18"/>
      <c r="AA33" s="18"/>
      <c r="AB33" s="216"/>
      <c r="AE33" s="11">
        <v>42581</v>
      </c>
      <c r="AF33" s="12"/>
      <c r="AG33" s="19"/>
      <c r="AH33" s="20">
        <v>42581</v>
      </c>
      <c r="AI33" s="13"/>
      <c r="AJ33" s="14"/>
      <c r="AK33" s="22">
        <v>42581</v>
      </c>
      <c r="AL33" s="15"/>
      <c r="AM33" s="23"/>
      <c r="AN33" s="24"/>
      <c r="AO33" s="18"/>
      <c r="AP33" s="18"/>
      <c r="AQ33" s="216"/>
      <c r="AT33" s="11">
        <v>42581</v>
      </c>
      <c r="AU33" s="12"/>
      <c r="AV33" s="19"/>
      <c r="AW33" s="20">
        <v>42581</v>
      </c>
      <c r="AX33" s="13"/>
      <c r="AY33" s="14"/>
      <c r="AZ33" s="22">
        <v>42581</v>
      </c>
      <c r="BA33" s="15"/>
      <c r="BB33" s="23"/>
      <c r="BC33" s="24"/>
      <c r="BD33" s="18"/>
      <c r="BE33" s="18"/>
      <c r="BF33" s="216"/>
    </row>
    <row r="34" spans="1:58" ht="15.75" thickBot="1" x14ac:dyDescent="0.3">
      <c r="A34" s="28"/>
      <c r="B34" s="11">
        <v>42582</v>
      </c>
      <c r="C34" s="12">
        <v>72334</v>
      </c>
      <c r="D34" s="19" t="s">
        <v>454</v>
      </c>
      <c r="E34" s="20">
        <v>42582</v>
      </c>
      <c r="F34" s="13">
        <v>72721</v>
      </c>
      <c r="G34" s="14"/>
      <c r="H34" s="22">
        <v>42582</v>
      </c>
      <c r="I34" s="15">
        <v>75</v>
      </c>
      <c r="J34" s="23"/>
      <c r="K34" s="24"/>
      <c r="L34" s="18">
        <v>0</v>
      </c>
      <c r="M34" s="18"/>
      <c r="O34" s="28"/>
      <c r="P34" s="11">
        <v>42582</v>
      </c>
      <c r="Q34" s="12"/>
      <c r="R34" s="19"/>
      <c r="S34" s="20">
        <v>42582</v>
      </c>
      <c r="T34" s="13"/>
      <c r="U34" s="14"/>
      <c r="V34" s="22">
        <v>42582</v>
      </c>
      <c r="W34" s="15"/>
      <c r="X34" s="23"/>
      <c r="Y34" s="24"/>
      <c r="Z34" s="18"/>
      <c r="AA34" s="18"/>
      <c r="AB34" s="216"/>
      <c r="AD34" s="28"/>
      <c r="AE34" s="11">
        <v>42582</v>
      </c>
      <c r="AF34" s="12"/>
      <c r="AG34" s="19"/>
      <c r="AH34" s="20">
        <v>42582</v>
      </c>
      <c r="AI34" s="13"/>
      <c r="AJ34" s="14"/>
      <c r="AK34" s="22">
        <v>42582</v>
      </c>
      <c r="AL34" s="15"/>
      <c r="AM34" s="23"/>
      <c r="AN34" s="24"/>
      <c r="AO34" s="18"/>
      <c r="AP34" s="18"/>
      <c r="AQ34" s="216"/>
      <c r="AS34" s="28"/>
      <c r="AT34" s="11">
        <v>42582</v>
      </c>
      <c r="AU34" s="12"/>
      <c r="AV34" s="19"/>
      <c r="AW34" s="20">
        <v>42582</v>
      </c>
      <c r="AX34" s="13"/>
      <c r="AY34" s="14"/>
      <c r="AZ34" s="22">
        <v>42582</v>
      </c>
      <c r="BA34" s="15"/>
      <c r="BB34" s="23"/>
      <c r="BC34" s="24"/>
      <c r="BD34" s="18"/>
      <c r="BE34" s="18"/>
      <c r="BF34" s="216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50"/>
      <c r="AB35" s="272"/>
      <c r="AD35" s="43"/>
      <c r="AE35" s="44"/>
      <c r="AF35" s="45">
        <v>0</v>
      </c>
      <c r="AG35" s="46"/>
      <c r="AH35" s="47"/>
      <c r="AI35" s="24">
        <v>0</v>
      </c>
      <c r="AK35" s="48"/>
      <c r="AL35" s="49"/>
      <c r="AM35" s="23"/>
      <c r="AN35" s="24"/>
      <c r="AO35" s="50">
        <v>0</v>
      </c>
      <c r="AP35" s="50"/>
      <c r="AQ35" s="216"/>
      <c r="AS35" s="43"/>
      <c r="AT35" s="44"/>
      <c r="AU35" s="45">
        <v>0</v>
      </c>
      <c r="AV35" s="46"/>
      <c r="AW35" s="47"/>
      <c r="AX35" s="24">
        <v>0</v>
      </c>
      <c r="AZ35" s="48"/>
      <c r="BA35" s="49"/>
      <c r="BB35" s="23"/>
      <c r="BC35" s="24"/>
      <c r="BD35" s="50">
        <v>0</v>
      </c>
      <c r="BE35" s="50"/>
      <c r="BF35" s="216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50"/>
      <c r="AB36" s="67"/>
      <c r="AD36" s="51"/>
      <c r="AE36" s="52" t="s">
        <v>0</v>
      </c>
      <c r="AF36" s="53">
        <v>0</v>
      </c>
      <c r="AG36" s="46"/>
      <c r="AH36" s="54"/>
      <c r="AI36" s="55">
        <v>0</v>
      </c>
      <c r="AK36" s="56"/>
      <c r="AL36" s="57">
        <v>0</v>
      </c>
      <c r="AM36" s="58"/>
      <c r="AN36" s="55"/>
      <c r="AO36" s="59">
        <v>0</v>
      </c>
      <c r="AP36" s="50"/>
      <c r="AQ36" s="216"/>
      <c r="AS36" s="51"/>
      <c r="AT36" s="52" t="s">
        <v>0</v>
      </c>
      <c r="AU36" s="53">
        <v>0</v>
      </c>
      <c r="AV36" s="46"/>
      <c r="AW36" s="54"/>
      <c r="AX36" s="55">
        <v>0</v>
      </c>
      <c r="AZ36" s="56"/>
      <c r="BA36" s="57">
        <v>0</v>
      </c>
      <c r="BB36" s="58"/>
      <c r="BC36" s="55"/>
      <c r="BD36" s="59">
        <v>0</v>
      </c>
      <c r="BE36" s="50"/>
      <c r="BF36" s="216"/>
    </row>
    <row r="37" spans="1:58" x14ac:dyDescent="0.25">
      <c r="B37" s="60" t="s">
        <v>11</v>
      </c>
      <c r="C37" s="61">
        <f>SUM(C4:C36)</f>
        <v>3124013.56</v>
      </c>
      <c r="D37" s="46"/>
      <c r="E37" s="62" t="s">
        <v>11</v>
      </c>
      <c r="F37" s="63">
        <f>SUM(F4:F36)</f>
        <v>3158364.8000000003</v>
      </c>
      <c r="H37" s="1" t="s">
        <v>11</v>
      </c>
      <c r="I37" s="64">
        <f>SUM(I4:I36)</f>
        <v>2943</v>
      </c>
      <c r="J37" s="64"/>
      <c r="K37" s="64">
        <f t="shared" ref="K37" si="0">SUM(K4:K36)</f>
        <v>93398.73000000001</v>
      </c>
      <c r="L37" s="2">
        <f>SUM(L4:L36)</f>
        <v>31.5</v>
      </c>
      <c r="M37" s="2"/>
      <c r="P37" s="60" t="s">
        <v>11</v>
      </c>
      <c r="Q37" s="61">
        <f>SUM(Q4:Q36)</f>
        <v>2832319.06</v>
      </c>
      <c r="R37" s="46"/>
      <c r="S37" s="62" t="s">
        <v>11</v>
      </c>
      <c r="T37" s="63">
        <f>SUM(T4:T36)</f>
        <v>2866283.1</v>
      </c>
      <c r="V37" s="1" t="s">
        <v>11</v>
      </c>
      <c r="W37" s="64">
        <f>SUM(W4:W36)</f>
        <v>2868</v>
      </c>
      <c r="X37" s="64"/>
      <c r="Y37" s="64">
        <f t="shared" ref="Y37" si="1">SUM(Y4:Y36)</f>
        <v>79349.259999999995</v>
      </c>
      <c r="Z37" s="2">
        <f>SUM(Z4:Z36)</f>
        <v>31.5</v>
      </c>
      <c r="AA37" s="2"/>
      <c r="AE37" s="60" t="s">
        <v>11</v>
      </c>
      <c r="AF37" s="61">
        <f>SUM(AF4:AF36)</f>
        <v>2182125.2600000002</v>
      </c>
      <c r="AG37" s="46"/>
      <c r="AH37" s="62" t="s">
        <v>11</v>
      </c>
      <c r="AI37" s="63">
        <f>SUM(AI4:AI36)</f>
        <v>2214889.3000000003</v>
      </c>
      <c r="AK37" s="1" t="s">
        <v>11</v>
      </c>
      <c r="AL37" s="64">
        <f>SUM(AL4:AL36)</f>
        <v>2712</v>
      </c>
      <c r="AM37" s="64"/>
      <c r="AN37" s="64">
        <f t="shared" ref="AN37" si="2">SUM(AN4:AN36)</f>
        <v>63868.649999999994</v>
      </c>
      <c r="AO37" s="2">
        <f>SUM(AO4:AO36)</f>
        <v>31.5</v>
      </c>
      <c r="AP37" s="2"/>
      <c r="AQ37" s="272"/>
      <c r="AT37" s="60" t="s">
        <v>11</v>
      </c>
      <c r="AU37" s="61">
        <f>SUM(AU4:AU36)</f>
        <v>1421091.1600000001</v>
      </c>
      <c r="AV37" s="46"/>
      <c r="AW37" s="62" t="s">
        <v>11</v>
      </c>
      <c r="AX37" s="63">
        <f>SUM(AX4:AX36)</f>
        <v>1452989.3</v>
      </c>
      <c r="AZ37" s="1" t="s">
        <v>11</v>
      </c>
      <c r="BA37" s="64">
        <f>SUM(BA4:BA36)</f>
        <v>2646</v>
      </c>
      <c r="BB37" s="64"/>
      <c r="BC37" s="64">
        <f t="shared" ref="BC37" si="3">SUM(BC4:BC36)</f>
        <v>50335.549999999996</v>
      </c>
      <c r="BD37" s="2">
        <f>SUM(BD4:BD36)</f>
        <v>31.5</v>
      </c>
      <c r="BE37" s="2"/>
      <c r="BF37" s="272"/>
    </row>
    <row r="38" spans="1:58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M38" s="2"/>
      <c r="O38" s="416"/>
      <c r="P38" s="416"/>
      <c r="Q38" s="50"/>
      <c r="S38" s="1"/>
      <c r="T38" s="1"/>
      <c r="V38" s="1"/>
      <c r="W38" s="64"/>
      <c r="X38" s="1"/>
      <c r="Y38" s="64"/>
      <c r="Z38" s="2"/>
      <c r="AA38" s="2"/>
      <c r="AD38" s="416"/>
      <c r="AE38" s="416"/>
      <c r="AF38" s="50"/>
      <c r="AH38" s="1"/>
      <c r="AI38" s="1"/>
      <c r="AK38" s="1"/>
      <c r="AL38" s="64"/>
      <c r="AM38" s="1"/>
      <c r="AN38" s="64"/>
      <c r="AO38" s="2"/>
      <c r="AP38" s="2"/>
      <c r="AS38" s="416"/>
      <c r="AT38" s="416"/>
      <c r="AU38" s="50"/>
      <c r="AW38" s="1"/>
      <c r="AX38" s="1"/>
      <c r="AZ38" s="1"/>
      <c r="BA38" s="64"/>
      <c r="BB38" s="1"/>
      <c r="BC38" s="64"/>
      <c r="BD38" s="2"/>
      <c r="BE38" s="2"/>
    </row>
    <row r="39" spans="1:58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96341.73000000001</v>
      </c>
      <c r="K39" s="403"/>
      <c r="L39" s="68"/>
      <c r="M39" s="68"/>
      <c r="O39" s="65"/>
      <c r="P39" s="66"/>
      <c r="Q39" s="50"/>
      <c r="R39" s="67"/>
      <c r="S39" s="66"/>
      <c r="T39" s="66"/>
      <c r="V39" s="400" t="s">
        <v>12</v>
      </c>
      <c r="W39" s="401"/>
      <c r="X39" s="402">
        <f>W37+Y37</f>
        <v>82217.259999999995</v>
      </c>
      <c r="Y39" s="403"/>
      <c r="Z39" s="68"/>
      <c r="AA39" s="68"/>
      <c r="AD39" s="65"/>
      <c r="AE39" s="66"/>
      <c r="AF39" s="50"/>
      <c r="AG39" s="67"/>
      <c r="AH39" s="66"/>
      <c r="AI39" s="66"/>
      <c r="AK39" s="400" t="s">
        <v>12</v>
      </c>
      <c r="AL39" s="401"/>
      <c r="AM39" s="402">
        <f>AL37+AN37</f>
        <v>66580.649999999994</v>
      </c>
      <c r="AN39" s="403"/>
      <c r="AO39" s="68"/>
      <c r="AP39" s="68"/>
      <c r="AS39" s="65"/>
      <c r="AT39" s="66"/>
      <c r="AU39" s="50"/>
      <c r="AV39" s="67"/>
      <c r="AW39" s="66"/>
      <c r="AX39" s="66"/>
      <c r="AZ39" s="400" t="s">
        <v>12</v>
      </c>
      <c r="BA39" s="401"/>
      <c r="BB39" s="402">
        <f>BA37+BC37</f>
        <v>52981.549999999996</v>
      </c>
      <c r="BC39" s="403"/>
      <c r="BD39" s="68"/>
      <c r="BE39" s="68"/>
    </row>
    <row r="40" spans="1:58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3062023.0700000003</v>
      </c>
      <c r="H40" s="1"/>
      <c r="I40" s="70"/>
      <c r="J40" s="1"/>
      <c r="K40" s="1"/>
      <c r="L40" s="2"/>
      <c r="M40" s="2"/>
      <c r="O40" s="404"/>
      <c r="P40" s="404"/>
      <c r="Q40" s="50"/>
      <c r="R40" s="405" t="s">
        <v>13</v>
      </c>
      <c r="S40" s="405"/>
      <c r="T40" s="69">
        <f>T37-X39</f>
        <v>2784065.8400000003</v>
      </c>
      <c r="V40" s="1"/>
      <c r="W40" s="70"/>
      <c r="X40" s="1"/>
      <c r="Y40" s="1"/>
      <c r="Z40" s="2"/>
      <c r="AA40" s="2"/>
      <c r="AD40" s="404"/>
      <c r="AE40" s="404"/>
      <c r="AF40" s="50"/>
      <c r="AG40" s="405" t="s">
        <v>13</v>
      </c>
      <c r="AH40" s="405"/>
      <c r="AI40" s="69">
        <f>AI37-AM39</f>
        <v>2148308.6500000004</v>
      </c>
      <c r="AK40" s="1"/>
      <c r="AL40" s="70"/>
      <c r="AM40" s="1"/>
      <c r="AN40" s="1"/>
      <c r="AO40" s="2"/>
      <c r="AP40" s="2"/>
      <c r="AS40" s="404"/>
      <c r="AT40" s="404"/>
      <c r="AU40" s="50"/>
      <c r="AV40" s="405" t="s">
        <v>13</v>
      </c>
      <c r="AW40" s="405"/>
      <c r="AX40" s="69">
        <f>AX37-BB39</f>
        <v>1400007.75</v>
      </c>
      <c r="AZ40" s="1"/>
      <c r="BA40" s="70"/>
      <c r="BB40" s="1"/>
      <c r="BC40" s="1"/>
      <c r="BD40" s="2"/>
      <c r="BE40" s="2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"/>
      <c r="AD41" s="67"/>
      <c r="AE41" s="66"/>
      <c r="AF41" s="50"/>
      <c r="AG41" s="67"/>
      <c r="AH41" s="66"/>
      <c r="AI41" s="69">
        <v>0</v>
      </c>
      <c r="AK41" s="1"/>
      <c r="AL41" s="1"/>
      <c r="AM41" s="1"/>
      <c r="AN41" s="1"/>
      <c r="AO41" s="2"/>
      <c r="AP41" s="2"/>
      <c r="AS41" s="67"/>
      <c r="AT41" s="66"/>
      <c r="AU41" s="50"/>
      <c r="AV41" s="67"/>
      <c r="AW41" s="66"/>
      <c r="AX41" s="69">
        <v>0</v>
      </c>
      <c r="AZ41" s="1"/>
      <c r="BA41" s="1"/>
      <c r="BB41" s="1"/>
      <c r="BC41" s="1"/>
      <c r="BD41" s="2"/>
      <c r="BE41" s="2"/>
    </row>
    <row r="42" spans="1:58" ht="15.75" thickBot="1" x14ac:dyDescent="0.3">
      <c r="B42" s="1"/>
      <c r="C42" s="2"/>
      <c r="E42" s="71" t="s">
        <v>14</v>
      </c>
      <c r="F42" s="50">
        <v>-3213668.67</v>
      </c>
      <c r="H42" s="1"/>
      <c r="I42" s="72" t="s">
        <v>15</v>
      </c>
      <c r="J42" s="275"/>
      <c r="K42" s="276">
        <v>315086.27</v>
      </c>
      <c r="L42" s="2"/>
      <c r="M42" s="2"/>
      <c r="P42" s="1"/>
      <c r="Q42" s="2"/>
      <c r="S42" s="71" t="s">
        <v>14</v>
      </c>
      <c r="T42" s="50">
        <v>-2803708.97</v>
      </c>
      <c r="V42" s="1"/>
      <c r="W42" s="72" t="s">
        <v>15</v>
      </c>
      <c r="X42" s="275"/>
      <c r="Y42" s="276">
        <v>189223.09</v>
      </c>
      <c r="Z42" s="2"/>
      <c r="AA42" s="2"/>
      <c r="AE42" s="1"/>
      <c r="AF42" s="2"/>
      <c r="AH42" s="71" t="s">
        <v>14</v>
      </c>
      <c r="AI42" s="50">
        <v>-2318219.09</v>
      </c>
      <c r="AK42" s="1"/>
      <c r="AL42" s="72" t="s">
        <v>15</v>
      </c>
      <c r="AM42" s="275"/>
      <c r="AN42" s="276">
        <v>343663.6</v>
      </c>
      <c r="AO42" s="2"/>
      <c r="AP42" s="2"/>
      <c r="AT42" s="1"/>
      <c r="AU42" s="2"/>
      <c r="AW42" s="71" t="s">
        <v>14</v>
      </c>
      <c r="AX42" s="50">
        <v>0</v>
      </c>
      <c r="AZ42" s="1"/>
      <c r="BA42" s="72" t="s">
        <v>15</v>
      </c>
      <c r="BB42" s="275"/>
      <c r="BC42" s="276">
        <v>206623.06</v>
      </c>
      <c r="BD42" s="2"/>
      <c r="BE42" s="2"/>
    </row>
    <row r="43" spans="1:58" ht="15.75" thickTop="1" x14ac:dyDescent="0.25">
      <c r="B43" s="1"/>
      <c r="C43" s="2"/>
      <c r="E43" s="1" t="s">
        <v>16</v>
      </c>
      <c r="F43" s="64">
        <f>SUM(F40:F42)</f>
        <v>-151645.59999999963</v>
      </c>
      <c r="H43" s="1"/>
      <c r="I43" s="1"/>
      <c r="J43" s="1"/>
      <c r="K43" s="64">
        <f>F45+K42</f>
        <v>165133.17000000039</v>
      </c>
      <c r="L43" s="2"/>
      <c r="M43" s="2"/>
      <c r="P43" s="1"/>
      <c r="Q43" s="2"/>
      <c r="S43" s="1" t="s">
        <v>16</v>
      </c>
      <c r="T43" s="64">
        <f>SUM(T40:T42)</f>
        <v>-19643.129999999888</v>
      </c>
      <c r="V43" s="1"/>
      <c r="W43" s="1"/>
      <c r="X43" s="1"/>
      <c r="Y43" s="64">
        <f>T45+Y42</f>
        <v>198622.16000000012</v>
      </c>
      <c r="Z43" s="2"/>
      <c r="AA43" s="2"/>
      <c r="AE43" s="1"/>
      <c r="AF43" s="2"/>
      <c r="AH43" s="1" t="s">
        <v>16</v>
      </c>
      <c r="AI43" s="64">
        <f>SUM(AI40:AI42)</f>
        <v>-169910.43999999948</v>
      </c>
      <c r="AK43" s="1"/>
      <c r="AL43" s="1"/>
      <c r="AM43" s="1"/>
      <c r="AN43" s="64">
        <f>AI45+AN42</f>
        <v>173753.1600000005</v>
      </c>
      <c r="AO43" s="2"/>
      <c r="AP43" s="2"/>
      <c r="AT43" s="1"/>
      <c r="AU43" s="2"/>
      <c r="AW43" s="1" t="s">
        <v>16</v>
      </c>
      <c r="AX43" s="64">
        <f>SUM(AX40:AX42)</f>
        <v>1400007.75</v>
      </c>
      <c r="AZ43" s="1"/>
      <c r="BA43" s="1"/>
      <c r="BB43" s="1"/>
      <c r="BC43" s="64">
        <f>AX45+BC42</f>
        <v>1606630.81</v>
      </c>
      <c r="BD43" s="2"/>
      <c r="BE43" s="2"/>
    </row>
    <row r="44" spans="1:58" ht="15.75" thickBot="1" x14ac:dyDescent="0.3">
      <c r="B44" s="1"/>
      <c r="C44" s="2"/>
      <c r="D44" s="62" t="s">
        <v>17</v>
      </c>
      <c r="E44" s="62"/>
      <c r="F44" s="75">
        <v>1692.5</v>
      </c>
      <c r="H44" s="1"/>
      <c r="I44" s="1" t="s">
        <v>1</v>
      </c>
      <c r="J44" s="76"/>
      <c r="K44" s="77">
        <f>-C3</f>
        <v>-276782.38</v>
      </c>
      <c r="L44" s="2"/>
      <c r="M44" s="2"/>
      <c r="P44" s="1"/>
      <c r="Q44" s="2"/>
      <c r="R44" s="62" t="s">
        <v>17</v>
      </c>
      <c r="S44" s="62"/>
      <c r="T44" s="75">
        <v>29042.2</v>
      </c>
      <c r="V44" s="1"/>
      <c r="W44" s="1" t="s">
        <v>1</v>
      </c>
      <c r="X44" s="76"/>
      <c r="Y44" s="77">
        <f>-Q3</f>
        <v>-276782.38</v>
      </c>
      <c r="Z44" s="2"/>
      <c r="AA44" s="2"/>
      <c r="AE44" s="1"/>
      <c r="AF44" s="2"/>
      <c r="AG44" s="62" t="s">
        <v>17</v>
      </c>
      <c r="AH44" s="62"/>
      <c r="AI44" s="75">
        <v>0</v>
      </c>
      <c r="AK44" s="1"/>
      <c r="AL44" s="1" t="s">
        <v>1</v>
      </c>
      <c r="AM44" s="76"/>
      <c r="AN44" s="77">
        <f>-AF3</f>
        <v>-276782.38</v>
      </c>
      <c r="AO44" s="2"/>
      <c r="AP44" s="2"/>
      <c r="AT44" s="1"/>
      <c r="AU44" s="2"/>
      <c r="AV44" s="62" t="s">
        <v>17</v>
      </c>
      <c r="AW44" s="62"/>
      <c r="AX44" s="75">
        <v>0</v>
      </c>
      <c r="AZ44" s="1"/>
      <c r="BA44" s="1" t="s">
        <v>1</v>
      </c>
      <c r="BB44" s="76"/>
      <c r="BC44" s="77">
        <f>-AU3</f>
        <v>-276782.38</v>
      </c>
      <c r="BD44" s="2"/>
      <c r="BE44" s="2"/>
    </row>
    <row r="45" spans="1:58" ht="20.25" thickTop="1" thickBot="1" x14ac:dyDescent="0.35">
      <c r="B45" s="1"/>
      <c r="C45" s="2"/>
      <c r="E45" s="60" t="s">
        <v>18</v>
      </c>
      <c r="F45" s="78">
        <f>F44+F43</f>
        <v>-149953.09999999963</v>
      </c>
      <c r="H45" s="1"/>
      <c r="I45" s="406" t="s">
        <v>175</v>
      </c>
      <c r="J45" s="407"/>
      <c r="K45" s="79">
        <f>K43+K44</f>
        <v>-111649.20999999961</v>
      </c>
      <c r="L45" s="2"/>
      <c r="M45" s="2"/>
      <c r="P45" s="1"/>
      <c r="Q45" s="2"/>
      <c r="S45" s="60" t="s">
        <v>18</v>
      </c>
      <c r="T45" s="78">
        <f>T44+T43</f>
        <v>9399.0700000001125</v>
      </c>
      <c r="V45" s="1"/>
      <c r="W45" s="406" t="s">
        <v>175</v>
      </c>
      <c r="X45" s="407"/>
      <c r="Y45" s="79">
        <f>Y43+Y44</f>
        <v>-78160.219999999885</v>
      </c>
      <c r="Z45" s="2"/>
      <c r="AA45" s="2"/>
      <c r="AE45" s="1"/>
      <c r="AF45" s="2"/>
      <c r="AH45" s="60" t="s">
        <v>18</v>
      </c>
      <c r="AI45" s="78">
        <f>AI44+AI43</f>
        <v>-169910.43999999948</v>
      </c>
      <c r="AK45" s="1"/>
      <c r="AL45" s="406" t="s">
        <v>175</v>
      </c>
      <c r="AM45" s="407"/>
      <c r="AN45" s="79">
        <f>AN43+AN44</f>
        <v>-103029.21999999951</v>
      </c>
      <c r="AO45" s="2"/>
      <c r="AP45" s="2"/>
      <c r="AT45" s="1"/>
      <c r="AU45" s="2"/>
      <c r="AW45" s="60" t="s">
        <v>18</v>
      </c>
      <c r="AX45" s="78">
        <f>AX44+AX43</f>
        <v>1400007.75</v>
      </c>
      <c r="AZ45" s="1"/>
      <c r="BA45" s="406" t="s">
        <v>175</v>
      </c>
      <c r="BB45" s="407"/>
      <c r="BC45" s="79">
        <f>BC43+BC44</f>
        <v>1329848.4300000002</v>
      </c>
      <c r="BD45" s="2"/>
      <c r="BE45" s="2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P46" s="1"/>
      <c r="Q46" s="2"/>
      <c r="S46" s="1"/>
      <c r="T46" s="1"/>
      <c r="V46" s="1"/>
      <c r="W46" s="1"/>
      <c r="X46" s="1"/>
      <c r="Y46" s="1"/>
      <c r="Z46" s="2"/>
      <c r="AA46" s="2"/>
      <c r="AE46" s="1"/>
      <c r="AF46" s="2"/>
      <c r="AH46" s="1"/>
      <c r="AI46" s="1"/>
      <c r="AK46" s="1"/>
      <c r="AL46" s="1"/>
      <c r="AM46" s="1"/>
      <c r="AN46" s="1"/>
      <c r="AO46" s="2"/>
      <c r="AP46" s="2"/>
      <c r="AT46" s="1"/>
      <c r="AU46" s="2"/>
      <c r="AW46" s="1"/>
      <c r="AX46" s="1"/>
      <c r="AZ46" s="1"/>
      <c r="BA46" s="1"/>
      <c r="BB46" s="1"/>
      <c r="BC46" s="1"/>
      <c r="BD46" s="2"/>
      <c r="BE46" s="2"/>
    </row>
  </sheetData>
  <mergeCells count="44">
    <mergeCell ref="I45:J45"/>
    <mergeCell ref="A38:B38"/>
    <mergeCell ref="H39:I39"/>
    <mergeCell ref="J39:K39"/>
    <mergeCell ref="A40:B40"/>
    <mergeCell ref="D40:E40"/>
    <mergeCell ref="C1:J1"/>
    <mergeCell ref="E3:F3"/>
    <mergeCell ref="I3:K3"/>
    <mergeCell ref="J5:J6"/>
    <mergeCell ref="J20:J21"/>
    <mergeCell ref="AL45:AM45"/>
    <mergeCell ref="AD38:AE38"/>
    <mergeCell ref="AK39:AL39"/>
    <mergeCell ref="AM39:AN39"/>
    <mergeCell ref="AD40:AE40"/>
    <mergeCell ref="AG40:AH40"/>
    <mergeCell ref="AF1:AM1"/>
    <mergeCell ref="AH3:AI3"/>
    <mergeCell ref="AL3:AN3"/>
    <mergeCell ref="AM5:AM6"/>
    <mergeCell ref="AM20:AM21"/>
    <mergeCell ref="BA45:BB45"/>
    <mergeCell ref="AS40:AT40"/>
    <mergeCell ref="AV40:AW40"/>
    <mergeCell ref="AZ39:BA39"/>
    <mergeCell ref="BB39:BC39"/>
    <mergeCell ref="BB20:BB21"/>
    <mergeCell ref="AS38:AT38"/>
    <mergeCell ref="AU1:BB1"/>
    <mergeCell ref="AW3:AX3"/>
    <mergeCell ref="BA3:BC3"/>
    <mergeCell ref="BB5:BB6"/>
    <mergeCell ref="Q1:X1"/>
    <mergeCell ref="S3:T3"/>
    <mergeCell ref="W3:Y3"/>
    <mergeCell ref="X5:X6"/>
    <mergeCell ref="X20:X21"/>
    <mergeCell ref="W45:X45"/>
    <mergeCell ref="O38:P38"/>
    <mergeCell ref="V39:W39"/>
    <mergeCell ref="X39:Y39"/>
    <mergeCell ref="O40:P40"/>
    <mergeCell ref="R40:S4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B106"/>
  <sheetViews>
    <sheetView topLeftCell="A19" workbookViewId="0">
      <selection activeCell="F35" sqref="F35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6.140625" customWidth="1"/>
    <col min="17" max="17" width="20.140625" bestFit="1" customWidth="1"/>
    <col min="22" max="22" width="14.140625" bestFit="1" customWidth="1"/>
    <col min="24" max="24" width="17.140625" customWidth="1"/>
    <col min="27" max="27" width="20.140625" bestFit="1" customWidth="1"/>
  </cols>
  <sheetData>
    <row r="1" spans="1:28" ht="19.5" customHeight="1" thickBot="1" x14ac:dyDescent="0.35">
      <c r="L1" s="33"/>
      <c r="M1" s="417">
        <v>1</v>
      </c>
      <c r="N1" s="86" t="s">
        <v>28</v>
      </c>
      <c r="O1" s="86"/>
      <c r="P1" s="110"/>
      <c r="Q1" s="197">
        <v>42566</v>
      </c>
      <c r="R1" s="112"/>
      <c r="V1" s="33"/>
      <c r="W1" s="417">
        <v>1</v>
      </c>
      <c r="X1" s="86" t="s">
        <v>28</v>
      </c>
      <c r="Y1" s="86"/>
      <c r="Z1" s="110"/>
      <c r="AA1" s="191">
        <v>42578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8"/>
      <c r="N2" s="113"/>
      <c r="O2" s="113"/>
      <c r="P2" s="114"/>
      <c r="Q2" s="115"/>
      <c r="R2" s="112"/>
      <c r="V2" s="33"/>
      <c r="W2" s="418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42553</v>
      </c>
      <c r="C4" s="93" t="s">
        <v>352</v>
      </c>
      <c r="D4" s="132">
        <v>38787.72</v>
      </c>
      <c r="E4" s="95">
        <v>42566</v>
      </c>
      <c r="F4" s="94">
        <v>38787.72</v>
      </c>
      <c r="G4" s="158">
        <f t="shared" ref="G4:G43" si="0">D4-F4</f>
        <v>0</v>
      </c>
      <c r="H4" s="146"/>
      <c r="L4" s="3">
        <f>120100.4+27619+69755+35474.5+3277.73</f>
        <v>256226.63</v>
      </c>
      <c r="M4" s="93" t="s">
        <v>342</v>
      </c>
      <c r="N4" s="132">
        <v>256226.63</v>
      </c>
      <c r="O4" s="120"/>
      <c r="P4" s="289">
        <v>3273291</v>
      </c>
      <c r="Q4" s="296">
        <v>65000</v>
      </c>
      <c r="R4" s="297">
        <v>42548</v>
      </c>
      <c r="V4" s="33"/>
      <c r="W4" s="93"/>
      <c r="X4" s="132"/>
      <c r="Y4" s="120"/>
      <c r="Z4" s="289" t="s">
        <v>31</v>
      </c>
      <c r="AA4" s="296">
        <v>7089</v>
      </c>
      <c r="AB4" s="297">
        <v>42570</v>
      </c>
    </row>
    <row r="5" spans="1:28" x14ac:dyDescent="0.25">
      <c r="A5" s="14"/>
      <c r="B5" s="96">
        <v>42553</v>
      </c>
      <c r="C5" s="93" t="s">
        <v>353</v>
      </c>
      <c r="D5" s="132">
        <v>38319.879999999997</v>
      </c>
      <c r="E5" s="95">
        <v>42566</v>
      </c>
      <c r="F5" s="94">
        <v>38319.879999999997</v>
      </c>
      <c r="G5" s="97">
        <f t="shared" si="0"/>
        <v>0</v>
      </c>
      <c r="H5" s="146"/>
      <c r="L5" s="3">
        <v>16034.98</v>
      </c>
      <c r="M5" s="93" t="s">
        <v>343</v>
      </c>
      <c r="N5" s="313">
        <v>16033.72</v>
      </c>
      <c r="O5" s="124" t="s">
        <v>96</v>
      </c>
      <c r="P5" s="241">
        <v>3273281</v>
      </c>
      <c r="Q5" s="242">
        <v>45000</v>
      </c>
      <c r="R5" s="290">
        <v>42548</v>
      </c>
      <c r="V5" s="33">
        <f>56574.2</f>
        <v>56574.2</v>
      </c>
      <c r="W5" s="93" t="s">
        <v>397</v>
      </c>
      <c r="X5" s="132">
        <v>56572.97</v>
      </c>
      <c r="Y5" s="124" t="s">
        <v>36</v>
      </c>
      <c r="Z5" s="241">
        <v>2730800</v>
      </c>
      <c r="AA5" s="242">
        <v>23000</v>
      </c>
      <c r="AB5" s="290">
        <v>42569</v>
      </c>
    </row>
    <row r="6" spans="1:28" x14ac:dyDescent="0.25">
      <c r="A6" s="14"/>
      <c r="B6" s="96">
        <v>42553</v>
      </c>
      <c r="C6" s="98" t="s">
        <v>354</v>
      </c>
      <c r="D6" s="132">
        <v>54062.080000000002</v>
      </c>
      <c r="E6" s="95">
        <v>42566</v>
      </c>
      <c r="F6" s="94">
        <v>54062.080000000002</v>
      </c>
      <c r="G6" s="97">
        <f t="shared" si="0"/>
        <v>0</v>
      </c>
      <c r="H6" s="38"/>
      <c r="L6" s="3">
        <v>38173.870000000003</v>
      </c>
      <c r="M6" s="93" t="s">
        <v>344</v>
      </c>
      <c r="N6" s="132">
        <v>38173.870000000003</v>
      </c>
      <c r="O6" s="124"/>
      <c r="P6" s="241">
        <v>3273280</v>
      </c>
      <c r="Q6" s="242">
        <v>26135.5</v>
      </c>
      <c r="R6" s="290">
        <v>42548</v>
      </c>
      <c r="V6" s="33">
        <f>52903.3+97843.1</f>
        <v>150746.40000000002</v>
      </c>
      <c r="W6" s="93" t="s">
        <v>398</v>
      </c>
      <c r="X6" s="132">
        <v>150746.4</v>
      </c>
      <c r="Y6" s="124"/>
      <c r="Z6" s="241">
        <v>2849907</v>
      </c>
      <c r="AA6" s="242">
        <v>50000</v>
      </c>
      <c r="AB6" s="290">
        <v>42569</v>
      </c>
    </row>
    <row r="7" spans="1:28" x14ac:dyDescent="0.25">
      <c r="A7" s="14"/>
      <c r="B7" s="96">
        <v>42553</v>
      </c>
      <c r="C7" s="93" t="s">
        <v>355</v>
      </c>
      <c r="D7" s="132">
        <v>39899.269999999997</v>
      </c>
      <c r="E7" s="95">
        <v>42566</v>
      </c>
      <c r="F7" s="94">
        <v>39899.269999999997</v>
      </c>
      <c r="G7" s="99">
        <f t="shared" si="0"/>
        <v>0</v>
      </c>
      <c r="H7" s="38"/>
      <c r="L7" s="3">
        <f>5567+32662.63</f>
        <v>38229.630000000005</v>
      </c>
      <c r="M7" s="93" t="s">
        <v>345</v>
      </c>
      <c r="N7" s="132">
        <v>38229.629999999997</v>
      </c>
      <c r="O7" s="124"/>
      <c r="P7" s="241">
        <v>3273292</v>
      </c>
      <c r="Q7" s="242">
        <v>16700</v>
      </c>
      <c r="R7" s="290">
        <v>42549</v>
      </c>
      <c r="V7" s="33">
        <f>9655.5+29740.5</f>
        <v>39396</v>
      </c>
      <c r="W7" s="93" t="s">
        <v>399</v>
      </c>
      <c r="X7" s="132">
        <v>39396</v>
      </c>
      <c r="Y7" s="124"/>
      <c r="Z7" s="241">
        <v>2849908</v>
      </c>
      <c r="AA7" s="242">
        <v>29388</v>
      </c>
      <c r="AB7" s="290">
        <v>42569</v>
      </c>
    </row>
    <row r="8" spans="1:28" x14ac:dyDescent="0.25">
      <c r="A8" s="14"/>
      <c r="B8" s="96">
        <v>42554</v>
      </c>
      <c r="C8" s="93" t="s">
        <v>356</v>
      </c>
      <c r="D8" s="132">
        <v>123926</v>
      </c>
      <c r="E8" s="95">
        <v>42566</v>
      </c>
      <c r="F8" s="100">
        <v>123926</v>
      </c>
      <c r="G8" s="97">
        <f t="shared" si="0"/>
        <v>0</v>
      </c>
      <c r="H8" s="38"/>
      <c r="L8" s="3">
        <v>38508.43</v>
      </c>
      <c r="M8" s="93" t="s">
        <v>349</v>
      </c>
      <c r="N8" s="132">
        <v>38508.43</v>
      </c>
      <c r="O8" s="124"/>
      <c r="P8" s="241">
        <v>3273282</v>
      </c>
      <c r="Q8" s="242">
        <v>10919</v>
      </c>
      <c r="R8" s="290">
        <v>42549</v>
      </c>
      <c r="V8" s="33">
        <v>38749.199999999997</v>
      </c>
      <c r="W8" s="93" t="s">
        <v>400</v>
      </c>
      <c r="X8" s="132">
        <v>38749.199999999997</v>
      </c>
      <c r="Y8" s="124"/>
      <c r="Z8" s="241">
        <v>2849909</v>
      </c>
      <c r="AA8" s="242">
        <v>40000</v>
      </c>
      <c r="AB8" s="290">
        <v>42570</v>
      </c>
    </row>
    <row r="9" spans="1:28" x14ac:dyDescent="0.25">
      <c r="A9" s="286"/>
      <c r="B9" s="96">
        <v>42554</v>
      </c>
      <c r="C9" s="93" t="s">
        <v>357</v>
      </c>
      <c r="D9" s="235">
        <v>86774</v>
      </c>
      <c r="E9" s="95">
        <v>42566</v>
      </c>
      <c r="F9" s="94">
        <v>86774</v>
      </c>
      <c r="G9" s="99">
        <f t="shared" si="0"/>
        <v>0</v>
      </c>
      <c r="H9" s="38"/>
      <c r="L9" s="3">
        <v>41956.4</v>
      </c>
      <c r="M9" s="93" t="s">
        <v>346</v>
      </c>
      <c r="N9" s="132">
        <v>41956.4</v>
      </c>
      <c r="O9" s="128"/>
      <c r="P9" s="241">
        <v>3273279</v>
      </c>
      <c r="Q9" s="242">
        <v>33000</v>
      </c>
      <c r="R9" s="290">
        <v>42550</v>
      </c>
      <c r="V9" s="33">
        <f>635.3+48966.9</f>
        <v>49602.200000000004</v>
      </c>
      <c r="W9" s="93" t="s">
        <v>404</v>
      </c>
      <c r="X9" s="132">
        <v>49602.2</v>
      </c>
      <c r="Y9" s="128"/>
      <c r="Z9" s="241">
        <v>2849910</v>
      </c>
      <c r="AA9" s="242">
        <v>29056</v>
      </c>
      <c r="AB9" s="290">
        <v>42570</v>
      </c>
    </row>
    <row r="10" spans="1:28" x14ac:dyDescent="0.25">
      <c r="A10" s="14"/>
      <c r="B10" s="96">
        <v>42555</v>
      </c>
      <c r="C10" s="93" t="s">
        <v>358</v>
      </c>
      <c r="D10" s="132">
        <v>41986.06</v>
      </c>
      <c r="E10" s="95">
        <v>42566</v>
      </c>
      <c r="F10" s="94">
        <v>41986.06</v>
      </c>
      <c r="G10" s="99">
        <f t="shared" si="0"/>
        <v>0</v>
      </c>
      <c r="H10" s="38"/>
      <c r="L10" s="3">
        <v>647.70000000000005</v>
      </c>
      <c r="M10" s="93" t="s">
        <v>350</v>
      </c>
      <c r="N10" s="132">
        <v>647.70000000000005</v>
      </c>
      <c r="O10" s="129"/>
      <c r="P10" s="241">
        <v>3273276</v>
      </c>
      <c r="Q10" s="242">
        <v>31005</v>
      </c>
      <c r="R10" s="290">
        <v>42550</v>
      </c>
      <c r="V10" s="33">
        <v>112249.8</v>
      </c>
      <c r="W10" s="93" t="s">
        <v>405</v>
      </c>
      <c r="X10" s="132">
        <v>112249.8</v>
      </c>
      <c r="Y10" s="129"/>
      <c r="Z10" s="241" t="s">
        <v>31</v>
      </c>
      <c r="AA10" s="242">
        <v>38442.5</v>
      </c>
      <c r="AB10" s="290">
        <v>42569</v>
      </c>
    </row>
    <row r="11" spans="1:28" ht="15" x14ac:dyDescent="0.25">
      <c r="A11" s="14"/>
      <c r="B11" s="96">
        <v>42558</v>
      </c>
      <c r="C11" s="93" t="s">
        <v>359</v>
      </c>
      <c r="D11" s="132">
        <v>165984</v>
      </c>
      <c r="E11" s="95">
        <v>42566</v>
      </c>
      <c r="F11" s="94">
        <v>165984</v>
      </c>
      <c r="G11" s="99">
        <f t="shared" si="0"/>
        <v>0</v>
      </c>
      <c r="H11" s="38"/>
      <c r="L11" s="3">
        <f>22619.6+16168.12</f>
        <v>38787.72</v>
      </c>
      <c r="M11" s="189" t="s">
        <v>352</v>
      </c>
      <c r="N11" s="316">
        <v>38787.72</v>
      </c>
      <c r="O11" s="124"/>
      <c r="P11" s="291" t="s">
        <v>31</v>
      </c>
      <c r="Q11" s="292">
        <v>5750</v>
      </c>
      <c r="R11" s="290">
        <v>42552</v>
      </c>
      <c r="V11" s="33">
        <f>33238.6+75523+5644.8</f>
        <v>114406.40000000001</v>
      </c>
      <c r="W11" s="93" t="s">
        <v>406</v>
      </c>
      <c r="X11" s="132">
        <v>114406.39999999999</v>
      </c>
      <c r="Y11" s="124"/>
      <c r="Z11" s="291" t="s">
        <v>31</v>
      </c>
      <c r="AA11" s="292">
        <v>16291</v>
      </c>
      <c r="AB11" s="290">
        <v>42572</v>
      </c>
    </row>
    <row r="12" spans="1:28" ht="15" x14ac:dyDescent="0.25">
      <c r="A12" s="14"/>
      <c r="B12" s="96">
        <v>42558</v>
      </c>
      <c r="C12" s="93" t="s">
        <v>360</v>
      </c>
      <c r="D12" s="132">
        <v>159261.35999999999</v>
      </c>
      <c r="E12" s="95">
        <v>42566</v>
      </c>
      <c r="F12" s="132">
        <v>159261.35999999999</v>
      </c>
      <c r="G12" s="99">
        <f t="shared" si="0"/>
        <v>0</v>
      </c>
      <c r="H12" s="38"/>
      <c r="L12" s="3">
        <v>38319.879999999997</v>
      </c>
      <c r="M12" s="93" t="s">
        <v>353</v>
      </c>
      <c r="N12" s="132">
        <v>38319.879999999997</v>
      </c>
      <c r="O12" s="124"/>
      <c r="P12" s="291">
        <v>3273277</v>
      </c>
      <c r="Q12" s="292">
        <v>35474.5</v>
      </c>
      <c r="R12" s="290">
        <v>42551</v>
      </c>
      <c r="V12" s="33">
        <v>27849.200000000001</v>
      </c>
      <c r="W12" s="93" t="s">
        <v>407</v>
      </c>
      <c r="X12" s="132">
        <v>27849.53</v>
      </c>
      <c r="Y12" s="124" t="s">
        <v>420</v>
      </c>
      <c r="Z12" s="291" t="s">
        <v>31</v>
      </c>
      <c r="AA12" s="292">
        <v>3318</v>
      </c>
      <c r="AB12" s="290">
        <v>42571</v>
      </c>
    </row>
    <row r="13" spans="1:28" ht="15" x14ac:dyDescent="0.25">
      <c r="A13" s="14"/>
      <c r="B13" s="96">
        <v>42560</v>
      </c>
      <c r="C13" s="93" t="s">
        <v>361</v>
      </c>
      <c r="D13" s="132">
        <v>387189.6</v>
      </c>
      <c r="E13" s="95">
        <v>42574</v>
      </c>
      <c r="F13" s="132">
        <v>387189.6</v>
      </c>
      <c r="G13" s="99">
        <f t="shared" si="0"/>
        <v>0</v>
      </c>
      <c r="H13" s="38"/>
      <c r="L13" s="3">
        <v>54062.080000000002</v>
      </c>
      <c r="M13" s="98" t="s">
        <v>354</v>
      </c>
      <c r="N13" s="132">
        <v>54062.080000000002</v>
      </c>
      <c r="O13" s="124"/>
      <c r="P13" s="291">
        <v>3273289</v>
      </c>
      <c r="Q13" s="292">
        <v>47018.5</v>
      </c>
      <c r="R13" s="290">
        <v>42552</v>
      </c>
      <c r="V13" s="33">
        <v>0</v>
      </c>
      <c r="W13" s="93"/>
      <c r="X13" s="132"/>
      <c r="Y13" s="124"/>
      <c r="Z13" s="291">
        <v>2849911</v>
      </c>
      <c r="AA13" s="292">
        <v>30951</v>
      </c>
      <c r="AB13" s="290">
        <v>42571</v>
      </c>
    </row>
    <row r="14" spans="1:28" ht="15" x14ac:dyDescent="0.25">
      <c r="A14" s="264"/>
      <c r="B14" s="96">
        <v>42561</v>
      </c>
      <c r="C14" s="93" t="s">
        <v>362</v>
      </c>
      <c r="D14" s="132">
        <v>117331.2</v>
      </c>
      <c r="E14" s="95" t="s">
        <v>403</v>
      </c>
      <c r="F14" s="94">
        <f>42764.25+74566.95</f>
        <v>117331.2</v>
      </c>
      <c r="G14" s="99">
        <f t="shared" si="0"/>
        <v>0</v>
      </c>
      <c r="H14" s="38"/>
      <c r="L14" s="3">
        <f>2835.52+37063.75</f>
        <v>39899.269999999997</v>
      </c>
      <c r="M14" s="93" t="s">
        <v>355</v>
      </c>
      <c r="N14" s="132">
        <v>39899.269999999997</v>
      </c>
      <c r="O14" s="124"/>
      <c r="P14" s="291">
        <v>3273278</v>
      </c>
      <c r="Q14" s="292">
        <v>50000</v>
      </c>
      <c r="R14" s="290">
        <v>42553</v>
      </c>
      <c r="V14" s="33">
        <v>0</v>
      </c>
      <c r="W14" s="93"/>
      <c r="X14" s="132"/>
      <c r="Y14" s="124"/>
      <c r="Z14" s="291">
        <v>2849778</v>
      </c>
      <c r="AA14" s="292">
        <v>18565</v>
      </c>
      <c r="AB14" s="290">
        <v>42575</v>
      </c>
    </row>
    <row r="15" spans="1:28" ht="15" x14ac:dyDescent="0.25">
      <c r="A15" s="14"/>
      <c r="B15" s="96">
        <v>42562</v>
      </c>
      <c r="C15" s="93" t="s">
        <v>363</v>
      </c>
      <c r="D15" s="132">
        <v>191419.2</v>
      </c>
      <c r="E15" s="95">
        <v>42574</v>
      </c>
      <c r="F15" s="132">
        <v>191419.2</v>
      </c>
      <c r="G15" s="99">
        <f t="shared" si="0"/>
        <v>0</v>
      </c>
      <c r="H15" s="38"/>
      <c r="L15" s="3">
        <v>123926</v>
      </c>
      <c r="M15" s="93" t="s">
        <v>356</v>
      </c>
      <c r="N15" s="132">
        <v>123926</v>
      </c>
      <c r="O15" s="124"/>
      <c r="P15" s="291">
        <v>3273290</v>
      </c>
      <c r="Q15" s="292">
        <v>30000</v>
      </c>
      <c r="R15" s="290">
        <v>42553</v>
      </c>
      <c r="V15" s="33">
        <v>0</v>
      </c>
      <c r="W15" s="93"/>
      <c r="X15" s="132"/>
      <c r="Y15" s="124"/>
      <c r="Z15" s="291" t="s">
        <v>31</v>
      </c>
      <c r="AA15" s="292">
        <v>116500</v>
      </c>
      <c r="AB15" s="290">
        <v>42576</v>
      </c>
    </row>
    <row r="16" spans="1:28" ht="15" x14ac:dyDescent="0.25">
      <c r="A16" s="14"/>
      <c r="B16" s="96">
        <v>42564</v>
      </c>
      <c r="C16" s="93" t="s">
        <v>364</v>
      </c>
      <c r="D16" s="132">
        <v>389882.52</v>
      </c>
      <c r="E16" s="95" t="s">
        <v>429</v>
      </c>
      <c r="F16" s="132">
        <f>323336.52+66546</f>
        <v>389882.52</v>
      </c>
      <c r="G16" s="99">
        <f t="shared" si="0"/>
        <v>0</v>
      </c>
      <c r="H16" s="38"/>
      <c r="L16" s="3">
        <f>24592.35+62181.65</f>
        <v>86774</v>
      </c>
      <c r="M16" s="93" t="s">
        <v>357</v>
      </c>
      <c r="N16" s="235">
        <v>86774</v>
      </c>
      <c r="O16" s="124"/>
      <c r="P16" s="291">
        <v>3273285</v>
      </c>
      <c r="Q16" s="292">
        <v>35000</v>
      </c>
      <c r="R16" s="290">
        <v>42553</v>
      </c>
      <c r="V16" s="33">
        <v>0</v>
      </c>
      <c r="W16" s="93"/>
      <c r="X16" s="235"/>
      <c r="Y16" s="124"/>
      <c r="Z16" s="291">
        <v>2849776</v>
      </c>
      <c r="AA16" s="292">
        <v>77955</v>
      </c>
      <c r="AB16" s="290">
        <v>42575</v>
      </c>
    </row>
    <row r="17" spans="1:28" ht="15" x14ac:dyDescent="0.25">
      <c r="A17" s="14"/>
      <c r="B17" s="96">
        <v>42567</v>
      </c>
      <c r="C17" s="93" t="s">
        <v>397</v>
      </c>
      <c r="D17" s="132">
        <v>77515.199999999997</v>
      </c>
      <c r="E17" s="95" t="s">
        <v>421</v>
      </c>
      <c r="F17" s="132">
        <f>20942.23+56572.97</f>
        <v>77515.199999999997</v>
      </c>
      <c r="G17" s="99">
        <f t="shared" si="0"/>
        <v>0</v>
      </c>
      <c r="H17" s="38"/>
      <c r="L17" s="3">
        <f>8086.85+33899.21</f>
        <v>41986.06</v>
      </c>
      <c r="M17" s="93" t="s">
        <v>358</v>
      </c>
      <c r="N17" s="132">
        <v>41986.06</v>
      </c>
      <c r="O17" s="124"/>
      <c r="P17" s="291">
        <v>3273284</v>
      </c>
      <c r="Q17" s="292">
        <v>21395</v>
      </c>
      <c r="R17" s="290">
        <v>42553</v>
      </c>
      <c r="V17" s="33">
        <v>0</v>
      </c>
      <c r="W17" s="93"/>
      <c r="X17" s="132"/>
      <c r="Y17" s="124"/>
      <c r="Z17" s="291">
        <v>2849913</v>
      </c>
      <c r="AA17" s="292">
        <v>31895.5</v>
      </c>
      <c r="AB17" s="290">
        <v>42573</v>
      </c>
    </row>
    <row r="18" spans="1:28" ht="15" x14ac:dyDescent="0.25">
      <c r="A18" s="14"/>
      <c r="B18" s="96">
        <v>42567</v>
      </c>
      <c r="C18" s="93" t="s">
        <v>398</v>
      </c>
      <c r="D18" s="132">
        <v>150746.4</v>
      </c>
      <c r="E18" s="95">
        <v>42578</v>
      </c>
      <c r="F18" s="132">
        <v>150746.4</v>
      </c>
      <c r="G18" s="99">
        <f t="shared" si="0"/>
        <v>0</v>
      </c>
      <c r="H18" s="38"/>
      <c r="L18" s="3">
        <f>62999.29+89951.5+13033.21</f>
        <v>165984</v>
      </c>
      <c r="M18" s="93" t="s">
        <v>359</v>
      </c>
      <c r="N18" s="132">
        <v>165984</v>
      </c>
      <c r="O18" s="124"/>
      <c r="P18" s="291">
        <v>3273283</v>
      </c>
      <c r="Q18" s="292">
        <v>62000</v>
      </c>
      <c r="R18" s="290">
        <v>42554</v>
      </c>
      <c r="V18" s="33">
        <v>0</v>
      </c>
      <c r="W18" s="93"/>
      <c r="X18" s="132"/>
      <c r="Y18" s="124"/>
      <c r="Z18" s="291">
        <v>2849912</v>
      </c>
      <c r="AA18" s="292">
        <v>30000</v>
      </c>
      <c r="AB18" s="290">
        <v>42573</v>
      </c>
    </row>
    <row r="19" spans="1:28" ht="15" x14ac:dyDescent="0.25">
      <c r="A19" s="14"/>
      <c r="B19" s="96">
        <v>42568</v>
      </c>
      <c r="C19" s="93" t="s">
        <v>399</v>
      </c>
      <c r="D19" s="132">
        <v>39396</v>
      </c>
      <c r="E19" s="95">
        <v>42578</v>
      </c>
      <c r="F19" s="94">
        <v>39396</v>
      </c>
      <c r="G19" s="99">
        <f t="shared" si="0"/>
        <v>0</v>
      </c>
      <c r="H19" s="38"/>
      <c r="L19" s="3">
        <f>55520.29+103741.07</f>
        <v>159261.36000000002</v>
      </c>
      <c r="M19" s="93" t="s">
        <v>360</v>
      </c>
      <c r="N19" s="132">
        <v>159261.35999999999</v>
      </c>
      <c r="O19" s="124"/>
      <c r="P19" s="291">
        <v>3273269</v>
      </c>
      <c r="Q19" s="292">
        <v>14502.5</v>
      </c>
      <c r="R19" s="290">
        <v>42554</v>
      </c>
      <c r="V19" s="33">
        <v>0</v>
      </c>
      <c r="W19" s="93"/>
      <c r="X19" s="132"/>
      <c r="Y19" s="124"/>
      <c r="Z19" s="291">
        <v>2849777</v>
      </c>
      <c r="AA19" s="292">
        <v>13627.5</v>
      </c>
      <c r="AB19" s="290">
        <v>42575</v>
      </c>
    </row>
    <row r="20" spans="1:28" ht="15" x14ac:dyDescent="0.25">
      <c r="A20" s="14"/>
      <c r="B20" s="96">
        <v>42568</v>
      </c>
      <c r="C20" s="93" t="s">
        <v>400</v>
      </c>
      <c r="D20" s="132">
        <v>38749.199999999997</v>
      </c>
      <c r="E20" s="95">
        <v>42578</v>
      </c>
      <c r="F20" s="94">
        <v>38749.199999999997</v>
      </c>
      <c r="G20" s="99">
        <f t="shared" si="0"/>
        <v>0</v>
      </c>
      <c r="H20" s="38"/>
      <c r="L20" s="3">
        <v>42763.43</v>
      </c>
      <c r="M20" s="93" t="s">
        <v>362</v>
      </c>
      <c r="N20" s="132">
        <v>42764.25</v>
      </c>
      <c r="O20" s="124" t="s">
        <v>88</v>
      </c>
      <c r="P20" s="291" t="s">
        <v>31</v>
      </c>
      <c r="Q20" s="292">
        <v>26012</v>
      </c>
      <c r="R20" s="290">
        <v>42557</v>
      </c>
      <c r="V20" s="33">
        <v>0</v>
      </c>
      <c r="W20" s="93"/>
      <c r="X20" s="132"/>
      <c r="Y20" s="124"/>
      <c r="Z20" s="291" t="s">
        <v>31</v>
      </c>
      <c r="AA20" s="292">
        <v>27782.5</v>
      </c>
      <c r="AB20" s="290">
        <v>42576</v>
      </c>
    </row>
    <row r="21" spans="1:28" ht="15" x14ac:dyDescent="0.25">
      <c r="A21" s="14"/>
      <c r="B21" s="96">
        <v>42569</v>
      </c>
      <c r="C21" s="93" t="s">
        <v>404</v>
      </c>
      <c r="D21" s="132">
        <v>49602.2</v>
      </c>
      <c r="E21" s="95">
        <v>42578</v>
      </c>
      <c r="F21" s="94">
        <v>49602.2</v>
      </c>
      <c r="G21" s="99">
        <f t="shared" si="0"/>
        <v>0</v>
      </c>
      <c r="H21" s="38"/>
      <c r="L21" s="3"/>
      <c r="M21" s="93"/>
      <c r="N21" s="132"/>
      <c r="O21" s="124"/>
      <c r="P21" s="291" t="s">
        <v>31</v>
      </c>
      <c r="Q21" s="292">
        <v>8871</v>
      </c>
      <c r="R21" s="290">
        <v>42557</v>
      </c>
      <c r="V21" s="3">
        <v>0</v>
      </c>
      <c r="W21" s="93"/>
      <c r="X21" s="132"/>
      <c r="Y21" s="124"/>
      <c r="Z21" s="291">
        <v>2849914</v>
      </c>
      <c r="AA21" s="292">
        <v>5711.5</v>
      </c>
      <c r="AB21" s="290">
        <v>42574</v>
      </c>
    </row>
    <row r="22" spans="1:28" ht="15" x14ac:dyDescent="0.25">
      <c r="A22" s="14"/>
      <c r="B22" s="96">
        <v>42570</v>
      </c>
      <c r="C22" s="93" t="s">
        <v>405</v>
      </c>
      <c r="D22" s="132">
        <v>112249.8</v>
      </c>
      <c r="E22" s="95">
        <v>42578</v>
      </c>
      <c r="F22" s="94">
        <v>112249.8</v>
      </c>
      <c r="G22" s="99">
        <f t="shared" si="0"/>
        <v>0</v>
      </c>
      <c r="H22" s="38"/>
      <c r="L22" s="3"/>
      <c r="M22" s="93"/>
      <c r="N22" s="100"/>
      <c r="O22" s="124"/>
      <c r="P22" s="291" t="s">
        <v>31</v>
      </c>
      <c r="Q22" s="292">
        <v>115000</v>
      </c>
      <c r="R22" s="290">
        <v>42558</v>
      </c>
      <c r="V22" s="3">
        <v>0</v>
      </c>
      <c r="W22" s="93"/>
      <c r="X22" s="100"/>
      <c r="Y22" s="124"/>
      <c r="Z22" s="291"/>
      <c r="AA22" s="292">
        <v>0</v>
      </c>
      <c r="AB22" s="290"/>
    </row>
    <row r="23" spans="1:28" thickBot="1" x14ac:dyDescent="0.3">
      <c r="A23" s="14"/>
      <c r="B23" s="96">
        <v>42571</v>
      </c>
      <c r="C23" s="93" t="s">
        <v>406</v>
      </c>
      <c r="D23" s="132">
        <v>114406.39999999999</v>
      </c>
      <c r="E23" s="95">
        <v>42578</v>
      </c>
      <c r="F23" s="94">
        <v>114406.39999999999</v>
      </c>
      <c r="G23" s="99">
        <f t="shared" si="0"/>
        <v>0</v>
      </c>
      <c r="H23" s="38"/>
      <c r="L23" s="3"/>
      <c r="M23" s="93"/>
      <c r="N23" s="100"/>
      <c r="O23" s="124"/>
      <c r="P23" s="291">
        <v>3273270</v>
      </c>
      <c r="Q23" s="292">
        <v>30000</v>
      </c>
      <c r="R23" s="290">
        <v>42554</v>
      </c>
      <c r="V23" s="3">
        <v>0</v>
      </c>
      <c r="W23" s="172"/>
      <c r="X23" s="322"/>
      <c r="Y23" s="219"/>
      <c r="Z23" s="293"/>
      <c r="AA23" s="294">
        <v>0</v>
      </c>
      <c r="AB23" s="295"/>
    </row>
    <row r="24" spans="1:28" thickTop="1" x14ac:dyDescent="0.25">
      <c r="A24" s="14"/>
      <c r="B24" s="96">
        <v>42572</v>
      </c>
      <c r="C24" s="93" t="s">
        <v>407</v>
      </c>
      <c r="D24" s="132">
        <v>109370.78</v>
      </c>
      <c r="E24" s="95" t="s">
        <v>430</v>
      </c>
      <c r="F24" s="94">
        <f>27849.53+81521.25</f>
        <v>109370.78</v>
      </c>
      <c r="G24" s="99">
        <f t="shared" si="0"/>
        <v>0</v>
      </c>
      <c r="H24" s="38"/>
      <c r="L24" s="3"/>
      <c r="M24" s="93"/>
      <c r="N24" s="100"/>
      <c r="O24" s="124"/>
      <c r="P24" s="291" t="s">
        <v>31</v>
      </c>
      <c r="Q24" s="292">
        <v>40582</v>
      </c>
      <c r="R24" s="290">
        <v>42558</v>
      </c>
      <c r="V24" s="18">
        <f t="shared" ref="V24:X24" si="1">SUM(V4:V23)</f>
        <v>589573.4</v>
      </c>
      <c r="W24" s="18"/>
      <c r="X24" s="18">
        <f t="shared" si="1"/>
        <v>589572.5</v>
      </c>
      <c r="Y24" s="18"/>
      <c r="Z24" s="18"/>
      <c r="AA24" s="18">
        <f>SUM(AA4:AA23)</f>
        <v>589572.5</v>
      </c>
      <c r="AB24" s="95"/>
    </row>
    <row r="25" spans="1:28" ht="15" x14ac:dyDescent="0.25">
      <c r="A25" s="14"/>
      <c r="B25" s="96">
        <v>42574</v>
      </c>
      <c r="C25" s="93" t="s">
        <v>408</v>
      </c>
      <c r="D25" s="132">
        <v>71401.2</v>
      </c>
      <c r="E25" s="95">
        <v>42588</v>
      </c>
      <c r="F25" s="94">
        <v>71401.2</v>
      </c>
      <c r="G25" s="99">
        <f t="shared" ref="G25:G34" si="2">D25-F25</f>
        <v>0</v>
      </c>
      <c r="H25" s="38"/>
      <c r="L25" s="3"/>
      <c r="M25" s="93"/>
      <c r="N25" s="100"/>
      <c r="O25" s="124"/>
      <c r="P25" s="291">
        <v>3273271</v>
      </c>
      <c r="Q25" s="317">
        <v>47468.5</v>
      </c>
      <c r="R25" s="290">
        <v>42556</v>
      </c>
      <c r="V25" s="3"/>
      <c r="W25" s="161"/>
      <c r="X25" s="38"/>
      <c r="Y25" s="213"/>
      <c r="Z25" s="321"/>
      <c r="AA25" s="18"/>
      <c r="AB25" s="95"/>
    </row>
    <row r="26" spans="1:28" ht="15" x14ac:dyDescent="0.25">
      <c r="A26" s="14"/>
      <c r="B26" s="96">
        <v>42574</v>
      </c>
      <c r="C26" s="93" t="s">
        <v>409</v>
      </c>
      <c r="D26" s="132">
        <v>142893.6</v>
      </c>
      <c r="E26" s="95" t="s">
        <v>444</v>
      </c>
      <c r="F26" s="94">
        <f>130178.05+12715.55</f>
        <v>142893.6</v>
      </c>
      <c r="G26" s="99">
        <f t="shared" si="2"/>
        <v>0</v>
      </c>
      <c r="H26" s="38"/>
      <c r="L26" s="3"/>
      <c r="M26" s="93"/>
      <c r="N26" s="100"/>
      <c r="O26" s="124"/>
      <c r="P26" s="291">
        <v>3273275</v>
      </c>
      <c r="Q26" s="317">
        <v>22800</v>
      </c>
      <c r="R26" s="290">
        <v>42556</v>
      </c>
      <c r="V26" s="3"/>
      <c r="W26" s="161"/>
      <c r="X26" s="38"/>
      <c r="Y26" s="213"/>
      <c r="Z26" s="321"/>
      <c r="AA26" s="18"/>
      <c r="AB26" s="95"/>
    </row>
    <row r="27" spans="1:28" ht="15" x14ac:dyDescent="0.25">
      <c r="A27" s="14"/>
      <c r="B27" s="96">
        <v>42574</v>
      </c>
      <c r="C27" s="93" t="s">
        <v>431</v>
      </c>
      <c r="D27" s="132">
        <v>35664.400000000001</v>
      </c>
      <c r="E27" s="95">
        <v>42601</v>
      </c>
      <c r="F27" s="94">
        <v>35664.400000000001</v>
      </c>
      <c r="G27" s="99">
        <f t="shared" si="2"/>
        <v>0</v>
      </c>
      <c r="H27" s="38"/>
      <c r="L27" s="3"/>
      <c r="M27" s="93"/>
      <c r="N27" s="100"/>
      <c r="O27" s="124"/>
      <c r="P27" s="291" t="s">
        <v>31</v>
      </c>
      <c r="Q27" s="292">
        <v>49089.5</v>
      </c>
      <c r="R27" s="290">
        <v>42558</v>
      </c>
      <c r="V27" s="3"/>
      <c r="W27" s="161"/>
      <c r="X27" s="38"/>
      <c r="Y27" s="213"/>
      <c r="Z27" s="321"/>
      <c r="AA27" s="18"/>
      <c r="AB27" s="95"/>
    </row>
    <row r="28" spans="1:28" ht="15" x14ac:dyDescent="0.25">
      <c r="A28" s="14"/>
      <c r="B28" s="96">
        <v>42577</v>
      </c>
      <c r="C28" s="93" t="s">
        <v>428</v>
      </c>
      <c r="D28" s="132">
        <v>457.5</v>
      </c>
      <c r="E28" s="95">
        <v>42594</v>
      </c>
      <c r="F28" s="94">
        <v>457.5</v>
      </c>
      <c r="G28" s="99">
        <f t="shared" si="2"/>
        <v>0</v>
      </c>
      <c r="H28" s="38"/>
      <c r="L28" s="3"/>
      <c r="M28" s="93"/>
      <c r="N28" s="100"/>
      <c r="O28" s="124"/>
      <c r="P28" s="291" t="s">
        <v>31</v>
      </c>
      <c r="Q28" s="292">
        <v>989</v>
      </c>
      <c r="R28" s="290">
        <v>42556</v>
      </c>
      <c r="V28" s="3"/>
      <c r="W28" s="161"/>
      <c r="X28" s="38"/>
      <c r="Y28" s="213"/>
      <c r="Z28" s="321"/>
      <c r="AA28" s="18"/>
      <c r="AB28" s="95"/>
    </row>
    <row r="29" spans="1:28" ht="15" x14ac:dyDescent="0.25">
      <c r="A29" s="14"/>
      <c r="B29" s="96">
        <v>42578</v>
      </c>
      <c r="C29" s="93" t="s">
        <v>410</v>
      </c>
      <c r="D29" s="132">
        <v>101735.2</v>
      </c>
      <c r="E29" s="95">
        <v>42594</v>
      </c>
      <c r="F29" s="94">
        <v>101735.2</v>
      </c>
      <c r="G29" s="99">
        <f t="shared" si="2"/>
        <v>0</v>
      </c>
      <c r="H29" s="38"/>
      <c r="L29" s="3"/>
      <c r="M29" s="93"/>
      <c r="N29" s="100"/>
      <c r="O29" s="124"/>
      <c r="P29" s="291">
        <v>3273272</v>
      </c>
      <c r="Q29" s="292">
        <v>38272</v>
      </c>
      <c r="R29" s="290">
        <v>42557</v>
      </c>
      <c r="V29" s="3"/>
      <c r="W29" s="161"/>
      <c r="X29" s="38"/>
      <c r="Y29" s="213"/>
      <c r="Z29" s="321"/>
      <c r="AA29" s="18"/>
      <c r="AB29" s="95"/>
    </row>
    <row r="30" spans="1:28" ht="15" x14ac:dyDescent="0.25">
      <c r="A30" s="14"/>
      <c r="B30" s="96">
        <v>42579</v>
      </c>
      <c r="C30" s="93" t="s">
        <v>423</v>
      </c>
      <c r="D30" s="132">
        <v>7800</v>
      </c>
      <c r="E30" s="95">
        <v>42594</v>
      </c>
      <c r="F30" s="94">
        <v>7800</v>
      </c>
      <c r="G30" s="99">
        <f t="shared" si="2"/>
        <v>0</v>
      </c>
      <c r="H30" s="38"/>
      <c r="L30" s="3"/>
      <c r="M30" s="93"/>
      <c r="N30" s="100"/>
      <c r="O30" s="124"/>
      <c r="P30" s="291" t="s">
        <v>31</v>
      </c>
      <c r="Q30" s="292">
        <v>8548</v>
      </c>
      <c r="R30" s="290">
        <v>42558</v>
      </c>
      <c r="V30" s="3"/>
      <c r="W30" s="161"/>
      <c r="X30" s="38"/>
      <c r="Y30" s="213"/>
      <c r="Z30" s="321"/>
      <c r="AA30" s="18"/>
      <c r="AB30" s="95"/>
    </row>
    <row r="31" spans="1:28" ht="15" x14ac:dyDescent="0.25">
      <c r="A31" s="14"/>
      <c r="B31" s="96">
        <v>42579</v>
      </c>
      <c r="C31" s="93" t="s">
        <v>422</v>
      </c>
      <c r="D31" s="132">
        <v>204480.5</v>
      </c>
      <c r="E31" s="95" t="s">
        <v>482</v>
      </c>
      <c r="F31" s="94">
        <f>197126.5+7354</f>
        <v>204480.5</v>
      </c>
      <c r="G31" s="99">
        <f t="shared" si="2"/>
        <v>0</v>
      </c>
      <c r="H31" s="38"/>
      <c r="L31" s="3"/>
      <c r="M31" s="93"/>
      <c r="N31" s="100"/>
      <c r="O31" s="124"/>
      <c r="P31" s="291">
        <v>3273273</v>
      </c>
      <c r="Q31" s="292">
        <v>30000</v>
      </c>
      <c r="R31" s="290">
        <v>42558</v>
      </c>
      <c r="V31" s="3"/>
      <c r="W31" s="161"/>
      <c r="X31" s="38"/>
      <c r="Y31" s="213"/>
      <c r="Z31" s="321"/>
      <c r="AA31" s="18"/>
      <c r="AB31" s="95"/>
    </row>
    <row r="32" spans="1:28" ht="15" x14ac:dyDescent="0.25">
      <c r="A32" s="14"/>
      <c r="B32" s="96">
        <v>42581</v>
      </c>
      <c r="C32" s="93" t="s">
        <v>424</v>
      </c>
      <c r="D32" s="132">
        <v>16318.7</v>
      </c>
      <c r="E32" s="95">
        <v>42594</v>
      </c>
      <c r="F32" s="94">
        <v>16318.7</v>
      </c>
      <c r="G32" s="99">
        <f t="shared" si="2"/>
        <v>0</v>
      </c>
      <c r="H32" s="38"/>
      <c r="L32" s="3"/>
      <c r="M32" s="93"/>
      <c r="N32" s="100"/>
      <c r="O32" s="124"/>
      <c r="P32" s="291">
        <v>3266586</v>
      </c>
      <c r="Q32" s="292">
        <v>30000</v>
      </c>
      <c r="R32" s="290">
        <v>42558</v>
      </c>
      <c r="V32" s="3"/>
      <c r="W32" s="161"/>
      <c r="X32" s="38"/>
      <c r="Y32" s="213"/>
      <c r="Z32" s="321"/>
      <c r="AA32" s="18"/>
      <c r="AB32" s="95"/>
    </row>
    <row r="33" spans="1:28" ht="15" x14ac:dyDescent="0.25">
      <c r="A33" s="14"/>
      <c r="B33" s="96">
        <v>42581</v>
      </c>
      <c r="C33" s="93" t="s">
        <v>425</v>
      </c>
      <c r="D33" s="132">
        <v>329</v>
      </c>
      <c r="E33" s="95">
        <v>42594</v>
      </c>
      <c r="F33" s="94">
        <v>329</v>
      </c>
      <c r="G33" s="99">
        <f t="shared" si="2"/>
        <v>0</v>
      </c>
      <c r="H33" s="38"/>
      <c r="L33" s="3"/>
      <c r="M33" s="93"/>
      <c r="N33" s="100"/>
      <c r="O33" s="124"/>
      <c r="P33" s="291">
        <v>3266585</v>
      </c>
      <c r="Q33" s="292">
        <v>29951.5</v>
      </c>
      <c r="R33" s="290">
        <v>42558</v>
      </c>
      <c r="V33" s="3"/>
      <c r="W33" s="161"/>
      <c r="X33" s="38"/>
      <c r="Y33" s="213"/>
      <c r="Z33" s="321"/>
      <c r="AA33" s="18"/>
      <c r="AB33" s="95"/>
    </row>
    <row r="34" spans="1:28" ht="15" x14ac:dyDescent="0.25">
      <c r="A34" s="14"/>
      <c r="B34" s="96">
        <v>42582</v>
      </c>
      <c r="C34" s="93" t="s">
        <v>426</v>
      </c>
      <c r="D34" s="132">
        <v>68742.3</v>
      </c>
      <c r="E34" s="95">
        <v>42594</v>
      </c>
      <c r="F34" s="94">
        <v>68742.3</v>
      </c>
      <c r="G34" s="99">
        <f t="shared" si="2"/>
        <v>0</v>
      </c>
      <c r="H34" s="38"/>
      <c r="L34" s="3"/>
      <c r="M34" s="93"/>
      <c r="N34" s="132"/>
      <c r="O34" s="124"/>
      <c r="P34" s="291">
        <v>3266584</v>
      </c>
      <c r="Q34" s="292">
        <v>40000</v>
      </c>
      <c r="R34" s="290">
        <v>42559</v>
      </c>
      <c r="V34" s="3"/>
      <c r="W34" s="161"/>
      <c r="X34" s="216"/>
      <c r="Y34" s="213"/>
      <c r="Z34" s="321"/>
      <c r="AA34" s="18"/>
      <c r="AB34" s="95"/>
    </row>
    <row r="35" spans="1:2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291">
        <v>3266583</v>
      </c>
      <c r="Q35" s="292">
        <v>28553.5</v>
      </c>
      <c r="R35" s="290">
        <v>42559</v>
      </c>
      <c r="V35" s="3"/>
      <c r="W35" s="161"/>
      <c r="X35" s="216"/>
      <c r="Y35" s="213"/>
      <c r="Z35" s="215"/>
      <c r="AA35" s="165"/>
      <c r="AB35" s="206"/>
    </row>
    <row r="36" spans="1:2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291" t="s">
        <v>31</v>
      </c>
      <c r="Q36" s="292">
        <v>76534</v>
      </c>
      <c r="R36" s="290">
        <v>42562</v>
      </c>
      <c r="V36" s="33">
        <f>SUM(V4:V35)</f>
        <v>1179146.8</v>
      </c>
      <c r="W36" s="147"/>
      <c r="X36" s="236"/>
      <c r="Y36" s="210"/>
      <c r="Z36" s="211"/>
      <c r="AA36" s="200"/>
      <c r="AB36" s="202"/>
    </row>
    <row r="37" spans="1:2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291">
        <v>3266582</v>
      </c>
      <c r="Q37" s="292">
        <v>40000</v>
      </c>
      <c r="R37" s="290">
        <v>42560</v>
      </c>
      <c r="W37" s="67"/>
      <c r="X37" s="67"/>
      <c r="Y37" s="67"/>
      <c r="Z37" s="67"/>
      <c r="AA37" s="67"/>
      <c r="AB37" s="67"/>
    </row>
    <row r="38" spans="1:2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291">
        <v>3266581</v>
      </c>
      <c r="Q38" s="292">
        <v>29970</v>
      </c>
      <c r="R38" s="290">
        <v>42560</v>
      </c>
      <c r="W38" s="67"/>
      <c r="X38" s="67"/>
      <c r="Y38" s="67"/>
      <c r="Z38" s="67"/>
      <c r="AA38" s="67"/>
      <c r="AB38" s="67"/>
    </row>
    <row r="39" spans="1:2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291"/>
      <c r="Q39" s="292"/>
      <c r="R39" s="290"/>
    </row>
    <row r="40" spans="1:2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233"/>
      <c r="N40" s="234"/>
      <c r="O40" s="124"/>
      <c r="P40" s="291"/>
      <c r="Q40" s="292"/>
      <c r="R40" s="290"/>
    </row>
    <row r="41" spans="1:28" thickBot="1" x14ac:dyDescent="0.3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281"/>
      <c r="N41" s="282"/>
      <c r="O41" s="219"/>
      <c r="P41" s="198"/>
      <c r="Q41" s="199">
        <v>0</v>
      </c>
      <c r="R41" s="220"/>
    </row>
    <row r="42" spans="1:28" ht="16.5" thickTop="1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>
        <f>SUM(L4:L41)</f>
        <v>1221541.44</v>
      </c>
      <c r="M42" s="147"/>
      <c r="N42" s="236">
        <f>SUM(N4:N41)</f>
        <v>1221541</v>
      </c>
      <c r="O42" s="210"/>
      <c r="P42" s="211"/>
      <c r="Q42" s="200">
        <f>SUM(Q4:Q41)</f>
        <v>1221541</v>
      </c>
      <c r="R42" s="202"/>
    </row>
    <row r="43" spans="1:28" ht="16.5" customHeight="1" thickBot="1" x14ac:dyDescent="0.3">
      <c r="B43" s="14"/>
      <c r="C43" s="104"/>
      <c r="D43" s="262"/>
      <c r="E43" s="104"/>
      <c r="F43" s="106"/>
      <c r="G43" s="107">
        <f t="shared" si="0"/>
        <v>0</v>
      </c>
    </row>
    <row r="44" spans="1:28" ht="17.25" thickTop="1" thickBot="1" x14ac:dyDescent="0.3">
      <c r="B44"/>
      <c r="C44"/>
      <c r="D44" s="263">
        <f>SUM(D4:D43)</f>
        <v>3176681.27</v>
      </c>
      <c r="E44" s="108"/>
      <c r="F44" s="109">
        <f>SUM(F4:F43)</f>
        <v>3176681.27</v>
      </c>
      <c r="G44" s="109">
        <f>SUM(G4:G43)</f>
        <v>0</v>
      </c>
    </row>
    <row r="45" spans="1:28" ht="19.5" customHeight="1" thickBot="1" x14ac:dyDescent="0.35">
      <c r="L45" s="33"/>
      <c r="M45" s="417">
        <v>1</v>
      </c>
      <c r="N45" s="86" t="s">
        <v>28</v>
      </c>
      <c r="O45" s="86"/>
      <c r="P45" s="110"/>
      <c r="Q45" s="197">
        <v>42574</v>
      </c>
      <c r="R45" s="112"/>
    </row>
    <row r="46" spans="1:28" ht="16.5" customHeight="1" thickBot="1" x14ac:dyDescent="0.3">
      <c r="L46" s="33"/>
      <c r="M46" s="418"/>
      <c r="N46" s="113"/>
      <c r="O46" s="113"/>
      <c r="P46" s="114"/>
      <c r="Q46" s="115"/>
      <c r="R46" s="112"/>
    </row>
    <row r="47" spans="1:28" ht="16.5" thickBot="1" x14ac:dyDescent="0.3">
      <c r="L47" s="3"/>
      <c r="M47" s="116" t="s">
        <v>23</v>
      </c>
      <c r="N47" s="116" t="s">
        <v>24</v>
      </c>
      <c r="O47" s="116"/>
      <c r="P47" s="117" t="s">
        <v>29</v>
      </c>
      <c r="Q47" s="118" t="s">
        <v>30</v>
      </c>
      <c r="R47" s="119"/>
    </row>
    <row r="48" spans="1:28" ht="16.5" thickTop="1" x14ac:dyDescent="0.25">
      <c r="B48"/>
      <c r="C48" s="159">
        <v>42553</v>
      </c>
      <c r="D48" s="33">
        <v>2204</v>
      </c>
      <c r="E48" t="s">
        <v>377</v>
      </c>
      <c r="F48"/>
      <c r="G48"/>
      <c r="H48"/>
      <c r="L48" s="33">
        <f>86998.73+105754.5+94223+100213.37</f>
        <v>387189.6</v>
      </c>
      <c r="M48" s="93" t="s">
        <v>361</v>
      </c>
      <c r="N48" s="132">
        <v>387189.6</v>
      </c>
      <c r="O48" s="120"/>
      <c r="P48" s="289" t="s">
        <v>31</v>
      </c>
      <c r="Q48" s="296">
        <v>6579</v>
      </c>
      <c r="R48" s="297">
        <v>42563</v>
      </c>
    </row>
    <row r="49" spans="2:18" x14ac:dyDescent="0.25">
      <c r="B49"/>
      <c r="C49" s="159">
        <v>42556</v>
      </c>
      <c r="D49" s="33">
        <v>1799</v>
      </c>
      <c r="E49" t="s">
        <v>386</v>
      </c>
      <c r="F49"/>
      <c r="G49"/>
      <c r="H49"/>
      <c r="L49" s="33">
        <v>74568.17</v>
      </c>
      <c r="M49" s="93" t="s">
        <v>362</v>
      </c>
      <c r="N49" s="132">
        <v>74566.95</v>
      </c>
      <c r="O49" s="124" t="s">
        <v>36</v>
      </c>
      <c r="P49" s="241" t="s">
        <v>31</v>
      </c>
      <c r="Q49" s="242">
        <v>5255</v>
      </c>
      <c r="R49" s="290">
        <v>42563</v>
      </c>
    </row>
    <row r="50" spans="2:18" x14ac:dyDescent="0.25">
      <c r="B50"/>
      <c r="C50" s="159">
        <v>42557</v>
      </c>
      <c r="D50" s="33">
        <v>4636</v>
      </c>
      <c r="E50" t="s">
        <v>170</v>
      </c>
      <c r="F50"/>
      <c r="G50"/>
      <c r="H50"/>
      <c r="L50" s="33">
        <f>44249.33+147169.87</f>
        <v>191419.2</v>
      </c>
      <c r="M50" s="93" t="s">
        <v>363</v>
      </c>
      <c r="N50" s="132">
        <v>191419.2</v>
      </c>
      <c r="O50" s="124"/>
      <c r="P50" s="241">
        <v>3266580</v>
      </c>
      <c r="Q50" s="242">
        <v>24500</v>
      </c>
      <c r="R50" s="290">
        <v>42561</v>
      </c>
    </row>
    <row r="51" spans="2:18" x14ac:dyDescent="0.25">
      <c r="B51"/>
      <c r="C51" s="159">
        <v>42560</v>
      </c>
      <c r="D51" s="33">
        <v>1154.4000000000001</v>
      </c>
      <c r="E51" t="s">
        <v>413</v>
      </c>
      <c r="F51"/>
      <c r="G51"/>
      <c r="H51"/>
      <c r="L51" s="33">
        <f>31148.63+98654+114139+79394.89</f>
        <v>323336.52</v>
      </c>
      <c r="M51" s="93" t="s">
        <v>364</v>
      </c>
      <c r="N51" s="132">
        <v>323336.52</v>
      </c>
      <c r="O51" s="124" t="s">
        <v>88</v>
      </c>
      <c r="P51" s="241">
        <v>3266579</v>
      </c>
      <c r="Q51" s="242">
        <v>50000</v>
      </c>
      <c r="R51" s="290">
        <v>42562</v>
      </c>
    </row>
    <row r="52" spans="2:18" x14ac:dyDescent="0.25">
      <c r="B52"/>
      <c r="C52" s="159">
        <v>42564</v>
      </c>
      <c r="D52" s="33">
        <v>5344</v>
      </c>
      <c r="E52" t="s">
        <v>170</v>
      </c>
      <c r="F52"/>
      <c r="G52"/>
      <c r="H52"/>
      <c r="L52" s="33">
        <v>20941</v>
      </c>
      <c r="M52" s="93" t="s">
        <v>397</v>
      </c>
      <c r="N52" s="132">
        <v>20942.23</v>
      </c>
      <c r="O52" s="124" t="s">
        <v>88</v>
      </c>
      <c r="P52" s="241">
        <v>3266575</v>
      </c>
      <c r="Q52" s="242">
        <v>32483.5</v>
      </c>
      <c r="R52" s="290">
        <v>42561</v>
      </c>
    </row>
    <row r="53" spans="2:18" x14ac:dyDescent="0.25">
      <c r="B53"/>
      <c r="C53" s="159">
        <v>42572</v>
      </c>
      <c r="D53" s="33">
        <v>252</v>
      </c>
      <c r="E53" t="s">
        <v>417</v>
      </c>
      <c r="F53"/>
      <c r="G53"/>
      <c r="H53"/>
      <c r="L53" s="33"/>
      <c r="M53" s="93"/>
      <c r="N53" s="132"/>
      <c r="O53" s="128"/>
      <c r="P53" s="241" t="s">
        <v>31</v>
      </c>
      <c r="Q53" s="242">
        <v>116000</v>
      </c>
      <c r="R53" s="290">
        <v>42567</v>
      </c>
    </row>
    <row r="54" spans="2:18" x14ac:dyDescent="0.25">
      <c r="B54"/>
      <c r="C54" s="159">
        <v>42575</v>
      </c>
      <c r="D54" s="33">
        <v>5800</v>
      </c>
      <c r="E54" t="s">
        <v>446</v>
      </c>
      <c r="F54"/>
      <c r="G54"/>
      <c r="H54"/>
      <c r="L54" s="33"/>
      <c r="M54" s="93"/>
      <c r="N54" s="132"/>
      <c r="O54" s="129"/>
      <c r="P54" s="241">
        <v>3266573</v>
      </c>
      <c r="Q54" s="242">
        <v>28168.5</v>
      </c>
      <c r="R54" s="290">
        <v>42562</v>
      </c>
    </row>
    <row r="55" spans="2:18" ht="15" x14ac:dyDescent="0.25">
      <c r="B55"/>
      <c r="C55" s="159">
        <v>42576</v>
      </c>
      <c r="D55" s="33">
        <v>5244</v>
      </c>
      <c r="E55" t="s">
        <v>448</v>
      </c>
      <c r="F55"/>
      <c r="G55"/>
      <c r="H55"/>
      <c r="L55" s="33"/>
      <c r="M55" s="93"/>
      <c r="N55" s="132"/>
      <c r="O55" s="124"/>
      <c r="P55" s="291">
        <v>3266572</v>
      </c>
      <c r="Q55" s="292">
        <v>40000</v>
      </c>
      <c r="R55" s="290">
        <v>42562</v>
      </c>
    </row>
    <row r="56" spans="2:18" ht="15" x14ac:dyDescent="0.25">
      <c r="B56"/>
      <c r="C56" s="159">
        <v>42578</v>
      </c>
      <c r="D56" s="33">
        <v>2632</v>
      </c>
      <c r="E56" t="s">
        <v>170</v>
      </c>
      <c r="F56"/>
      <c r="G56"/>
      <c r="H56"/>
      <c r="L56" s="33"/>
      <c r="M56" s="93"/>
      <c r="N56" s="132"/>
      <c r="O56" s="124"/>
      <c r="P56" s="291">
        <v>3266576</v>
      </c>
      <c r="Q56" s="292">
        <v>50000</v>
      </c>
      <c r="R56" s="290">
        <v>42561</v>
      </c>
    </row>
    <row r="57" spans="2:18" ht="15" x14ac:dyDescent="0.25">
      <c r="B57"/>
      <c r="C57" s="159">
        <v>42580</v>
      </c>
      <c r="D57" s="33">
        <v>7922</v>
      </c>
      <c r="E57" t="s">
        <v>448</v>
      </c>
      <c r="F57"/>
      <c r="G57"/>
      <c r="H57"/>
      <c r="L57" s="33"/>
      <c r="M57" s="98"/>
      <c r="N57" s="132"/>
      <c r="O57" s="124"/>
      <c r="P57" s="291">
        <v>3266571</v>
      </c>
      <c r="Q57" s="292">
        <v>15754.5</v>
      </c>
      <c r="R57" s="290">
        <v>42563</v>
      </c>
    </row>
    <row r="58" spans="2:18" ht="15" x14ac:dyDescent="0.25">
      <c r="B58"/>
      <c r="C58"/>
      <c r="D58" s="3">
        <v>0</v>
      </c>
      <c r="E58"/>
      <c r="F58" s="14"/>
      <c r="G58"/>
      <c r="H58"/>
      <c r="L58" s="33"/>
      <c r="M58" s="93"/>
      <c r="N58" s="132"/>
      <c r="O58" s="124"/>
      <c r="P58" s="291">
        <v>3266577</v>
      </c>
      <c r="Q58" s="292">
        <v>50000</v>
      </c>
      <c r="R58" s="290">
        <v>42563</v>
      </c>
    </row>
    <row r="59" spans="2:18" ht="15" x14ac:dyDescent="0.25">
      <c r="B59"/>
      <c r="C59"/>
      <c r="D59" s="3">
        <v>0</v>
      </c>
      <c r="E59"/>
      <c r="F59" s="14"/>
      <c r="G59"/>
      <c r="H59"/>
      <c r="L59" s="33"/>
      <c r="M59" s="93"/>
      <c r="N59" s="132"/>
      <c r="O59" s="124"/>
      <c r="P59" s="291">
        <v>3266578</v>
      </c>
      <c r="Q59" s="292">
        <v>40000</v>
      </c>
      <c r="R59" s="290">
        <v>42563</v>
      </c>
    </row>
    <row r="60" spans="2:18" ht="15" x14ac:dyDescent="0.25">
      <c r="B60"/>
      <c r="C60"/>
      <c r="D60" s="3">
        <v>0</v>
      </c>
      <c r="E60"/>
      <c r="F60" s="14"/>
      <c r="G60"/>
      <c r="H60"/>
      <c r="L60" s="33"/>
      <c r="M60" s="93"/>
      <c r="N60" s="235"/>
      <c r="O60" s="124"/>
      <c r="P60" s="291" t="s">
        <v>31</v>
      </c>
      <c r="Q60" s="292">
        <v>24125</v>
      </c>
      <c r="R60" s="290">
        <v>42566</v>
      </c>
    </row>
    <row r="61" spans="2:18" ht="15" x14ac:dyDescent="0.25">
      <c r="B61"/>
      <c r="C61"/>
      <c r="D61" s="3">
        <v>0</v>
      </c>
      <c r="E61"/>
      <c r="F61" s="14"/>
      <c r="G61"/>
      <c r="H61"/>
      <c r="L61" s="33"/>
      <c r="M61" s="93"/>
      <c r="N61" s="132"/>
      <c r="O61" s="124"/>
      <c r="P61" s="291">
        <v>3266569</v>
      </c>
      <c r="Q61" s="292">
        <v>20098</v>
      </c>
      <c r="R61" s="290">
        <v>42564</v>
      </c>
    </row>
    <row r="62" spans="2:18" ht="15" x14ac:dyDescent="0.25">
      <c r="B62"/>
      <c r="C62"/>
      <c r="D62" s="3">
        <v>0</v>
      </c>
      <c r="E62"/>
      <c r="F62" s="14"/>
      <c r="G62"/>
      <c r="H62"/>
      <c r="L62" s="33"/>
      <c r="M62" s="93"/>
      <c r="N62" s="132"/>
      <c r="O62" s="124"/>
      <c r="P62" s="291">
        <v>3266570</v>
      </c>
      <c r="Q62" s="292">
        <v>50000</v>
      </c>
      <c r="R62" s="290">
        <v>42564</v>
      </c>
    </row>
    <row r="63" spans="2:18" ht="15" x14ac:dyDescent="0.25">
      <c r="B63"/>
      <c r="C63"/>
      <c r="D63" s="3">
        <v>0</v>
      </c>
      <c r="E63"/>
      <c r="F63" s="14"/>
      <c r="G63"/>
      <c r="H63"/>
      <c r="L63" s="33"/>
      <c r="M63" s="93"/>
      <c r="N63" s="132"/>
      <c r="O63" s="124"/>
      <c r="P63" s="291" t="s">
        <v>31</v>
      </c>
      <c r="Q63" s="292">
        <v>40070</v>
      </c>
      <c r="R63" s="290">
        <v>42564</v>
      </c>
    </row>
    <row r="64" spans="2:18" ht="15" x14ac:dyDescent="0.25">
      <c r="B64"/>
      <c r="C64"/>
      <c r="D64" s="3">
        <v>0</v>
      </c>
      <c r="E64"/>
      <c r="F64" s="14"/>
      <c r="G64"/>
      <c r="H64"/>
      <c r="L64" s="33"/>
      <c r="M64" s="93"/>
      <c r="N64" s="132"/>
      <c r="O64" s="124"/>
      <c r="P64" s="291" t="s">
        <v>31</v>
      </c>
      <c r="Q64" s="292">
        <v>10330</v>
      </c>
      <c r="R64" s="290">
        <v>42569</v>
      </c>
    </row>
    <row r="65" spans="2:18" ht="15" x14ac:dyDescent="0.25">
      <c r="B65"/>
      <c r="C65"/>
      <c r="D65" s="3">
        <v>0</v>
      </c>
      <c r="E65"/>
      <c r="F65" s="14"/>
      <c r="G65"/>
      <c r="H65"/>
      <c r="L65" s="3"/>
      <c r="M65" s="93"/>
      <c r="N65" s="132"/>
      <c r="O65" s="124"/>
      <c r="P65" s="291" t="s">
        <v>31</v>
      </c>
      <c r="Q65" s="292">
        <v>10178</v>
      </c>
      <c r="R65" s="290">
        <v>42566</v>
      </c>
    </row>
    <row r="66" spans="2:18" ht="15" x14ac:dyDescent="0.25">
      <c r="B66"/>
      <c r="C66"/>
      <c r="D66" s="3">
        <f>SUM(D48:D65)</f>
        <v>36987.4</v>
      </c>
      <c r="E66"/>
      <c r="F66" s="14"/>
      <c r="G66"/>
      <c r="H66"/>
      <c r="L66" s="3"/>
      <c r="M66" s="93"/>
      <c r="N66" s="100"/>
      <c r="O66" s="124"/>
      <c r="P66" s="291">
        <v>3266567</v>
      </c>
      <c r="Q66" s="292">
        <v>50000</v>
      </c>
      <c r="R66" s="290">
        <v>42565</v>
      </c>
    </row>
    <row r="67" spans="2:18" ht="15" x14ac:dyDescent="0.25">
      <c r="B67"/>
      <c r="C67"/>
      <c r="E67"/>
      <c r="F67" s="14"/>
      <c r="G67"/>
      <c r="H67"/>
      <c r="L67" s="3"/>
      <c r="M67" s="93"/>
      <c r="N67" s="100"/>
      <c r="O67" s="124"/>
      <c r="P67" s="291">
        <v>3266568</v>
      </c>
      <c r="Q67" s="292">
        <v>20784</v>
      </c>
      <c r="R67" s="290">
        <v>42565</v>
      </c>
    </row>
    <row r="68" spans="2:18" ht="15" x14ac:dyDescent="0.25">
      <c r="B68"/>
      <c r="C68"/>
      <c r="E68"/>
      <c r="F68" s="14"/>
      <c r="G68"/>
      <c r="H68"/>
      <c r="L68" s="3"/>
      <c r="M68" s="93"/>
      <c r="N68" s="100"/>
      <c r="O68" s="124"/>
      <c r="P68" s="291">
        <v>2730793</v>
      </c>
      <c r="Q68" s="292">
        <v>23654</v>
      </c>
      <c r="R68" s="290">
        <v>42566</v>
      </c>
    </row>
    <row r="69" spans="2:18" ht="15" x14ac:dyDescent="0.25">
      <c r="B69"/>
      <c r="C69"/>
      <c r="E69"/>
      <c r="F69" s="14"/>
      <c r="G69"/>
      <c r="H69"/>
      <c r="L69" s="3"/>
      <c r="M69" s="93"/>
      <c r="N69" s="100"/>
      <c r="O69" s="124"/>
      <c r="P69" s="291">
        <v>2730792</v>
      </c>
      <c r="Q69" s="292">
        <v>40000</v>
      </c>
      <c r="R69" s="290">
        <v>42566</v>
      </c>
    </row>
    <row r="70" spans="2:18" ht="15" x14ac:dyDescent="0.25">
      <c r="B70"/>
      <c r="C70"/>
      <c r="E70"/>
      <c r="F70" s="14"/>
      <c r="G70"/>
      <c r="H70"/>
      <c r="L70" s="3"/>
      <c r="M70" s="93"/>
      <c r="N70" s="100"/>
      <c r="O70" s="124"/>
      <c r="P70" s="291">
        <v>2730791</v>
      </c>
      <c r="Q70" s="292">
        <v>35000</v>
      </c>
      <c r="R70" s="290">
        <v>42566</v>
      </c>
    </row>
    <row r="71" spans="2:18" ht="15" x14ac:dyDescent="0.25">
      <c r="B71"/>
      <c r="C71"/>
      <c r="E71"/>
      <c r="F71" s="14"/>
      <c r="G71"/>
      <c r="H71"/>
      <c r="L71" s="3"/>
      <c r="M71" s="93"/>
      <c r="N71" s="100"/>
      <c r="O71" s="124"/>
      <c r="P71" s="291">
        <v>3266562</v>
      </c>
      <c r="Q71" s="292">
        <v>34139</v>
      </c>
      <c r="R71" s="290">
        <v>42567</v>
      </c>
    </row>
    <row r="72" spans="2:18" ht="15" x14ac:dyDescent="0.25">
      <c r="B72"/>
      <c r="C72"/>
      <c r="E72"/>
      <c r="F72" s="14"/>
      <c r="G72"/>
      <c r="H72"/>
      <c r="L72" s="3"/>
      <c r="M72" s="93"/>
      <c r="N72" s="100"/>
      <c r="O72" s="124"/>
      <c r="P72" s="291">
        <v>3266563</v>
      </c>
      <c r="Q72" s="292">
        <v>30000</v>
      </c>
      <c r="R72" s="290">
        <v>42567</v>
      </c>
    </row>
    <row r="73" spans="2:18" ht="15" x14ac:dyDescent="0.25">
      <c r="B73"/>
      <c r="C73"/>
      <c r="E73"/>
      <c r="F73" s="14"/>
      <c r="G73"/>
      <c r="H73"/>
      <c r="L73" s="3"/>
      <c r="M73" s="93"/>
      <c r="N73" s="100"/>
      <c r="O73" s="124"/>
      <c r="P73" s="291">
        <v>3266574</v>
      </c>
      <c r="Q73" s="292">
        <v>50000</v>
      </c>
      <c r="R73" s="290">
        <v>42567</v>
      </c>
    </row>
    <row r="74" spans="2:18" ht="15" x14ac:dyDescent="0.25">
      <c r="B74"/>
      <c r="C74"/>
      <c r="E74"/>
      <c r="F74" s="14"/>
      <c r="G74"/>
      <c r="H74"/>
      <c r="L74" s="3"/>
      <c r="M74" s="93"/>
      <c r="N74" s="100"/>
      <c r="O74" s="124"/>
      <c r="P74" s="291" t="s">
        <v>31</v>
      </c>
      <c r="Q74" s="292">
        <v>2040</v>
      </c>
      <c r="R74" s="290">
        <v>42565</v>
      </c>
    </row>
    <row r="75" spans="2:18" ht="15" x14ac:dyDescent="0.25">
      <c r="B75"/>
      <c r="C75"/>
      <c r="E75"/>
      <c r="F75" s="14"/>
      <c r="G75"/>
      <c r="H75"/>
      <c r="L75" s="3"/>
      <c r="M75" s="93"/>
      <c r="N75" s="100"/>
      <c r="O75" s="124"/>
      <c r="P75" s="291">
        <v>3266561</v>
      </c>
      <c r="Q75" s="292">
        <v>40000</v>
      </c>
      <c r="R75" s="290">
        <v>42568</v>
      </c>
    </row>
    <row r="76" spans="2:18" ht="15" x14ac:dyDescent="0.25">
      <c r="B76"/>
      <c r="C76"/>
      <c r="E76"/>
      <c r="F76" s="14"/>
      <c r="G76"/>
      <c r="H76"/>
      <c r="L76" s="3"/>
      <c r="M76" s="93"/>
      <c r="N76" s="100"/>
      <c r="O76" s="124"/>
      <c r="P76" s="291">
        <v>3266560</v>
      </c>
      <c r="Q76" s="292">
        <v>30000</v>
      </c>
      <c r="R76" s="290">
        <v>42567</v>
      </c>
    </row>
    <row r="77" spans="2:18" ht="16.5" customHeight="1" x14ac:dyDescent="0.25">
      <c r="B77"/>
      <c r="C77"/>
      <c r="E77"/>
      <c r="F77" s="14"/>
      <c r="G77"/>
      <c r="H77"/>
      <c r="L77" s="3"/>
      <c r="M77" s="93"/>
      <c r="N77" s="100"/>
      <c r="O77" s="124"/>
      <c r="P77" s="291">
        <v>3266558</v>
      </c>
      <c r="Q77" s="292">
        <v>28296</v>
      </c>
      <c r="R77" s="290">
        <v>42568</v>
      </c>
    </row>
    <row r="78" spans="2:18" x14ac:dyDescent="0.25">
      <c r="L78" s="3"/>
      <c r="M78" s="93"/>
      <c r="N78" s="132"/>
      <c r="O78" s="124"/>
      <c r="P78" s="291"/>
      <c r="Q78" s="292"/>
      <c r="R78" s="290"/>
    </row>
    <row r="79" spans="2:18" ht="16.5" thickBot="1" x14ac:dyDescent="0.3">
      <c r="L79" s="3"/>
      <c r="M79" s="281"/>
      <c r="N79" s="282"/>
      <c r="O79" s="219"/>
      <c r="P79" s="198"/>
      <c r="Q79" s="199">
        <v>0</v>
      </c>
      <c r="R79" s="220"/>
    </row>
    <row r="80" spans="2:18" ht="16.5" thickTop="1" x14ac:dyDescent="0.25">
      <c r="L80" s="33">
        <f>SUM(L48:L79)</f>
        <v>997454.49</v>
      </c>
      <c r="M80" s="147"/>
      <c r="N80" s="236">
        <f>SUM(N48:N79)</f>
        <v>997454.5</v>
      </c>
      <c r="O80" s="210"/>
      <c r="P80" s="211"/>
      <c r="Q80" s="200">
        <f>SUM(Q48:Q79)</f>
        <v>997454.5</v>
      </c>
      <c r="R80" s="20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</sheetData>
  <sortState ref="B25:G34">
    <sortCondition ref="C25:C34"/>
  </sortState>
  <mergeCells count="3">
    <mergeCell ref="M1:M2"/>
    <mergeCell ref="M45:M46"/>
    <mergeCell ref="W1:W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A46"/>
  <sheetViews>
    <sheetView topLeftCell="A13" workbookViewId="0">
      <selection activeCell="K12" sqref="K12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26.85546875" customWidth="1"/>
    <col min="16" max="16" width="14" customWidth="1"/>
    <col min="19" max="19" width="14.140625" bestFit="1" customWidth="1"/>
    <col min="24" max="24" width="14.140625" bestFit="1" customWidth="1"/>
    <col min="26" max="26" width="32" customWidth="1"/>
    <col min="29" max="29" width="14" customWidth="1"/>
    <col min="32" max="32" width="14.140625" bestFit="1" customWidth="1"/>
    <col min="37" max="37" width="14.140625" bestFit="1" customWidth="1"/>
    <col min="39" max="39" width="14.140625" bestFit="1" customWidth="1"/>
    <col min="42" max="42" width="14" customWidth="1"/>
    <col min="45" max="45" width="14.140625" bestFit="1" customWidth="1"/>
    <col min="50" max="50" width="14.140625" bestFit="1" customWidth="1"/>
    <col min="52" max="53" width="12.5703125" bestFit="1" customWidth="1"/>
  </cols>
  <sheetData>
    <row r="1" spans="1:53" ht="24" thickBot="1" x14ac:dyDescent="0.4">
      <c r="B1" s="1"/>
      <c r="C1" s="408" t="s">
        <v>427</v>
      </c>
      <c r="D1" s="408"/>
      <c r="E1" s="408"/>
      <c r="F1" s="408"/>
      <c r="G1" s="408"/>
      <c r="H1" s="408"/>
      <c r="I1" s="408"/>
      <c r="J1" s="408"/>
      <c r="K1" s="300" t="s">
        <v>293</v>
      </c>
      <c r="L1" s="2"/>
      <c r="O1" s="1"/>
      <c r="P1" s="408" t="s">
        <v>427</v>
      </c>
      <c r="Q1" s="408"/>
      <c r="R1" s="408"/>
      <c r="S1" s="408"/>
      <c r="T1" s="408"/>
      <c r="U1" s="408"/>
      <c r="V1" s="408"/>
      <c r="W1" s="408"/>
      <c r="X1" s="300" t="s">
        <v>273</v>
      </c>
      <c r="Y1" s="2"/>
      <c r="AB1" s="1"/>
      <c r="AC1" s="408" t="s">
        <v>427</v>
      </c>
      <c r="AD1" s="408"/>
      <c r="AE1" s="408"/>
      <c r="AF1" s="408"/>
      <c r="AG1" s="408"/>
      <c r="AH1" s="408"/>
      <c r="AI1" s="408"/>
      <c r="AJ1" s="408"/>
      <c r="AK1" s="300" t="s">
        <v>257</v>
      </c>
      <c r="AL1" s="2"/>
      <c r="AO1" s="1"/>
      <c r="AP1" s="408" t="s">
        <v>427</v>
      </c>
      <c r="AQ1" s="408"/>
      <c r="AR1" s="408"/>
      <c r="AS1" s="408"/>
      <c r="AT1" s="408"/>
      <c r="AU1" s="408"/>
      <c r="AV1" s="408"/>
      <c r="AW1" s="408"/>
      <c r="AX1" s="300" t="s">
        <v>256</v>
      </c>
      <c r="AY1" s="2"/>
      <c r="AZ1" s="2"/>
    </row>
    <row r="2" spans="1:53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O2" s="1"/>
      <c r="P2" s="4" t="s">
        <v>0</v>
      </c>
      <c r="R2" s="5"/>
      <c r="S2" s="5"/>
      <c r="U2" s="1"/>
      <c r="V2" s="1"/>
      <c r="W2" s="1"/>
      <c r="X2" s="1"/>
      <c r="Y2" s="2"/>
      <c r="AB2" s="1"/>
      <c r="AC2" s="4" t="s">
        <v>0</v>
      </c>
      <c r="AE2" s="5"/>
      <c r="AF2" s="5"/>
      <c r="AH2" s="1"/>
      <c r="AI2" s="1"/>
      <c r="AJ2" s="1"/>
      <c r="AK2" s="1"/>
      <c r="AL2" s="2"/>
      <c r="AO2" s="1"/>
      <c r="AP2" s="4" t="s">
        <v>0</v>
      </c>
      <c r="AR2" s="5"/>
      <c r="AS2" s="5"/>
      <c r="AU2" s="1"/>
      <c r="AV2" s="1"/>
      <c r="AW2" s="1"/>
      <c r="AX2" s="1"/>
      <c r="AY2" s="2"/>
      <c r="AZ2" s="2"/>
    </row>
    <row r="3" spans="1:53" ht="20.25" thickTop="1" thickBot="1" x14ac:dyDescent="0.35">
      <c r="A3" s="6" t="s">
        <v>1</v>
      </c>
      <c r="B3" s="7"/>
      <c r="C3" s="8">
        <v>315086.27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N3" s="6" t="s">
        <v>1</v>
      </c>
      <c r="O3" s="7"/>
      <c r="P3" s="8">
        <v>315086.27</v>
      </c>
      <c r="Q3" s="9"/>
      <c r="R3" s="409" t="s">
        <v>2</v>
      </c>
      <c r="S3" s="410"/>
      <c r="U3" s="1"/>
      <c r="V3" s="411" t="s">
        <v>3</v>
      </c>
      <c r="W3" s="412"/>
      <c r="X3" s="413"/>
      <c r="Y3" s="10" t="s">
        <v>4</v>
      </c>
      <c r="AA3" s="6" t="s">
        <v>1</v>
      </c>
      <c r="AB3" s="7"/>
      <c r="AC3" s="8">
        <v>315086.27</v>
      </c>
      <c r="AD3" s="9"/>
      <c r="AE3" s="409" t="s">
        <v>2</v>
      </c>
      <c r="AF3" s="410"/>
      <c r="AH3" s="1"/>
      <c r="AI3" s="411" t="s">
        <v>3</v>
      </c>
      <c r="AJ3" s="412"/>
      <c r="AK3" s="413"/>
      <c r="AL3" s="10" t="s">
        <v>4</v>
      </c>
      <c r="AN3" s="6" t="s">
        <v>1</v>
      </c>
      <c r="AO3" s="7"/>
      <c r="AP3" s="8">
        <v>315086.27</v>
      </c>
      <c r="AQ3" s="9"/>
      <c r="AR3" s="409" t="s">
        <v>2</v>
      </c>
      <c r="AS3" s="410"/>
      <c r="AU3" s="1"/>
      <c r="AV3" s="411" t="s">
        <v>3</v>
      </c>
      <c r="AW3" s="412"/>
      <c r="AX3" s="413"/>
      <c r="AY3" s="10" t="s">
        <v>4</v>
      </c>
      <c r="AZ3" s="10"/>
    </row>
    <row r="4" spans="1:53" ht="15.75" thickTop="1" x14ac:dyDescent="0.25">
      <c r="B4" s="11">
        <v>42583</v>
      </c>
      <c r="C4" s="12">
        <v>32140.5</v>
      </c>
      <c r="D4" s="40" t="s">
        <v>454</v>
      </c>
      <c r="E4" s="186">
        <v>42583</v>
      </c>
      <c r="F4" s="13">
        <v>32140.5</v>
      </c>
      <c r="G4" s="14"/>
      <c r="H4" s="187">
        <v>42583</v>
      </c>
      <c r="I4" s="345">
        <v>0</v>
      </c>
      <c r="J4" s="16" t="s">
        <v>5</v>
      </c>
      <c r="K4" s="320">
        <v>649</v>
      </c>
      <c r="L4" s="18">
        <v>0</v>
      </c>
      <c r="O4" s="11">
        <v>42583</v>
      </c>
      <c r="P4" s="12">
        <v>32140.5</v>
      </c>
      <c r="Q4" s="40" t="s">
        <v>454</v>
      </c>
      <c r="R4" s="186">
        <v>42583</v>
      </c>
      <c r="S4" s="13">
        <v>32140.5</v>
      </c>
      <c r="T4" s="14"/>
      <c r="U4" s="187">
        <v>42583</v>
      </c>
      <c r="V4" s="345">
        <v>0</v>
      </c>
      <c r="W4" s="16" t="s">
        <v>5</v>
      </c>
      <c r="X4" s="320">
        <v>649</v>
      </c>
      <c r="Y4" s="18">
        <v>0</v>
      </c>
      <c r="AB4" s="11">
        <v>42583</v>
      </c>
      <c r="AC4" s="12">
        <v>32140.5</v>
      </c>
      <c r="AD4" s="40" t="s">
        <v>454</v>
      </c>
      <c r="AE4" s="186">
        <v>42583</v>
      </c>
      <c r="AF4" s="13">
        <v>32140.5</v>
      </c>
      <c r="AG4" s="14"/>
      <c r="AH4" s="187">
        <v>42583</v>
      </c>
      <c r="AI4" s="345">
        <v>0</v>
      </c>
      <c r="AJ4" s="16" t="s">
        <v>5</v>
      </c>
      <c r="AK4" s="320">
        <v>0</v>
      </c>
      <c r="AL4" s="18">
        <v>0</v>
      </c>
      <c r="AO4" s="11">
        <v>42583</v>
      </c>
      <c r="AP4" s="12">
        <v>32140.5</v>
      </c>
      <c r="AQ4" s="40" t="s">
        <v>454</v>
      </c>
      <c r="AR4" s="186">
        <v>42583</v>
      </c>
      <c r="AS4" s="13">
        <v>32140.5</v>
      </c>
      <c r="AT4" s="14"/>
      <c r="AU4" s="187">
        <v>42583</v>
      </c>
      <c r="AV4" s="15">
        <v>0</v>
      </c>
      <c r="AW4" s="16" t="s">
        <v>5</v>
      </c>
      <c r="AX4" s="320">
        <v>0</v>
      </c>
      <c r="AY4" s="18">
        <v>0</v>
      </c>
      <c r="AZ4" s="18"/>
    </row>
    <row r="5" spans="1:53" ht="15" customHeight="1" x14ac:dyDescent="0.25">
      <c r="B5" s="11">
        <v>42584</v>
      </c>
      <c r="C5" s="12">
        <v>52337.5</v>
      </c>
      <c r="D5" s="19" t="s">
        <v>454</v>
      </c>
      <c r="E5" s="20">
        <v>42584</v>
      </c>
      <c r="F5" s="13">
        <v>52337.5</v>
      </c>
      <c r="G5" s="21"/>
      <c r="H5" s="22">
        <v>42584</v>
      </c>
      <c r="I5" s="18">
        <v>0</v>
      </c>
      <c r="J5" s="422" t="s">
        <v>6</v>
      </c>
      <c r="K5" s="318">
        <v>0</v>
      </c>
      <c r="L5" s="18">
        <v>0</v>
      </c>
      <c r="O5" s="11">
        <v>42584</v>
      </c>
      <c r="P5" s="12">
        <v>52337.5</v>
      </c>
      <c r="Q5" s="19" t="s">
        <v>454</v>
      </c>
      <c r="R5" s="20">
        <v>42584</v>
      </c>
      <c r="S5" s="13">
        <v>52337.5</v>
      </c>
      <c r="T5" s="21"/>
      <c r="U5" s="22">
        <v>42584</v>
      </c>
      <c r="V5" s="18">
        <v>0</v>
      </c>
      <c r="W5" s="422" t="s">
        <v>6</v>
      </c>
      <c r="X5" s="318">
        <v>0</v>
      </c>
      <c r="Y5" s="18">
        <v>0</v>
      </c>
      <c r="AB5" s="11">
        <v>42584</v>
      </c>
      <c r="AC5" s="12">
        <v>52337.5</v>
      </c>
      <c r="AD5" s="19" t="s">
        <v>454</v>
      </c>
      <c r="AE5" s="20">
        <v>42584</v>
      </c>
      <c r="AF5" s="13">
        <v>52337.5</v>
      </c>
      <c r="AG5" s="21"/>
      <c r="AH5" s="22">
        <v>42584</v>
      </c>
      <c r="AI5" s="18">
        <v>0</v>
      </c>
      <c r="AJ5" s="422" t="s">
        <v>6</v>
      </c>
      <c r="AK5" s="318">
        <v>0</v>
      </c>
      <c r="AL5" s="18">
        <v>0</v>
      </c>
      <c r="AO5" s="11">
        <v>42584</v>
      </c>
      <c r="AP5" s="12">
        <v>52337.5</v>
      </c>
      <c r="AQ5" s="19" t="s">
        <v>454</v>
      </c>
      <c r="AR5" s="20">
        <v>42584</v>
      </c>
      <c r="AS5" s="13">
        <v>52337.5</v>
      </c>
      <c r="AT5" s="21"/>
      <c r="AU5" s="22">
        <v>42584</v>
      </c>
      <c r="AV5" s="38">
        <v>0</v>
      </c>
      <c r="AW5" s="422" t="s">
        <v>6</v>
      </c>
      <c r="AX5" s="318">
        <v>0</v>
      </c>
      <c r="AY5" s="18">
        <v>0</v>
      </c>
      <c r="AZ5" s="18"/>
    </row>
    <row r="6" spans="1:53" x14ac:dyDescent="0.25">
      <c r="B6" s="11">
        <v>42585</v>
      </c>
      <c r="C6" s="12">
        <v>148653.29999999999</v>
      </c>
      <c r="D6" s="19" t="s">
        <v>459</v>
      </c>
      <c r="E6" s="20">
        <v>42585</v>
      </c>
      <c r="F6" s="13">
        <v>146961</v>
      </c>
      <c r="G6" s="14"/>
      <c r="H6" s="22">
        <v>42585</v>
      </c>
      <c r="I6" s="18">
        <v>0</v>
      </c>
      <c r="J6" s="423"/>
      <c r="K6" s="332">
        <f>2500+2500+2500+2500</f>
        <v>10000</v>
      </c>
      <c r="L6" s="18">
        <v>0</v>
      </c>
      <c r="O6" s="11">
        <v>42585</v>
      </c>
      <c r="P6" s="12">
        <v>148653.29999999999</v>
      </c>
      <c r="Q6" s="19" t="s">
        <v>459</v>
      </c>
      <c r="R6" s="20">
        <v>42585</v>
      </c>
      <c r="S6" s="13">
        <v>146961</v>
      </c>
      <c r="T6" s="14"/>
      <c r="U6" s="22">
        <v>42585</v>
      </c>
      <c r="V6" s="18">
        <v>0</v>
      </c>
      <c r="W6" s="423"/>
      <c r="X6" s="332">
        <f>2500+2500+2500</f>
        <v>7500</v>
      </c>
      <c r="Y6" s="18">
        <v>0</v>
      </c>
      <c r="Z6" s="132">
        <v>11240.8</v>
      </c>
      <c r="AB6" s="11">
        <v>42585</v>
      </c>
      <c r="AC6" s="12">
        <v>148653.29999999999</v>
      </c>
      <c r="AD6" s="19" t="s">
        <v>459</v>
      </c>
      <c r="AE6" s="20">
        <v>42585</v>
      </c>
      <c r="AF6" s="13">
        <v>146961</v>
      </c>
      <c r="AG6" s="14"/>
      <c r="AH6" s="22">
        <v>42585</v>
      </c>
      <c r="AI6" s="18">
        <v>0</v>
      </c>
      <c r="AJ6" s="423"/>
      <c r="AK6" s="332">
        <f>2500+2500</f>
        <v>5000</v>
      </c>
      <c r="AL6" s="18">
        <v>0</v>
      </c>
      <c r="AO6" s="11">
        <v>42585</v>
      </c>
      <c r="AP6" s="12">
        <v>148653.29999999999</v>
      </c>
      <c r="AQ6" s="19" t="s">
        <v>459</v>
      </c>
      <c r="AR6" s="20">
        <v>42585</v>
      </c>
      <c r="AS6" s="13">
        <v>146961</v>
      </c>
      <c r="AT6" s="14"/>
      <c r="AU6" s="22">
        <v>42585</v>
      </c>
      <c r="AV6" s="38">
        <v>0</v>
      </c>
      <c r="AW6" s="423"/>
      <c r="AX6" s="319">
        <v>2500</v>
      </c>
      <c r="AY6" s="18">
        <v>0</v>
      </c>
      <c r="AZ6" s="18"/>
    </row>
    <row r="7" spans="1:53" x14ac:dyDescent="0.25">
      <c r="B7" s="11">
        <v>42586</v>
      </c>
      <c r="C7" s="12">
        <v>39781.5</v>
      </c>
      <c r="D7" s="26" t="s">
        <v>461</v>
      </c>
      <c r="E7" s="20">
        <v>42586</v>
      </c>
      <c r="F7" s="13">
        <v>39871.5</v>
      </c>
      <c r="G7" s="14"/>
      <c r="H7" s="22">
        <v>42586</v>
      </c>
      <c r="I7" s="345">
        <v>90</v>
      </c>
      <c r="J7" s="23" t="s">
        <v>7</v>
      </c>
      <c r="K7" s="318">
        <f>7187.5</f>
        <v>7187.5</v>
      </c>
      <c r="L7" s="18">
        <v>0</v>
      </c>
      <c r="O7" s="11">
        <v>42586</v>
      </c>
      <c r="P7" s="12">
        <v>39781.5</v>
      </c>
      <c r="Q7" s="26" t="s">
        <v>461</v>
      </c>
      <c r="R7" s="20">
        <v>42586</v>
      </c>
      <c r="S7" s="13">
        <v>39871.5</v>
      </c>
      <c r="T7" s="14"/>
      <c r="U7" s="22">
        <v>42586</v>
      </c>
      <c r="V7" s="345">
        <v>90</v>
      </c>
      <c r="W7" s="23" t="s">
        <v>7</v>
      </c>
      <c r="X7" s="318">
        <f>7187.5</f>
        <v>7187.5</v>
      </c>
      <c r="Y7" s="18">
        <v>0</v>
      </c>
      <c r="Z7" s="132">
        <v>96050.5</v>
      </c>
      <c r="AB7" s="11">
        <v>42586</v>
      </c>
      <c r="AC7" s="12">
        <v>39781.5</v>
      </c>
      <c r="AD7" s="26" t="s">
        <v>461</v>
      </c>
      <c r="AE7" s="20">
        <v>42586</v>
      </c>
      <c r="AF7" s="13">
        <v>39871.5</v>
      </c>
      <c r="AG7" s="14"/>
      <c r="AH7" s="22">
        <v>42586</v>
      </c>
      <c r="AI7" s="345">
        <v>90</v>
      </c>
      <c r="AJ7" s="23" t="s">
        <v>7</v>
      </c>
      <c r="AK7" s="318">
        <f>7187.5</f>
        <v>7187.5</v>
      </c>
      <c r="AL7" s="18">
        <v>0</v>
      </c>
      <c r="AO7" s="11">
        <v>42586</v>
      </c>
      <c r="AP7" s="12">
        <v>39781.5</v>
      </c>
      <c r="AQ7" s="26" t="s">
        <v>461</v>
      </c>
      <c r="AR7" s="20">
        <v>42586</v>
      </c>
      <c r="AS7" s="13">
        <v>39871.5</v>
      </c>
      <c r="AT7" s="14"/>
      <c r="AU7" s="22">
        <v>42586</v>
      </c>
      <c r="AV7" s="15">
        <v>90</v>
      </c>
      <c r="AW7" s="23" t="s">
        <v>7</v>
      </c>
      <c r="AX7" s="24">
        <f>7187.5</f>
        <v>7187.5</v>
      </c>
      <c r="AY7" s="18">
        <v>0</v>
      </c>
      <c r="AZ7" s="18"/>
    </row>
    <row r="8" spans="1:53" x14ac:dyDescent="0.25">
      <c r="B8" s="11">
        <v>42587</v>
      </c>
      <c r="C8" s="12">
        <v>85832</v>
      </c>
      <c r="D8" s="19" t="s">
        <v>462</v>
      </c>
      <c r="E8" s="20">
        <v>42587</v>
      </c>
      <c r="F8" s="13">
        <v>85898</v>
      </c>
      <c r="G8" s="14"/>
      <c r="H8" s="22">
        <v>42587</v>
      </c>
      <c r="I8" s="345">
        <v>0</v>
      </c>
      <c r="J8" s="23" t="s">
        <v>455</v>
      </c>
      <c r="K8" s="347">
        <v>6430.8</v>
      </c>
      <c r="L8" s="18">
        <v>0</v>
      </c>
      <c r="O8" s="11">
        <v>42587</v>
      </c>
      <c r="P8" s="12">
        <v>85832</v>
      </c>
      <c r="Q8" s="19" t="s">
        <v>462</v>
      </c>
      <c r="R8" s="20">
        <v>42587</v>
      </c>
      <c r="S8" s="13">
        <v>85898</v>
      </c>
      <c r="T8" s="14"/>
      <c r="U8" s="22">
        <v>42587</v>
      </c>
      <c r="V8" s="345">
        <v>0</v>
      </c>
      <c r="W8" s="23" t="s">
        <v>455</v>
      </c>
      <c r="X8" s="347">
        <v>6430.8</v>
      </c>
      <c r="Y8" s="18">
        <v>0</v>
      </c>
      <c r="Z8" s="132">
        <v>8057.6</v>
      </c>
      <c r="AB8" s="11">
        <v>42587</v>
      </c>
      <c r="AC8" s="12">
        <v>85832</v>
      </c>
      <c r="AD8" s="19" t="s">
        <v>462</v>
      </c>
      <c r="AE8" s="20">
        <v>42587</v>
      </c>
      <c r="AF8" s="13">
        <v>85898</v>
      </c>
      <c r="AG8" s="14"/>
      <c r="AH8" s="22">
        <v>42587</v>
      </c>
      <c r="AI8" s="345">
        <v>0</v>
      </c>
      <c r="AJ8" s="23" t="s">
        <v>455</v>
      </c>
      <c r="AK8" s="347">
        <v>6430.8</v>
      </c>
      <c r="AL8" s="18">
        <v>0</v>
      </c>
      <c r="AM8" s="216"/>
      <c r="AO8" s="11">
        <v>42587</v>
      </c>
      <c r="AP8" s="12">
        <v>85832</v>
      </c>
      <c r="AQ8" s="19" t="s">
        <v>462</v>
      </c>
      <c r="AR8" s="20">
        <v>42587</v>
      </c>
      <c r="AS8" s="13">
        <v>85898</v>
      </c>
      <c r="AT8" s="14"/>
      <c r="AU8" s="22">
        <v>42587</v>
      </c>
      <c r="AV8" s="15">
        <v>0</v>
      </c>
      <c r="AW8" s="23" t="s">
        <v>455</v>
      </c>
      <c r="AX8" s="13">
        <v>6430.8</v>
      </c>
      <c r="AY8" s="18">
        <v>0</v>
      </c>
      <c r="AZ8" s="18"/>
    </row>
    <row r="9" spans="1:53" x14ac:dyDescent="0.25">
      <c r="B9" s="11">
        <v>42588</v>
      </c>
      <c r="C9" s="12">
        <v>31191.5</v>
      </c>
      <c r="D9" s="26" t="s">
        <v>463</v>
      </c>
      <c r="E9" s="20">
        <v>42588</v>
      </c>
      <c r="F9" s="13">
        <v>31191.5</v>
      </c>
      <c r="G9" s="14"/>
      <c r="H9" s="22">
        <v>42588</v>
      </c>
      <c r="I9" s="345">
        <v>0</v>
      </c>
      <c r="J9" s="23" t="s">
        <v>457</v>
      </c>
      <c r="K9" s="347">
        <v>5358.65</v>
      </c>
      <c r="L9" s="18">
        <v>0</v>
      </c>
      <c r="O9" s="11">
        <v>42588</v>
      </c>
      <c r="P9" s="12">
        <v>31191.5</v>
      </c>
      <c r="Q9" s="26" t="s">
        <v>463</v>
      </c>
      <c r="R9" s="20">
        <v>42588</v>
      </c>
      <c r="S9" s="13">
        <v>31191.5</v>
      </c>
      <c r="T9" s="14"/>
      <c r="U9" s="22">
        <v>42588</v>
      </c>
      <c r="V9" s="345">
        <v>0</v>
      </c>
      <c r="W9" s="23" t="s">
        <v>457</v>
      </c>
      <c r="X9" s="347">
        <v>5358.65</v>
      </c>
      <c r="Y9" s="18">
        <v>0</v>
      </c>
      <c r="Z9" s="132">
        <v>97380.5</v>
      </c>
      <c r="AB9" s="11">
        <v>42588</v>
      </c>
      <c r="AC9" s="12">
        <v>31191.5</v>
      </c>
      <c r="AD9" s="26" t="s">
        <v>463</v>
      </c>
      <c r="AE9" s="20">
        <v>42588</v>
      </c>
      <c r="AF9" s="13">
        <v>31191.5</v>
      </c>
      <c r="AG9" s="14"/>
      <c r="AH9" s="22">
        <v>42588</v>
      </c>
      <c r="AI9" s="345">
        <v>0</v>
      </c>
      <c r="AJ9" s="23" t="s">
        <v>457</v>
      </c>
      <c r="AK9" s="347">
        <v>5358.65</v>
      </c>
      <c r="AL9" s="18">
        <v>0</v>
      </c>
      <c r="AM9" s="216"/>
      <c r="AO9" s="11">
        <v>42588</v>
      </c>
      <c r="AP9" s="12">
        <v>31191.5</v>
      </c>
      <c r="AQ9" s="26" t="s">
        <v>463</v>
      </c>
      <c r="AR9" s="20">
        <v>42588</v>
      </c>
      <c r="AS9" s="13">
        <v>31191.5</v>
      </c>
      <c r="AT9" s="14"/>
      <c r="AU9" s="22">
        <v>42588</v>
      </c>
      <c r="AV9" s="15">
        <v>0</v>
      </c>
      <c r="AW9" s="23" t="s">
        <v>457</v>
      </c>
      <c r="AX9" s="13">
        <v>0</v>
      </c>
      <c r="AY9" s="18">
        <v>0</v>
      </c>
      <c r="AZ9" s="18"/>
    </row>
    <row r="10" spans="1:53" x14ac:dyDescent="0.25">
      <c r="A10" s="27"/>
      <c r="B10" s="11">
        <v>42589</v>
      </c>
      <c r="C10" s="12">
        <v>60174</v>
      </c>
      <c r="D10" s="26" t="s">
        <v>464</v>
      </c>
      <c r="E10" s="20">
        <v>42589</v>
      </c>
      <c r="F10" s="13">
        <v>60174</v>
      </c>
      <c r="G10" s="14"/>
      <c r="H10" s="22">
        <v>42589</v>
      </c>
      <c r="I10" s="345">
        <v>0</v>
      </c>
      <c r="J10" s="23" t="s">
        <v>456</v>
      </c>
      <c r="K10" s="347">
        <v>7947.11</v>
      </c>
      <c r="L10" s="18">
        <v>0</v>
      </c>
      <c r="N10" s="27"/>
      <c r="O10" s="11">
        <v>42589</v>
      </c>
      <c r="P10" s="12">
        <v>60174</v>
      </c>
      <c r="Q10" s="26" t="s">
        <v>464</v>
      </c>
      <c r="R10" s="20">
        <v>42589</v>
      </c>
      <c r="S10" s="13">
        <v>60174</v>
      </c>
      <c r="T10" s="14"/>
      <c r="U10" s="22">
        <v>42589</v>
      </c>
      <c r="V10" s="345">
        <v>0</v>
      </c>
      <c r="W10" s="23" t="s">
        <v>456</v>
      </c>
      <c r="X10" s="347">
        <v>7947.11</v>
      </c>
      <c r="Y10" s="18">
        <v>0</v>
      </c>
      <c r="Z10" s="132">
        <v>63759.5</v>
      </c>
      <c r="AA10" s="27"/>
      <c r="AB10" s="11">
        <v>42589</v>
      </c>
      <c r="AC10" s="12">
        <v>60174</v>
      </c>
      <c r="AD10" s="26" t="s">
        <v>464</v>
      </c>
      <c r="AE10" s="20">
        <v>42589</v>
      </c>
      <c r="AF10" s="13">
        <v>60174</v>
      </c>
      <c r="AG10" s="14"/>
      <c r="AH10" s="22">
        <v>42589</v>
      </c>
      <c r="AI10" s="345">
        <v>0</v>
      </c>
      <c r="AJ10" s="23" t="s">
        <v>456</v>
      </c>
      <c r="AK10" s="347">
        <v>0</v>
      </c>
      <c r="AL10" s="18">
        <v>0</v>
      </c>
      <c r="AM10" s="216"/>
      <c r="AN10" s="27"/>
      <c r="AO10" s="11">
        <v>42589</v>
      </c>
      <c r="AP10" s="12">
        <v>60174</v>
      </c>
      <c r="AQ10" s="26" t="s">
        <v>464</v>
      </c>
      <c r="AR10" s="20">
        <v>42589</v>
      </c>
      <c r="AS10" s="13">
        <v>60174</v>
      </c>
      <c r="AT10" s="14"/>
      <c r="AU10" s="22">
        <v>42589</v>
      </c>
      <c r="AV10" s="15">
        <v>0</v>
      </c>
      <c r="AW10" s="23" t="s">
        <v>456</v>
      </c>
      <c r="AX10" s="13">
        <v>0</v>
      </c>
      <c r="AY10" s="18">
        <v>0</v>
      </c>
      <c r="AZ10" s="18"/>
    </row>
    <row r="11" spans="1:53" x14ac:dyDescent="0.25">
      <c r="B11" s="11">
        <v>42590</v>
      </c>
      <c r="C11" s="12">
        <v>201789.56</v>
      </c>
      <c r="D11" s="26" t="s">
        <v>465</v>
      </c>
      <c r="E11" s="20">
        <v>42590</v>
      </c>
      <c r="F11" s="13">
        <v>201789.5</v>
      </c>
      <c r="G11" s="14"/>
      <c r="H11" s="22">
        <v>42590</v>
      </c>
      <c r="I11" s="345">
        <v>0</v>
      </c>
      <c r="J11" s="23" t="s">
        <v>458</v>
      </c>
      <c r="K11" s="347">
        <v>7405.55</v>
      </c>
      <c r="L11" s="18">
        <v>0</v>
      </c>
      <c r="O11" s="11">
        <v>42590</v>
      </c>
      <c r="P11" s="12">
        <v>201789.56</v>
      </c>
      <c r="Q11" s="26" t="s">
        <v>465</v>
      </c>
      <c r="R11" s="20">
        <v>42590</v>
      </c>
      <c r="S11" s="13">
        <v>201789.5</v>
      </c>
      <c r="T11" s="14"/>
      <c r="U11" s="22">
        <v>42590</v>
      </c>
      <c r="V11" s="345">
        <v>0</v>
      </c>
      <c r="W11" s="23" t="s">
        <v>458</v>
      </c>
      <c r="X11" s="347">
        <v>0</v>
      </c>
      <c r="Y11" s="18">
        <v>0</v>
      </c>
      <c r="Z11" s="235">
        <v>27797.7</v>
      </c>
      <c r="AB11" s="11">
        <v>42590</v>
      </c>
      <c r="AC11" s="12">
        <v>201789.56</v>
      </c>
      <c r="AD11" s="26" t="s">
        <v>465</v>
      </c>
      <c r="AE11" s="20">
        <v>42590</v>
      </c>
      <c r="AF11" s="13">
        <v>201789.5</v>
      </c>
      <c r="AG11" s="14"/>
      <c r="AH11" s="22">
        <v>42590</v>
      </c>
      <c r="AI11" s="345">
        <v>0</v>
      </c>
      <c r="AJ11" s="23" t="s">
        <v>458</v>
      </c>
      <c r="AK11" s="347">
        <v>0</v>
      </c>
      <c r="AL11" s="18">
        <v>0</v>
      </c>
      <c r="AM11" s="216"/>
      <c r="AO11" s="11">
        <v>42590</v>
      </c>
      <c r="AP11" s="12">
        <v>201789.56</v>
      </c>
      <c r="AQ11" s="26" t="s">
        <v>465</v>
      </c>
      <c r="AR11" s="20">
        <v>42590</v>
      </c>
      <c r="AS11" s="13">
        <v>201789.5</v>
      </c>
      <c r="AT11" s="14"/>
      <c r="AU11" s="22">
        <v>42590</v>
      </c>
      <c r="AV11" s="15">
        <v>0</v>
      </c>
      <c r="AW11" s="23" t="s">
        <v>458</v>
      </c>
      <c r="AX11" s="13">
        <v>0</v>
      </c>
      <c r="AY11" s="18">
        <v>0</v>
      </c>
      <c r="AZ11" s="18"/>
    </row>
    <row r="12" spans="1:53" x14ac:dyDescent="0.25">
      <c r="A12" s="28"/>
      <c r="B12" s="11">
        <v>42591</v>
      </c>
      <c r="C12" s="12">
        <v>42836.5</v>
      </c>
      <c r="D12" s="19" t="s">
        <v>467</v>
      </c>
      <c r="E12" s="20">
        <v>42591</v>
      </c>
      <c r="F12" s="13">
        <v>42836.5</v>
      </c>
      <c r="G12" s="14"/>
      <c r="H12" s="22">
        <v>42591</v>
      </c>
      <c r="I12" s="345">
        <v>0</v>
      </c>
      <c r="J12" s="23" t="s">
        <v>117</v>
      </c>
      <c r="K12" s="347">
        <v>0</v>
      </c>
      <c r="L12" s="18">
        <v>0</v>
      </c>
      <c r="N12" s="28"/>
      <c r="O12" s="11">
        <v>42591</v>
      </c>
      <c r="P12" s="12">
        <v>42836.5</v>
      </c>
      <c r="Q12" s="19" t="s">
        <v>467</v>
      </c>
      <c r="R12" s="20">
        <v>42591</v>
      </c>
      <c r="S12" s="13">
        <v>42836.5</v>
      </c>
      <c r="T12" s="14"/>
      <c r="U12" s="22">
        <v>42591</v>
      </c>
      <c r="V12" s="345">
        <v>0</v>
      </c>
      <c r="W12" s="23" t="s">
        <v>117</v>
      </c>
      <c r="X12" s="347">
        <v>0</v>
      </c>
      <c r="Y12" s="18">
        <v>0</v>
      </c>
      <c r="Z12" s="132">
        <v>202606</v>
      </c>
      <c r="AA12" s="28"/>
      <c r="AB12" s="11">
        <v>42591</v>
      </c>
      <c r="AC12" s="12">
        <v>42836.5</v>
      </c>
      <c r="AD12" s="19" t="s">
        <v>467</v>
      </c>
      <c r="AE12" s="20">
        <v>42591</v>
      </c>
      <c r="AF12" s="13">
        <v>42836.5</v>
      </c>
      <c r="AG12" s="14"/>
      <c r="AH12" s="22">
        <v>42591</v>
      </c>
      <c r="AI12" s="345">
        <v>0</v>
      </c>
      <c r="AJ12" s="23" t="s">
        <v>117</v>
      </c>
      <c r="AK12" s="347">
        <v>0</v>
      </c>
      <c r="AL12" s="18">
        <v>0</v>
      </c>
      <c r="AM12" s="216"/>
      <c r="AN12" s="28"/>
      <c r="AO12" s="11">
        <v>42591</v>
      </c>
      <c r="AP12" s="12">
        <v>42836.5</v>
      </c>
      <c r="AQ12" s="19" t="s">
        <v>467</v>
      </c>
      <c r="AR12" s="20">
        <v>42591</v>
      </c>
      <c r="AS12" s="230">
        <v>42836.5</v>
      </c>
      <c r="AT12" s="14"/>
      <c r="AU12" s="22">
        <v>42591</v>
      </c>
      <c r="AV12" s="231">
        <v>0</v>
      </c>
      <c r="AW12" s="23" t="s">
        <v>117</v>
      </c>
      <c r="AX12" s="13">
        <v>0</v>
      </c>
      <c r="AY12" s="18">
        <v>0</v>
      </c>
      <c r="AZ12" s="18"/>
    </row>
    <row r="13" spans="1:53" x14ac:dyDescent="0.25">
      <c r="A13" s="28"/>
      <c r="B13" s="11">
        <v>42592</v>
      </c>
      <c r="C13" s="12">
        <v>41942</v>
      </c>
      <c r="D13" s="40" t="s">
        <v>503</v>
      </c>
      <c r="E13" s="20">
        <v>42592</v>
      </c>
      <c r="F13" s="13">
        <v>41942</v>
      </c>
      <c r="G13" s="14"/>
      <c r="H13" s="22">
        <v>42592</v>
      </c>
      <c r="I13" s="345">
        <v>0</v>
      </c>
      <c r="J13" s="30" t="s">
        <v>375</v>
      </c>
      <c r="K13" s="347">
        <v>0</v>
      </c>
      <c r="L13" s="18">
        <v>0</v>
      </c>
      <c r="N13" s="28"/>
      <c r="O13" s="11">
        <v>42592</v>
      </c>
      <c r="P13" s="12">
        <v>41942</v>
      </c>
      <c r="Q13" s="40" t="s">
        <v>503</v>
      </c>
      <c r="R13" s="20">
        <v>42592</v>
      </c>
      <c r="S13" s="13">
        <v>41942</v>
      </c>
      <c r="T13" s="14"/>
      <c r="U13" s="22">
        <v>42592</v>
      </c>
      <c r="V13" s="345">
        <v>0</v>
      </c>
      <c r="W13" s="30" t="s">
        <v>375</v>
      </c>
      <c r="X13" s="347">
        <v>0</v>
      </c>
      <c r="Y13" s="18">
        <v>0</v>
      </c>
      <c r="Z13" s="132">
        <v>3057.6</v>
      </c>
      <c r="AA13" s="28"/>
      <c r="AB13" s="11">
        <v>42592</v>
      </c>
      <c r="AC13" s="12">
        <v>41942</v>
      </c>
      <c r="AD13" s="40" t="s">
        <v>503</v>
      </c>
      <c r="AE13" s="20">
        <v>42592</v>
      </c>
      <c r="AF13" s="13">
        <v>41942</v>
      </c>
      <c r="AG13" s="14"/>
      <c r="AH13" s="22">
        <v>42592</v>
      </c>
      <c r="AI13" s="345">
        <v>0</v>
      </c>
      <c r="AJ13" s="30" t="s">
        <v>375</v>
      </c>
      <c r="AK13" s="347">
        <v>0</v>
      </c>
      <c r="AL13" s="18">
        <v>0</v>
      </c>
      <c r="AM13" s="18"/>
      <c r="AN13" s="28"/>
      <c r="AO13" s="11">
        <v>42592</v>
      </c>
      <c r="AP13" s="12"/>
      <c r="AQ13" s="40"/>
      <c r="AR13" s="20">
        <v>42592</v>
      </c>
      <c r="AS13" s="13"/>
      <c r="AT13" s="14"/>
      <c r="AU13" s="22">
        <v>42592</v>
      </c>
      <c r="AV13" s="15"/>
      <c r="AW13" s="30" t="s">
        <v>375</v>
      </c>
      <c r="AX13" s="13">
        <v>0</v>
      </c>
      <c r="AY13" s="18">
        <v>0</v>
      </c>
      <c r="AZ13" s="18"/>
    </row>
    <row r="14" spans="1:53" x14ac:dyDescent="0.25">
      <c r="B14" s="11">
        <v>42593</v>
      </c>
      <c r="C14" s="12">
        <v>67112.7</v>
      </c>
      <c r="D14" s="19" t="s">
        <v>507</v>
      </c>
      <c r="E14" s="20">
        <v>42593</v>
      </c>
      <c r="F14" s="13">
        <v>67812.600000000006</v>
      </c>
      <c r="G14" s="14"/>
      <c r="H14" s="22">
        <v>42593</v>
      </c>
      <c r="I14" s="345">
        <v>0</v>
      </c>
      <c r="J14" s="31"/>
      <c r="K14" s="347">
        <v>0</v>
      </c>
      <c r="L14" s="18">
        <v>0</v>
      </c>
      <c r="O14" s="11">
        <v>42593</v>
      </c>
      <c r="P14" s="12">
        <v>67112.7</v>
      </c>
      <c r="Q14" s="19" t="s">
        <v>507</v>
      </c>
      <c r="R14" s="20">
        <v>42593</v>
      </c>
      <c r="S14" s="13">
        <v>67812.600000000006</v>
      </c>
      <c r="T14" s="14"/>
      <c r="U14" s="22">
        <v>42593</v>
      </c>
      <c r="V14" s="345">
        <v>0</v>
      </c>
      <c r="W14" s="31"/>
      <c r="X14" s="347">
        <v>0</v>
      </c>
      <c r="Y14" s="18">
        <v>0</v>
      </c>
      <c r="Z14" s="132">
        <v>10419.66</v>
      </c>
      <c r="AB14" s="11">
        <v>42593</v>
      </c>
      <c r="AC14" s="12">
        <v>67112.7</v>
      </c>
      <c r="AD14" s="19" t="s">
        <v>507</v>
      </c>
      <c r="AE14" s="20">
        <v>42593</v>
      </c>
      <c r="AF14" s="13">
        <v>67812.600000000006</v>
      </c>
      <c r="AG14" s="14"/>
      <c r="AH14" s="22">
        <v>42593</v>
      </c>
      <c r="AI14" s="345">
        <v>0</v>
      </c>
      <c r="AJ14" s="31"/>
      <c r="AK14" s="347">
        <v>0</v>
      </c>
      <c r="AL14" s="18">
        <v>0</v>
      </c>
      <c r="AM14" s="216"/>
      <c r="AO14" s="11">
        <v>42593</v>
      </c>
      <c r="AP14" s="12"/>
      <c r="AQ14" s="19"/>
      <c r="AR14" s="20">
        <v>42593</v>
      </c>
      <c r="AS14" s="13"/>
      <c r="AT14" s="14"/>
      <c r="AU14" s="22">
        <v>42593</v>
      </c>
      <c r="AV14" s="15"/>
      <c r="AW14" s="31"/>
      <c r="AX14" s="13">
        <v>0</v>
      </c>
      <c r="AY14" s="18">
        <v>0</v>
      </c>
      <c r="AZ14" s="18"/>
    </row>
    <row r="15" spans="1:53" x14ac:dyDescent="0.25">
      <c r="A15" s="28"/>
      <c r="B15" s="11">
        <v>42594</v>
      </c>
      <c r="C15" s="12">
        <v>87129</v>
      </c>
      <c r="D15" s="19" t="s">
        <v>508</v>
      </c>
      <c r="E15" s="20">
        <v>42594</v>
      </c>
      <c r="F15" s="13">
        <v>87129</v>
      </c>
      <c r="G15" s="14"/>
      <c r="H15" s="22">
        <v>42594</v>
      </c>
      <c r="I15" s="345">
        <v>0</v>
      </c>
      <c r="J15" s="23" t="s">
        <v>225</v>
      </c>
      <c r="K15" s="347">
        <v>0</v>
      </c>
      <c r="L15" s="18">
        <v>0</v>
      </c>
      <c r="N15" s="28"/>
      <c r="O15" s="11">
        <v>42594</v>
      </c>
      <c r="P15" s="12">
        <v>87129</v>
      </c>
      <c r="Q15" s="19" t="s">
        <v>508</v>
      </c>
      <c r="R15" s="20">
        <v>42594</v>
      </c>
      <c r="S15" s="13">
        <v>87129</v>
      </c>
      <c r="T15" s="14"/>
      <c r="U15" s="22">
        <v>42594</v>
      </c>
      <c r="V15" s="345">
        <v>0</v>
      </c>
      <c r="W15" s="23" t="s">
        <v>225</v>
      </c>
      <c r="X15" s="347">
        <v>0</v>
      </c>
      <c r="Y15" s="18">
        <v>0</v>
      </c>
      <c r="Z15" s="132">
        <v>3900</v>
      </c>
      <c r="AA15" s="28"/>
      <c r="AB15" s="11">
        <v>42594</v>
      </c>
      <c r="AC15" s="12">
        <v>87129</v>
      </c>
      <c r="AD15" s="19" t="s">
        <v>508</v>
      </c>
      <c r="AE15" s="20">
        <v>42594</v>
      </c>
      <c r="AF15" s="13">
        <v>87129</v>
      </c>
      <c r="AG15" s="14"/>
      <c r="AH15" s="22">
        <v>42594</v>
      </c>
      <c r="AI15" s="345">
        <v>0</v>
      </c>
      <c r="AJ15" s="23" t="s">
        <v>225</v>
      </c>
      <c r="AK15" s="347">
        <v>0</v>
      </c>
      <c r="AL15" s="18">
        <v>0</v>
      </c>
      <c r="AM15" s="216"/>
      <c r="AN15" s="28"/>
      <c r="AO15" s="11">
        <v>42594</v>
      </c>
      <c r="AP15" s="12"/>
      <c r="AQ15" s="19"/>
      <c r="AR15" s="20">
        <v>42594</v>
      </c>
      <c r="AS15" s="13"/>
      <c r="AT15" s="14"/>
      <c r="AU15" s="22">
        <v>42594</v>
      </c>
      <c r="AV15" s="15"/>
      <c r="AW15" s="23" t="s">
        <v>225</v>
      </c>
      <c r="AX15" s="13">
        <v>0</v>
      </c>
      <c r="AY15" s="18">
        <v>0</v>
      </c>
      <c r="AZ15" s="18"/>
    </row>
    <row r="16" spans="1:53" x14ac:dyDescent="0.25">
      <c r="A16" s="28"/>
      <c r="B16" s="11">
        <v>42595</v>
      </c>
      <c r="C16" s="12">
        <v>96817</v>
      </c>
      <c r="D16" s="19" t="s">
        <v>509</v>
      </c>
      <c r="E16" s="20">
        <v>42595</v>
      </c>
      <c r="F16" s="13">
        <v>96817</v>
      </c>
      <c r="G16" s="14"/>
      <c r="H16" s="22">
        <v>42595</v>
      </c>
      <c r="I16" s="345">
        <v>0</v>
      </c>
      <c r="J16" s="34"/>
      <c r="K16" s="347">
        <v>0</v>
      </c>
      <c r="L16" s="18">
        <v>0</v>
      </c>
      <c r="N16" s="28"/>
      <c r="O16" s="11">
        <v>42595</v>
      </c>
      <c r="P16" s="12">
        <v>96817</v>
      </c>
      <c r="Q16" s="19" t="s">
        <v>509</v>
      </c>
      <c r="R16" s="20">
        <v>42595</v>
      </c>
      <c r="S16" s="13">
        <v>96817</v>
      </c>
      <c r="T16" s="14"/>
      <c r="U16" s="22">
        <v>42595</v>
      </c>
      <c r="V16" s="345">
        <v>0</v>
      </c>
      <c r="W16" s="34"/>
      <c r="X16" s="347">
        <v>0</v>
      </c>
      <c r="Y16" s="18">
        <v>0</v>
      </c>
      <c r="Z16" s="132">
        <v>94013.4</v>
      </c>
      <c r="AA16" s="28"/>
      <c r="AB16" s="11">
        <v>42595</v>
      </c>
      <c r="AC16" s="12">
        <v>96817</v>
      </c>
      <c r="AD16" s="19" t="s">
        <v>509</v>
      </c>
      <c r="AE16" s="20">
        <v>42595</v>
      </c>
      <c r="AF16" s="13">
        <v>96817</v>
      </c>
      <c r="AG16" s="14"/>
      <c r="AH16" s="22">
        <v>42595</v>
      </c>
      <c r="AI16" s="345">
        <v>0</v>
      </c>
      <c r="AJ16" s="34"/>
      <c r="AK16" s="347">
        <v>0</v>
      </c>
      <c r="AL16" s="18">
        <v>0</v>
      </c>
      <c r="AM16" s="216"/>
      <c r="AN16" s="28"/>
      <c r="AO16" s="11">
        <v>42595</v>
      </c>
      <c r="AP16" s="12"/>
      <c r="AQ16" s="19"/>
      <c r="AR16" s="20">
        <v>42595</v>
      </c>
      <c r="AS16" s="13"/>
      <c r="AT16" s="14"/>
      <c r="AU16" s="22">
        <v>42595</v>
      </c>
      <c r="AV16" s="15"/>
      <c r="AW16" s="34"/>
      <c r="AX16" s="13">
        <v>0</v>
      </c>
      <c r="AY16" s="18">
        <v>0</v>
      </c>
      <c r="AZ16" s="18"/>
      <c r="BA16" s="67"/>
    </row>
    <row r="17" spans="1:53" x14ac:dyDescent="0.25">
      <c r="A17" s="28"/>
      <c r="B17" s="11">
        <v>42596</v>
      </c>
      <c r="C17" s="12">
        <v>81603</v>
      </c>
      <c r="D17" s="19" t="s">
        <v>510</v>
      </c>
      <c r="E17" s="20">
        <v>42596</v>
      </c>
      <c r="F17" s="13">
        <v>81603</v>
      </c>
      <c r="G17" s="14"/>
      <c r="H17" s="22">
        <v>42596</v>
      </c>
      <c r="I17" s="345">
        <v>0</v>
      </c>
      <c r="J17" s="35" t="s">
        <v>374</v>
      </c>
      <c r="K17" s="347">
        <v>1640.24</v>
      </c>
      <c r="L17" s="18">
        <v>0</v>
      </c>
      <c r="N17" s="28"/>
      <c r="O17" s="11">
        <v>42596</v>
      </c>
      <c r="P17" s="12">
        <v>81603</v>
      </c>
      <c r="Q17" s="19" t="s">
        <v>510</v>
      </c>
      <c r="R17" s="20">
        <v>42596</v>
      </c>
      <c r="S17" s="13">
        <v>81603</v>
      </c>
      <c r="T17" s="14"/>
      <c r="U17" s="22">
        <v>42596</v>
      </c>
      <c r="V17" s="345">
        <v>0</v>
      </c>
      <c r="W17" s="35" t="s">
        <v>374</v>
      </c>
      <c r="X17" s="347">
        <v>0</v>
      </c>
      <c r="Y17" s="18">
        <v>0</v>
      </c>
      <c r="Z17" s="132">
        <v>2444</v>
      </c>
      <c r="AA17" s="28"/>
      <c r="AB17" s="11">
        <v>42596</v>
      </c>
      <c r="AC17" s="12">
        <v>81603</v>
      </c>
      <c r="AD17" s="19" t="s">
        <v>510</v>
      </c>
      <c r="AE17" s="20">
        <v>42596</v>
      </c>
      <c r="AF17" s="13">
        <v>81603</v>
      </c>
      <c r="AG17" s="14"/>
      <c r="AH17" s="22">
        <v>42596</v>
      </c>
      <c r="AI17" s="345">
        <v>0</v>
      </c>
      <c r="AJ17" s="35" t="s">
        <v>374</v>
      </c>
      <c r="AK17" s="347">
        <v>0</v>
      </c>
      <c r="AL17" s="18">
        <v>0</v>
      </c>
      <c r="AM17" s="216"/>
      <c r="AN17" s="28"/>
      <c r="AO17" s="11">
        <v>42596</v>
      </c>
      <c r="AP17" s="12"/>
      <c r="AQ17" s="19"/>
      <c r="AR17" s="20">
        <v>42596</v>
      </c>
      <c r="AS17" s="13"/>
      <c r="AT17" s="14"/>
      <c r="AU17" s="22">
        <v>42596</v>
      </c>
      <c r="AV17" s="15"/>
      <c r="AW17" s="35" t="s">
        <v>374</v>
      </c>
      <c r="AX17" s="13">
        <v>0</v>
      </c>
      <c r="AY17" s="18">
        <v>0</v>
      </c>
      <c r="AZ17" s="18"/>
      <c r="BA17" s="67"/>
    </row>
    <row r="18" spans="1:53" x14ac:dyDescent="0.25">
      <c r="B18" s="11">
        <v>42597</v>
      </c>
      <c r="C18" s="12">
        <v>148894.6</v>
      </c>
      <c r="D18" s="19" t="s">
        <v>511</v>
      </c>
      <c r="E18" s="20">
        <v>42597</v>
      </c>
      <c r="F18" s="13">
        <v>148894.5</v>
      </c>
      <c r="G18" s="14"/>
      <c r="H18" s="22">
        <v>42597</v>
      </c>
      <c r="I18" s="345">
        <v>0</v>
      </c>
      <c r="J18" s="36">
        <v>42613</v>
      </c>
      <c r="K18" s="318">
        <v>0</v>
      </c>
      <c r="L18" s="18">
        <v>0</v>
      </c>
      <c r="O18" s="11">
        <v>42597</v>
      </c>
      <c r="P18" s="12">
        <v>148894.6</v>
      </c>
      <c r="Q18" s="19" t="s">
        <v>511</v>
      </c>
      <c r="R18" s="20">
        <v>42597</v>
      </c>
      <c r="S18" s="13">
        <v>148894.5</v>
      </c>
      <c r="T18" s="14"/>
      <c r="U18" s="22">
        <v>42597</v>
      </c>
      <c r="V18" s="345">
        <v>0</v>
      </c>
      <c r="W18" s="36"/>
      <c r="X18" s="318">
        <v>0</v>
      </c>
      <c r="Y18" s="18">
        <v>0</v>
      </c>
      <c r="Z18" s="132">
        <v>63046.2</v>
      </c>
      <c r="AB18" s="11">
        <v>42597</v>
      </c>
      <c r="AC18" s="12">
        <v>148894.6</v>
      </c>
      <c r="AD18" s="19" t="s">
        <v>511</v>
      </c>
      <c r="AE18" s="20">
        <v>42597</v>
      </c>
      <c r="AF18" s="13">
        <v>148894.5</v>
      </c>
      <c r="AG18" s="14"/>
      <c r="AH18" s="22">
        <v>42597</v>
      </c>
      <c r="AI18" s="345">
        <v>0</v>
      </c>
      <c r="AJ18" s="36"/>
      <c r="AK18" s="318">
        <v>0</v>
      </c>
      <c r="AL18" s="18">
        <v>0</v>
      </c>
      <c r="AM18" s="216"/>
      <c r="AO18" s="11">
        <v>42597</v>
      </c>
      <c r="AP18" s="12"/>
      <c r="AQ18" s="19"/>
      <c r="AR18" s="20">
        <v>42597</v>
      </c>
      <c r="AS18" s="13"/>
      <c r="AT18" s="14"/>
      <c r="AU18" s="22">
        <v>42597</v>
      </c>
      <c r="AV18" s="15"/>
      <c r="AW18" s="36"/>
      <c r="AX18" s="24">
        <v>0</v>
      </c>
      <c r="AY18" s="18">
        <v>0</v>
      </c>
      <c r="AZ18" s="18"/>
      <c r="BA18" s="216"/>
    </row>
    <row r="19" spans="1:53" x14ac:dyDescent="0.25">
      <c r="A19" s="28"/>
      <c r="B19" s="11">
        <v>42598</v>
      </c>
      <c r="C19" s="12">
        <v>61057.5</v>
      </c>
      <c r="D19" s="19" t="s">
        <v>512</v>
      </c>
      <c r="E19" s="20">
        <v>42598</v>
      </c>
      <c r="F19" s="13">
        <v>61057.5</v>
      </c>
      <c r="G19" s="14"/>
      <c r="H19" s="22">
        <v>42598</v>
      </c>
      <c r="I19" s="345">
        <v>0</v>
      </c>
      <c r="J19" s="344" t="s">
        <v>506</v>
      </c>
      <c r="K19" s="347">
        <v>700</v>
      </c>
      <c r="L19" s="18">
        <v>0</v>
      </c>
      <c r="N19" s="28"/>
      <c r="O19" s="11">
        <v>42598</v>
      </c>
      <c r="P19" s="12">
        <v>61057.5</v>
      </c>
      <c r="Q19" s="19" t="s">
        <v>512</v>
      </c>
      <c r="R19" s="20">
        <v>42598</v>
      </c>
      <c r="S19" s="13">
        <v>61057.5</v>
      </c>
      <c r="T19" s="14"/>
      <c r="U19" s="22">
        <v>42598</v>
      </c>
      <c r="V19" s="345">
        <v>0</v>
      </c>
      <c r="W19" s="344" t="s">
        <v>506</v>
      </c>
      <c r="X19" s="347">
        <v>700</v>
      </c>
      <c r="Y19" s="18">
        <v>0</v>
      </c>
      <c r="Z19" s="132">
        <v>34575.800000000003</v>
      </c>
      <c r="AA19" s="28"/>
      <c r="AB19" s="11">
        <v>42598</v>
      </c>
      <c r="AC19" s="12">
        <v>61057.5</v>
      </c>
      <c r="AD19" s="19" t="s">
        <v>512</v>
      </c>
      <c r="AE19" s="20">
        <v>42598</v>
      </c>
      <c r="AF19" s="13">
        <v>61057.5</v>
      </c>
      <c r="AG19" s="14"/>
      <c r="AH19" s="22">
        <v>42598</v>
      </c>
      <c r="AI19" s="345">
        <v>0</v>
      </c>
      <c r="AJ19" s="344" t="s">
        <v>506</v>
      </c>
      <c r="AK19" s="347">
        <v>700</v>
      </c>
      <c r="AL19" s="18">
        <v>0</v>
      </c>
      <c r="AM19" s="216"/>
      <c r="AN19" s="28"/>
      <c r="AO19" s="11">
        <v>42598</v>
      </c>
      <c r="AP19" s="12"/>
      <c r="AQ19" s="19"/>
      <c r="AR19" s="20">
        <v>42598</v>
      </c>
      <c r="AS19" s="13"/>
      <c r="AT19" s="14"/>
      <c r="AU19" s="22">
        <v>42598</v>
      </c>
      <c r="AV19" s="15"/>
      <c r="AW19" s="37"/>
      <c r="AX19" s="13">
        <v>0</v>
      </c>
      <c r="AY19" s="18">
        <v>0</v>
      </c>
      <c r="AZ19" s="18"/>
      <c r="BA19" s="216"/>
    </row>
    <row r="20" spans="1:53" x14ac:dyDescent="0.25">
      <c r="B20" s="11">
        <v>42599</v>
      </c>
      <c r="C20" s="12">
        <v>114501.5</v>
      </c>
      <c r="D20" s="19" t="s">
        <v>513</v>
      </c>
      <c r="E20" s="20">
        <v>42599</v>
      </c>
      <c r="F20" s="13">
        <v>114601.5</v>
      </c>
      <c r="G20" s="14"/>
      <c r="H20" s="22">
        <v>42599</v>
      </c>
      <c r="I20" s="18">
        <v>100</v>
      </c>
      <c r="J20" s="343">
        <v>42593</v>
      </c>
      <c r="K20" s="292">
        <v>0</v>
      </c>
      <c r="L20" s="18">
        <v>0</v>
      </c>
      <c r="O20" s="11">
        <v>42599</v>
      </c>
      <c r="P20" s="12">
        <v>114501.5</v>
      </c>
      <c r="Q20" s="19" t="s">
        <v>513</v>
      </c>
      <c r="R20" s="20">
        <v>42599</v>
      </c>
      <c r="S20" s="13">
        <v>114601.5</v>
      </c>
      <c r="T20" s="14"/>
      <c r="U20" s="22">
        <v>42599</v>
      </c>
      <c r="V20" s="18">
        <v>100</v>
      </c>
      <c r="W20" s="343">
        <v>42593</v>
      </c>
      <c r="X20" s="292">
        <v>0</v>
      </c>
      <c r="Y20" s="18">
        <v>0</v>
      </c>
      <c r="Z20" s="132">
        <v>2662.4</v>
      </c>
      <c r="AB20" s="11">
        <v>42599</v>
      </c>
      <c r="AC20" s="12">
        <v>114501.5</v>
      </c>
      <c r="AD20" s="19" t="s">
        <v>513</v>
      </c>
      <c r="AE20" s="20">
        <v>42599</v>
      </c>
      <c r="AF20" s="230">
        <v>114601.5</v>
      </c>
      <c r="AG20" s="14"/>
      <c r="AH20" s="22">
        <v>42599</v>
      </c>
      <c r="AI20" s="346">
        <v>100</v>
      </c>
      <c r="AJ20" s="343">
        <v>42593</v>
      </c>
      <c r="AK20" s="292">
        <v>0</v>
      </c>
      <c r="AL20" s="18">
        <v>0</v>
      </c>
      <c r="AM20" s="216"/>
      <c r="AO20" s="11">
        <v>42599</v>
      </c>
      <c r="AP20" s="12"/>
      <c r="AQ20" s="19"/>
      <c r="AR20" s="20">
        <v>42599</v>
      </c>
      <c r="AS20" s="13"/>
      <c r="AT20" s="14"/>
      <c r="AU20" s="22">
        <v>42599</v>
      </c>
      <c r="AV20" s="38"/>
      <c r="AW20" s="414"/>
      <c r="AX20" s="39">
        <v>0</v>
      </c>
      <c r="AY20" s="18">
        <v>0</v>
      </c>
      <c r="AZ20" s="18"/>
      <c r="BA20" s="216"/>
    </row>
    <row r="21" spans="1:53" x14ac:dyDescent="0.25">
      <c r="B21" s="11">
        <v>42600</v>
      </c>
      <c r="C21" s="12">
        <v>71840</v>
      </c>
      <c r="D21" s="40" t="s">
        <v>514</v>
      </c>
      <c r="E21" s="20">
        <v>42600</v>
      </c>
      <c r="F21" s="13">
        <v>71906</v>
      </c>
      <c r="G21" s="14"/>
      <c r="H21" s="22">
        <v>42600</v>
      </c>
      <c r="I21" s="18">
        <v>66</v>
      </c>
      <c r="J21" s="342" t="s">
        <v>515</v>
      </c>
      <c r="K21" s="318">
        <v>0</v>
      </c>
      <c r="L21" s="18">
        <v>0</v>
      </c>
      <c r="O21" s="11">
        <v>42600</v>
      </c>
      <c r="P21" s="12">
        <v>71840</v>
      </c>
      <c r="Q21" s="40" t="s">
        <v>514</v>
      </c>
      <c r="R21" s="20">
        <v>42600</v>
      </c>
      <c r="S21" s="13">
        <v>71906</v>
      </c>
      <c r="T21" s="14"/>
      <c r="U21" s="22">
        <v>42600</v>
      </c>
      <c r="V21" s="18">
        <v>66</v>
      </c>
      <c r="W21" s="342" t="s">
        <v>515</v>
      </c>
      <c r="X21" s="318">
        <v>0</v>
      </c>
      <c r="Y21" s="18">
        <v>0</v>
      </c>
      <c r="Z21" s="132">
        <v>67637.2</v>
      </c>
      <c r="AB21" s="11">
        <v>42600</v>
      </c>
      <c r="AC21" s="12"/>
      <c r="AD21" s="40"/>
      <c r="AE21" s="20">
        <v>42600</v>
      </c>
      <c r="AF21" s="13"/>
      <c r="AG21" s="14"/>
      <c r="AH21" s="22">
        <v>42600</v>
      </c>
      <c r="AI21" s="18"/>
      <c r="AJ21" s="342"/>
      <c r="AK21" s="318">
        <v>0</v>
      </c>
      <c r="AL21" s="18">
        <v>0</v>
      </c>
      <c r="AM21" s="216"/>
      <c r="AO21" s="11">
        <v>42600</v>
      </c>
      <c r="AP21" s="12"/>
      <c r="AQ21" s="40"/>
      <c r="AR21" s="20">
        <v>42600</v>
      </c>
      <c r="AS21" s="13"/>
      <c r="AT21" s="14"/>
      <c r="AU21" s="22">
        <v>42600</v>
      </c>
      <c r="AV21" s="38"/>
      <c r="AW21" s="415"/>
      <c r="AX21" s="24">
        <v>0</v>
      </c>
      <c r="AY21" s="18">
        <v>0</v>
      </c>
      <c r="AZ21" s="18"/>
      <c r="BA21" s="216"/>
    </row>
    <row r="22" spans="1:53" x14ac:dyDescent="0.25">
      <c r="B22" s="11">
        <v>42601</v>
      </c>
      <c r="C22" s="12">
        <v>89085.5</v>
      </c>
      <c r="D22" s="40" t="s">
        <v>516</v>
      </c>
      <c r="E22" s="20">
        <v>42601</v>
      </c>
      <c r="F22" s="13">
        <v>89085.5</v>
      </c>
      <c r="G22" s="21"/>
      <c r="H22" s="22">
        <v>42601</v>
      </c>
      <c r="I22" s="345">
        <v>0</v>
      </c>
      <c r="J22" s="23"/>
      <c r="K22" s="318">
        <v>0</v>
      </c>
      <c r="L22" s="18">
        <v>0</v>
      </c>
      <c r="O22" s="11">
        <v>42601</v>
      </c>
      <c r="P22" s="12">
        <v>89085.5</v>
      </c>
      <c r="Q22" s="40" t="s">
        <v>516</v>
      </c>
      <c r="R22" s="20">
        <v>42601</v>
      </c>
      <c r="S22" s="13">
        <v>89085.5</v>
      </c>
      <c r="T22" s="21"/>
      <c r="U22" s="22">
        <v>42601</v>
      </c>
      <c r="V22" s="345">
        <v>0</v>
      </c>
      <c r="W22" s="23"/>
      <c r="X22" s="318">
        <v>0</v>
      </c>
      <c r="Y22" s="18">
        <v>0</v>
      </c>
      <c r="Z22" s="132">
        <v>12729.6</v>
      </c>
      <c r="AB22" s="11">
        <v>42601</v>
      </c>
      <c r="AC22" s="12"/>
      <c r="AD22" s="40"/>
      <c r="AE22" s="20">
        <v>42601</v>
      </c>
      <c r="AF22" s="13"/>
      <c r="AG22" s="21"/>
      <c r="AH22" s="22">
        <v>42601</v>
      </c>
      <c r="AI22" s="345"/>
      <c r="AJ22" s="23"/>
      <c r="AK22" s="318">
        <v>0</v>
      </c>
      <c r="AL22" s="18">
        <v>0</v>
      </c>
      <c r="AM22" s="216"/>
      <c r="AO22" s="11">
        <v>42601</v>
      </c>
      <c r="AP22" s="12"/>
      <c r="AQ22" s="40"/>
      <c r="AR22" s="20">
        <v>42601</v>
      </c>
      <c r="AS22" s="13"/>
      <c r="AT22" s="21"/>
      <c r="AU22" s="22">
        <v>42601</v>
      </c>
      <c r="AV22" s="15"/>
      <c r="AW22" s="23"/>
      <c r="AX22" s="24">
        <v>0</v>
      </c>
      <c r="AY22" s="18">
        <v>0</v>
      </c>
      <c r="AZ22" s="18"/>
      <c r="BA22" s="216"/>
    </row>
    <row r="23" spans="1:53" x14ac:dyDescent="0.25">
      <c r="A23" s="28"/>
      <c r="B23" s="11">
        <v>42602</v>
      </c>
      <c r="C23" s="12">
        <v>67033.5</v>
      </c>
      <c r="D23" s="40" t="s">
        <v>517</v>
      </c>
      <c r="E23" s="20">
        <v>42602</v>
      </c>
      <c r="F23" s="13">
        <v>67033.5</v>
      </c>
      <c r="G23" s="14"/>
      <c r="H23" s="22">
        <v>42602</v>
      </c>
      <c r="I23" s="345">
        <v>0</v>
      </c>
      <c r="J23" s="23" t="s">
        <v>414</v>
      </c>
      <c r="K23" s="347">
        <v>1044</v>
      </c>
      <c r="L23" s="18">
        <v>0</v>
      </c>
      <c r="N23" s="28"/>
      <c r="O23" s="11">
        <v>42602</v>
      </c>
      <c r="P23" s="12">
        <v>67033.5</v>
      </c>
      <c r="Q23" s="40" t="s">
        <v>517</v>
      </c>
      <c r="R23" s="20">
        <v>42602</v>
      </c>
      <c r="S23" s="13">
        <v>67033.5</v>
      </c>
      <c r="T23" s="14"/>
      <c r="U23" s="22">
        <v>42602</v>
      </c>
      <c r="V23" s="345">
        <v>0</v>
      </c>
      <c r="W23" s="23" t="s">
        <v>414</v>
      </c>
      <c r="X23" s="347">
        <v>1044</v>
      </c>
      <c r="Y23" s="18">
        <v>0</v>
      </c>
      <c r="Z23" s="132">
        <v>66272.5</v>
      </c>
      <c r="AA23" s="28"/>
      <c r="AB23" s="11">
        <v>42602</v>
      </c>
      <c r="AC23" s="12"/>
      <c r="AD23" s="40"/>
      <c r="AE23" s="20">
        <v>42602</v>
      </c>
      <c r="AF23" s="13"/>
      <c r="AG23" s="14"/>
      <c r="AH23" s="22">
        <v>42602</v>
      </c>
      <c r="AI23" s="345"/>
      <c r="AJ23" s="23" t="s">
        <v>414</v>
      </c>
      <c r="AK23" s="347">
        <v>1044</v>
      </c>
      <c r="AL23" s="18">
        <v>0</v>
      </c>
      <c r="AM23" s="216"/>
      <c r="AN23" s="28"/>
      <c r="AO23" s="11">
        <v>42602</v>
      </c>
      <c r="AP23" s="12"/>
      <c r="AQ23" s="40"/>
      <c r="AR23" s="20">
        <v>42602</v>
      </c>
      <c r="AS23" s="13"/>
      <c r="AT23" s="14"/>
      <c r="AU23" s="22">
        <v>42602</v>
      </c>
      <c r="AV23" s="15"/>
      <c r="AW23" s="23" t="s">
        <v>414</v>
      </c>
      <c r="AX23" s="13">
        <v>1044</v>
      </c>
      <c r="AY23" s="18">
        <v>0</v>
      </c>
      <c r="AZ23" s="18"/>
      <c r="BA23" s="18"/>
    </row>
    <row r="24" spans="1:53" x14ac:dyDescent="0.25">
      <c r="A24" s="28"/>
      <c r="B24" s="11">
        <v>42603</v>
      </c>
      <c r="C24" s="12">
        <v>146633.5</v>
      </c>
      <c r="D24" s="40" t="s">
        <v>518</v>
      </c>
      <c r="E24" s="20">
        <v>42603</v>
      </c>
      <c r="F24" s="13">
        <v>146633.5</v>
      </c>
      <c r="G24" s="14"/>
      <c r="H24" s="22">
        <v>42603</v>
      </c>
      <c r="I24" s="345">
        <v>0</v>
      </c>
      <c r="J24" s="34"/>
      <c r="K24" s="318"/>
      <c r="L24" s="18">
        <v>0</v>
      </c>
      <c r="N24" s="28"/>
      <c r="O24" s="11">
        <v>42603</v>
      </c>
      <c r="P24" s="12">
        <v>146633.5</v>
      </c>
      <c r="Q24" s="40" t="s">
        <v>518</v>
      </c>
      <c r="R24" s="20">
        <v>42603</v>
      </c>
      <c r="S24" s="13">
        <v>146633.5</v>
      </c>
      <c r="T24" s="14"/>
      <c r="U24" s="22">
        <v>42603</v>
      </c>
      <c r="V24" s="345">
        <v>0</v>
      </c>
      <c r="W24" s="34"/>
      <c r="X24" s="318"/>
      <c r="Y24" s="18">
        <v>0</v>
      </c>
      <c r="Z24" s="132">
        <v>64837.5</v>
      </c>
      <c r="AA24" s="28"/>
      <c r="AB24" s="11">
        <v>42603</v>
      </c>
      <c r="AC24" s="12"/>
      <c r="AD24" s="40"/>
      <c r="AE24" s="20">
        <v>42603</v>
      </c>
      <c r="AF24" s="13"/>
      <c r="AG24" s="14"/>
      <c r="AH24" s="22">
        <v>42603</v>
      </c>
      <c r="AI24" s="345"/>
      <c r="AJ24" s="34"/>
      <c r="AK24" s="318"/>
      <c r="AL24" s="18">
        <v>0</v>
      </c>
      <c r="AM24" s="216"/>
      <c r="AN24" s="28"/>
      <c r="AO24" s="11">
        <v>42603</v>
      </c>
      <c r="AP24" s="12"/>
      <c r="AQ24" s="40"/>
      <c r="AR24" s="20">
        <v>42603</v>
      </c>
      <c r="AS24" s="13"/>
      <c r="AT24" s="14"/>
      <c r="AU24" s="22">
        <v>42603</v>
      </c>
      <c r="AV24" s="15"/>
      <c r="AW24" s="34"/>
      <c r="AX24" s="24"/>
      <c r="AY24" s="18">
        <v>0</v>
      </c>
      <c r="AZ24" s="18"/>
      <c r="BA24" s="216"/>
    </row>
    <row r="25" spans="1:53" x14ac:dyDescent="0.25">
      <c r="B25" s="11">
        <v>42604</v>
      </c>
      <c r="C25" s="12">
        <v>125567.5</v>
      </c>
      <c r="D25" s="19" t="s">
        <v>539</v>
      </c>
      <c r="E25" s="20">
        <v>42604</v>
      </c>
      <c r="F25" s="13">
        <v>125567</v>
      </c>
      <c r="G25" s="14"/>
      <c r="H25" s="22">
        <v>42604</v>
      </c>
      <c r="I25" s="345">
        <v>0</v>
      </c>
      <c r="J25" s="23"/>
      <c r="K25" s="318"/>
      <c r="L25" s="18">
        <v>0</v>
      </c>
      <c r="O25" s="11">
        <v>42604</v>
      </c>
      <c r="P25" s="12">
        <v>125567.5</v>
      </c>
      <c r="Q25" s="19" t="s">
        <v>539</v>
      </c>
      <c r="R25" s="20">
        <v>42604</v>
      </c>
      <c r="S25" s="13">
        <v>125567</v>
      </c>
      <c r="T25" s="14"/>
      <c r="U25" s="22">
        <v>42604</v>
      </c>
      <c r="V25" s="345">
        <v>0</v>
      </c>
      <c r="W25" s="23"/>
      <c r="X25" s="318"/>
      <c r="Y25" s="18">
        <v>0</v>
      </c>
      <c r="Z25" s="336">
        <v>43546.6</v>
      </c>
      <c r="AB25" s="11">
        <v>42604</v>
      </c>
      <c r="AC25" s="12"/>
      <c r="AD25" s="19"/>
      <c r="AE25" s="20">
        <v>42604</v>
      </c>
      <c r="AF25" s="13"/>
      <c r="AG25" s="14"/>
      <c r="AH25" s="22">
        <v>42604</v>
      </c>
      <c r="AI25" s="345"/>
      <c r="AJ25" s="23"/>
      <c r="AK25" s="318"/>
      <c r="AL25" s="18">
        <v>0</v>
      </c>
      <c r="AM25" s="216"/>
      <c r="AO25" s="11">
        <v>42604</v>
      </c>
      <c r="AP25" s="12"/>
      <c r="AQ25" s="19"/>
      <c r="AR25" s="20">
        <v>42604</v>
      </c>
      <c r="AS25" s="13"/>
      <c r="AT25" s="14"/>
      <c r="AU25" s="22">
        <v>42604</v>
      </c>
      <c r="AV25" s="15"/>
      <c r="AW25" s="23"/>
      <c r="AX25" s="24"/>
      <c r="AY25" s="18">
        <v>0</v>
      </c>
      <c r="AZ25" s="18"/>
      <c r="BA25" s="216"/>
    </row>
    <row r="26" spans="1:53" x14ac:dyDescent="0.25">
      <c r="B26" s="11">
        <v>42605</v>
      </c>
      <c r="C26" s="12">
        <v>12406</v>
      </c>
      <c r="D26" s="19" t="s">
        <v>540</v>
      </c>
      <c r="E26" s="20">
        <v>42605</v>
      </c>
      <c r="F26" s="13">
        <v>112406</v>
      </c>
      <c r="G26" s="14"/>
      <c r="H26" s="22">
        <v>42605</v>
      </c>
      <c r="I26" s="345">
        <v>0</v>
      </c>
      <c r="J26" s="23"/>
      <c r="K26" s="318"/>
      <c r="L26" s="18">
        <v>0</v>
      </c>
      <c r="O26" s="11">
        <v>42605</v>
      </c>
      <c r="P26" s="12">
        <v>12406</v>
      </c>
      <c r="Q26" s="19" t="s">
        <v>540</v>
      </c>
      <c r="R26" s="20">
        <v>42605</v>
      </c>
      <c r="S26" s="13">
        <v>112406</v>
      </c>
      <c r="T26" s="14"/>
      <c r="U26" s="22">
        <v>42605</v>
      </c>
      <c r="V26" s="345"/>
      <c r="W26" s="23"/>
      <c r="X26" s="318"/>
      <c r="Y26" s="18">
        <v>0</v>
      </c>
      <c r="Z26" s="132">
        <v>46252.5</v>
      </c>
      <c r="AB26" s="11">
        <v>42605</v>
      </c>
      <c r="AC26" s="12"/>
      <c r="AD26" s="19"/>
      <c r="AE26" s="20">
        <v>42605</v>
      </c>
      <c r="AF26" s="13"/>
      <c r="AG26" s="14"/>
      <c r="AH26" s="22">
        <v>42605</v>
      </c>
      <c r="AI26" s="345"/>
      <c r="AJ26" s="23"/>
      <c r="AK26" s="318"/>
      <c r="AL26" s="18">
        <v>0</v>
      </c>
      <c r="AM26" s="216"/>
      <c r="AO26" s="11">
        <v>42605</v>
      </c>
      <c r="AP26" s="12"/>
      <c r="AQ26" s="19"/>
      <c r="AR26" s="20">
        <v>42605</v>
      </c>
      <c r="AS26" s="13"/>
      <c r="AT26" s="14"/>
      <c r="AU26" s="22">
        <v>42605</v>
      </c>
      <c r="AV26" s="15"/>
      <c r="AW26" s="23"/>
      <c r="AX26" s="24"/>
      <c r="AY26" s="18">
        <v>0</v>
      </c>
      <c r="AZ26" s="18"/>
      <c r="BA26" s="216"/>
    </row>
    <row r="27" spans="1:53" x14ac:dyDescent="0.25">
      <c r="B27" s="11">
        <v>42606</v>
      </c>
      <c r="C27" s="12">
        <v>67580.5</v>
      </c>
      <c r="D27" s="19" t="s">
        <v>541</v>
      </c>
      <c r="E27" s="20">
        <v>42606</v>
      </c>
      <c r="F27" s="13">
        <v>67680.5</v>
      </c>
      <c r="G27" s="14"/>
      <c r="H27" s="22">
        <v>42606</v>
      </c>
      <c r="I27" s="345">
        <v>100</v>
      </c>
      <c r="J27" s="23"/>
      <c r="K27" s="24"/>
      <c r="L27" s="18">
        <v>0</v>
      </c>
      <c r="O27" s="11">
        <v>42606</v>
      </c>
      <c r="P27" s="12"/>
      <c r="Q27" s="19"/>
      <c r="R27" s="20">
        <v>42606</v>
      </c>
      <c r="S27" s="13"/>
      <c r="T27" s="14"/>
      <c r="U27" s="22">
        <v>42606</v>
      </c>
      <c r="V27" s="345"/>
      <c r="W27" s="23"/>
      <c r="X27" s="24"/>
      <c r="Y27" s="18">
        <v>0</v>
      </c>
      <c r="Z27" s="132">
        <v>14238.8</v>
      </c>
      <c r="AB27" s="11">
        <v>42606</v>
      </c>
      <c r="AC27" s="12"/>
      <c r="AD27" s="19"/>
      <c r="AE27" s="20">
        <v>42606</v>
      </c>
      <c r="AF27" s="13"/>
      <c r="AG27" s="14"/>
      <c r="AH27" s="22">
        <v>42606</v>
      </c>
      <c r="AI27" s="345"/>
      <c r="AJ27" s="23"/>
      <c r="AK27" s="24"/>
      <c r="AL27" s="18">
        <v>0</v>
      </c>
      <c r="AM27" s="18"/>
      <c r="AO27" s="11">
        <v>42606</v>
      </c>
      <c r="AP27" s="12"/>
      <c r="AQ27" s="19"/>
      <c r="AR27" s="20">
        <v>42606</v>
      </c>
      <c r="AS27" s="13"/>
      <c r="AT27" s="14"/>
      <c r="AU27" s="22">
        <v>42606</v>
      </c>
      <c r="AV27" s="15"/>
      <c r="AW27" s="23"/>
      <c r="AX27" s="24"/>
      <c r="AY27" s="18">
        <v>0</v>
      </c>
      <c r="AZ27" s="18"/>
      <c r="BA27" s="216"/>
    </row>
    <row r="28" spans="1:53" x14ac:dyDescent="0.25">
      <c r="B28" s="11">
        <v>42607</v>
      </c>
      <c r="C28" s="12">
        <v>42047.5</v>
      </c>
      <c r="D28" s="19" t="s">
        <v>544</v>
      </c>
      <c r="E28" s="20">
        <v>42607</v>
      </c>
      <c r="F28" s="13">
        <v>42047.5</v>
      </c>
      <c r="G28" s="14"/>
      <c r="H28" s="22">
        <v>42607</v>
      </c>
      <c r="I28" s="345">
        <v>0</v>
      </c>
      <c r="J28" s="23"/>
      <c r="K28" s="24"/>
      <c r="L28" s="18">
        <v>0</v>
      </c>
      <c r="O28" s="11">
        <v>42607</v>
      </c>
      <c r="P28" s="12"/>
      <c r="Q28" s="19"/>
      <c r="R28" s="20">
        <v>42607</v>
      </c>
      <c r="S28" s="13"/>
      <c r="T28" s="14"/>
      <c r="U28" s="22">
        <v>42607</v>
      </c>
      <c r="V28" s="345"/>
      <c r="W28" s="23"/>
      <c r="X28" s="24"/>
      <c r="Y28" s="18">
        <v>0</v>
      </c>
      <c r="Z28" s="132">
        <v>15555.4</v>
      </c>
      <c r="AB28" s="11">
        <v>42607</v>
      </c>
      <c r="AC28" s="12"/>
      <c r="AD28" s="19"/>
      <c r="AE28" s="20">
        <v>42607</v>
      </c>
      <c r="AF28" s="13"/>
      <c r="AG28" s="14"/>
      <c r="AH28" s="22">
        <v>42607</v>
      </c>
      <c r="AI28" s="345"/>
      <c r="AJ28" s="23"/>
      <c r="AK28" s="24"/>
      <c r="AL28" s="18">
        <v>0</v>
      </c>
      <c r="AM28" s="216"/>
      <c r="AO28" s="11">
        <v>42607</v>
      </c>
      <c r="AP28" s="12"/>
      <c r="AQ28" s="19"/>
      <c r="AR28" s="20">
        <v>42607</v>
      </c>
      <c r="AS28" s="13"/>
      <c r="AT28" s="14"/>
      <c r="AU28" s="22">
        <v>42607</v>
      </c>
      <c r="AV28" s="15"/>
      <c r="AW28" s="23"/>
      <c r="AX28" s="24"/>
      <c r="AY28" s="18">
        <v>0</v>
      </c>
      <c r="AZ28" s="18"/>
      <c r="BA28" s="216"/>
    </row>
    <row r="29" spans="1:53" x14ac:dyDescent="0.25">
      <c r="B29" s="11">
        <v>42608</v>
      </c>
      <c r="C29" s="12">
        <v>127025</v>
      </c>
      <c r="D29" s="19" t="s">
        <v>545</v>
      </c>
      <c r="E29" s="20">
        <v>42608</v>
      </c>
      <c r="F29" s="13">
        <v>127025</v>
      </c>
      <c r="G29" s="14"/>
      <c r="H29" s="22">
        <v>42608</v>
      </c>
      <c r="I29" s="345">
        <v>0</v>
      </c>
      <c r="J29" s="23"/>
      <c r="K29" s="24"/>
      <c r="L29" s="18">
        <v>0</v>
      </c>
      <c r="O29" s="11">
        <v>42608</v>
      </c>
      <c r="P29" s="12"/>
      <c r="Q29" s="19"/>
      <c r="R29" s="20">
        <v>42608</v>
      </c>
      <c r="S29" s="13"/>
      <c r="T29" s="14"/>
      <c r="U29" s="22">
        <v>42608</v>
      </c>
      <c r="V29" s="345"/>
      <c r="W29" s="23"/>
      <c r="X29" s="24"/>
      <c r="Y29" s="18"/>
      <c r="Z29" s="339">
        <v>67179.600000000006</v>
      </c>
      <c r="AB29" s="11">
        <v>42608</v>
      </c>
      <c r="AC29" s="12"/>
      <c r="AD29" s="19"/>
      <c r="AE29" s="20">
        <v>42608</v>
      </c>
      <c r="AF29" s="13"/>
      <c r="AG29" s="14"/>
      <c r="AH29" s="22">
        <v>42608</v>
      </c>
      <c r="AI29" s="345"/>
      <c r="AJ29" s="23"/>
      <c r="AK29" s="24"/>
      <c r="AL29" s="18"/>
      <c r="AM29" s="216"/>
      <c r="AO29" s="11">
        <v>42608</v>
      </c>
      <c r="AP29" s="12"/>
      <c r="AQ29" s="19"/>
      <c r="AR29" s="20">
        <v>42608</v>
      </c>
      <c r="AS29" s="13"/>
      <c r="AT29" s="14"/>
      <c r="AU29" s="22">
        <v>42608</v>
      </c>
      <c r="AV29" s="15"/>
      <c r="AW29" s="23"/>
      <c r="AX29" s="24"/>
      <c r="AY29" s="18"/>
      <c r="AZ29" s="18"/>
      <c r="BA29" s="341"/>
    </row>
    <row r="30" spans="1:53" x14ac:dyDescent="0.25">
      <c r="B30" s="11">
        <v>42609</v>
      </c>
      <c r="C30" s="12">
        <v>78682.5</v>
      </c>
      <c r="D30" s="19" t="s">
        <v>546</v>
      </c>
      <c r="E30" s="20">
        <v>42609</v>
      </c>
      <c r="F30" s="13">
        <v>78682</v>
      </c>
      <c r="G30" s="14"/>
      <c r="H30" s="22">
        <v>42609</v>
      </c>
      <c r="I30" s="345">
        <v>0</v>
      </c>
      <c r="J30" s="23"/>
      <c r="K30" s="24"/>
      <c r="L30" s="18">
        <v>0</v>
      </c>
      <c r="O30" s="11">
        <v>42609</v>
      </c>
      <c r="P30" s="12"/>
      <c r="Q30" s="19"/>
      <c r="R30" s="20">
        <v>42609</v>
      </c>
      <c r="S30" s="13"/>
      <c r="T30" s="14"/>
      <c r="U30" s="22">
        <v>42609</v>
      </c>
      <c r="V30" s="345"/>
      <c r="W30" s="23"/>
      <c r="X30" s="24"/>
      <c r="Y30" s="18"/>
      <c r="Z30" s="132">
        <v>35855.4</v>
      </c>
      <c r="AB30" s="11">
        <v>42609</v>
      </c>
      <c r="AC30" s="12"/>
      <c r="AD30" s="19"/>
      <c r="AE30" s="20">
        <v>42609</v>
      </c>
      <c r="AF30" s="13"/>
      <c r="AG30" s="14"/>
      <c r="AH30" s="22">
        <v>42609</v>
      </c>
      <c r="AI30" s="345"/>
      <c r="AJ30" s="23"/>
      <c r="AK30" s="24"/>
      <c r="AL30" s="18"/>
      <c r="AM30" s="216"/>
      <c r="AO30" s="11">
        <v>42609</v>
      </c>
      <c r="AP30" s="12"/>
      <c r="AQ30" s="19"/>
      <c r="AR30" s="20">
        <v>42609</v>
      </c>
      <c r="AS30" s="13"/>
      <c r="AT30" s="14"/>
      <c r="AU30" s="22">
        <v>42609</v>
      </c>
      <c r="AV30" s="15"/>
      <c r="AW30" s="23"/>
      <c r="AX30" s="24"/>
      <c r="AY30" s="18"/>
      <c r="AZ30" s="18"/>
      <c r="BA30" s="67"/>
    </row>
    <row r="31" spans="1:53" x14ac:dyDescent="0.25">
      <c r="B31" s="11">
        <v>42610</v>
      </c>
      <c r="C31" s="12">
        <v>117538</v>
      </c>
      <c r="D31" s="19" t="s">
        <v>547</v>
      </c>
      <c r="E31" s="20">
        <v>42610</v>
      </c>
      <c r="F31" s="13">
        <v>117538</v>
      </c>
      <c r="G31" s="14"/>
      <c r="H31" s="22">
        <v>42610</v>
      </c>
      <c r="I31" s="345">
        <v>0</v>
      </c>
      <c r="J31" s="23"/>
      <c r="K31" s="24"/>
      <c r="L31" s="18">
        <v>0</v>
      </c>
      <c r="O31" s="11">
        <v>42610</v>
      </c>
      <c r="P31" s="12"/>
      <c r="Q31" s="19"/>
      <c r="R31" s="20">
        <v>42610</v>
      </c>
      <c r="S31" s="13"/>
      <c r="T31" s="14"/>
      <c r="U31" s="22">
        <v>42610</v>
      </c>
      <c r="V31" s="345"/>
      <c r="W31" s="23"/>
      <c r="X31" s="24"/>
      <c r="Y31" s="18"/>
      <c r="Z31" s="132">
        <v>42773.3</v>
      </c>
      <c r="AB31" s="11">
        <v>42610</v>
      </c>
      <c r="AC31" s="12"/>
      <c r="AD31" s="19"/>
      <c r="AE31" s="20">
        <v>42610</v>
      </c>
      <c r="AF31" s="13"/>
      <c r="AG31" s="14"/>
      <c r="AH31" s="22">
        <v>42610</v>
      </c>
      <c r="AI31" s="345"/>
      <c r="AJ31" s="23"/>
      <c r="AK31" s="24"/>
      <c r="AL31" s="18"/>
      <c r="AM31" s="18"/>
      <c r="AO31" s="11">
        <v>42610</v>
      </c>
      <c r="AP31" s="12"/>
      <c r="AQ31" s="19"/>
      <c r="AR31" s="20">
        <v>42610</v>
      </c>
      <c r="AS31" s="13"/>
      <c r="AT31" s="14"/>
      <c r="AU31" s="22">
        <v>42610</v>
      </c>
      <c r="AV31" s="15"/>
      <c r="AW31" s="23"/>
      <c r="AX31" s="24"/>
      <c r="AY31" s="18"/>
      <c r="AZ31" s="18"/>
    </row>
    <row r="32" spans="1:53" x14ac:dyDescent="0.25">
      <c r="B32" s="11">
        <v>42611</v>
      </c>
      <c r="C32" s="12">
        <v>108348</v>
      </c>
      <c r="D32" s="42" t="s">
        <v>548</v>
      </c>
      <c r="E32" s="20">
        <v>42611</v>
      </c>
      <c r="F32" s="13">
        <v>108514</v>
      </c>
      <c r="G32" s="14"/>
      <c r="H32" s="22">
        <v>42611</v>
      </c>
      <c r="I32" s="345">
        <v>166</v>
      </c>
      <c r="J32" s="23"/>
      <c r="K32" s="24"/>
      <c r="L32" s="18">
        <v>0</v>
      </c>
      <c r="O32" s="11">
        <v>42611</v>
      </c>
      <c r="P32" s="12"/>
      <c r="Q32" s="42"/>
      <c r="R32" s="20">
        <v>42611</v>
      </c>
      <c r="S32" s="13"/>
      <c r="T32" s="14"/>
      <c r="U32" s="22">
        <v>42611</v>
      </c>
      <c r="V32" s="345"/>
      <c r="W32" s="23"/>
      <c r="X32" s="24"/>
      <c r="Y32" s="18"/>
      <c r="Z32" s="216">
        <v>32529.599999999999</v>
      </c>
      <c r="AB32" s="11">
        <v>42611</v>
      </c>
      <c r="AC32" s="12"/>
      <c r="AD32" s="42"/>
      <c r="AE32" s="20">
        <v>42611</v>
      </c>
      <c r="AF32" s="13"/>
      <c r="AG32" s="14"/>
      <c r="AH32" s="22">
        <v>42611</v>
      </c>
      <c r="AI32" s="345"/>
      <c r="AJ32" s="23"/>
      <c r="AK32" s="24"/>
      <c r="AL32" s="18"/>
      <c r="AM32" s="216"/>
      <c r="AO32" s="11">
        <v>42611</v>
      </c>
      <c r="AP32" s="12"/>
      <c r="AQ32" s="42"/>
      <c r="AR32" s="20">
        <v>42611</v>
      </c>
      <c r="AS32" s="13"/>
      <c r="AT32" s="14"/>
      <c r="AU32" s="22">
        <v>42611</v>
      </c>
      <c r="AV32" s="15"/>
      <c r="AW32" s="23"/>
      <c r="AX32" s="24"/>
      <c r="AY32" s="18"/>
      <c r="AZ32" s="18"/>
    </row>
    <row r="33" spans="1:52" x14ac:dyDescent="0.25">
      <c r="B33" s="11">
        <v>42612</v>
      </c>
      <c r="C33" s="12">
        <v>94400.5</v>
      </c>
      <c r="D33" s="19" t="s">
        <v>550</v>
      </c>
      <c r="E33" s="20">
        <v>42612</v>
      </c>
      <c r="F33" s="13">
        <v>94400.5</v>
      </c>
      <c r="G33" s="14"/>
      <c r="H33" s="22">
        <v>42612</v>
      </c>
      <c r="I33" s="345">
        <v>0</v>
      </c>
      <c r="J33" s="23"/>
      <c r="K33" s="24"/>
      <c r="L33" s="18">
        <v>0</v>
      </c>
      <c r="O33" s="11">
        <v>42612</v>
      </c>
      <c r="P33" s="12"/>
      <c r="Q33" s="19"/>
      <c r="R33" s="20">
        <v>42612</v>
      </c>
      <c r="S33" s="13"/>
      <c r="T33" s="14"/>
      <c r="U33" s="22">
        <v>42612</v>
      </c>
      <c r="V33" s="345"/>
      <c r="W33" s="23"/>
      <c r="X33" s="24"/>
      <c r="Y33" s="18"/>
      <c r="Z33" s="216">
        <v>66524.399999999994</v>
      </c>
      <c r="AB33" s="11">
        <v>42612</v>
      </c>
      <c r="AC33" s="12"/>
      <c r="AD33" s="19"/>
      <c r="AE33" s="20">
        <v>42612</v>
      </c>
      <c r="AF33" s="13"/>
      <c r="AG33" s="14"/>
      <c r="AH33" s="22">
        <v>42612</v>
      </c>
      <c r="AI33" s="345"/>
      <c r="AJ33" s="23"/>
      <c r="AK33" s="24"/>
      <c r="AL33" s="18"/>
      <c r="AM33" s="299"/>
      <c r="AO33" s="11">
        <v>42612</v>
      </c>
      <c r="AP33" s="12"/>
      <c r="AQ33" s="19"/>
      <c r="AR33" s="20">
        <v>42612</v>
      </c>
      <c r="AS33" s="13"/>
      <c r="AT33" s="14"/>
      <c r="AU33" s="22">
        <v>42612</v>
      </c>
      <c r="AV33" s="15"/>
      <c r="AW33" s="23"/>
      <c r="AX33" s="24"/>
      <c r="AY33" s="18"/>
      <c r="AZ33" s="18"/>
    </row>
    <row r="34" spans="1:52" ht="15.75" thickBot="1" x14ac:dyDescent="0.3">
      <c r="A34" s="28"/>
      <c r="B34" s="11">
        <v>42613</v>
      </c>
      <c r="C34" s="12">
        <v>54600.69</v>
      </c>
      <c r="D34" s="19" t="s">
        <v>552</v>
      </c>
      <c r="E34" s="20">
        <v>42613</v>
      </c>
      <c r="F34" s="13">
        <v>66241</v>
      </c>
      <c r="G34" s="14"/>
      <c r="H34" s="22">
        <v>42613</v>
      </c>
      <c r="I34" s="345">
        <v>0</v>
      </c>
      <c r="J34" s="23"/>
      <c r="K34" s="24"/>
      <c r="L34" s="18">
        <v>0</v>
      </c>
      <c r="N34" s="28"/>
      <c r="O34" s="11">
        <v>42613</v>
      </c>
      <c r="P34" s="12"/>
      <c r="Q34" s="19"/>
      <c r="R34" s="20">
        <v>42613</v>
      </c>
      <c r="S34" s="13"/>
      <c r="T34" s="14"/>
      <c r="U34" s="22">
        <v>42613</v>
      </c>
      <c r="V34" s="345"/>
      <c r="W34" s="23"/>
      <c r="X34" s="24"/>
      <c r="Y34" s="18"/>
      <c r="Z34" s="81">
        <v>67539.600000000006</v>
      </c>
      <c r="AA34" s="28"/>
      <c r="AB34" s="11">
        <v>42613</v>
      </c>
      <c r="AC34" s="12"/>
      <c r="AD34" s="19"/>
      <c r="AE34" s="20">
        <v>42613</v>
      </c>
      <c r="AF34" s="13"/>
      <c r="AG34" s="14"/>
      <c r="AH34" s="22">
        <v>42613</v>
      </c>
      <c r="AI34" s="345"/>
      <c r="AJ34" s="23"/>
      <c r="AK34" s="24"/>
      <c r="AL34" s="18"/>
      <c r="AN34" s="28"/>
      <c r="AO34" s="11">
        <v>42613</v>
      </c>
      <c r="AP34" s="12"/>
      <c r="AQ34" s="19"/>
      <c r="AR34" s="20">
        <v>42613</v>
      </c>
      <c r="AS34" s="13"/>
      <c r="AT34" s="14"/>
      <c r="AU34" s="22">
        <v>42613</v>
      </c>
      <c r="AV34" s="15"/>
      <c r="AW34" s="23"/>
      <c r="AX34" s="24"/>
      <c r="AY34" s="18"/>
      <c r="AZ34" s="18"/>
    </row>
    <row r="35" spans="1:5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N35" s="43"/>
      <c r="O35" s="44"/>
      <c r="P35" s="45">
        <v>0</v>
      </c>
      <c r="Q35" s="46"/>
      <c r="R35" s="47"/>
      <c r="S35" s="24">
        <v>0</v>
      </c>
      <c r="U35" s="48"/>
      <c r="V35" s="49"/>
      <c r="W35" s="23"/>
      <c r="X35" s="24"/>
      <c r="Y35" s="50">
        <v>0</v>
      </c>
      <c r="Z35" s="81">
        <v>36219.9</v>
      </c>
      <c r="AA35" s="43"/>
      <c r="AB35" s="44"/>
      <c r="AC35" s="45">
        <v>0</v>
      </c>
      <c r="AD35" s="46"/>
      <c r="AE35" s="47"/>
      <c r="AF35" s="24">
        <v>0</v>
      </c>
      <c r="AH35" s="48"/>
      <c r="AI35" s="49"/>
      <c r="AJ35" s="23"/>
      <c r="AK35" s="24"/>
      <c r="AL35" s="50">
        <v>0</v>
      </c>
      <c r="AN35" s="43"/>
      <c r="AO35" s="44"/>
      <c r="AP35" s="45">
        <v>0</v>
      </c>
      <c r="AQ35" s="46"/>
      <c r="AR35" s="47"/>
      <c r="AS35" s="24">
        <v>0</v>
      </c>
      <c r="AU35" s="48"/>
      <c r="AV35" s="49"/>
      <c r="AW35" s="23"/>
      <c r="AX35" s="24"/>
      <c r="AY35" s="50">
        <v>0</v>
      </c>
      <c r="AZ35" s="50"/>
    </row>
    <row r="36" spans="1:5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N36" s="51"/>
      <c r="O36" s="52" t="s">
        <v>0</v>
      </c>
      <c r="P36" s="53">
        <v>0</v>
      </c>
      <c r="Q36" s="46"/>
      <c r="R36" s="54"/>
      <c r="S36" s="55">
        <v>0</v>
      </c>
      <c r="U36" s="56"/>
      <c r="V36" s="57">
        <v>0</v>
      </c>
      <c r="W36" s="58"/>
      <c r="X36" s="55"/>
      <c r="Y36" s="59">
        <v>0</v>
      </c>
      <c r="Z36" s="81">
        <v>65563.199999999997</v>
      </c>
      <c r="AA36" s="51"/>
      <c r="AB36" s="52" t="s">
        <v>0</v>
      </c>
      <c r="AC36" s="53">
        <v>0</v>
      </c>
      <c r="AD36" s="46"/>
      <c r="AE36" s="54"/>
      <c r="AF36" s="55">
        <v>0</v>
      </c>
      <c r="AH36" s="56"/>
      <c r="AI36" s="57">
        <v>0</v>
      </c>
      <c r="AJ36" s="58"/>
      <c r="AK36" s="55"/>
      <c r="AL36" s="59">
        <v>0</v>
      </c>
      <c r="AN36" s="51"/>
      <c r="AO36" s="52" t="s">
        <v>0</v>
      </c>
      <c r="AP36" s="53">
        <v>0</v>
      </c>
      <c r="AQ36" s="46"/>
      <c r="AR36" s="54"/>
      <c r="AS36" s="55">
        <v>0</v>
      </c>
      <c r="AU36" s="56"/>
      <c r="AV36" s="57">
        <v>0</v>
      </c>
      <c r="AW36" s="58"/>
      <c r="AX36" s="55"/>
      <c r="AY36" s="59">
        <v>0</v>
      </c>
      <c r="AZ36" s="50"/>
    </row>
    <row r="37" spans="1:52" x14ac:dyDescent="0.25">
      <c r="B37" s="60" t="s">
        <v>11</v>
      </c>
      <c r="C37" s="61">
        <f>SUM(C4:C36)</f>
        <v>2596582.35</v>
      </c>
      <c r="D37" s="46"/>
      <c r="E37" s="62" t="s">
        <v>11</v>
      </c>
      <c r="F37" s="63">
        <f>SUM(F4:F36)</f>
        <v>2707817.1</v>
      </c>
      <c r="H37" s="1" t="s">
        <v>11</v>
      </c>
      <c r="I37" s="64">
        <f>SUM(I4:I36)</f>
        <v>522</v>
      </c>
      <c r="J37" s="64"/>
      <c r="K37" s="64">
        <f t="shared" ref="K37" si="0">SUM(K4:K36)</f>
        <v>48362.85</v>
      </c>
      <c r="L37" s="2">
        <f>SUM(L4:L36)</f>
        <v>0</v>
      </c>
      <c r="O37" s="60" t="s">
        <v>11</v>
      </c>
      <c r="P37" s="61">
        <f>SUM(P4:P36)</f>
        <v>1906359.6600000001</v>
      </c>
      <c r="Q37" s="46"/>
      <c r="R37" s="62" t="s">
        <v>11</v>
      </c>
      <c r="S37" s="63">
        <f>SUM(S4:S36)</f>
        <v>2005688.6</v>
      </c>
      <c r="U37" s="1" t="s">
        <v>11</v>
      </c>
      <c r="V37" s="64">
        <f>SUM(V4:V36)</f>
        <v>256</v>
      </c>
      <c r="W37" s="64"/>
      <c r="X37" s="64">
        <f t="shared" ref="X37" si="1">SUM(X4:X36)</f>
        <v>36817.06</v>
      </c>
      <c r="Y37" s="2">
        <f>SUM(Y4:Y36)</f>
        <v>0</v>
      </c>
      <c r="Z37" s="81">
        <v>20415.2</v>
      </c>
      <c r="AB37" s="60" t="s">
        <v>11</v>
      </c>
      <c r="AC37" s="61">
        <f>SUM(AC4:AC36)</f>
        <v>1393793.6600000001</v>
      </c>
      <c r="AD37" s="46"/>
      <c r="AE37" s="62" t="s">
        <v>11</v>
      </c>
      <c r="AF37" s="63">
        <f>SUM(AF4:AF36)</f>
        <v>1393057.1</v>
      </c>
      <c r="AH37" s="1" t="s">
        <v>11</v>
      </c>
      <c r="AI37" s="64">
        <f>SUM(AI4:AI36)</f>
        <v>190</v>
      </c>
      <c r="AJ37" s="64"/>
      <c r="AK37" s="64">
        <f t="shared" ref="AK37" si="2">SUM(AK4:AK36)</f>
        <v>25720.949999999997</v>
      </c>
      <c r="AL37" s="2">
        <f>SUM(AL4:AL36)</f>
        <v>0</v>
      </c>
      <c r="AO37" s="60" t="s">
        <v>11</v>
      </c>
      <c r="AP37" s="61">
        <f>SUM(AP4:AP36)</f>
        <v>694736.36</v>
      </c>
      <c r="AQ37" s="46"/>
      <c r="AR37" s="62" t="s">
        <v>11</v>
      </c>
      <c r="AS37" s="63">
        <f>SUM(AS4:AS36)</f>
        <v>693200</v>
      </c>
      <c r="AU37" s="1" t="s">
        <v>11</v>
      </c>
      <c r="AV37" s="64">
        <f>SUM(AV4:AV36)</f>
        <v>90</v>
      </c>
      <c r="AW37" s="64"/>
      <c r="AX37" s="64">
        <f t="shared" ref="AX37" si="3">SUM(AX4:AX36)</f>
        <v>17162.3</v>
      </c>
      <c r="AY37" s="2">
        <f>SUM(AY4:AY36)</f>
        <v>0</v>
      </c>
      <c r="AZ37" s="2"/>
    </row>
    <row r="38" spans="1:52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N38" s="416"/>
      <c r="O38" s="416"/>
      <c r="P38" s="50"/>
      <c r="R38" s="1"/>
      <c r="S38" s="1"/>
      <c r="U38" s="1"/>
      <c r="V38" s="64"/>
      <c r="W38" s="1"/>
      <c r="X38" s="64"/>
      <c r="Y38" s="2"/>
      <c r="Z38" s="332">
        <v>65786.399999999994</v>
      </c>
      <c r="AA38" s="416"/>
      <c r="AB38" s="416"/>
      <c r="AC38" s="50"/>
      <c r="AE38" s="1"/>
      <c r="AF38" s="1"/>
      <c r="AH38" s="1"/>
      <c r="AI38" s="64"/>
      <c r="AJ38" s="1"/>
      <c r="AK38" s="64"/>
      <c r="AL38" s="2"/>
      <c r="AN38" s="416"/>
      <c r="AO38" s="416"/>
      <c r="AP38" s="50"/>
      <c r="AR38" s="1"/>
      <c r="AS38" s="1"/>
      <c r="AU38" s="1"/>
      <c r="AV38" s="64"/>
      <c r="AW38" s="1"/>
      <c r="AX38" s="64"/>
      <c r="AY38" s="2"/>
      <c r="AZ38" s="2"/>
    </row>
    <row r="39" spans="1:52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48884.85</v>
      </c>
      <c r="K39" s="403"/>
      <c r="L39" s="68"/>
      <c r="N39" s="65"/>
      <c r="O39" s="66"/>
      <c r="P39" s="50"/>
      <c r="Q39" s="67"/>
      <c r="R39" s="66"/>
      <c r="S39" s="66"/>
      <c r="U39" s="400" t="s">
        <v>12</v>
      </c>
      <c r="V39" s="401"/>
      <c r="W39" s="402">
        <f>V37+X37</f>
        <v>37073.06</v>
      </c>
      <c r="X39" s="403"/>
      <c r="Y39" s="68"/>
      <c r="Z39" s="292">
        <v>68612.399999999994</v>
      </c>
      <c r="AA39" s="65"/>
      <c r="AB39" s="66"/>
      <c r="AC39" s="50"/>
      <c r="AD39" s="67"/>
      <c r="AE39" s="66"/>
      <c r="AF39" s="66"/>
      <c r="AH39" s="400" t="s">
        <v>12</v>
      </c>
      <c r="AI39" s="401"/>
      <c r="AJ39" s="402">
        <f>AI37+AK37</f>
        <v>25910.949999999997</v>
      </c>
      <c r="AK39" s="403"/>
      <c r="AL39" s="68"/>
      <c r="AN39" s="65"/>
      <c r="AO39" s="66"/>
      <c r="AP39" s="50"/>
      <c r="AQ39" s="67"/>
      <c r="AR39" s="66"/>
      <c r="AS39" s="66"/>
      <c r="AU39" s="400" t="s">
        <v>12</v>
      </c>
      <c r="AV39" s="401"/>
      <c r="AW39" s="402">
        <f>AV37+AX37</f>
        <v>17252.3</v>
      </c>
      <c r="AX39" s="403"/>
      <c r="AY39" s="68"/>
      <c r="AZ39" s="68"/>
    </row>
    <row r="40" spans="1:52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2658932.25</v>
      </c>
      <c r="H40" s="1"/>
      <c r="I40" s="70"/>
      <c r="J40" s="1"/>
      <c r="K40" s="1"/>
      <c r="L40" s="2"/>
      <c r="N40" s="404"/>
      <c r="O40" s="404"/>
      <c r="P40" s="50"/>
      <c r="Q40" s="405" t="s">
        <v>13</v>
      </c>
      <c r="R40" s="405"/>
      <c r="S40" s="69">
        <f>S37-W39</f>
        <v>1968615.54</v>
      </c>
      <c r="U40" s="1"/>
      <c r="V40" s="70"/>
      <c r="W40" s="1"/>
      <c r="X40" s="1"/>
      <c r="Y40" s="2"/>
      <c r="Z40" s="292">
        <v>69284.100000000006</v>
      </c>
      <c r="AA40" s="404"/>
      <c r="AB40" s="404"/>
      <c r="AC40" s="50"/>
      <c r="AD40" s="405" t="s">
        <v>13</v>
      </c>
      <c r="AE40" s="405"/>
      <c r="AF40" s="69">
        <f>AF37-AJ39</f>
        <v>1367146.1500000001</v>
      </c>
      <c r="AH40" s="1"/>
      <c r="AI40" s="70"/>
      <c r="AJ40" s="1"/>
      <c r="AK40" s="1"/>
      <c r="AL40" s="2"/>
      <c r="AN40" s="404"/>
      <c r="AO40" s="404"/>
      <c r="AP40" s="50"/>
      <c r="AQ40" s="405" t="s">
        <v>13</v>
      </c>
      <c r="AR40" s="405"/>
      <c r="AS40" s="69">
        <f>AS37-AW39</f>
        <v>675947.7</v>
      </c>
      <c r="AU40" s="1"/>
      <c r="AV40" s="70"/>
      <c r="AW40" s="1"/>
      <c r="AX40" s="1"/>
      <c r="AY40" s="2"/>
      <c r="AZ40" s="2"/>
    </row>
    <row r="41" spans="1:5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N41" s="67"/>
      <c r="O41" s="66"/>
      <c r="P41" s="50"/>
      <c r="Q41" s="67"/>
      <c r="R41" s="66"/>
      <c r="S41" s="69">
        <v>0</v>
      </c>
      <c r="U41" s="1"/>
      <c r="V41" s="1"/>
      <c r="W41" s="1"/>
      <c r="X41" s="1"/>
      <c r="Y41" s="2"/>
      <c r="Z41" s="332">
        <v>15344.45</v>
      </c>
      <c r="AA41" s="67"/>
      <c r="AB41" s="66"/>
      <c r="AC41" s="50"/>
      <c r="AD41" s="67"/>
      <c r="AE41" s="66"/>
      <c r="AF41" s="69">
        <v>0</v>
      </c>
      <c r="AH41" s="1"/>
      <c r="AI41" s="1"/>
      <c r="AJ41" s="1"/>
      <c r="AK41" s="1"/>
      <c r="AL41" s="2"/>
      <c r="AN41" s="67"/>
      <c r="AO41" s="66"/>
      <c r="AP41" s="50"/>
      <c r="AQ41" s="67"/>
      <c r="AR41" s="66"/>
      <c r="AS41" s="69">
        <v>0</v>
      </c>
      <c r="AU41" s="1"/>
      <c r="AV41" s="1"/>
      <c r="AW41" s="1"/>
      <c r="AX41" s="1"/>
      <c r="AY41" s="2"/>
      <c r="AZ41" s="2"/>
    </row>
    <row r="42" spans="1:52" ht="15.75" thickBot="1" x14ac:dyDescent="0.3">
      <c r="B42" s="1"/>
      <c r="C42" s="2"/>
      <c r="E42" s="71" t="s">
        <v>14</v>
      </c>
      <c r="F42" s="50">
        <v>-2453703.98</v>
      </c>
      <c r="H42" s="1"/>
      <c r="I42" s="72" t="s">
        <v>15</v>
      </c>
      <c r="J42" s="275"/>
      <c r="K42" s="276">
        <v>118199.66</v>
      </c>
      <c r="L42" s="2"/>
      <c r="O42" s="1"/>
      <c r="P42" s="2"/>
      <c r="R42" s="71" t="s">
        <v>14</v>
      </c>
      <c r="S42" s="50">
        <v>-1804408.11</v>
      </c>
      <c r="U42" s="1"/>
      <c r="V42" s="72" t="s">
        <v>15</v>
      </c>
      <c r="W42" s="275"/>
      <c r="X42" s="276">
        <v>174254.14</v>
      </c>
      <c r="Y42" s="2"/>
      <c r="Z42" s="332">
        <v>32788.800000000003</v>
      </c>
      <c r="AB42" s="1"/>
      <c r="AC42" s="2"/>
      <c r="AE42" s="71" t="s">
        <v>14</v>
      </c>
      <c r="AF42" s="50">
        <v>-1185271.96</v>
      </c>
      <c r="AH42" s="1"/>
      <c r="AI42" s="72" t="s">
        <v>15</v>
      </c>
      <c r="AJ42" s="275"/>
      <c r="AK42" s="276">
        <v>105387.79</v>
      </c>
      <c r="AL42" s="2"/>
      <c r="AO42" s="1"/>
      <c r="AP42" s="2"/>
      <c r="AR42" s="71" t="s">
        <v>14</v>
      </c>
      <c r="AS42" s="50">
        <v>-618283.26</v>
      </c>
      <c r="AU42" s="1"/>
      <c r="AV42" s="72" t="s">
        <v>15</v>
      </c>
      <c r="AW42" s="275"/>
      <c r="AX42" s="276">
        <v>178870.8</v>
      </c>
      <c r="AY42" s="2"/>
      <c r="AZ42" s="2"/>
    </row>
    <row r="43" spans="1:52" ht="15.75" thickTop="1" x14ac:dyDescent="0.25">
      <c r="B43" s="1"/>
      <c r="C43" s="2"/>
      <c r="E43" s="1" t="s">
        <v>16</v>
      </c>
      <c r="F43" s="64">
        <f>SUM(F40:F42)</f>
        <v>205228.27000000002</v>
      </c>
      <c r="H43" s="1"/>
      <c r="I43" s="1"/>
      <c r="J43" s="1"/>
      <c r="K43" s="64">
        <f>K42+F45</f>
        <v>325053.43000000005</v>
      </c>
      <c r="L43" s="2"/>
      <c r="O43" s="1"/>
      <c r="P43" s="2"/>
      <c r="R43" s="1" t="s">
        <v>16</v>
      </c>
      <c r="S43" s="64">
        <f>SUM(S40:S42)</f>
        <v>164207.42999999993</v>
      </c>
      <c r="U43" s="1"/>
      <c r="V43" s="1"/>
      <c r="W43" s="1"/>
      <c r="X43" s="64">
        <f>X42+S45</f>
        <v>382370.56999999995</v>
      </c>
      <c r="Y43" s="2"/>
      <c r="Z43" s="332">
        <v>33688.800000000003</v>
      </c>
      <c r="AB43" s="1"/>
      <c r="AC43" s="2"/>
      <c r="AE43" s="1" t="s">
        <v>16</v>
      </c>
      <c r="AF43" s="64">
        <f>SUM(AF40:AF42)</f>
        <v>181874.19000000018</v>
      </c>
      <c r="AH43" s="1"/>
      <c r="AI43" s="1"/>
      <c r="AJ43" s="1"/>
      <c r="AK43" s="64">
        <f>AK42+AF45</f>
        <v>287261.98000000016</v>
      </c>
      <c r="AL43" s="2"/>
      <c r="AO43" s="1"/>
      <c r="AP43" s="2"/>
      <c r="AR43" s="1" t="s">
        <v>16</v>
      </c>
      <c r="AS43" s="64">
        <f>SUM(AS40:AS42)</f>
        <v>57664.439999999944</v>
      </c>
      <c r="AU43" s="1"/>
      <c r="AV43" s="1"/>
      <c r="AW43" s="1"/>
      <c r="AX43" s="64">
        <f>AX42+AS45</f>
        <v>237938.73999999993</v>
      </c>
      <c r="AY43" s="2"/>
      <c r="AZ43" s="2"/>
    </row>
    <row r="44" spans="1:52" ht="15.75" thickBot="1" x14ac:dyDescent="0.3">
      <c r="B44" s="1"/>
      <c r="C44" s="2"/>
      <c r="D44" s="62" t="s">
        <v>17</v>
      </c>
      <c r="E44" s="62"/>
      <c r="F44" s="75">
        <v>1625.5</v>
      </c>
      <c r="H44" s="1"/>
      <c r="I44" s="1" t="s">
        <v>1</v>
      </c>
      <c r="J44" s="76"/>
      <c r="K44" s="77">
        <f>-C3</f>
        <v>-315086.27</v>
      </c>
      <c r="L44" s="2"/>
      <c r="O44" s="1"/>
      <c r="P44" s="2"/>
      <c r="Q44" s="62" t="s">
        <v>17</v>
      </c>
      <c r="R44" s="62"/>
      <c r="S44" s="75">
        <v>43909</v>
      </c>
      <c r="U44" s="1"/>
      <c r="V44" s="1" t="s">
        <v>1</v>
      </c>
      <c r="W44" s="76"/>
      <c r="X44" s="77">
        <f>-P3</f>
        <v>-315086.27</v>
      </c>
      <c r="Y44" s="2"/>
      <c r="Z44" s="360">
        <v>32221.200000000001</v>
      </c>
      <c r="AB44" s="1"/>
      <c r="AC44" s="2"/>
      <c r="AD44" s="62" t="s">
        <v>17</v>
      </c>
      <c r="AE44" s="62"/>
      <c r="AF44" s="75">
        <v>0</v>
      </c>
      <c r="AH44" s="1"/>
      <c r="AI44" s="1" t="s">
        <v>1</v>
      </c>
      <c r="AJ44" s="76"/>
      <c r="AK44" s="77">
        <f>-AC3</f>
        <v>-315086.27</v>
      </c>
      <c r="AL44" s="2"/>
      <c r="AO44" s="1"/>
      <c r="AP44" s="2"/>
      <c r="AQ44" s="62" t="s">
        <v>17</v>
      </c>
      <c r="AR44" s="62"/>
      <c r="AS44" s="75">
        <v>1403.5</v>
      </c>
      <c r="AU44" s="1"/>
      <c r="AV44" s="1" t="s">
        <v>1</v>
      </c>
      <c r="AW44" s="76"/>
      <c r="AX44" s="77">
        <f>-AP3</f>
        <v>-315086.27</v>
      </c>
      <c r="AY44" s="2"/>
      <c r="AZ44" s="2"/>
    </row>
    <row r="45" spans="1:52" ht="20.25" thickTop="1" thickBot="1" x14ac:dyDescent="0.35">
      <c r="B45" s="1"/>
      <c r="C45" s="2"/>
      <c r="E45" s="60" t="s">
        <v>18</v>
      </c>
      <c r="F45" s="78">
        <f>F44+F43</f>
        <v>206853.77000000002</v>
      </c>
      <c r="H45" s="1"/>
      <c r="I45" s="406" t="s">
        <v>19</v>
      </c>
      <c r="J45" s="407"/>
      <c r="K45" s="79">
        <f>K43+K44</f>
        <v>9967.1600000000326</v>
      </c>
      <c r="L45" s="2"/>
      <c r="O45" s="1"/>
      <c r="P45" s="2"/>
      <c r="R45" s="60" t="s">
        <v>18</v>
      </c>
      <c r="S45" s="78">
        <f>S44+S43</f>
        <v>208116.42999999993</v>
      </c>
      <c r="U45" s="1"/>
      <c r="V45" s="406" t="s">
        <v>285</v>
      </c>
      <c r="W45" s="407"/>
      <c r="X45" s="79">
        <f>X43+X44</f>
        <v>67284.29999999993</v>
      </c>
      <c r="Y45" s="2"/>
      <c r="Z45" s="224">
        <f>SUM(Z6:Z44)</f>
        <v>1804408.1099999999</v>
      </c>
      <c r="AB45" s="1"/>
      <c r="AC45" s="2"/>
      <c r="AE45" s="60" t="s">
        <v>18</v>
      </c>
      <c r="AF45" s="78">
        <f>AF44+AF43</f>
        <v>181874.19000000018</v>
      </c>
      <c r="AH45" s="1"/>
      <c r="AI45" s="406" t="s">
        <v>175</v>
      </c>
      <c r="AJ45" s="407"/>
      <c r="AK45" s="79">
        <f>AK43+AK44</f>
        <v>-27824.289999999863</v>
      </c>
      <c r="AL45" s="2"/>
      <c r="AO45" s="1"/>
      <c r="AP45" s="2"/>
      <c r="AR45" s="60" t="s">
        <v>18</v>
      </c>
      <c r="AS45" s="78">
        <f>AS44+AS43</f>
        <v>59067.939999999944</v>
      </c>
      <c r="AU45" s="1"/>
      <c r="AV45" s="406" t="s">
        <v>175</v>
      </c>
      <c r="AW45" s="407"/>
      <c r="AX45" s="79">
        <f>AX43+AX44</f>
        <v>-77147.530000000086</v>
      </c>
      <c r="AY45" s="2"/>
      <c r="AZ45" s="2"/>
    </row>
    <row r="46" spans="1:5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O46" s="1"/>
      <c r="P46" s="2"/>
      <c r="R46" s="1"/>
      <c r="S46" s="1"/>
      <c r="U46" s="1"/>
      <c r="V46" s="1"/>
      <c r="W46" s="1"/>
      <c r="X46" s="1"/>
      <c r="Y46" s="2"/>
      <c r="AB46" s="1"/>
      <c r="AC46" s="2"/>
      <c r="AE46" s="1"/>
      <c r="AF46" s="1"/>
      <c r="AH46" s="1"/>
      <c r="AI46" s="1"/>
      <c r="AJ46" s="1"/>
      <c r="AK46" s="1"/>
      <c r="AL46" s="2"/>
      <c r="AO46" s="1"/>
      <c r="AP46" s="2"/>
      <c r="AR46" s="1"/>
      <c r="AS46" s="1"/>
      <c r="AU46" s="1"/>
      <c r="AV46" s="1"/>
      <c r="AW46" s="1"/>
      <c r="AX46" s="1"/>
      <c r="AY46" s="2"/>
      <c r="AZ46" s="2"/>
    </row>
  </sheetData>
  <mergeCells count="41">
    <mergeCell ref="AV45:AW45"/>
    <mergeCell ref="AN40:AO40"/>
    <mergeCell ref="AQ40:AR40"/>
    <mergeCell ref="AN38:AO38"/>
    <mergeCell ref="AU39:AV39"/>
    <mergeCell ref="AW39:AX39"/>
    <mergeCell ref="AW5:AW6"/>
    <mergeCell ref="AW20:AW21"/>
    <mergeCell ref="AP1:AW1"/>
    <mergeCell ref="AR3:AS3"/>
    <mergeCell ref="AV3:AX3"/>
    <mergeCell ref="AI45:AJ45"/>
    <mergeCell ref="P1:W1"/>
    <mergeCell ref="R3:S3"/>
    <mergeCell ref="V3:X3"/>
    <mergeCell ref="W5:W6"/>
    <mergeCell ref="V45:W45"/>
    <mergeCell ref="AA38:AB38"/>
    <mergeCell ref="AH39:AI39"/>
    <mergeCell ref="AJ39:AK39"/>
    <mergeCell ref="AA40:AB40"/>
    <mergeCell ref="AD40:AE40"/>
    <mergeCell ref="AC1:AJ1"/>
    <mergeCell ref="AE3:AF3"/>
    <mergeCell ref="AI3:AK3"/>
    <mergeCell ref="AJ5:AJ6"/>
    <mergeCell ref="N38:O38"/>
    <mergeCell ref="U39:V39"/>
    <mergeCell ref="W39:X39"/>
    <mergeCell ref="N40:O40"/>
    <mergeCell ref="Q40:R40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96"/>
  <sheetViews>
    <sheetView topLeftCell="C40" workbookViewId="0">
      <selection activeCell="F53" sqref="F5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7.5703125" customWidth="1"/>
    <col min="16" max="16" width="20.140625" bestFit="1" customWidth="1"/>
    <col min="20" max="20" width="12.5703125" bestFit="1" customWidth="1"/>
    <col min="22" max="22" width="17.28515625" customWidth="1"/>
    <col min="25" max="25" width="14" customWidth="1"/>
  </cols>
  <sheetData>
    <row r="1" spans="1:26" ht="19.5" customHeight="1" thickBot="1" x14ac:dyDescent="0.35">
      <c r="K1" s="33"/>
      <c r="L1" s="417">
        <v>1</v>
      </c>
      <c r="M1" s="86" t="s">
        <v>28</v>
      </c>
      <c r="N1" s="86"/>
      <c r="O1" s="110"/>
      <c r="P1" s="191">
        <v>42588</v>
      </c>
      <c r="Q1" s="112"/>
      <c r="T1" s="33"/>
      <c r="U1" s="417">
        <v>1</v>
      </c>
      <c r="V1" s="86" t="s">
        <v>28</v>
      </c>
      <c r="W1" s="86"/>
      <c r="X1" s="110"/>
      <c r="Y1" s="333">
        <v>42608</v>
      </c>
      <c r="Z1" s="112"/>
    </row>
    <row r="2" spans="1:26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18"/>
      <c r="M2" s="113"/>
      <c r="N2" s="113"/>
      <c r="O2" s="114"/>
      <c r="P2" s="115"/>
      <c r="Q2" s="112"/>
      <c r="T2" s="33"/>
      <c r="U2" s="418"/>
      <c r="V2" s="113"/>
      <c r="W2" s="113"/>
      <c r="X2" s="114"/>
      <c r="Y2" s="115"/>
      <c r="Z2" s="112"/>
    </row>
    <row r="3" spans="1:26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6" x14ac:dyDescent="0.25">
      <c r="A4" s="14"/>
      <c r="B4" s="92">
        <v>42584</v>
      </c>
      <c r="C4" s="93" t="s">
        <v>432</v>
      </c>
      <c r="D4" s="132">
        <v>11240.8</v>
      </c>
      <c r="E4" s="95">
        <v>42594</v>
      </c>
      <c r="F4" s="94">
        <v>11240.8</v>
      </c>
      <c r="G4" s="158">
        <f t="shared" ref="G4:G65" si="0">D4-F4</f>
        <v>0</v>
      </c>
      <c r="H4" s="146"/>
      <c r="K4" s="33">
        <v>66546</v>
      </c>
      <c r="L4" s="93" t="s">
        <v>364</v>
      </c>
      <c r="M4" s="132">
        <v>66546</v>
      </c>
      <c r="N4" s="120" t="s">
        <v>36</v>
      </c>
      <c r="O4" s="289" t="s">
        <v>31</v>
      </c>
      <c r="P4" s="296">
        <v>25265</v>
      </c>
      <c r="Q4" s="297">
        <v>42576</v>
      </c>
      <c r="T4" s="33">
        <v>2976.4</v>
      </c>
      <c r="U4" s="93" t="s">
        <v>470</v>
      </c>
      <c r="V4" s="132">
        <v>2992.41</v>
      </c>
      <c r="W4" s="120" t="s">
        <v>36</v>
      </c>
      <c r="X4" s="289">
        <v>2849926</v>
      </c>
      <c r="Y4" s="296">
        <v>20000</v>
      </c>
      <c r="Z4" s="297">
        <v>42596</v>
      </c>
    </row>
    <row r="5" spans="1:26" x14ac:dyDescent="0.25">
      <c r="A5" s="14"/>
      <c r="B5" s="96">
        <v>42584</v>
      </c>
      <c r="C5" s="325" t="s">
        <v>433</v>
      </c>
      <c r="D5" s="132">
        <v>96050.5</v>
      </c>
      <c r="E5" s="95">
        <v>42594</v>
      </c>
      <c r="F5" s="94">
        <v>96050.5</v>
      </c>
      <c r="G5" s="97">
        <f t="shared" si="0"/>
        <v>0</v>
      </c>
      <c r="H5" s="146"/>
      <c r="K5" s="33">
        <f>31783.5+49738</f>
        <v>81521.5</v>
      </c>
      <c r="L5" s="93" t="s">
        <v>407</v>
      </c>
      <c r="M5" s="132">
        <v>81521.25</v>
      </c>
      <c r="N5" s="124" t="s">
        <v>36</v>
      </c>
      <c r="O5" s="241">
        <v>3266549</v>
      </c>
      <c r="P5" s="242">
        <v>6518.5</v>
      </c>
      <c r="Q5" s="290">
        <v>42575</v>
      </c>
      <c r="T5" s="33">
        <v>2662.4</v>
      </c>
      <c r="U5" s="93" t="s">
        <v>471</v>
      </c>
      <c r="V5" s="132">
        <v>2662.4</v>
      </c>
      <c r="W5" s="124"/>
      <c r="X5" s="241">
        <v>2976852</v>
      </c>
      <c r="Y5" s="242">
        <v>40000</v>
      </c>
      <c r="Z5" s="290">
        <v>42596</v>
      </c>
    </row>
    <row r="6" spans="1:26" x14ac:dyDescent="0.25">
      <c r="A6" s="14"/>
      <c r="B6" s="96">
        <v>42585</v>
      </c>
      <c r="C6" s="98" t="s">
        <v>434</v>
      </c>
      <c r="D6" s="132">
        <v>8057.6</v>
      </c>
      <c r="E6" s="95">
        <v>42594</v>
      </c>
      <c r="F6" s="94">
        <v>8057.6</v>
      </c>
      <c r="G6" s="97">
        <f t="shared" si="0"/>
        <v>0</v>
      </c>
      <c r="H6" s="38"/>
      <c r="K6" s="33">
        <f>25009+46392.2</f>
        <v>71401.2</v>
      </c>
      <c r="L6" s="93" t="s">
        <v>408</v>
      </c>
      <c r="M6" s="132">
        <v>71401.2</v>
      </c>
      <c r="N6" s="124"/>
      <c r="O6" s="241">
        <v>3266548</v>
      </c>
      <c r="P6" s="242">
        <v>50000</v>
      </c>
      <c r="Q6" s="290">
        <v>42576</v>
      </c>
      <c r="T6" s="33">
        <v>67637.2</v>
      </c>
      <c r="U6" s="93" t="s">
        <v>472</v>
      </c>
      <c r="V6" s="132">
        <v>67637.2</v>
      </c>
      <c r="W6" s="120"/>
      <c r="X6" s="241">
        <v>2976851</v>
      </c>
      <c r="Y6" s="242">
        <v>21603</v>
      </c>
      <c r="Z6" s="290">
        <v>42596</v>
      </c>
    </row>
    <row r="7" spans="1:26" x14ac:dyDescent="0.25">
      <c r="A7" s="14"/>
      <c r="B7" s="96">
        <v>42586</v>
      </c>
      <c r="C7" s="93" t="s">
        <v>435</v>
      </c>
      <c r="D7" s="132">
        <v>97380.5</v>
      </c>
      <c r="E7" s="95" t="s">
        <v>482</v>
      </c>
      <c r="F7" s="94">
        <f>63469.35+33911.15</f>
        <v>97380.5</v>
      </c>
      <c r="G7" s="99">
        <f t="shared" si="0"/>
        <v>0</v>
      </c>
      <c r="H7" s="38"/>
      <c r="K7" s="33">
        <f>46831.8+56642+26704</f>
        <v>130177.8</v>
      </c>
      <c r="L7" s="93" t="s">
        <v>409</v>
      </c>
      <c r="M7" s="132">
        <v>130178.05</v>
      </c>
      <c r="N7" s="124" t="s">
        <v>88</v>
      </c>
      <c r="O7" s="241">
        <v>3266547</v>
      </c>
      <c r="P7" s="242">
        <v>24747</v>
      </c>
      <c r="Q7" s="290">
        <v>42576</v>
      </c>
      <c r="T7" s="33">
        <f>8327+4402.6</f>
        <v>12729.6</v>
      </c>
      <c r="U7" s="93" t="s">
        <v>473</v>
      </c>
      <c r="V7" s="132">
        <v>12729.6</v>
      </c>
      <c r="W7" s="124"/>
      <c r="X7" s="241" t="s">
        <v>31</v>
      </c>
      <c r="Y7" s="242">
        <v>66500</v>
      </c>
      <c r="Z7" s="290">
        <v>42600</v>
      </c>
    </row>
    <row r="8" spans="1:26" x14ac:dyDescent="0.25">
      <c r="A8" s="14"/>
      <c r="B8" s="96">
        <v>42587</v>
      </c>
      <c r="C8" s="93" t="s">
        <v>436</v>
      </c>
      <c r="D8" s="132">
        <v>63759.5</v>
      </c>
      <c r="E8" s="95">
        <v>42601</v>
      </c>
      <c r="F8" s="132">
        <v>63759.5</v>
      </c>
      <c r="G8" s="97">
        <f t="shared" si="0"/>
        <v>0</v>
      </c>
      <c r="H8" s="38"/>
      <c r="K8" s="33"/>
      <c r="L8" s="93"/>
      <c r="M8" s="132"/>
      <c r="N8" s="124"/>
      <c r="O8" s="241" t="s">
        <v>31</v>
      </c>
      <c r="P8" s="242">
        <v>72000</v>
      </c>
      <c r="Q8" s="290">
        <v>42580</v>
      </c>
      <c r="T8" s="33">
        <v>66272.5</v>
      </c>
      <c r="U8" s="93" t="s">
        <v>474</v>
      </c>
      <c r="V8" s="132">
        <v>66272.5</v>
      </c>
      <c r="W8" s="124"/>
      <c r="X8" s="241">
        <v>2849924</v>
      </c>
      <c r="Y8" s="242">
        <v>50000</v>
      </c>
      <c r="Z8" s="290">
        <v>42597</v>
      </c>
    </row>
    <row r="9" spans="1:26" x14ac:dyDescent="0.25">
      <c r="A9" s="286"/>
      <c r="B9" s="96">
        <v>42588</v>
      </c>
      <c r="C9" s="93" t="s">
        <v>437</v>
      </c>
      <c r="D9" s="235">
        <v>27797.7</v>
      </c>
      <c r="E9" s="95">
        <v>42601</v>
      </c>
      <c r="F9" s="235">
        <v>27797.7</v>
      </c>
      <c r="G9" s="99">
        <f t="shared" si="0"/>
        <v>0</v>
      </c>
      <c r="H9" s="38"/>
      <c r="K9" s="33"/>
      <c r="L9" s="93"/>
      <c r="M9" s="132"/>
      <c r="N9" s="128"/>
      <c r="O9" s="241">
        <v>3266546</v>
      </c>
      <c r="P9" s="242">
        <v>30000</v>
      </c>
      <c r="Q9" s="290">
        <v>42577</v>
      </c>
      <c r="T9" s="33">
        <v>64837.5</v>
      </c>
      <c r="U9" s="93" t="s">
        <v>475</v>
      </c>
      <c r="V9" s="132">
        <v>64837.5</v>
      </c>
      <c r="W9" s="124"/>
      <c r="X9" s="241">
        <v>2849925</v>
      </c>
      <c r="Y9" s="242">
        <v>30585</v>
      </c>
      <c r="Z9" s="290">
        <v>42597</v>
      </c>
    </row>
    <row r="10" spans="1:26" x14ac:dyDescent="0.25">
      <c r="A10" s="14"/>
      <c r="B10" s="96">
        <v>42588</v>
      </c>
      <c r="C10" s="93" t="s">
        <v>438</v>
      </c>
      <c r="D10" s="132">
        <v>202606</v>
      </c>
      <c r="E10" s="95">
        <v>42601</v>
      </c>
      <c r="F10" s="132">
        <v>202606</v>
      </c>
      <c r="G10" s="99">
        <f t="shared" si="0"/>
        <v>0</v>
      </c>
      <c r="H10" s="38"/>
      <c r="K10" s="33"/>
      <c r="L10" s="93"/>
      <c r="M10" s="132"/>
      <c r="N10" s="129"/>
      <c r="O10" s="241">
        <v>3266545</v>
      </c>
      <c r="P10" s="242">
        <v>30000</v>
      </c>
      <c r="Q10" s="290">
        <v>42577</v>
      </c>
      <c r="T10" s="33">
        <f>11572.4+31974.2</f>
        <v>43546.6</v>
      </c>
      <c r="U10" s="335" t="s">
        <v>495</v>
      </c>
      <c r="V10" s="336">
        <v>43546.6</v>
      </c>
      <c r="W10" s="124"/>
      <c r="X10" s="241" t="s">
        <v>31</v>
      </c>
      <c r="Y10" s="242">
        <v>6671</v>
      </c>
      <c r="Z10" s="290">
        <v>42599</v>
      </c>
    </row>
    <row r="11" spans="1:26" x14ac:dyDescent="0.25">
      <c r="A11" s="14"/>
      <c r="B11" s="96">
        <v>42589</v>
      </c>
      <c r="C11" s="93" t="s">
        <v>439</v>
      </c>
      <c r="D11" s="132">
        <v>3057.6</v>
      </c>
      <c r="E11" s="95">
        <v>42601</v>
      </c>
      <c r="F11" s="132">
        <v>3057.6</v>
      </c>
      <c r="G11" s="99">
        <f t="shared" si="0"/>
        <v>0</v>
      </c>
      <c r="H11" s="38"/>
      <c r="K11" s="33"/>
      <c r="L11" s="93"/>
      <c r="M11" s="132"/>
      <c r="N11" s="124"/>
      <c r="O11" s="291">
        <v>3266543</v>
      </c>
      <c r="P11" s="242">
        <v>27770</v>
      </c>
      <c r="Q11" s="290">
        <v>42577</v>
      </c>
      <c r="T11" s="33">
        <f>28592.3+17660.2</f>
        <v>46252.5</v>
      </c>
      <c r="U11" s="93" t="s">
        <v>476</v>
      </c>
      <c r="V11" s="132">
        <v>46252.5</v>
      </c>
      <c r="W11" s="128"/>
      <c r="X11" s="291">
        <v>2976853</v>
      </c>
      <c r="Y11" s="292">
        <v>30000</v>
      </c>
      <c r="Z11" s="290">
        <v>42598</v>
      </c>
    </row>
    <row r="12" spans="1:26" ht="15" x14ac:dyDescent="0.25">
      <c r="A12" s="14"/>
      <c r="B12" s="96">
        <v>42590</v>
      </c>
      <c r="C12" s="93" t="s">
        <v>440</v>
      </c>
      <c r="D12" s="132">
        <v>10419.66</v>
      </c>
      <c r="E12" s="95">
        <v>42601</v>
      </c>
      <c r="F12" s="132">
        <v>10419.66</v>
      </c>
      <c r="G12" s="99">
        <f t="shared" si="0"/>
        <v>0</v>
      </c>
      <c r="H12" s="38"/>
      <c r="K12" s="33"/>
      <c r="L12" s="93"/>
      <c r="M12" s="132"/>
      <c r="N12" s="124"/>
      <c r="O12" s="291" t="s">
        <v>31</v>
      </c>
      <c r="P12" s="292">
        <v>25939</v>
      </c>
      <c r="Q12" s="290">
        <v>42578</v>
      </c>
      <c r="T12" s="33">
        <v>14238.8</v>
      </c>
      <c r="U12" s="93" t="s">
        <v>477</v>
      </c>
      <c r="V12" s="132">
        <v>14238.8</v>
      </c>
      <c r="W12" s="129"/>
      <c r="X12" s="291">
        <v>2976854</v>
      </c>
      <c r="Y12" s="292">
        <v>23895.5</v>
      </c>
      <c r="Z12" s="290">
        <v>42598</v>
      </c>
    </row>
    <row r="13" spans="1:26" ht="15" x14ac:dyDescent="0.25">
      <c r="A13" s="14"/>
      <c r="B13" s="96">
        <v>42591</v>
      </c>
      <c r="C13" s="93" t="s">
        <v>441</v>
      </c>
      <c r="D13" s="132">
        <v>3900</v>
      </c>
      <c r="E13" s="95">
        <v>42601</v>
      </c>
      <c r="F13" s="132">
        <v>3900</v>
      </c>
      <c r="G13" s="99">
        <f t="shared" si="0"/>
        <v>0</v>
      </c>
      <c r="H13" s="38"/>
      <c r="K13" s="33">
        <v>0</v>
      </c>
      <c r="L13" s="93"/>
      <c r="M13" s="132"/>
      <c r="N13" s="124"/>
      <c r="O13" s="291">
        <v>3266544</v>
      </c>
      <c r="P13" s="292">
        <v>20000</v>
      </c>
      <c r="Q13" s="290">
        <v>42578</v>
      </c>
      <c r="T13" s="33">
        <v>15555.4</v>
      </c>
      <c r="U13" s="93" t="s">
        <v>479</v>
      </c>
      <c r="V13" s="132">
        <v>15555.4</v>
      </c>
      <c r="W13" s="124"/>
      <c r="X13" s="291">
        <v>2976855</v>
      </c>
      <c r="Y13" s="292">
        <v>30000</v>
      </c>
      <c r="Z13" s="290">
        <v>42599</v>
      </c>
    </row>
    <row r="14" spans="1:26" ht="15" x14ac:dyDescent="0.25">
      <c r="A14" s="264"/>
      <c r="B14" s="96">
        <v>42591</v>
      </c>
      <c r="C14" s="93" t="s">
        <v>442</v>
      </c>
      <c r="D14" s="132">
        <v>94013.4</v>
      </c>
      <c r="E14" s="95">
        <v>42601</v>
      </c>
      <c r="F14" s="132">
        <v>94013.4</v>
      </c>
      <c r="G14" s="99">
        <f t="shared" si="0"/>
        <v>0</v>
      </c>
      <c r="H14" s="38"/>
      <c r="K14" s="33">
        <v>0</v>
      </c>
      <c r="L14" s="93"/>
      <c r="M14" s="132"/>
      <c r="N14" s="124"/>
      <c r="O14" s="291">
        <v>3266542</v>
      </c>
      <c r="P14" s="292">
        <v>10703</v>
      </c>
      <c r="Q14" s="290">
        <v>42578</v>
      </c>
      <c r="T14" s="33">
        <f>66582.1+597.5</f>
        <v>67179.600000000006</v>
      </c>
      <c r="U14" s="93" t="s">
        <v>496</v>
      </c>
      <c r="V14" s="132">
        <v>67179.600000000006</v>
      </c>
      <c r="W14" s="124"/>
      <c r="X14" s="291">
        <v>2976856</v>
      </c>
      <c r="Y14" s="292">
        <v>47000</v>
      </c>
      <c r="Z14" s="290">
        <v>42599</v>
      </c>
    </row>
    <row r="15" spans="1:26" ht="15" x14ac:dyDescent="0.25">
      <c r="A15" s="14"/>
      <c r="B15" s="96">
        <v>42592</v>
      </c>
      <c r="C15" s="93" t="s">
        <v>443</v>
      </c>
      <c r="D15" s="132">
        <v>2444</v>
      </c>
      <c r="E15" s="95">
        <v>42601</v>
      </c>
      <c r="F15" s="132">
        <v>2444</v>
      </c>
      <c r="G15" s="99">
        <f t="shared" si="0"/>
        <v>0</v>
      </c>
      <c r="H15" s="38"/>
      <c r="K15" s="33">
        <v>0</v>
      </c>
      <c r="L15" s="93"/>
      <c r="M15" s="132"/>
      <c r="N15" s="124"/>
      <c r="O15" s="291">
        <v>3266541</v>
      </c>
      <c r="P15" s="292">
        <v>26704</v>
      </c>
      <c r="Q15" s="290">
        <v>42579</v>
      </c>
      <c r="T15" s="33">
        <v>35855.4</v>
      </c>
      <c r="U15" s="93" t="s">
        <v>478</v>
      </c>
      <c r="V15" s="132">
        <v>35855.4</v>
      </c>
      <c r="W15" s="124"/>
      <c r="X15" s="291">
        <v>2976858</v>
      </c>
      <c r="Y15" s="292">
        <v>20000</v>
      </c>
      <c r="Z15" s="290">
        <v>42599</v>
      </c>
    </row>
    <row r="16" spans="1:26" thickBot="1" x14ac:dyDescent="0.3">
      <c r="A16" s="14"/>
      <c r="B16" s="96">
        <v>42592</v>
      </c>
      <c r="C16" s="93" t="s">
        <v>469</v>
      </c>
      <c r="D16" s="132">
        <v>63046.2</v>
      </c>
      <c r="E16" s="95">
        <v>42601</v>
      </c>
      <c r="F16" s="132">
        <v>63046.2</v>
      </c>
      <c r="G16" s="99">
        <f t="shared" si="0"/>
        <v>0</v>
      </c>
      <c r="H16" s="38"/>
      <c r="K16" s="3">
        <v>0</v>
      </c>
      <c r="L16" s="172"/>
      <c r="M16" s="322"/>
      <c r="N16" s="219"/>
      <c r="O16" s="293"/>
      <c r="P16" s="294">
        <v>0</v>
      </c>
      <c r="Q16" s="295"/>
      <c r="T16" s="33">
        <f>25418.5+17354.7</f>
        <v>42773.2</v>
      </c>
      <c r="U16" s="93" t="s">
        <v>480</v>
      </c>
      <c r="V16" s="132">
        <v>42773.3</v>
      </c>
      <c r="W16" s="124"/>
      <c r="X16" s="291">
        <v>2976857</v>
      </c>
      <c r="Y16" s="292">
        <v>17036.5</v>
      </c>
      <c r="Z16" s="290">
        <v>42599</v>
      </c>
    </row>
    <row r="17" spans="1:26" thickTop="1" x14ac:dyDescent="0.25">
      <c r="A17" s="14"/>
      <c r="B17" s="96">
        <v>42593</v>
      </c>
      <c r="C17" s="93" t="s">
        <v>470</v>
      </c>
      <c r="D17" s="132">
        <v>34575.800000000003</v>
      </c>
      <c r="E17" s="95" t="s">
        <v>502</v>
      </c>
      <c r="F17" s="94">
        <f>31583.39+2992.41</f>
        <v>34575.800000000003</v>
      </c>
      <c r="G17" s="99">
        <f t="shared" si="0"/>
        <v>0</v>
      </c>
      <c r="H17" s="38"/>
      <c r="K17" s="18">
        <f>SUM(K4:K16)</f>
        <v>349646.5</v>
      </c>
      <c r="L17" s="18"/>
      <c r="M17" s="18">
        <f>SUM(M4:M16)</f>
        <v>349646.5</v>
      </c>
      <c r="N17" s="18"/>
      <c r="O17" s="18"/>
      <c r="P17" s="18">
        <f>SUM(P4:P16)</f>
        <v>349646.5</v>
      </c>
      <c r="Q17" s="95"/>
      <c r="T17" s="33">
        <v>32529.599999999999</v>
      </c>
      <c r="U17" s="233" t="s">
        <v>481</v>
      </c>
      <c r="V17" s="216">
        <v>32529.599999999999</v>
      </c>
      <c r="W17" s="124"/>
      <c r="X17" s="291" t="s">
        <v>31</v>
      </c>
      <c r="Y17" s="292">
        <v>922</v>
      </c>
      <c r="Z17" s="290">
        <v>42601</v>
      </c>
    </row>
    <row r="18" spans="1:26" ht="15" x14ac:dyDescent="0.25">
      <c r="A18" s="14"/>
      <c r="B18" s="96">
        <v>42593</v>
      </c>
      <c r="C18" s="93" t="s">
        <v>471</v>
      </c>
      <c r="D18" s="132">
        <v>2662.4</v>
      </c>
      <c r="E18" s="95">
        <v>42608</v>
      </c>
      <c r="F18" s="132">
        <v>2662.4</v>
      </c>
      <c r="G18" s="99">
        <f t="shared" si="0"/>
        <v>0</v>
      </c>
      <c r="H18" s="38"/>
      <c r="K18" s="3"/>
      <c r="L18" s="161"/>
      <c r="M18" s="38"/>
      <c r="N18" s="213"/>
      <c r="O18" s="321"/>
      <c r="P18" s="18"/>
      <c r="Q18" s="95"/>
      <c r="T18" s="33">
        <f>2857.5+63666.9</f>
        <v>66524.399999999994</v>
      </c>
      <c r="U18" s="233" t="s">
        <v>483</v>
      </c>
      <c r="V18" s="216">
        <v>66524.399999999994</v>
      </c>
      <c r="W18" s="124"/>
      <c r="X18" s="291">
        <v>2976859</v>
      </c>
      <c r="Y18" s="292">
        <v>28000</v>
      </c>
      <c r="Z18" s="290">
        <v>42600</v>
      </c>
    </row>
    <row r="19" spans="1:26" thickBot="1" x14ac:dyDescent="0.3">
      <c r="A19" s="14"/>
      <c r="B19" s="96">
        <v>42594</v>
      </c>
      <c r="C19" s="93" t="s">
        <v>472</v>
      </c>
      <c r="D19" s="132">
        <v>67637.2</v>
      </c>
      <c r="E19" s="95">
        <v>42608</v>
      </c>
      <c r="F19" s="132">
        <v>67637.2</v>
      </c>
      <c r="G19" s="99">
        <f t="shared" si="0"/>
        <v>0</v>
      </c>
      <c r="H19" s="38"/>
      <c r="T19" s="33">
        <v>47612.5</v>
      </c>
      <c r="U19" s="331" t="s">
        <v>484</v>
      </c>
      <c r="V19" s="18">
        <v>47595.79</v>
      </c>
      <c r="W19" s="124" t="s">
        <v>88</v>
      </c>
      <c r="X19" s="291">
        <v>2976860</v>
      </c>
      <c r="Y19" s="292">
        <v>20000</v>
      </c>
      <c r="Z19" s="290">
        <v>42600</v>
      </c>
    </row>
    <row r="20" spans="1:26" ht="19.5" thickBot="1" x14ac:dyDescent="0.35">
      <c r="A20" s="14"/>
      <c r="B20" s="96">
        <v>42595</v>
      </c>
      <c r="C20" s="93" t="s">
        <v>473</v>
      </c>
      <c r="D20" s="132">
        <v>12729.6</v>
      </c>
      <c r="E20" s="95">
        <v>42608</v>
      </c>
      <c r="F20" s="132">
        <v>12729.6</v>
      </c>
      <c r="G20" s="99">
        <f t="shared" si="0"/>
        <v>0</v>
      </c>
      <c r="H20" s="38"/>
      <c r="K20" s="33"/>
      <c r="L20" s="417">
        <v>1</v>
      </c>
      <c r="M20" s="86" t="s">
        <v>28</v>
      </c>
      <c r="N20" s="86"/>
      <c r="O20" s="110"/>
      <c r="P20" s="323">
        <v>42594</v>
      </c>
      <c r="Q20" s="112"/>
      <c r="T20" s="33"/>
      <c r="U20" s="331"/>
      <c r="V20" s="18"/>
      <c r="W20" s="124"/>
      <c r="X20" s="291">
        <v>2976861</v>
      </c>
      <c r="Y20" s="292">
        <v>19746</v>
      </c>
      <c r="Z20" s="290">
        <v>42600</v>
      </c>
    </row>
    <row r="21" spans="1:26" ht="16.5" thickBot="1" x14ac:dyDescent="0.3">
      <c r="A21" s="14"/>
      <c r="B21" s="96">
        <v>42595</v>
      </c>
      <c r="C21" s="93" t="s">
        <v>474</v>
      </c>
      <c r="D21" s="132">
        <v>66272.5</v>
      </c>
      <c r="E21" s="95">
        <v>42608</v>
      </c>
      <c r="F21" s="132">
        <v>66272.5</v>
      </c>
      <c r="G21" s="99">
        <f t="shared" si="0"/>
        <v>0</v>
      </c>
      <c r="H21" s="38"/>
      <c r="K21" s="33"/>
      <c r="L21" s="418"/>
      <c r="M21" s="113"/>
      <c r="N21" s="113"/>
      <c r="O21" s="114"/>
      <c r="P21" s="115"/>
      <c r="Q21" s="112"/>
      <c r="T21" s="3"/>
      <c r="U21" s="331"/>
      <c r="V21" s="18"/>
      <c r="W21" s="124"/>
      <c r="X21" s="291" t="s">
        <v>31</v>
      </c>
      <c r="Y21" s="292">
        <v>3172</v>
      </c>
      <c r="Z21" s="290">
        <v>42601</v>
      </c>
    </row>
    <row r="22" spans="1:26" ht="16.5" thickBot="1" x14ac:dyDescent="0.3">
      <c r="A22" s="264"/>
      <c r="B22" s="96">
        <v>42595</v>
      </c>
      <c r="C22" s="93" t="s">
        <v>475</v>
      </c>
      <c r="D22" s="132">
        <v>64837.5</v>
      </c>
      <c r="E22" s="95">
        <v>42608</v>
      </c>
      <c r="F22" s="132">
        <v>64837.5</v>
      </c>
      <c r="G22" s="99">
        <f t="shared" si="0"/>
        <v>0</v>
      </c>
      <c r="H22" s="38"/>
      <c r="K22" s="3"/>
      <c r="L22" s="116" t="s">
        <v>23</v>
      </c>
      <c r="M22" s="116" t="s">
        <v>24</v>
      </c>
      <c r="N22" s="116"/>
      <c r="O22" s="117" t="s">
        <v>29</v>
      </c>
      <c r="P22" s="118" t="s">
        <v>30</v>
      </c>
      <c r="Q22" s="119"/>
      <c r="T22" s="3"/>
      <c r="U22" s="331"/>
      <c r="V22" s="18"/>
      <c r="W22" s="124"/>
      <c r="X22" s="291" t="s">
        <v>31</v>
      </c>
      <c r="Y22" s="292">
        <v>924</v>
      </c>
      <c r="Z22" s="290">
        <v>42600</v>
      </c>
    </row>
    <row r="23" spans="1:26" ht="16.5" thickTop="1" x14ac:dyDescent="0.25">
      <c r="A23" s="14"/>
      <c r="B23" s="334">
        <v>42596</v>
      </c>
      <c r="C23" s="335" t="s">
        <v>495</v>
      </c>
      <c r="D23" s="336">
        <v>43546.6</v>
      </c>
      <c r="E23" s="95">
        <v>42608</v>
      </c>
      <c r="F23" s="336">
        <v>43546.6</v>
      </c>
      <c r="G23" s="99">
        <f t="shared" si="0"/>
        <v>0</v>
      </c>
      <c r="H23" s="38"/>
      <c r="K23" s="33">
        <v>12715.8</v>
      </c>
      <c r="L23" s="93" t="s">
        <v>409</v>
      </c>
      <c r="M23" s="132">
        <v>12715.55</v>
      </c>
      <c r="N23" s="120" t="s">
        <v>36</v>
      </c>
      <c r="O23" s="289">
        <v>3266540</v>
      </c>
      <c r="P23" s="296">
        <v>44500</v>
      </c>
      <c r="Q23" s="297">
        <v>42580</v>
      </c>
      <c r="T23" s="3"/>
      <c r="U23" s="328"/>
      <c r="V23" s="332"/>
      <c r="W23" s="124"/>
      <c r="X23" s="291" t="s">
        <v>31</v>
      </c>
      <c r="Y23" s="292">
        <v>14100</v>
      </c>
      <c r="Z23" s="290">
        <v>42601</v>
      </c>
    </row>
    <row r="24" spans="1:26" x14ac:dyDescent="0.25">
      <c r="A24" s="14"/>
      <c r="B24" s="96">
        <v>42597</v>
      </c>
      <c r="C24" s="93" t="s">
        <v>476</v>
      </c>
      <c r="D24" s="132">
        <v>46252.5</v>
      </c>
      <c r="E24" s="95">
        <v>42608</v>
      </c>
      <c r="F24" s="132">
        <v>46252.5</v>
      </c>
      <c r="G24" s="99">
        <f t="shared" si="0"/>
        <v>0</v>
      </c>
      <c r="H24" s="38"/>
      <c r="K24" s="33"/>
      <c r="L24" s="93"/>
      <c r="M24" s="132"/>
      <c r="N24" s="124"/>
      <c r="O24" s="241">
        <v>3266539</v>
      </c>
      <c r="P24" s="242">
        <v>21485.5</v>
      </c>
      <c r="Q24" s="290">
        <v>42580</v>
      </c>
      <c r="T24" s="3"/>
      <c r="U24" s="337"/>
      <c r="V24" s="235"/>
      <c r="W24" s="124"/>
      <c r="X24" s="291">
        <v>2976785</v>
      </c>
      <c r="Y24" s="292">
        <v>14698</v>
      </c>
      <c r="Z24" s="290">
        <v>42602</v>
      </c>
    </row>
    <row r="25" spans="1:26" x14ac:dyDescent="0.25">
      <c r="A25" s="14"/>
      <c r="B25" s="96">
        <v>42598</v>
      </c>
      <c r="C25" s="93" t="s">
        <v>477</v>
      </c>
      <c r="D25" s="132">
        <v>14238.8</v>
      </c>
      <c r="E25" s="95">
        <v>42608</v>
      </c>
      <c r="F25" s="132">
        <v>14238.8</v>
      </c>
      <c r="G25" s="99">
        <f t="shared" si="0"/>
        <v>0</v>
      </c>
      <c r="H25" s="38"/>
      <c r="K25" s="33">
        <v>457.5</v>
      </c>
      <c r="L25" s="93" t="s">
        <v>428</v>
      </c>
      <c r="M25" s="132">
        <v>457.5</v>
      </c>
      <c r="N25" s="124"/>
      <c r="O25" s="241">
        <v>3266538</v>
      </c>
      <c r="P25" s="242">
        <v>59475</v>
      </c>
      <c r="Q25" s="290">
        <v>42581</v>
      </c>
      <c r="T25" s="3"/>
      <c r="U25" s="337"/>
      <c r="V25" s="235"/>
      <c r="W25" s="124"/>
      <c r="X25" s="291">
        <v>2976862</v>
      </c>
      <c r="Y25" s="292">
        <v>40000</v>
      </c>
      <c r="Z25" s="290">
        <v>42601</v>
      </c>
    </row>
    <row r="26" spans="1:26" x14ac:dyDescent="0.25">
      <c r="A26" s="14"/>
      <c r="B26" s="96">
        <v>42598</v>
      </c>
      <c r="C26" s="93" t="s">
        <v>479</v>
      </c>
      <c r="D26" s="132">
        <v>15555.4</v>
      </c>
      <c r="E26" s="95">
        <v>42608</v>
      </c>
      <c r="F26" s="132">
        <v>15555.4</v>
      </c>
      <c r="G26" s="99">
        <f t="shared" si="0"/>
        <v>0</v>
      </c>
      <c r="H26" s="38"/>
      <c r="K26" s="33">
        <f>53269.7+48465.5</f>
        <v>101735.2</v>
      </c>
      <c r="L26" s="93" t="s">
        <v>410</v>
      </c>
      <c r="M26" s="132">
        <v>101735.2</v>
      </c>
      <c r="N26" s="124"/>
      <c r="O26" s="241">
        <v>3266537</v>
      </c>
      <c r="P26" s="242">
        <v>33000</v>
      </c>
      <c r="Q26" s="290">
        <v>42582</v>
      </c>
      <c r="U26" s="192"/>
      <c r="V26" s="192"/>
      <c r="W26" s="192"/>
      <c r="X26" s="340">
        <v>2976863</v>
      </c>
      <c r="Y26" s="332">
        <v>19363</v>
      </c>
      <c r="Z26" s="290">
        <v>42601</v>
      </c>
    </row>
    <row r="27" spans="1:26" x14ac:dyDescent="0.25">
      <c r="A27" s="14"/>
      <c r="B27" s="330">
        <v>42598</v>
      </c>
      <c r="C27" s="338" t="s">
        <v>496</v>
      </c>
      <c r="D27" s="339">
        <v>67179.600000000006</v>
      </c>
      <c r="E27" s="95">
        <v>42608</v>
      </c>
      <c r="F27" s="339">
        <v>67179.600000000006</v>
      </c>
      <c r="G27" s="99">
        <f t="shared" si="0"/>
        <v>0</v>
      </c>
      <c r="H27" s="38"/>
      <c r="K27" s="33">
        <v>7800</v>
      </c>
      <c r="L27" s="93" t="s">
        <v>423</v>
      </c>
      <c r="M27" s="132">
        <v>7800</v>
      </c>
      <c r="N27" s="124"/>
      <c r="O27" s="241">
        <v>3266336</v>
      </c>
      <c r="P27" s="242">
        <v>17887</v>
      </c>
      <c r="Q27" s="290">
        <v>42582</v>
      </c>
      <c r="U27" s="192"/>
      <c r="V27" s="192"/>
      <c r="W27" s="192"/>
      <c r="X27" s="340">
        <v>2976864</v>
      </c>
      <c r="Y27" s="332">
        <v>24759</v>
      </c>
      <c r="Z27" s="290">
        <v>42602</v>
      </c>
    </row>
    <row r="28" spans="1:26" x14ac:dyDescent="0.25">
      <c r="A28" s="14"/>
      <c r="B28" s="96">
        <v>42599</v>
      </c>
      <c r="C28" s="93" t="s">
        <v>478</v>
      </c>
      <c r="D28" s="132">
        <v>35855.4</v>
      </c>
      <c r="E28" s="95">
        <v>42608</v>
      </c>
      <c r="F28" s="132">
        <v>35855.4</v>
      </c>
      <c r="G28" s="99">
        <f t="shared" si="0"/>
        <v>0</v>
      </c>
      <c r="H28" s="38"/>
      <c r="K28" s="33">
        <f>3209.5+72334+32140.5+52337.5+37105</f>
        <v>197126.5</v>
      </c>
      <c r="L28" s="93" t="s">
        <v>422</v>
      </c>
      <c r="M28" s="132">
        <v>197126.5</v>
      </c>
      <c r="N28" s="128" t="s">
        <v>88</v>
      </c>
      <c r="O28" s="241" t="s">
        <v>31</v>
      </c>
      <c r="P28" s="242">
        <v>10469</v>
      </c>
      <c r="Q28" s="290">
        <v>42583</v>
      </c>
      <c r="U28" s="192"/>
      <c r="V28" s="192"/>
      <c r="W28" s="192"/>
      <c r="X28" s="340">
        <v>2976783</v>
      </c>
      <c r="Y28" s="332">
        <v>40208</v>
      </c>
      <c r="Z28" s="290">
        <v>42603</v>
      </c>
    </row>
    <row r="29" spans="1:26" x14ac:dyDescent="0.25">
      <c r="A29" s="14"/>
      <c r="B29" s="96">
        <v>42600</v>
      </c>
      <c r="C29" s="93" t="s">
        <v>480</v>
      </c>
      <c r="D29" s="132">
        <v>42773.3</v>
      </c>
      <c r="E29" s="95">
        <v>42608</v>
      </c>
      <c r="F29" s="132">
        <v>42773.3</v>
      </c>
      <c r="G29" s="99">
        <f t="shared" si="0"/>
        <v>0</v>
      </c>
      <c r="H29" s="38"/>
      <c r="K29" s="33">
        <v>16318.7</v>
      </c>
      <c r="L29" s="93" t="s">
        <v>424</v>
      </c>
      <c r="M29" s="132">
        <v>16318.7</v>
      </c>
      <c r="N29" s="129"/>
      <c r="O29" s="241" t="s">
        <v>31</v>
      </c>
      <c r="P29" s="242">
        <v>10978</v>
      </c>
      <c r="Q29" s="290">
        <v>42583</v>
      </c>
      <c r="U29" s="192"/>
      <c r="V29" s="192"/>
      <c r="W29" s="192"/>
      <c r="X29" s="340"/>
      <c r="Y29" s="332"/>
      <c r="Z29" s="290"/>
    </row>
    <row r="30" spans="1:26" ht="15" x14ac:dyDescent="0.25">
      <c r="A30" s="14"/>
      <c r="B30" s="96">
        <v>42600</v>
      </c>
      <c r="C30" s="233" t="s">
        <v>481</v>
      </c>
      <c r="D30" s="216">
        <v>32529.599999999999</v>
      </c>
      <c r="E30" s="95">
        <v>42608</v>
      </c>
      <c r="F30" s="216">
        <v>32529.599999999999</v>
      </c>
      <c r="G30" s="99">
        <f t="shared" si="0"/>
        <v>0</v>
      </c>
      <c r="H30" s="38"/>
      <c r="K30" s="33">
        <v>329</v>
      </c>
      <c r="L30" s="93" t="s">
        <v>425</v>
      </c>
      <c r="M30" s="132">
        <v>329</v>
      </c>
      <c r="N30" s="124"/>
      <c r="O30" s="291" t="s">
        <v>31</v>
      </c>
      <c r="P30" s="292">
        <v>6654</v>
      </c>
      <c r="Q30" s="290">
        <v>42583</v>
      </c>
      <c r="U30" s="192"/>
      <c r="V30" s="192"/>
      <c r="W30" s="192"/>
      <c r="X30" s="340"/>
      <c r="Y30" s="332"/>
      <c r="Z30" s="290"/>
    </row>
    <row r="31" spans="1:26" thickBot="1" x14ac:dyDescent="0.3">
      <c r="A31" s="14"/>
      <c r="B31" s="96">
        <v>42600</v>
      </c>
      <c r="C31" s="233" t="s">
        <v>483</v>
      </c>
      <c r="D31" s="216">
        <v>66524.399999999994</v>
      </c>
      <c r="E31" s="95">
        <v>42608</v>
      </c>
      <c r="F31" s="216">
        <v>66524.399999999994</v>
      </c>
      <c r="G31" s="99">
        <f t="shared" si="0"/>
        <v>0</v>
      </c>
      <c r="H31" s="38"/>
      <c r="K31" s="33">
        <v>68742.3</v>
      </c>
      <c r="L31" s="93" t="s">
        <v>426</v>
      </c>
      <c r="M31" s="132">
        <v>68742.3</v>
      </c>
      <c r="N31" s="124"/>
      <c r="O31" s="291">
        <v>3266332</v>
      </c>
      <c r="P31" s="292">
        <v>25486.5</v>
      </c>
      <c r="Q31" s="290">
        <v>42583</v>
      </c>
      <c r="T31" s="3"/>
      <c r="U31" s="281"/>
      <c r="V31" s="282"/>
      <c r="W31" s="219"/>
      <c r="X31" s="293"/>
      <c r="Y31" s="294">
        <v>0</v>
      </c>
      <c r="Z31" s="290"/>
    </row>
    <row r="32" spans="1:26" ht="16.5" thickTop="1" x14ac:dyDescent="0.25">
      <c r="A32" s="14"/>
      <c r="B32" s="96">
        <v>42600</v>
      </c>
      <c r="C32" s="331" t="s">
        <v>484</v>
      </c>
      <c r="D32" s="81">
        <v>67539.600000000006</v>
      </c>
      <c r="E32" s="95" t="s">
        <v>531</v>
      </c>
      <c r="F32" s="94">
        <f>47595.79+19943.81</f>
        <v>67539.600000000006</v>
      </c>
      <c r="G32" s="99">
        <f t="shared" si="0"/>
        <v>0</v>
      </c>
      <c r="H32" s="38"/>
      <c r="K32" s="33">
        <v>11240.8</v>
      </c>
      <c r="L32" s="93" t="s">
        <v>432</v>
      </c>
      <c r="M32" s="132">
        <v>11240.8</v>
      </c>
      <c r="N32" s="124"/>
      <c r="O32" s="291">
        <v>3266335</v>
      </c>
      <c r="P32" s="292">
        <v>27000</v>
      </c>
      <c r="Q32" s="290">
        <v>42584</v>
      </c>
      <c r="T32" s="33">
        <f>SUM(T4:T31)</f>
        <v>629183.6</v>
      </c>
      <c r="U32" s="147"/>
      <c r="V32" s="236">
        <f>SUM(V4:V31)</f>
        <v>629183</v>
      </c>
      <c r="W32" s="210"/>
      <c r="X32" s="211"/>
      <c r="Y32" s="200">
        <f>SUM(Y4:Y31)</f>
        <v>629183</v>
      </c>
      <c r="Z32" s="202"/>
    </row>
    <row r="33" spans="1:17" ht="15" x14ac:dyDescent="0.25">
      <c r="A33" s="14"/>
      <c r="B33" s="96">
        <v>42601</v>
      </c>
      <c r="C33" s="331" t="s">
        <v>485</v>
      </c>
      <c r="D33" s="81">
        <v>36219.9</v>
      </c>
      <c r="E33" s="95">
        <v>42616</v>
      </c>
      <c r="F33" s="94">
        <v>36219.9</v>
      </c>
      <c r="G33" s="99">
        <f t="shared" si="0"/>
        <v>0</v>
      </c>
      <c r="H33" s="38"/>
      <c r="K33" s="33">
        <f>14460+38869.7+42720.8</f>
        <v>96050.5</v>
      </c>
      <c r="L33" s="93" t="s">
        <v>433</v>
      </c>
      <c r="M33" s="324">
        <v>96050.5</v>
      </c>
      <c r="N33" s="124"/>
      <c r="O33" s="291">
        <v>3266333</v>
      </c>
      <c r="P33" s="292">
        <v>25337.5</v>
      </c>
      <c r="Q33" s="290">
        <v>42584</v>
      </c>
    </row>
    <row r="34" spans="1:17" ht="15" x14ac:dyDescent="0.25">
      <c r="A34" s="14"/>
      <c r="B34" s="96">
        <v>42602</v>
      </c>
      <c r="C34" s="331" t="s">
        <v>486</v>
      </c>
      <c r="D34" s="81">
        <v>65563.199999999997</v>
      </c>
      <c r="E34" s="95">
        <v>42616</v>
      </c>
      <c r="F34" s="81">
        <v>65563.199999999997</v>
      </c>
      <c r="G34" s="99">
        <f t="shared" si="0"/>
        <v>0</v>
      </c>
      <c r="H34" s="38"/>
      <c r="K34" s="33">
        <v>8057.6</v>
      </c>
      <c r="L34" s="98" t="s">
        <v>434</v>
      </c>
      <c r="M34" s="132">
        <v>8057.6</v>
      </c>
      <c r="N34" s="124"/>
      <c r="O34" s="291">
        <v>3266330</v>
      </c>
      <c r="P34" s="292">
        <v>42153.5</v>
      </c>
      <c r="Q34" s="290">
        <v>42585</v>
      </c>
    </row>
    <row r="35" spans="1:17" ht="15" x14ac:dyDescent="0.25">
      <c r="A35" s="14"/>
      <c r="B35" s="96">
        <v>42602</v>
      </c>
      <c r="C35" s="331" t="s">
        <v>487</v>
      </c>
      <c r="D35" s="81">
        <v>20415.2</v>
      </c>
      <c r="E35" s="95">
        <v>42616</v>
      </c>
      <c r="F35" s="357">
        <v>19324</v>
      </c>
      <c r="G35" s="358">
        <f t="shared" si="0"/>
        <v>1091.2000000000007</v>
      </c>
      <c r="H35" s="38" t="s">
        <v>532</v>
      </c>
      <c r="K35" s="33">
        <f>35053.6+28415.5</f>
        <v>63469.1</v>
      </c>
      <c r="L35" s="93" t="s">
        <v>435</v>
      </c>
      <c r="M35" s="132">
        <v>63469.35</v>
      </c>
      <c r="N35" s="124" t="s">
        <v>88</v>
      </c>
      <c r="O35" s="291">
        <v>3266331</v>
      </c>
      <c r="P35" s="292">
        <v>30000</v>
      </c>
      <c r="Q35" s="290">
        <v>42585</v>
      </c>
    </row>
    <row r="36" spans="1:17" ht="16.5" customHeight="1" x14ac:dyDescent="0.25">
      <c r="B36" s="96">
        <v>42602</v>
      </c>
      <c r="C36" s="328" t="s">
        <v>490</v>
      </c>
      <c r="D36" s="332">
        <v>65786.399999999994</v>
      </c>
      <c r="E36" s="95">
        <v>42616</v>
      </c>
      <c r="F36" s="332">
        <v>65786.399999999994</v>
      </c>
      <c r="G36" s="327">
        <f t="shared" si="0"/>
        <v>0</v>
      </c>
      <c r="K36" s="33"/>
      <c r="L36" s="93"/>
      <c r="M36" s="132"/>
      <c r="N36" s="124"/>
      <c r="O36" s="291" t="s">
        <v>31</v>
      </c>
      <c r="P36" s="292">
        <v>74000</v>
      </c>
      <c r="Q36" s="290">
        <v>42587</v>
      </c>
    </row>
    <row r="37" spans="1:17" ht="15" x14ac:dyDescent="0.25">
      <c r="B37" s="96">
        <v>42603</v>
      </c>
      <c r="C37" s="331" t="s">
        <v>488</v>
      </c>
      <c r="D37" s="292">
        <v>68612.399999999994</v>
      </c>
      <c r="E37" s="95">
        <v>42616</v>
      </c>
      <c r="F37" s="292">
        <v>68612.399999999994</v>
      </c>
      <c r="G37" s="327">
        <f t="shared" si="0"/>
        <v>0</v>
      </c>
      <c r="K37" s="33"/>
      <c r="L37" s="93"/>
      <c r="M37" s="235"/>
      <c r="N37" s="124"/>
      <c r="O37" s="291" t="s">
        <v>31</v>
      </c>
      <c r="P37" s="292">
        <v>2500</v>
      </c>
      <c r="Q37" s="290">
        <v>42584</v>
      </c>
    </row>
    <row r="38" spans="1:17" ht="19.5" customHeight="1" x14ac:dyDescent="0.25">
      <c r="B38" s="96">
        <v>42604</v>
      </c>
      <c r="C38" s="331" t="s">
        <v>489</v>
      </c>
      <c r="D38" s="292">
        <v>69284.100000000006</v>
      </c>
      <c r="E38" s="95">
        <v>42616</v>
      </c>
      <c r="F38" s="292">
        <v>69284.100000000006</v>
      </c>
      <c r="G38" s="327">
        <f t="shared" si="0"/>
        <v>0</v>
      </c>
      <c r="K38" s="33"/>
      <c r="L38" s="93"/>
      <c r="M38" s="132"/>
      <c r="N38" s="124"/>
      <c r="O38" s="291" t="s">
        <v>31</v>
      </c>
      <c r="P38" s="292">
        <v>6290</v>
      </c>
      <c r="Q38" s="290">
        <v>42587</v>
      </c>
    </row>
    <row r="39" spans="1:17" ht="16.5" customHeight="1" x14ac:dyDescent="0.25">
      <c r="B39" s="330">
        <v>42605</v>
      </c>
      <c r="C39" s="328" t="s">
        <v>498</v>
      </c>
      <c r="D39" s="332">
        <v>15344.45</v>
      </c>
      <c r="E39" s="95">
        <v>42616</v>
      </c>
      <c r="F39" s="332">
        <v>15344.45</v>
      </c>
      <c r="G39" s="327">
        <f t="shared" si="0"/>
        <v>0</v>
      </c>
      <c r="K39" s="33"/>
      <c r="L39" s="93"/>
      <c r="M39" s="132"/>
      <c r="N39" s="124"/>
      <c r="O39" s="291">
        <v>3266329</v>
      </c>
      <c r="P39" s="292">
        <v>22000</v>
      </c>
      <c r="Q39" s="290">
        <v>42586</v>
      </c>
    </row>
    <row r="40" spans="1:17" x14ac:dyDescent="0.25">
      <c r="B40" s="330">
        <v>42605</v>
      </c>
      <c r="C40" s="328" t="s">
        <v>491</v>
      </c>
      <c r="D40" s="332">
        <v>32788.800000000003</v>
      </c>
      <c r="E40" s="95">
        <v>42616</v>
      </c>
      <c r="F40" s="332">
        <v>32788.800000000003</v>
      </c>
      <c r="G40" s="327">
        <f t="shared" si="0"/>
        <v>0</v>
      </c>
      <c r="K40" s="3"/>
      <c r="L40" s="93"/>
      <c r="M40" s="132"/>
      <c r="N40" s="124"/>
      <c r="O40" s="291">
        <v>3266328</v>
      </c>
      <c r="P40" s="292">
        <v>10579.5</v>
      </c>
      <c r="Q40" s="290">
        <v>42586</v>
      </c>
    </row>
    <row r="41" spans="1:17" x14ac:dyDescent="0.25">
      <c r="B41" s="330">
        <v>42605</v>
      </c>
      <c r="C41" s="328" t="s">
        <v>492</v>
      </c>
      <c r="D41" s="332">
        <v>33688.800000000003</v>
      </c>
      <c r="E41" s="95">
        <v>42616</v>
      </c>
      <c r="F41" s="332">
        <v>33688.800000000003</v>
      </c>
      <c r="G41" s="327">
        <f t="shared" si="0"/>
        <v>0</v>
      </c>
      <c r="H41"/>
      <c r="K41" s="3"/>
      <c r="L41" s="93"/>
      <c r="M41" s="132"/>
      <c r="N41" s="124"/>
      <c r="O41" s="291" t="s">
        <v>31</v>
      </c>
      <c r="P41" s="292">
        <v>77940</v>
      </c>
      <c r="Q41" s="290">
        <v>42590</v>
      </c>
    </row>
    <row r="42" spans="1:17" x14ac:dyDescent="0.25">
      <c r="B42" s="330">
        <v>42606</v>
      </c>
      <c r="C42" s="328" t="s">
        <v>493</v>
      </c>
      <c r="D42" s="332">
        <v>78067.399999999994</v>
      </c>
      <c r="E42" s="95">
        <v>42616</v>
      </c>
      <c r="F42" s="359">
        <v>77058.2</v>
      </c>
      <c r="G42" s="358">
        <f t="shared" si="0"/>
        <v>1009.1999999999971</v>
      </c>
      <c r="H42" s="1" t="s">
        <v>532</v>
      </c>
      <c r="K42" s="3"/>
      <c r="L42" s="93"/>
      <c r="M42" s="132"/>
      <c r="N42" s="124"/>
      <c r="O42" s="291">
        <v>3266327</v>
      </c>
      <c r="P42" s="292">
        <v>7892</v>
      </c>
      <c r="Q42" s="290">
        <v>42587</v>
      </c>
    </row>
    <row r="43" spans="1:17" x14ac:dyDescent="0.25">
      <c r="B43" s="330">
        <v>42606</v>
      </c>
      <c r="C43" s="328" t="s">
        <v>497</v>
      </c>
      <c r="D43" s="332">
        <v>70430.2</v>
      </c>
      <c r="E43" s="95">
        <v>42616</v>
      </c>
      <c r="F43" s="332">
        <v>70430.2</v>
      </c>
      <c r="G43" s="327">
        <f t="shared" si="0"/>
        <v>0</v>
      </c>
      <c r="H43"/>
      <c r="K43" s="3"/>
      <c r="L43" s="93"/>
      <c r="M43" s="132"/>
      <c r="N43" s="124"/>
      <c r="O43" s="291">
        <v>3266326</v>
      </c>
      <c r="P43" s="292">
        <v>28415.5</v>
      </c>
      <c r="Q43" s="290">
        <v>42588</v>
      </c>
    </row>
    <row r="44" spans="1:17" ht="16.5" thickBot="1" x14ac:dyDescent="0.3">
      <c r="B44" s="330">
        <v>42608</v>
      </c>
      <c r="C44" s="328" t="s">
        <v>522</v>
      </c>
      <c r="D44" s="332">
        <v>107702.6</v>
      </c>
      <c r="E44" s="95">
        <v>42616</v>
      </c>
      <c r="F44" s="332">
        <v>107702.6</v>
      </c>
      <c r="G44" s="327">
        <f t="shared" si="0"/>
        <v>0</v>
      </c>
      <c r="H44"/>
      <c r="K44" s="3"/>
      <c r="L44" s="281"/>
      <c r="M44" s="282"/>
      <c r="N44" s="219"/>
      <c r="O44" s="198"/>
      <c r="P44" s="199">
        <v>0</v>
      </c>
      <c r="Q44" s="220"/>
    </row>
    <row r="45" spans="1:17" ht="16.5" thickTop="1" x14ac:dyDescent="0.25">
      <c r="B45" s="330">
        <v>42608</v>
      </c>
      <c r="C45" s="328" t="s">
        <v>519</v>
      </c>
      <c r="D45" s="332">
        <v>11300</v>
      </c>
      <c r="E45" s="95">
        <v>42616</v>
      </c>
      <c r="F45" s="332">
        <v>11300</v>
      </c>
      <c r="G45" s="327">
        <f t="shared" si="0"/>
        <v>0</v>
      </c>
      <c r="H45"/>
      <c r="K45" s="33">
        <f>SUM(K23:K44)</f>
        <v>584043</v>
      </c>
      <c r="L45" s="147"/>
      <c r="M45" s="236">
        <f>SUM(M23:M44)</f>
        <v>584043</v>
      </c>
      <c r="N45" s="210"/>
      <c r="O45" s="211"/>
      <c r="P45" s="200">
        <f>SUM(P23:P44)</f>
        <v>584043</v>
      </c>
      <c r="Q45" s="202"/>
    </row>
    <row r="46" spans="1:17" x14ac:dyDescent="0.25">
      <c r="B46" s="330">
        <v>42609</v>
      </c>
      <c r="C46" s="328" t="s">
        <v>520</v>
      </c>
      <c r="D46" s="332">
        <v>13204</v>
      </c>
      <c r="E46" s="95">
        <v>42616</v>
      </c>
      <c r="F46" s="332">
        <v>13204</v>
      </c>
      <c r="G46" s="327">
        <f t="shared" si="0"/>
        <v>0</v>
      </c>
      <c r="H46"/>
    </row>
    <row r="47" spans="1:17" x14ac:dyDescent="0.25">
      <c r="B47" s="330">
        <v>42609</v>
      </c>
      <c r="C47" s="328" t="s">
        <v>521</v>
      </c>
      <c r="D47" s="332">
        <v>108281.61</v>
      </c>
      <c r="E47" s="95" t="s">
        <v>555</v>
      </c>
      <c r="F47" s="292">
        <f>103870.64+4410.97</f>
        <v>108281.61</v>
      </c>
      <c r="G47" s="327">
        <f t="shared" si="0"/>
        <v>0</v>
      </c>
      <c r="H47"/>
    </row>
    <row r="48" spans="1:17" x14ac:dyDescent="0.25">
      <c r="B48" s="330">
        <v>42609</v>
      </c>
      <c r="C48" s="328" t="s">
        <v>523</v>
      </c>
      <c r="D48" s="332">
        <v>11723.2</v>
      </c>
      <c r="E48" s="329">
        <v>42623</v>
      </c>
      <c r="F48" s="332">
        <v>11723.2</v>
      </c>
      <c r="G48" s="327">
        <f t="shared" si="0"/>
        <v>0</v>
      </c>
      <c r="H48"/>
    </row>
    <row r="49" spans="2:17" ht="16.5" thickBot="1" x14ac:dyDescent="0.3">
      <c r="B49" s="348">
        <v>42610</v>
      </c>
      <c r="C49" s="349" t="s">
        <v>524</v>
      </c>
      <c r="D49" s="350">
        <v>106172.1</v>
      </c>
      <c r="E49" s="329">
        <v>42623</v>
      </c>
      <c r="F49" s="350">
        <v>106172.1</v>
      </c>
      <c r="G49" s="327">
        <f t="shared" si="0"/>
        <v>0</v>
      </c>
      <c r="H49"/>
    </row>
    <row r="50" spans="2:17" ht="19.5" thickBot="1" x14ac:dyDescent="0.35">
      <c r="B50" s="330">
        <v>42611</v>
      </c>
      <c r="C50" s="328" t="s">
        <v>525</v>
      </c>
      <c r="D50" s="332">
        <v>33318.400000000001</v>
      </c>
      <c r="E50" s="329">
        <v>42623</v>
      </c>
      <c r="F50" s="332">
        <v>33318.400000000001</v>
      </c>
      <c r="G50" s="327">
        <f t="shared" si="0"/>
        <v>0</v>
      </c>
      <c r="H50"/>
      <c r="K50" s="33"/>
      <c r="L50" s="417">
        <v>1</v>
      </c>
      <c r="M50" s="86" t="s">
        <v>28</v>
      </c>
      <c r="N50" s="86"/>
      <c r="O50" s="110"/>
      <c r="P50" s="326">
        <v>42601</v>
      </c>
      <c r="Q50" s="112"/>
    </row>
    <row r="51" spans="2:17" ht="16.5" thickBot="1" x14ac:dyDescent="0.3">
      <c r="B51" s="330">
        <v>42612</v>
      </c>
      <c r="C51" s="328" t="s">
        <v>526</v>
      </c>
      <c r="D51" s="332">
        <v>20904.8</v>
      </c>
      <c r="E51" s="329">
        <v>42623</v>
      </c>
      <c r="F51" s="332">
        <v>20904.8</v>
      </c>
      <c r="G51" s="327">
        <f t="shared" si="0"/>
        <v>0</v>
      </c>
      <c r="H51"/>
      <c r="K51" s="33"/>
      <c r="L51" s="418"/>
      <c r="M51" s="113"/>
      <c r="N51" s="113"/>
      <c r="O51" s="114"/>
      <c r="P51" s="115"/>
      <c r="Q51" s="112"/>
    </row>
    <row r="52" spans="2:17" ht="16.5" thickBot="1" x14ac:dyDescent="0.3">
      <c r="B52" s="330">
        <v>42613</v>
      </c>
      <c r="C52" s="328" t="s">
        <v>527</v>
      </c>
      <c r="D52" s="332">
        <v>35575.800000000003</v>
      </c>
      <c r="E52" s="329">
        <v>42623</v>
      </c>
      <c r="F52" s="332">
        <v>35575.800000000003</v>
      </c>
      <c r="G52" s="327">
        <f t="shared" si="0"/>
        <v>0</v>
      </c>
      <c r="H52"/>
      <c r="K52" s="3"/>
      <c r="L52" s="116" t="s">
        <v>23</v>
      </c>
      <c r="M52" s="116" t="s">
        <v>24</v>
      </c>
      <c r="N52" s="116"/>
      <c r="O52" s="117" t="s">
        <v>29</v>
      </c>
      <c r="P52" s="118" t="s">
        <v>30</v>
      </c>
      <c r="Q52" s="119"/>
    </row>
    <row r="53" spans="2:17" ht="16.5" thickTop="1" x14ac:dyDescent="0.25">
      <c r="B53" s="330">
        <v>42613</v>
      </c>
      <c r="C53" s="328" t="s">
        <v>528</v>
      </c>
      <c r="D53" s="332">
        <v>35841</v>
      </c>
      <c r="E53" s="329">
        <v>42623</v>
      </c>
      <c r="F53" s="332">
        <v>35841</v>
      </c>
      <c r="G53" s="327">
        <f t="shared" si="0"/>
        <v>0</v>
      </c>
      <c r="H53"/>
      <c r="K53" s="33">
        <v>35664.400000000001</v>
      </c>
      <c r="L53" s="93" t="s">
        <v>431</v>
      </c>
      <c r="M53" s="132">
        <v>35664.400000000001</v>
      </c>
      <c r="N53" s="120"/>
      <c r="O53" s="289">
        <v>3266325</v>
      </c>
      <c r="P53" s="296">
        <v>29000</v>
      </c>
      <c r="Q53" s="297">
        <v>42589</v>
      </c>
    </row>
    <row r="54" spans="2:17" x14ac:dyDescent="0.25">
      <c r="B54" s="330"/>
      <c r="C54" s="328"/>
      <c r="D54" s="332"/>
      <c r="E54" s="329"/>
      <c r="F54" s="131"/>
      <c r="G54" s="327">
        <f t="shared" si="0"/>
        <v>0</v>
      </c>
      <c r="H54"/>
      <c r="K54" s="33">
        <v>7354</v>
      </c>
      <c r="L54" s="93" t="s">
        <v>422</v>
      </c>
      <c r="M54" s="132">
        <v>7354</v>
      </c>
      <c r="N54" s="124" t="s">
        <v>36</v>
      </c>
      <c r="O54" s="241" t="s">
        <v>31</v>
      </c>
      <c r="P54" s="242">
        <v>12250</v>
      </c>
      <c r="Q54" s="290">
        <v>42590</v>
      </c>
    </row>
    <row r="55" spans="2:17" x14ac:dyDescent="0.25">
      <c r="B55" s="330"/>
      <c r="C55" s="328"/>
      <c r="D55" s="332"/>
      <c r="E55" s="329"/>
      <c r="F55" s="131"/>
      <c r="G55" s="327">
        <f t="shared" si="0"/>
        <v>0</v>
      </c>
      <c r="H55"/>
      <c r="K55" s="33">
        <v>33905.4</v>
      </c>
      <c r="L55" s="93" t="s">
        <v>435</v>
      </c>
      <c r="M55" s="132">
        <v>33911.15</v>
      </c>
      <c r="N55" s="120" t="s">
        <v>36</v>
      </c>
      <c r="O55" s="241">
        <v>3266324</v>
      </c>
      <c r="P55" s="242">
        <v>18924</v>
      </c>
      <c r="Q55" s="290">
        <v>42589</v>
      </c>
    </row>
    <row r="56" spans="2:17" x14ac:dyDescent="0.25">
      <c r="B56" s="330"/>
      <c r="C56" s="328"/>
      <c r="D56" s="332"/>
      <c r="E56" s="329"/>
      <c r="F56" s="131"/>
      <c r="G56" s="327">
        <f t="shared" si="0"/>
        <v>0</v>
      </c>
      <c r="H56"/>
      <c r="K56" s="33">
        <f>26268.6+37491</f>
        <v>63759.6</v>
      </c>
      <c r="L56" s="93" t="s">
        <v>436</v>
      </c>
      <c r="M56" s="132">
        <v>63759.5</v>
      </c>
      <c r="N56" s="124"/>
      <c r="O56" s="241" t="s">
        <v>31</v>
      </c>
      <c r="P56" s="242">
        <v>95000</v>
      </c>
      <c r="Q56" s="290">
        <v>42594</v>
      </c>
    </row>
    <row r="57" spans="2:17" x14ac:dyDescent="0.25">
      <c r="B57" s="330"/>
      <c r="C57" s="328"/>
      <c r="D57" s="332"/>
      <c r="E57" s="329"/>
      <c r="F57" s="131"/>
      <c r="G57" s="327">
        <f t="shared" si="0"/>
        <v>0</v>
      </c>
      <c r="H57"/>
      <c r="K57" s="33">
        <v>27797.7</v>
      </c>
      <c r="L57" s="93" t="s">
        <v>437</v>
      </c>
      <c r="M57" s="235">
        <v>27797.7</v>
      </c>
      <c r="N57" s="124"/>
      <c r="O57" s="241" t="s">
        <v>31</v>
      </c>
      <c r="P57" s="242">
        <v>13450</v>
      </c>
      <c r="Q57" s="290">
        <v>42593</v>
      </c>
    </row>
    <row r="58" spans="2:17" x14ac:dyDescent="0.25">
      <c r="B58" s="330"/>
      <c r="C58" s="328"/>
      <c r="D58" s="332"/>
      <c r="E58" s="329"/>
      <c r="F58" s="131"/>
      <c r="G58" s="327">
        <f t="shared" si="0"/>
        <v>0</v>
      </c>
      <c r="H58"/>
      <c r="K58" s="33">
        <f>111044+42836.5+38869.2+9856.3</f>
        <v>202606</v>
      </c>
      <c r="L58" s="93" t="s">
        <v>438</v>
      </c>
      <c r="M58" s="132">
        <v>202606</v>
      </c>
      <c r="N58" s="124"/>
      <c r="O58" s="241">
        <v>3266321</v>
      </c>
      <c r="P58" s="242">
        <v>45000</v>
      </c>
      <c r="Q58" s="290">
        <v>42590</v>
      </c>
    </row>
    <row r="59" spans="2:17" x14ac:dyDescent="0.25">
      <c r="B59" s="330"/>
      <c r="C59" s="328"/>
      <c r="D59" s="332"/>
      <c r="E59" s="329"/>
      <c r="F59" s="131"/>
      <c r="G59" s="327">
        <f t="shared" si="0"/>
        <v>0</v>
      </c>
      <c r="H59"/>
      <c r="K59" s="33">
        <v>3057.6</v>
      </c>
      <c r="L59" s="93" t="s">
        <v>439</v>
      </c>
      <c r="M59" s="132">
        <v>3057.6</v>
      </c>
      <c r="N59" s="124"/>
      <c r="O59" s="241">
        <v>3266320</v>
      </c>
      <c r="P59" s="242">
        <v>36360</v>
      </c>
      <c r="Q59" s="290">
        <v>42590</v>
      </c>
    </row>
    <row r="60" spans="2:17" x14ac:dyDescent="0.25">
      <c r="B60" s="330"/>
      <c r="C60" s="328"/>
      <c r="D60" s="332"/>
      <c r="E60" s="329"/>
      <c r="F60" s="131"/>
      <c r="G60" s="327">
        <f t="shared" si="0"/>
        <v>0</v>
      </c>
      <c r="H60"/>
      <c r="K60" s="33">
        <v>10419.66</v>
      </c>
      <c r="L60" s="93" t="s">
        <v>440</v>
      </c>
      <c r="M60" s="132">
        <v>10419.66</v>
      </c>
      <c r="N60" s="128"/>
      <c r="O60" s="291">
        <v>3266323</v>
      </c>
      <c r="P60" s="292">
        <v>32000</v>
      </c>
      <c r="Q60" s="290">
        <v>42591</v>
      </c>
    </row>
    <row r="61" spans="2:17" x14ac:dyDescent="0.25">
      <c r="B61" s="330"/>
      <c r="C61" s="328"/>
      <c r="D61" s="332"/>
      <c r="E61" s="329"/>
      <c r="F61" s="131"/>
      <c r="G61" s="327">
        <f t="shared" si="0"/>
        <v>0</v>
      </c>
      <c r="K61" s="33">
        <v>3900</v>
      </c>
      <c r="L61" s="93" t="s">
        <v>441</v>
      </c>
      <c r="M61" s="132">
        <v>3900</v>
      </c>
      <c r="N61" s="129"/>
      <c r="O61" s="291">
        <v>3266322</v>
      </c>
      <c r="P61" s="292">
        <v>10836.5</v>
      </c>
      <c r="Q61" s="290">
        <v>42591</v>
      </c>
    </row>
    <row r="62" spans="2:17" x14ac:dyDescent="0.25">
      <c r="B62" s="330"/>
      <c r="C62" s="328"/>
      <c r="D62" s="332"/>
      <c r="E62" s="329"/>
      <c r="F62" s="131"/>
      <c r="G62" s="327">
        <f t="shared" si="0"/>
        <v>0</v>
      </c>
      <c r="K62" s="33">
        <f>9651+84362.4</f>
        <v>94013.4</v>
      </c>
      <c r="L62" s="93" t="s">
        <v>442</v>
      </c>
      <c r="M62" s="132">
        <v>94013.4</v>
      </c>
      <c r="N62" s="124"/>
      <c r="O62" s="291">
        <v>3266319</v>
      </c>
      <c r="P62" s="292">
        <v>20000</v>
      </c>
      <c r="Q62" s="290">
        <v>42592</v>
      </c>
    </row>
    <row r="63" spans="2:17" x14ac:dyDescent="0.25">
      <c r="B63" s="330"/>
      <c r="C63" s="328"/>
      <c r="D63" s="332"/>
      <c r="E63" s="329"/>
      <c r="F63" s="131"/>
      <c r="G63" s="327">
        <f t="shared" si="0"/>
        <v>0</v>
      </c>
      <c r="K63" s="33">
        <v>2444</v>
      </c>
      <c r="L63" s="93" t="s">
        <v>443</v>
      </c>
      <c r="M63" s="132">
        <v>2444</v>
      </c>
      <c r="N63" s="124"/>
      <c r="O63" s="291">
        <v>3266318</v>
      </c>
      <c r="P63" s="292">
        <v>18869</v>
      </c>
      <c r="Q63" s="290">
        <v>42592</v>
      </c>
    </row>
    <row r="64" spans="2:17" x14ac:dyDescent="0.25">
      <c r="B64" s="330"/>
      <c r="C64" s="328"/>
      <c r="D64" s="332"/>
      <c r="E64" s="329"/>
      <c r="F64" s="131"/>
      <c r="G64" s="327">
        <f t="shared" si="0"/>
        <v>0</v>
      </c>
      <c r="K64" s="33">
        <f>322.6+62713.6</f>
        <v>63036.2</v>
      </c>
      <c r="L64" s="93" t="s">
        <v>469</v>
      </c>
      <c r="M64" s="132">
        <v>63046.2</v>
      </c>
      <c r="N64" s="124" t="s">
        <v>72</v>
      </c>
      <c r="O64" s="291">
        <v>3266317</v>
      </c>
      <c r="P64" s="292">
        <v>50000</v>
      </c>
      <c r="Q64" s="290">
        <v>42593</v>
      </c>
    </row>
    <row r="65" spans="2:17" x14ac:dyDescent="0.25">
      <c r="B65" s="330"/>
      <c r="C65" s="328"/>
      <c r="D65" s="332"/>
      <c r="E65" s="329"/>
      <c r="F65" s="131"/>
      <c r="G65" s="327">
        <f t="shared" si="0"/>
        <v>0</v>
      </c>
      <c r="K65" s="33">
        <v>31599.4</v>
      </c>
      <c r="L65" s="93" t="s">
        <v>470</v>
      </c>
      <c r="M65" s="132">
        <v>31583.39</v>
      </c>
      <c r="N65" s="124" t="s">
        <v>37</v>
      </c>
      <c r="O65" s="291">
        <v>3266316</v>
      </c>
      <c r="P65" s="292">
        <v>16425.5</v>
      </c>
      <c r="Q65" s="290">
        <v>42593</v>
      </c>
    </row>
    <row r="66" spans="2:17" thickBot="1" x14ac:dyDescent="0.3">
      <c r="B66"/>
      <c r="C66" s="104"/>
      <c r="D66" s="262"/>
      <c r="E66" s="104"/>
      <c r="F66" s="106"/>
      <c r="G66" s="351">
        <f>D66-F66</f>
        <v>0</v>
      </c>
      <c r="H66"/>
      <c r="K66" s="33"/>
      <c r="L66" s="93"/>
      <c r="M66" s="132"/>
      <c r="N66" s="124"/>
      <c r="O66" s="291">
        <v>3266315</v>
      </c>
      <c r="P66" s="292">
        <v>11656</v>
      </c>
      <c r="Q66" s="290">
        <v>42594</v>
      </c>
    </row>
    <row r="67" spans="2:17" ht="16.5" thickTop="1" x14ac:dyDescent="0.25">
      <c r="B67"/>
      <c r="C67"/>
      <c r="D67" s="263">
        <f>SUM(D4:D66)</f>
        <v>2404708.0199999996</v>
      </c>
      <c r="E67" s="108"/>
      <c r="F67" s="109">
        <f>SUM(F4:F66)</f>
        <v>2402607.6199999996</v>
      </c>
      <c r="G67" s="109">
        <f>SUM(G4:G66)</f>
        <v>2100.3999999999978</v>
      </c>
      <c r="H67"/>
      <c r="K67" s="33"/>
      <c r="L67" s="93"/>
      <c r="M67" s="132"/>
      <c r="N67" s="124"/>
      <c r="O67" s="291" t="s">
        <v>31</v>
      </c>
      <c r="P67" s="292">
        <v>3777</v>
      </c>
      <c r="Q67" s="290">
        <v>42598</v>
      </c>
    </row>
    <row r="68" spans="2:17" x14ac:dyDescent="0.25">
      <c r="B68"/>
      <c r="H68"/>
      <c r="K68" s="33"/>
      <c r="L68" s="93"/>
      <c r="M68" s="132"/>
      <c r="N68" s="124"/>
      <c r="O68" s="291" t="s">
        <v>31</v>
      </c>
      <c r="P68" s="292">
        <v>38155</v>
      </c>
      <c r="Q68" s="290">
        <v>42597</v>
      </c>
    </row>
    <row r="69" spans="2:17" x14ac:dyDescent="0.25">
      <c r="B69"/>
      <c r="H69"/>
      <c r="K69" s="33"/>
      <c r="L69" s="93"/>
      <c r="M69" s="132"/>
      <c r="N69" s="124"/>
      <c r="O69" s="291" t="s">
        <v>31</v>
      </c>
      <c r="P69" s="292">
        <v>27000</v>
      </c>
      <c r="Q69" s="290">
        <v>42593</v>
      </c>
    </row>
    <row r="70" spans="2:17" x14ac:dyDescent="0.25">
      <c r="B70"/>
      <c r="H70"/>
      <c r="K70" s="3"/>
      <c r="L70" s="93"/>
      <c r="M70" s="132"/>
      <c r="N70" s="124"/>
      <c r="O70" s="291" t="s">
        <v>31</v>
      </c>
      <c r="P70" s="292">
        <v>6541</v>
      </c>
      <c r="Q70" s="290">
        <v>42593</v>
      </c>
    </row>
    <row r="71" spans="2:17" ht="15" x14ac:dyDescent="0.25">
      <c r="B71"/>
      <c r="C71" s="159">
        <v>42586</v>
      </c>
      <c r="D71" s="3">
        <v>911.8</v>
      </c>
      <c r="E71" t="s">
        <v>460</v>
      </c>
      <c r="F71"/>
      <c r="G71"/>
      <c r="H71"/>
      <c r="K71" s="3"/>
      <c r="L71" s="93"/>
      <c r="M71" s="132"/>
      <c r="N71" s="124"/>
      <c r="O71" s="291">
        <v>3266314</v>
      </c>
      <c r="P71" s="292">
        <v>35000</v>
      </c>
      <c r="Q71" s="290">
        <v>42595</v>
      </c>
    </row>
    <row r="72" spans="2:17" ht="15" x14ac:dyDescent="0.25">
      <c r="B72"/>
      <c r="C72" s="159">
        <v>42588</v>
      </c>
      <c r="D72" s="3">
        <v>2776</v>
      </c>
      <c r="E72" t="s">
        <v>49</v>
      </c>
      <c r="F72"/>
      <c r="G72"/>
      <c r="H72"/>
      <c r="K72" s="3"/>
      <c r="L72" s="93"/>
      <c r="M72" s="132"/>
      <c r="N72" s="124"/>
      <c r="O72" s="291">
        <v>3266313</v>
      </c>
      <c r="P72" s="292">
        <v>27806</v>
      </c>
      <c r="Q72" s="290">
        <v>42594</v>
      </c>
    </row>
    <row r="73" spans="2:17" ht="15" x14ac:dyDescent="0.25">
      <c r="B73"/>
      <c r="C73" s="159">
        <v>42590</v>
      </c>
      <c r="D73" s="3">
        <v>10290</v>
      </c>
      <c r="E73" t="s">
        <v>448</v>
      </c>
      <c r="F73"/>
      <c r="G73"/>
      <c r="H73"/>
      <c r="K73" s="3"/>
      <c r="L73" s="93"/>
      <c r="M73" s="132"/>
      <c r="N73" s="124"/>
      <c r="O73" s="291" t="s">
        <v>31</v>
      </c>
      <c r="P73" s="292">
        <v>8210</v>
      </c>
      <c r="Q73" s="290">
        <v>42598</v>
      </c>
    </row>
    <row r="74" spans="2:17" ht="15" x14ac:dyDescent="0.25">
      <c r="B74"/>
      <c r="C74" s="159">
        <v>42590</v>
      </c>
      <c r="D74" s="3">
        <v>1689.6</v>
      </c>
      <c r="E74" t="s">
        <v>466</v>
      </c>
      <c r="F74"/>
      <c r="G74"/>
      <c r="H74"/>
      <c r="K74" s="3"/>
      <c r="L74" s="93"/>
      <c r="M74" s="132"/>
      <c r="N74" s="124"/>
      <c r="O74" s="291" t="s">
        <v>31</v>
      </c>
      <c r="P74" s="292">
        <v>23297</v>
      </c>
      <c r="Q74" s="290">
        <v>42598</v>
      </c>
    </row>
    <row r="75" spans="2:17" thickBot="1" x14ac:dyDescent="0.3">
      <c r="B75"/>
      <c r="C75" s="159">
        <v>42590</v>
      </c>
      <c r="D75" s="3">
        <v>10290</v>
      </c>
      <c r="E75" t="s">
        <v>468</v>
      </c>
      <c r="F75"/>
      <c r="G75"/>
      <c r="H75"/>
      <c r="K75" s="3"/>
      <c r="L75" s="281"/>
      <c r="M75" s="282"/>
      <c r="N75" s="219"/>
      <c r="O75" s="198"/>
      <c r="P75" s="199">
        <v>0</v>
      </c>
      <c r="Q75" s="220"/>
    </row>
    <row r="76" spans="2:17" ht="16.5" thickTop="1" x14ac:dyDescent="0.25">
      <c r="B76"/>
      <c r="C76" s="159">
        <v>42592</v>
      </c>
      <c r="D76" s="3">
        <v>3072.8</v>
      </c>
      <c r="E76" t="s">
        <v>504</v>
      </c>
      <c r="F76"/>
      <c r="G76"/>
      <c r="H76"/>
      <c r="K76" s="33">
        <f>SUM(K53:K75)</f>
        <v>579557.35999999987</v>
      </c>
      <c r="L76" s="147"/>
      <c r="M76" s="236">
        <f>SUM(M53:M75)</f>
        <v>579556.99999999988</v>
      </c>
      <c r="N76" s="210"/>
      <c r="O76" s="211"/>
      <c r="P76" s="200">
        <f>SUM(P53:P75)</f>
        <v>579557</v>
      </c>
      <c r="Q76" s="202"/>
    </row>
    <row r="77" spans="2:17" ht="15" x14ac:dyDescent="0.25">
      <c r="C77" s="159">
        <v>42593</v>
      </c>
      <c r="D77" s="3">
        <v>687</v>
      </c>
      <c r="E77" t="s">
        <v>505</v>
      </c>
      <c r="F77"/>
      <c r="G77"/>
      <c r="H77"/>
    </row>
    <row r="78" spans="2:17" ht="15" x14ac:dyDescent="0.25">
      <c r="C78" s="159">
        <v>42595</v>
      </c>
      <c r="D78" s="3">
        <v>2504</v>
      </c>
      <c r="E78" t="s">
        <v>49</v>
      </c>
      <c r="F78"/>
      <c r="G78"/>
      <c r="H78"/>
    </row>
    <row r="79" spans="2:17" ht="15" x14ac:dyDescent="0.25">
      <c r="C79" s="159"/>
      <c r="D79" s="3">
        <v>0</v>
      </c>
      <c r="E79"/>
      <c r="F79"/>
      <c r="G79"/>
      <c r="H79"/>
    </row>
    <row r="80" spans="2:17" ht="15" x14ac:dyDescent="0.25">
      <c r="C80" s="159">
        <v>42597</v>
      </c>
      <c r="D80" s="3">
        <v>1809.6</v>
      </c>
      <c r="E80" t="s">
        <v>494</v>
      </c>
      <c r="F80" s="14"/>
      <c r="G80"/>
      <c r="H80"/>
    </row>
    <row r="81" spans="2:8" ht="15" x14ac:dyDescent="0.25">
      <c r="C81" s="159">
        <v>42598</v>
      </c>
      <c r="D81" s="3">
        <v>491</v>
      </c>
      <c r="E81" t="s">
        <v>499</v>
      </c>
      <c r="H81"/>
    </row>
    <row r="82" spans="2:8" ht="15" x14ac:dyDescent="0.25">
      <c r="B82"/>
      <c r="C82" s="159">
        <v>42599</v>
      </c>
      <c r="D82" s="3">
        <v>465</v>
      </c>
      <c r="E82" t="s">
        <v>500</v>
      </c>
      <c r="F82"/>
      <c r="G82"/>
      <c r="H82"/>
    </row>
    <row r="83" spans="2:8" ht="15" x14ac:dyDescent="0.25">
      <c r="B83"/>
      <c r="C83" s="159">
        <v>42602</v>
      </c>
      <c r="D83" s="3">
        <v>2066</v>
      </c>
      <c r="E83" t="s">
        <v>501</v>
      </c>
      <c r="F83"/>
      <c r="G83"/>
      <c r="H83"/>
    </row>
    <row r="84" spans="2:8" ht="15" x14ac:dyDescent="0.25">
      <c r="B84"/>
      <c r="C84" s="159">
        <v>42606</v>
      </c>
      <c r="D84" s="3">
        <v>6652.88</v>
      </c>
      <c r="E84" t="s">
        <v>542</v>
      </c>
      <c r="F84"/>
      <c r="G84"/>
      <c r="H84"/>
    </row>
    <row r="85" spans="2:8" ht="15" x14ac:dyDescent="0.25">
      <c r="B85"/>
      <c r="C85" s="159">
        <v>42607</v>
      </c>
      <c r="D85" s="3">
        <v>705</v>
      </c>
      <c r="E85" t="s">
        <v>543</v>
      </c>
      <c r="F85"/>
      <c r="G85"/>
      <c r="H85"/>
    </row>
    <row r="86" spans="2:8" ht="15" x14ac:dyDescent="0.25">
      <c r="B86"/>
      <c r="C86" s="159">
        <v>42611</v>
      </c>
      <c r="D86" s="3">
        <v>3136</v>
      </c>
      <c r="E86" t="s">
        <v>549</v>
      </c>
      <c r="F86"/>
      <c r="G86"/>
      <c r="H86"/>
    </row>
    <row r="87" spans="2:8" ht="15" x14ac:dyDescent="0.25">
      <c r="B87"/>
      <c r="C87" s="159">
        <v>42612</v>
      </c>
      <c r="D87" s="3">
        <v>1449.28</v>
      </c>
      <c r="E87" t="s">
        <v>551</v>
      </c>
      <c r="F87"/>
      <c r="G87"/>
      <c r="H87"/>
    </row>
    <row r="88" spans="2:8" ht="15" x14ac:dyDescent="0.25">
      <c r="B88"/>
      <c r="C88" s="159"/>
      <c r="D88" s="3">
        <f>SUM(D71:D87)</f>
        <v>48995.96</v>
      </c>
      <c r="E88"/>
      <c r="F88"/>
      <c r="G88"/>
      <c r="H88"/>
    </row>
    <row r="89" spans="2:8" ht="15" x14ac:dyDescent="0.25">
      <c r="B89"/>
      <c r="C89" s="159"/>
      <c r="E89"/>
      <c r="F89"/>
      <c r="G89"/>
      <c r="H89"/>
    </row>
    <row r="90" spans="2:8" ht="15" x14ac:dyDescent="0.25">
      <c r="B90"/>
      <c r="C90" s="159"/>
      <c r="E90"/>
      <c r="F90"/>
      <c r="G90"/>
      <c r="H90"/>
    </row>
    <row r="91" spans="2:8" ht="15" x14ac:dyDescent="0.25">
      <c r="B91"/>
      <c r="C91" s="159"/>
      <c r="E91"/>
      <c r="F91"/>
      <c r="G91"/>
      <c r="H91"/>
    </row>
    <row r="92" spans="2:8" ht="15" x14ac:dyDescent="0.25">
      <c r="B92"/>
      <c r="C92" s="159"/>
      <c r="E92"/>
      <c r="F92"/>
      <c r="G92"/>
      <c r="H92"/>
    </row>
    <row r="93" spans="2:8" ht="15" x14ac:dyDescent="0.25">
      <c r="B93"/>
      <c r="C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</sheetData>
  <sortState ref="B35:F47">
    <sortCondition ref="C35:C47"/>
  </sortState>
  <mergeCells count="4">
    <mergeCell ref="L1:L2"/>
    <mergeCell ref="L20:L21"/>
    <mergeCell ref="L50:L51"/>
    <mergeCell ref="U1:U2"/>
  </mergeCells>
  <pageMargins left="0.70866141732283472" right="0.70866141732283472" top="0.74803149606299213" bottom="0.15748031496062992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T46"/>
  <sheetViews>
    <sheetView topLeftCell="A28" workbookViewId="0">
      <selection activeCell="I46" sqref="I46"/>
    </sheetView>
  </sheetViews>
  <sheetFormatPr baseColWidth="10" defaultRowHeight="15" x14ac:dyDescent="0.25"/>
  <cols>
    <col min="3" max="3" width="14" customWidth="1"/>
    <col min="4" max="4" width="11.42578125" style="1"/>
    <col min="6" max="6" width="14.140625" bestFit="1" customWidth="1"/>
    <col min="11" max="11" width="14.140625" bestFit="1" customWidth="1"/>
    <col min="12" max="12" width="12.5703125" bestFit="1" customWidth="1"/>
    <col min="18" max="18" width="14" customWidth="1"/>
    <col min="21" max="21" width="14.140625" bestFit="1" customWidth="1"/>
    <col min="26" max="26" width="14.140625" bestFit="1" customWidth="1"/>
    <col min="29" max="29" width="14.140625" bestFit="1" customWidth="1"/>
    <col min="33" max="33" width="14" customWidth="1"/>
    <col min="36" max="36" width="14.140625" bestFit="1" customWidth="1"/>
    <col min="41" max="41" width="14.140625" bestFit="1" customWidth="1"/>
    <col min="44" max="44" width="14.140625" bestFit="1" customWidth="1"/>
  </cols>
  <sheetData>
    <row r="1" spans="1:46" ht="24" thickBot="1" x14ac:dyDescent="0.4">
      <c r="B1" s="1"/>
      <c r="C1" s="408" t="s">
        <v>529</v>
      </c>
      <c r="D1" s="408"/>
      <c r="E1" s="408"/>
      <c r="F1" s="408"/>
      <c r="G1" s="408"/>
      <c r="H1" s="408"/>
      <c r="I1" s="408"/>
      <c r="J1" s="408"/>
      <c r="K1" s="300" t="s">
        <v>273</v>
      </c>
      <c r="L1" s="2"/>
      <c r="Q1" s="1"/>
      <c r="R1" s="408" t="s">
        <v>529</v>
      </c>
      <c r="S1" s="408"/>
      <c r="T1" s="408"/>
      <c r="U1" s="408"/>
      <c r="V1" s="408"/>
      <c r="W1" s="408"/>
      <c r="X1" s="408"/>
      <c r="Y1" s="408"/>
      <c r="Z1" s="300" t="s">
        <v>257</v>
      </c>
      <c r="AA1" s="2"/>
      <c r="AF1" s="1"/>
      <c r="AG1" s="408" t="s">
        <v>529</v>
      </c>
      <c r="AH1" s="408"/>
      <c r="AI1" s="408"/>
      <c r="AJ1" s="408"/>
      <c r="AK1" s="408"/>
      <c r="AL1" s="408"/>
      <c r="AM1" s="408"/>
      <c r="AN1" s="408"/>
      <c r="AO1" s="300" t="s">
        <v>256</v>
      </c>
      <c r="AP1" s="2"/>
    </row>
    <row r="2" spans="1:4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Q2" s="1"/>
      <c r="R2" s="4" t="s">
        <v>0</v>
      </c>
      <c r="T2" s="5"/>
      <c r="U2" s="5"/>
      <c r="W2" s="1"/>
      <c r="X2" s="1"/>
      <c r="Y2" s="1"/>
      <c r="Z2" s="1"/>
      <c r="AA2" s="2"/>
      <c r="AF2" s="1"/>
      <c r="AG2" s="4" t="s">
        <v>0</v>
      </c>
      <c r="AI2" s="5"/>
      <c r="AJ2" s="5"/>
      <c r="AL2" s="1"/>
      <c r="AM2" s="1"/>
      <c r="AN2" s="1"/>
      <c r="AO2" s="1"/>
      <c r="AP2" s="2"/>
    </row>
    <row r="3" spans="1:46" ht="20.25" thickTop="1" thickBot="1" x14ac:dyDescent="0.35">
      <c r="A3" s="6" t="s">
        <v>1</v>
      </c>
      <c r="B3" s="7"/>
      <c r="C3" s="8">
        <v>118199.66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P3" s="6" t="s">
        <v>1</v>
      </c>
      <c r="Q3" s="7"/>
      <c r="R3" s="8">
        <v>118199.66</v>
      </c>
      <c r="S3" s="9"/>
      <c r="T3" s="409" t="s">
        <v>2</v>
      </c>
      <c r="U3" s="410"/>
      <c r="W3" s="1"/>
      <c r="X3" s="411" t="s">
        <v>3</v>
      </c>
      <c r="Y3" s="412"/>
      <c r="Z3" s="413"/>
      <c r="AA3" s="10" t="s">
        <v>4</v>
      </c>
      <c r="AE3" s="6" t="s">
        <v>1</v>
      </c>
      <c r="AF3" s="7"/>
      <c r="AG3" s="8">
        <v>118199.66</v>
      </c>
      <c r="AH3" s="9"/>
      <c r="AI3" s="409" t="s">
        <v>2</v>
      </c>
      <c r="AJ3" s="410"/>
      <c r="AL3" s="1"/>
      <c r="AM3" s="411" t="s">
        <v>3</v>
      </c>
      <c r="AN3" s="412"/>
      <c r="AO3" s="413"/>
      <c r="AP3" s="10" t="s">
        <v>4</v>
      </c>
    </row>
    <row r="4" spans="1:46" ht="15.75" thickTop="1" x14ac:dyDescent="0.25">
      <c r="B4" s="11">
        <v>42614</v>
      </c>
      <c r="C4" s="12">
        <v>34432</v>
      </c>
      <c r="D4" s="40" t="s">
        <v>554</v>
      </c>
      <c r="E4" s="186">
        <v>42614</v>
      </c>
      <c r="F4" s="13">
        <v>35282</v>
      </c>
      <c r="G4" s="14"/>
      <c r="H4" s="187">
        <v>42614</v>
      </c>
      <c r="I4" s="345">
        <v>0</v>
      </c>
      <c r="J4" s="16" t="s">
        <v>5</v>
      </c>
      <c r="K4" s="320">
        <v>549</v>
      </c>
      <c r="L4" s="18">
        <v>0</v>
      </c>
      <c r="Q4" s="11">
        <v>42614</v>
      </c>
      <c r="R4" s="12">
        <v>34432</v>
      </c>
      <c r="S4" s="40" t="s">
        <v>554</v>
      </c>
      <c r="T4" s="186">
        <v>42614</v>
      </c>
      <c r="U4" s="13">
        <v>35282</v>
      </c>
      <c r="V4" s="14"/>
      <c r="W4" s="187">
        <v>42614</v>
      </c>
      <c r="X4" s="345">
        <v>0</v>
      </c>
      <c r="Y4" s="16" t="s">
        <v>5</v>
      </c>
      <c r="Z4" s="320">
        <v>0</v>
      </c>
      <c r="AA4" s="18">
        <v>0</v>
      </c>
      <c r="AC4" s="216"/>
      <c r="AF4" s="11">
        <v>42614</v>
      </c>
      <c r="AG4" s="12">
        <v>34432</v>
      </c>
      <c r="AH4" s="40" t="s">
        <v>554</v>
      </c>
      <c r="AI4" s="186">
        <v>42614</v>
      </c>
      <c r="AJ4" s="13">
        <v>35282</v>
      </c>
      <c r="AK4" s="14"/>
      <c r="AL4" s="187">
        <v>42614</v>
      </c>
      <c r="AM4" s="345">
        <v>0</v>
      </c>
      <c r="AN4" s="16" t="s">
        <v>5</v>
      </c>
      <c r="AO4" s="320">
        <v>0</v>
      </c>
      <c r="AP4" s="18">
        <v>0</v>
      </c>
    </row>
    <row r="5" spans="1:46" ht="15" customHeight="1" x14ac:dyDescent="0.25">
      <c r="B5" s="11">
        <v>42615</v>
      </c>
      <c r="C5" s="12">
        <v>57184</v>
      </c>
      <c r="D5" s="40">
        <v>-5186</v>
      </c>
      <c r="E5" s="20">
        <v>42615</v>
      </c>
      <c r="F5" s="13">
        <v>57184</v>
      </c>
      <c r="G5" s="21"/>
      <c r="H5" s="22">
        <v>42615</v>
      </c>
      <c r="I5" s="18">
        <v>0</v>
      </c>
      <c r="J5" s="422" t="s">
        <v>604</v>
      </c>
      <c r="K5" s="318">
        <v>0</v>
      </c>
      <c r="L5" s="18">
        <v>0</v>
      </c>
      <c r="Q5" s="11">
        <v>42615</v>
      </c>
      <c r="R5" s="12">
        <v>57184</v>
      </c>
      <c r="S5" s="19">
        <v>-5186</v>
      </c>
      <c r="T5" s="20">
        <v>42615</v>
      </c>
      <c r="U5" s="13">
        <v>57184</v>
      </c>
      <c r="V5" s="21"/>
      <c r="W5" s="22">
        <v>42615</v>
      </c>
      <c r="X5" s="18">
        <v>0</v>
      </c>
      <c r="Y5" s="422" t="s">
        <v>6</v>
      </c>
      <c r="Z5" s="318">
        <v>0</v>
      </c>
      <c r="AA5" s="18">
        <v>0</v>
      </c>
      <c r="AC5" s="216"/>
      <c r="AF5" s="11">
        <v>42615</v>
      </c>
      <c r="AG5" s="12">
        <v>57184</v>
      </c>
      <c r="AH5" s="19">
        <v>-5186</v>
      </c>
      <c r="AI5" s="20">
        <v>42615</v>
      </c>
      <c r="AJ5" s="13">
        <v>57184</v>
      </c>
      <c r="AK5" s="21"/>
      <c r="AL5" s="22">
        <v>42615</v>
      </c>
      <c r="AM5" s="18">
        <v>0</v>
      </c>
      <c r="AN5" s="422" t="s">
        <v>6</v>
      </c>
      <c r="AO5" s="318">
        <v>0</v>
      </c>
      <c r="AP5" s="18">
        <v>0</v>
      </c>
    </row>
    <row r="6" spans="1:46" ht="15" customHeight="1" x14ac:dyDescent="0.25">
      <c r="B6" s="11">
        <v>42616</v>
      </c>
      <c r="C6" s="12">
        <v>138128.5</v>
      </c>
      <c r="D6" s="40" t="s">
        <v>567</v>
      </c>
      <c r="E6" s="20">
        <v>42616</v>
      </c>
      <c r="F6" s="13">
        <v>138128.5</v>
      </c>
      <c r="G6" s="14"/>
      <c r="H6" s="22">
        <v>42616</v>
      </c>
      <c r="I6" s="18">
        <v>0</v>
      </c>
      <c r="J6" s="423"/>
      <c r="K6" s="332">
        <v>10000</v>
      </c>
      <c r="L6" s="18">
        <v>0</v>
      </c>
      <c r="Q6" s="11">
        <v>42616</v>
      </c>
      <c r="R6" s="12">
        <v>138128.5</v>
      </c>
      <c r="S6" s="19" t="s">
        <v>567</v>
      </c>
      <c r="T6" s="20">
        <v>42616</v>
      </c>
      <c r="U6" s="13">
        <v>138128.5</v>
      </c>
      <c r="V6" s="14"/>
      <c r="W6" s="22">
        <v>42616</v>
      </c>
      <c r="X6" s="18">
        <v>0</v>
      </c>
      <c r="Y6" s="423"/>
      <c r="Z6" s="332">
        <v>0</v>
      </c>
      <c r="AA6" s="18">
        <v>0</v>
      </c>
      <c r="AC6" s="216"/>
      <c r="AF6" s="11">
        <v>42616</v>
      </c>
      <c r="AG6" s="12">
        <v>138128.5</v>
      </c>
      <c r="AH6" s="19" t="s">
        <v>567</v>
      </c>
      <c r="AI6" s="20">
        <v>42616</v>
      </c>
      <c r="AJ6" s="13">
        <v>138128.5</v>
      </c>
      <c r="AK6" s="14"/>
      <c r="AL6" s="22">
        <v>42616</v>
      </c>
      <c r="AM6" s="18">
        <v>0</v>
      </c>
      <c r="AN6" s="423"/>
      <c r="AO6" s="332">
        <v>0</v>
      </c>
      <c r="AP6" s="18">
        <v>0</v>
      </c>
    </row>
    <row r="7" spans="1:46" x14ac:dyDescent="0.25">
      <c r="B7" s="11">
        <v>42617</v>
      </c>
      <c r="C7" s="12">
        <v>61589.5</v>
      </c>
      <c r="D7" s="40" t="s">
        <v>572</v>
      </c>
      <c r="E7" s="20">
        <v>42617</v>
      </c>
      <c r="F7" s="13">
        <v>61689.5</v>
      </c>
      <c r="G7" s="14"/>
      <c r="H7" s="22">
        <v>42617</v>
      </c>
      <c r="I7" s="345">
        <v>100</v>
      </c>
      <c r="J7" s="23" t="s">
        <v>7</v>
      </c>
      <c r="K7" s="318">
        <f>7187.5</f>
        <v>7187.5</v>
      </c>
      <c r="L7" s="18">
        <v>0</v>
      </c>
      <c r="Q7" s="11">
        <v>42617</v>
      </c>
      <c r="R7" s="12">
        <v>61589.5</v>
      </c>
      <c r="S7" s="19" t="s">
        <v>572</v>
      </c>
      <c r="T7" s="20">
        <v>42617</v>
      </c>
      <c r="U7" s="13">
        <v>61689.5</v>
      </c>
      <c r="V7" s="14"/>
      <c r="W7" s="22">
        <v>42617</v>
      </c>
      <c r="X7" s="345">
        <v>100</v>
      </c>
      <c r="Y7" s="23" t="s">
        <v>7</v>
      </c>
      <c r="Z7" s="318">
        <f>7187.5+7187.5</f>
        <v>14375</v>
      </c>
      <c r="AA7" s="18">
        <v>0</v>
      </c>
      <c r="AC7" s="216"/>
      <c r="AF7" s="11">
        <v>42617</v>
      </c>
      <c r="AG7" s="12">
        <v>61589.5</v>
      </c>
      <c r="AH7" s="19" t="s">
        <v>572</v>
      </c>
      <c r="AI7" s="20">
        <v>42617</v>
      </c>
      <c r="AJ7" s="13">
        <v>61689.5</v>
      </c>
      <c r="AK7" s="14"/>
      <c r="AL7" s="22">
        <v>42617</v>
      </c>
      <c r="AM7" s="345">
        <v>100</v>
      </c>
      <c r="AN7" s="23" t="s">
        <v>7</v>
      </c>
      <c r="AO7" s="318">
        <f>7187.5</f>
        <v>7187.5</v>
      </c>
      <c r="AP7" s="18">
        <v>0</v>
      </c>
      <c r="AR7" s="216"/>
      <c r="AS7" s="147"/>
      <c r="AT7" s="147"/>
    </row>
    <row r="8" spans="1:46" x14ac:dyDescent="0.25">
      <c r="B8" s="11">
        <v>42618</v>
      </c>
      <c r="C8" s="12">
        <v>195441</v>
      </c>
      <c r="D8" s="40" t="s">
        <v>574</v>
      </c>
      <c r="E8" s="20">
        <v>42618</v>
      </c>
      <c r="F8" s="13">
        <v>195596.5</v>
      </c>
      <c r="G8" s="14"/>
      <c r="H8" s="22">
        <v>42618</v>
      </c>
      <c r="I8" s="345">
        <v>155.44</v>
      </c>
      <c r="J8" s="23" t="s">
        <v>568</v>
      </c>
      <c r="K8" s="347">
        <v>7405.55</v>
      </c>
      <c r="L8" s="18">
        <v>0</v>
      </c>
      <c r="Q8" s="11">
        <v>42618</v>
      </c>
      <c r="R8" s="12">
        <v>195441</v>
      </c>
      <c r="S8" s="19" t="s">
        <v>574</v>
      </c>
      <c r="T8" s="20">
        <v>42618</v>
      </c>
      <c r="U8" s="13">
        <v>195596.5</v>
      </c>
      <c r="V8" s="14"/>
      <c r="W8" s="22">
        <v>42618</v>
      </c>
      <c r="X8" s="345">
        <v>155.44</v>
      </c>
      <c r="Y8" s="23" t="s">
        <v>568</v>
      </c>
      <c r="Z8" s="347">
        <v>7405.55</v>
      </c>
      <c r="AA8" s="18">
        <v>0</v>
      </c>
      <c r="AC8" s="216"/>
      <c r="AF8" s="11">
        <v>42618</v>
      </c>
      <c r="AG8" s="12">
        <v>195441</v>
      </c>
      <c r="AH8" s="19" t="s">
        <v>574</v>
      </c>
      <c r="AI8" s="20">
        <v>42618</v>
      </c>
      <c r="AJ8" s="13">
        <v>195596.5</v>
      </c>
      <c r="AK8" s="14"/>
      <c r="AL8" s="22">
        <v>42618</v>
      </c>
      <c r="AM8" s="345">
        <v>155.44</v>
      </c>
      <c r="AN8" s="23" t="s">
        <v>568</v>
      </c>
      <c r="AO8" s="347">
        <v>7405.55</v>
      </c>
      <c r="AP8" s="18">
        <v>0</v>
      </c>
      <c r="AR8" s="216"/>
      <c r="AS8" s="147"/>
      <c r="AT8" s="147"/>
    </row>
    <row r="9" spans="1:46" x14ac:dyDescent="0.25">
      <c r="B9" s="11">
        <v>42619</v>
      </c>
      <c r="C9" s="12">
        <v>79217.399999999994</v>
      </c>
      <c r="D9" s="40" t="s">
        <v>576</v>
      </c>
      <c r="E9" s="20">
        <v>42619</v>
      </c>
      <c r="F9" s="13">
        <v>79218</v>
      </c>
      <c r="G9" s="14"/>
      <c r="H9" s="22">
        <v>42619</v>
      </c>
      <c r="I9" s="345">
        <v>0</v>
      </c>
      <c r="J9" s="23" t="s">
        <v>569</v>
      </c>
      <c r="K9" s="347">
        <v>7405.55</v>
      </c>
      <c r="L9" s="18">
        <v>0</v>
      </c>
      <c r="Q9" s="11">
        <v>42619</v>
      </c>
      <c r="R9" s="12">
        <v>79217.399999999994</v>
      </c>
      <c r="S9" s="19" t="s">
        <v>576</v>
      </c>
      <c r="T9" s="20">
        <v>42619</v>
      </c>
      <c r="U9" s="13">
        <v>79218</v>
      </c>
      <c r="V9" s="14"/>
      <c r="W9" s="22">
        <v>42619</v>
      </c>
      <c r="X9" s="345">
        <v>0</v>
      </c>
      <c r="Y9" s="23" t="s">
        <v>569</v>
      </c>
      <c r="Z9" s="347">
        <v>7405.55</v>
      </c>
      <c r="AA9" s="18">
        <v>0</v>
      </c>
      <c r="AC9" s="216"/>
      <c r="AF9" s="11">
        <v>42619</v>
      </c>
      <c r="AG9" s="12">
        <v>79217.399999999994</v>
      </c>
      <c r="AH9" s="19" t="s">
        <v>576</v>
      </c>
      <c r="AI9" s="20">
        <v>42619</v>
      </c>
      <c r="AJ9" s="13">
        <v>79218</v>
      </c>
      <c r="AK9" s="14"/>
      <c r="AL9" s="22">
        <v>42619</v>
      </c>
      <c r="AM9" s="345">
        <v>0</v>
      </c>
      <c r="AN9" s="23" t="s">
        <v>569</v>
      </c>
      <c r="AO9" s="347">
        <v>7405.55</v>
      </c>
      <c r="AP9" s="18">
        <v>0</v>
      </c>
      <c r="AR9" s="216"/>
      <c r="AS9" s="147"/>
      <c r="AT9" s="165"/>
    </row>
    <row r="10" spans="1:46" x14ac:dyDescent="0.25">
      <c r="A10" s="27"/>
      <c r="B10" s="11">
        <v>42620</v>
      </c>
      <c r="C10" s="12">
        <v>39153.5</v>
      </c>
      <c r="D10" s="185" t="s">
        <v>578</v>
      </c>
      <c r="E10" s="20">
        <v>42620</v>
      </c>
      <c r="F10" s="13">
        <v>37528.5</v>
      </c>
      <c r="G10" s="14"/>
      <c r="H10" s="22">
        <v>42620</v>
      </c>
      <c r="I10" s="345">
        <v>0</v>
      </c>
      <c r="J10" s="23" t="s">
        <v>570</v>
      </c>
      <c r="K10" s="347">
        <v>8516.26</v>
      </c>
      <c r="L10" s="18">
        <v>0</v>
      </c>
      <c r="P10" s="27"/>
      <c r="Q10" s="11">
        <v>42620</v>
      </c>
      <c r="R10" s="12">
        <v>39153.5</v>
      </c>
      <c r="S10" s="26" t="s">
        <v>578</v>
      </c>
      <c r="T10" s="20">
        <v>42620</v>
      </c>
      <c r="U10" s="13">
        <v>37528.5</v>
      </c>
      <c r="V10" s="14"/>
      <c r="W10" s="22">
        <v>42620</v>
      </c>
      <c r="X10" s="345">
        <v>0</v>
      </c>
      <c r="Y10" s="23" t="s">
        <v>570</v>
      </c>
      <c r="Z10" s="347">
        <v>8516.26</v>
      </c>
      <c r="AA10" s="18">
        <v>0</v>
      </c>
      <c r="AC10" s="216"/>
      <c r="AE10" s="27"/>
      <c r="AF10" s="11">
        <v>42620</v>
      </c>
      <c r="AG10" s="12">
        <v>39153.5</v>
      </c>
      <c r="AH10" s="26" t="s">
        <v>578</v>
      </c>
      <c r="AI10" s="20">
        <v>42620</v>
      </c>
      <c r="AJ10" s="13">
        <v>37528.5</v>
      </c>
      <c r="AK10" s="14"/>
      <c r="AL10" s="22">
        <v>42620</v>
      </c>
      <c r="AM10" s="345">
        <v>0</v>
      </c>
      <c r="AN10" s="23" t="s">
        <v>570</v>
      </c>
      <c r="AO10" s="347">
        <v>0</v>
      </c>
      <c r="AP10" s="18">
        <v>0</v>
      </c>
      <c r="AR10" s="216"/>
      <c r="AS10" s="147"/>
      <c r="AT10" s="165"/>
    </row>
    <row r="11" spans="1:46" x14ac:dyDescent="0.25">
      <c r="B11" s="11">
        <v>42621</v>
      </c>
      <c r="C11" s="12">
        <v>42938</v>
      </c>
      <c r="D11" s="185" t="s">
        <v>579</v>
      </c>
      <c r="E11" s="20">
        <v>42621</v>
      </c>
      <c r="F11" s="13">
        <v>42938</v>
      </c>
      <c r="G11" s="14"/>
      <c r="H11" s="22">
        <v>42621</v>
      </c>
      <c r="I11" s="345">
        <v>0</v>
      </c>
      <c r="J11" s="23" t="s">
        <v>571</v>
      </c>
      <c r="K11" s="347">
        <v>7605.56</v>
      </c>
      <c r="L11" s="18">
        <v>0</v>
      </c>
      <c r="Q11" s="11">
        <v>42621</v>
      </c>
      <c r="R11" s="12">
        <v>42938</v>
      </c>
      <c r="S11" s="26" t="s">
        <v>579</v>
      </c>
      <c r="T11" s="20">
        <v>42621</v>
      </c>
      <c r="U11" s="13">
        <v>42938</v>
      </c>
      <c r="V11" s="14"/>
      <c r="W11" s="22">
        <v>42621</v>
      </c>
      <c r="X11" s="345">
        <v>0</v>
      </c>
      <c r="Y11" s="23" t="s">
        <v>571</v>
      </c>
      <c r="Z11" s="347">
        <v>0</v>
      </c>
      <c r="AA11" s="18">
        <v>0</v>
      </c>
      <c r="AC11" s="18"/>
      <c r="AF11" s="11">
        <v>42621</v>
      </c>
      <c r="AG11" s="12">
        <v>42938</v>
      </c>
      <c r="AH11" s="26" t="s">
        <v>579</v>
      </c>
      <c r="AI11" s="20">
        <v>42621</v>
      </c>
      <c r="AJ11" s="13">
        <v>42938</v>
      </c>
      <c r="AK11" s="14"/>
      <c r="AL11" s="22">
        <v>42621</v>
      </c>
      <c r="AM11" s="345">
        <v>0</v>
      </c>
      <c r="AN11" s="23" t="s">
        <v>571</v>
      </c>
      <c r="AO11" s="347">
        <v>0</v>
      </c>
      <c r="AP11" s="18">
        <v>0</v>
      </c>
      <c r="AR11" s="216"/>
      <c r="AS11" s="147"/>
      <c r="AT11" s="165"/>
    </row>
    <row r="12" spans="1:46" x14ac:dyDescent="0.25">
      <c r="A12" s="28"/>
      <c r="B12" s="11">
        <v>42622</v>
      </c>
      <c r="C12" s="12">
        <v>141288.5</v>
      </c>
      <c r="D12" s="40" t="s">
        <v>580</v>
      </c>
      <c r="E12" s="20">
        <v>42622</v>
      </c>
      <c r="F12" s="13">
        <v>141288.5</v>
      </c>
      <c r="G12" s="14"/>
      <c r="H12" s="22">
        <v>42622</v>
      </c>
      <c r="I12" s="345">
        <v>0</v>
      </c>
      <c r="J12" s="23" t="s">
        <v>117</v>
      </c>
      <c r="K12" s="347">
        <v>0</v>
      </c>
      <c r="L12" s="18">
        <v>0</v>
      </c>
      <c r="P12" s="28"/>
      <c r="Q12" s="11">
        <v>42622</v>
      </c>
      <c r="R12" s="12">
        <v>141288.5</v>
      </c>
      <c r="S12" s="19" t="s">
        <v>580</v>
      </c>
      <c r="T12" s="20">
        <v>42622</v>
      </c>
      <c r="U12" s="13">
        <v>141288.5</v>
      </c>
      <c r="V12" s="14"/>
      <c r="W12" s="22">
        <v>42622</v>
      </c>
      <c r="X12" s="345">
        <v>0</v>
      </c>
      <c r="Y12" s="23" t="s">
        <v>117</v>
      </c>
      <c r="Z12" s="347">
        <v>0</v>
      </c>
      <c r="AA12" s="18">
        <v>0</v>
      </c>
      <c r="AC12" s="216"/>
      <c r="AE12" s="28"/>
      <c r="AF12" s="11">
        <v>42622</v>
      </c>
      <c r="AG12" s="12">
        <v>141288.5</v>
      </c>
      <c r="AH12" s="19" t="s">
        <v>580</v>
      </c>
      <c r="AI12" s="20">
        <v>42622</v>
      </c>
      <c r="AJ12" s="13">
        <v>141288.5</v>
      </c>
      <c r="AK12" s="14"/>
      <c r="AL12" s="22">
        <v>42622</v>
      </c>
      <c r="AM12" s="345">
        <v>0</v>
      </c>
      <c r="AN12" s="23" t="s">
        <v>117</v>
      </c>
      <c r="AO12" s="347">
        <v>0</v>
      </c>
      <c r="AP12" s="18">
        <v>0</v>
      </c>
      <c r="AR12" s="216"/>
      <c r="AS12" s="147"/>
      <c r="AT12" s="165"/>
    </row>
    <row r="13" spans="1:46" x14ac:dyDescent="0.25">
      <c r="A13" s="28"/>
      <c r="B13" s="11">
        <v>42623</v>
      </c>
      <c r="C13" s="12">
        <v>63702</v>
      </c>
      <c r="D13" s="40" t="s">
        <v>581</v>
      </c>
      <c r="E13" s="20">
        <v>42623</v>
      </c>
      <c r="F13" s="13">
        <v>65702</v>
      </c>
      <c r="G13" s="14"/>
      <c r="H13" s="22">
        <v>42623</v>
      </c>
      <c r="I13" s="345">
        <v>0</v>
      </c>
      <c r="J13" s="30" t="s">
        <v>375</v>
      </c>
      <c r="K13" s="347">
        <v>0</v>
      </c>
      <c r="L13" s="18">
        <v>0</v>
      </c>
      <c r="P13" s="28"/>
      <c r="Q13" s="11">
        <v>42623</v>
      </c>
      <c r="R13" s="12">
        <v>63702</v>
      </c>
      <c r="S13" s="40" t="s">
        <v>581</v>
      </c>
      <c r="T13" s="20">
        <v>42623</v>
      </c>
      <c r="U13" s="13">
        <v>65702</v>
      </c>
      <c r="V13" s="14"/>
      <c r="W13" s="22">
        <v>42623</v>
      </c>
      <c r="X13" s="345">
        <v>0</v>
      </c>
      <c r="Y13" s="30" t="s">
        <v>375</v>
      </c>
      <c r="Z13" s="347">
        <v>0</v>
      </c>
      <c r="AA13" s="18">
        <v>0</v>
      </c>
      <c r="AC13" s="216"/>
      <c r="AE13" s="28"/>
      <c r="AF13" s="11">
        <v>42623</v>
      </c>
      <c r="AG13" s="12">
        <v>63702</v>
      </c>
      <c r="AH13" s="40" t="s">
        <v>581</v>
      </c>
      <c r="AI13" s="20">
        <v>42623</v>
      </c>
      <c r="AJ13" s="13">
        <v>65702</v>
      </c>
      <c r="AK13" s="14"/>
      <c r="AL13" s="22">
        <v>42623</v>
      </c>
      <c r="AM13" s="345">
        <v>0</v>
      </c>
      <c r="AN13" s="30" t="s">
        <v>375</v>
      </c>
      <c r="AO13" s="347">
        <v>0</v>
      </c>
      <c r="AP13" s="18">
        <v>0</v>
      </c>
      <c r="AR13" s="216"/>
      <c r="AS13" s="147"/>
      <c r="AT13" s="165"/>
    </row>
    <row r="14" spans="1:46" x14ac:dyDescent="0.25">
      <c r="B14" s="11">
        <v>42624</v>
      </c>
      <c r="C14" s="12">
        <v>88067.85</v>
      </c>
      <c r="D14" s="40" t="s">
        <v>582</v>
      </c>
      <c r="E14" s="20">
        <v>42624</v>
      </c>
      <c r="F14" s="13">
        <v>88067.85</v>
      </c>
      <c r="G14" s="14"/>
      <c r="H14" s="22">
        <v>42624</v>
      </c>
      <c r="I14" s="345">
        <v>0</v>
      </c>
      <c r="J14" s="31"/>
      <c r="K14" s="347">
        <v>0</v>
      </c>
      <c r="L14" s="18">
        <v>0</v>
      </c>
      <c r="Q14" s="11">
        <v>42624</v>
      </c>
      <c r="R14" s="12">
        <v>88067.85</v>
      </c>
      <c r="S14" s="19" t="s">
        <v>582</v>
      </c>
      <c r="T14" s="20">
        <v>42624</v>
      </c>
      <c r="U14" s="13">
        <v>88067.85</v>
      </c>
      <c r="V14" s="14"/>
      <c r="W14" s="22">
        <v>42624</v>
      </c>
      <c r="X14" s="345">
        <v>0</v>
      </c>
      <c r="Y14" s="31"/>
      <c r="Z14" s="347">
        <v>0</v>
      </c>
      <c r="AA14" s="18">
        <v>0</v>
      </c>
      <c r="AC14" s="216"/>
      <c r="AF14" s="11">
        <v>42624</v>
      </c>
      <c r="AG14" s="12">
        <v>88067.85</v>
      </c>
      <c r="AH14" s="19" t="s">
        <v>582</v>
      </c>
      <c r="AI14" s="20">
        <v>42624</v>
      </c>
      <c r="AJ14" s="13">
        <v>88067.85</v>
      </c>
      <c r="AK14" s="14"/>
      <c r="AL14" s="22">
        <v>42624</v>
      </c>
      <c r="AM14" s="345">
        <v>0</v>
      </c>
      <c r="AN14" s="31"/>
      <c r="AO14" s="347">
        <v>0</v>
      </c>
      <c r="AP14" s="18">
        <v>0</v>
      </c>
      <c r="AR14" s="18"/>
      <c r="AS14" s="147"/>
      <c r="AT14" s="165"/>
    </row>
    <row r="15" spans="1:46" x14ac:dyDescent="0.25">
      <c r="A15" s="28"/>
      <c r="B15" s="11">
        <v>42625</v>
      </c>
      <c r="C15" s="12">
        <v>75586</v>
      </c>
      <c r="D15" s="40" t="s">
        <v>583</v>
      </c>
      <c r="E15" s="20">
        <v>42625</v>
      </c>
      <c r="F15" s="13">
        <v>75686</v>
      </c>
      <c r="G15" s="14"/>
      <c r="H15" s="22">
        <v>42625</v>
      </c>
      <c r="I15" s="345">
        <v>100</v>
      </c>
      <c r="J15" s="23" t="s">
        <v>225</v>
      </c>
      <c r="K15" s="347">
        <v>0</v>
      </c>
      <c r="L15" s="18">
        <v>0</v>
      </c>
      <c r="P15" s="28"/>
      <c r="Q15" s="11">
        <v>42625</v>
      </c>
      <c r="R15" s="12">
        <v>75586</v>
      </c>
      <c r="S15" s="19" t="s">
        <v>583</v>
      </c>
      <c r="T15" s="20">
        <v>42625</v>
      </c>
      <c r="U15" s="13">
        <v>75686</v>
      </c>
      <c r="V15" s="14"/>
      <c r="W15" s="22">
        <v>42625</v>
      </c>
      <c r="X15" s="345">
        <v>100</v>
      </c>
      <c r="Y15" s="23" t="s">
        <v>225</v>
      </c>
      <c r="Z15" s="347">
        <v>0</v>
      </c>
      <c r="AA15" s="18">
        <v>0</v>
      </c>
      <c r="AC15" s="216"/>
      <c r="AE15" s="28"/>
      <c r="AF15" s="11">
        <v>42625</v>
      </c>
      <c r="AG15" s="12">
        <v>75586</v>
      </c>
      <c r="AH15" s="19" t="s">
        <v>583</v>
      </c>
      <c r="AI15" s="20">
        <v>42625</v>
      </c>
      <c r="AJ15" s="13">
        <v>75686</v>
      </c>
      <c r="AK15" s="14"/>
      <c r="AL15" s="22">
        <v>42625</v>
      </c>
      <c r="AM15" s="345">
        <v>100</v>
      </c>
      <c r="AN15" s="23" t="s">
        <v>225</v>
      </c>
      <c r="AO15" s="347">
        <v>0</v>
      </c>
      <c r="AP15" s="18">
        <v>0</v>
      </c>
      <c r="AR15" s="216"/>
      <c r="AS15" s="147"/>
      <c r="AT15" s="299"/>
    </row>
    <row r="16" spans="1:46" x14ac:dyDescent="0.25">
      <c r="A16" s="28"/>
      <c r="B16" s="11">
        <v>42626</v>
      </c>
      <c r="C16" s="12">
        <v>31065.5</v>
      </c>
      <c r="D16" s="40" t="s">
        <v>583</v>
      </c>
      <c r="E16" s="20">
        <v>42626</v>
      </c>
      <c r="F16" s="13">
        <v>31065.5</v>
      </c>
      <c r="G16" s="14"/>
      <c r="H16" s="22">
        <v>42626</v>
      </c>
      <c r="I16" s="345">
        <v>0</v>
      </c>
      <c r="J16" s="34"/>
      <c r="K16" s="347">
        <v>0</v>
      </c>
      <c r="L16" s="18">
        <v>0</v>
      </c>
      <c r="P16" s="28"/>
      <c r="Q16" s="11">
        <v>42626</v>
      </c>
      <c r="R16" s="12">
        <v>31065.5</v>
      </c>
      <c r="S16" s="19" t="s">
        <v>583</v>
      </c>
      <c r="T16" s="20">
        <v>42626</v>
      </c>
      <c r="U16" s="13">
        <v>31065.5</v>
      </c>
      <c r="V16" s="14"/>
      <c r="W16" s="22">
        <v>42626</v>
      </c>
      <c r="X16" s="345">
        <v>0</v>
      </c>
      <c r="Y16" s="34"/>
      <c r="Z16" s="347">
        <v>0</v>
      </c>
      <c r="AA16" s="18">
        <v>0</v>
      </c>
      <c r="AC16" s="216"/>
      <c r="AE16" s="28"/>
      <c r="AF16" s="11">
        <v>42626</v>
      </c>
      <c r="AG16" s="12">
        <v>31065.5</v>
      </c>
      <c r="AH16" s="19" t="s">
        <v>583</v>
      </c>
      <c r="AI16" s="20">
        <v>42626</v>
      </c>
      <c r="AJ16" s="230">
        <v>31065.5</v>
      </c>
      <c r="AK16" s="14"/>
      <c r="AL16" s="22">
        <v>42626</v>
      </c>
      <c r="AM16" s="373">
        <v>0</v>
      </c>
      <c r="AN16" s="34"/>
      <c r="AO16" s="347">
        <v>0</v>
      </c>
      <c r="AP16" s="18">
        <v>0</v>
      </c>
      <c r="AR16" s="216"/>
      <c r="AS16" s="147"/>
      <c r="AT16" s="147"/>
    </row>
    <row r="17" spans="1:46" x14ac:dyDescent="0.25">
      <c r="A17" s="28"/>
      <c r="B17" s="11">
        <v>42627</v>
      </c>
      <c r="C17" s="12">
        <v>75866</v>
      </c>
      <c r="D17" s="40" t="s">
        <v>596</v>
      </c>
      <c r="E17" s="20">
        <v>42627</v>
      </c>
      <c r="F17" s="13">
        <v>75866</v>
      </c>
      <c r="G17" s="14"/>
      <c r="H17" s="22">
        <v>42627</v>
      </c>
      <c r="I17" s="345">
        <v>0</v>
      </c>
      <c r="J17" s="35" t="s">
        <v>374</v>
      </c>
      <c r="K17" s="347">
        <v>870</v>
      </c>
      <c r="L17" s="18">
        <v>0</v>
      </c>
      <c r="P17" s="28"/>
      <c r="Q17" s="11">
        <v>42627</v>
      </c>
      <c r="R17" s="12">
        <v>75866</v>
      </c>
      <c r="S17" s="19" t="s">
        <v>596</v>
      </c>
      <c r="T17" s="20">
        <v>42627</v>
      </c>
      <c r="U17" s="13">
        <v>75866</v>
      </c>
      <c r="V17" s="14"/>
      <c r="W17" s="22">
        <v>42627</v>
      </c>
      <c r="X17" s="345">
        <v>0</v>
      </c>
      <c r="Y17" s="35" t="s">
        <v>374</v>
      </c>
      <c r="Z17" s="347">
        <v>0</v>
      </c>
      <c r="AA17" s="18">
        <v>0</v>
      </c>
      <c r="AC17" s="216"/>
      <c r="AE17" s="28"/>
      <c r="AF17" s="11">
        <v>42627</v>
      </c>
      <c r="AG17" s="12"/>
      <c r="AH17" s="19"/>
      <c r="AI17" s="20">
        <v>42627</v>
      </c>
      <c r="AJ17" s="13"/>
      <c r="AK17" s="14"/>
      <c r="AL17" s="22">
        <v>42627</v>
      </c>
      <c r="AM17" s="345"/>
      <c r="AN17" s="35" t="s">
        <v>374</v>
      </c>
      <c r="AO17" s="347">
        <v>0</v>
      </c>
      <c r="AP17" s="18">
        <v>0</v>
      </c>
      <c r="AR17" s="216"/>
      <c r="AS17" s="147"/>
      <c r="AT17" s="147"/>
    </row>
    <row r="18" spans="1:46" x14ac:dyDescent="0.25">
      <c r="B18" s="11">
        <v>42628</v>
      </c>
      <c r="C18" s="12">
        <v>38165.5</v>
      </c>
      <c r="D18" s="40" t="s">
        <v>597</v>
      </c>
      <c r="E18" s="20">
        <v>42628</v>
      </c>
      <c r="F18" s="13">
        <v>38147.5</v>
      </c>
      <c r="G18" s="14"/>
      <c r="H18" s="22">
        <v>42628</v>
      </c>
      <c r="I18" s="345">
        <v>0</v>
      </c>
      <c r="J18" s="36">
        <v>42642</v>
      </c>
      <c r="K18" s="318">
        <v>0</v>
      </c>
      <c r="L18" s="18">
        <v>0</v>
      </c>
      <c r="Q18" s="11">
        <v>42628</v>
      </c>
      <c r="R18" s="12">
        <v>38165.5</v>
      </c>
      <c r="S18" s="19" t="s">
        <v>597</v>
      </c>
      <c r="T18" s="20">
        <v>42628</v>
      </c>
      <c r="U18" s="13">
        <v>38147.5</v>
      </c>
      <c r="V18" s="14"/>
      <c r="W18" s="22">
        <v>42628</v>
      </c>
      <c r="X18" s="345">
        <v>0</v>
      </c>
      <c r="Y18" s="36"/>
      <c r="Z18" s="318">
        <v>0</v>
      </c>
      <c r="AA18" s="18">
        <v>0</v>
      </c>
      <c r="AC18" s="216"/>
      <c r="AF18" s="11">
        <v>42628</v>
      </c>
      <c r="AG18" s="12"/>
      <c r="AH18" s="19"/>
      <c r="AI18" s="20">
        <v>42628</v>
      </c>
      <c r="AJ18" s="13"/>
      <c r="AK18" s="14"/>
      <c r="AL18" s="22">
        <v>42628</v>
      </c>
      <c r="AM18" s="345"/>
      <c r="AN18" s="36"/>
      <c r="AO18" s="318">
        <v>0</v>
      </c>
      <c r="AP18" s="18">
        <v>0</v>
      </c>
      <c r="AR18" s="216"/>
      <c r="AS18" s="147"/>
      <c r="AT18" s="147"/>
    </row>
    <row r="19" spans="1:46" ht="26.25" x14ac:dyDescent="0.25">
      <c r="A19" s="28"/>
      <c r="B19" s="11">
        <v>42629</v>
      </c>
      <c r="C19" s="12">
        <v>54248.5</v>
      </c>
      <c r="D19" s="40" t="s">
        <v>598</v>
      </c>
      <c r="E19" s="20">
        <v>42629</v>
      </c>
      <c r="F19" s="13">
        <v>54248.5</v>
      </c>
      <c r="G19" s="14"/>
      <c r="H19" s="22">
        <v>42629</v>
      </c>
      <c r="I19" s="345">
        <v>0</v>
      </c>
      <c r="J19" s="344" t="s">
        <v>553</v>
      </c>
      <c r="K19" s="347">
        <v>850</v>
      </c>
      <c r="L19" s="18">
        <v>0</v>
      </c>
      <c r="P19" s="28"/>
      <c r="Q19" s="11">
        <v>42629</v>
      </c>
      <c r="R19" s="12">
        <v>54248.5</v>
      </c>
      <c r="S19" s="19" t="s">
        <v>598</v>
      </c>
      <c r="T19" s="20">
        <v>42629</v>
      </c>
      <c r="U19" s="13">
        <v>54248.5</v>
      </c>
      <c r="V19" s="14"/>
      <c r="W19" s="22">
        <v>42629</v>
      </c>
      <c r="X19" s="345">
        <v>0</v>
      </c>
      <c r="Y19" s="344" t="s">
        <v>553</v>
      </c>
      <c r="Z19" s="347">
        <v>850</v>
      </c>
      <c r="AA19" s="18">
        <v>0</v>
      </c>
      <c r="AC19" s="216"/>
      <c r="AE19" s="28"/>
      <c r="AF19" s="11">
        <v>42629</v>
      </c>
      <c r="AG19" s="12"/>
      <c r="AH19" s="19"/>
      <c r="AI19" s="20">
        <v>42629</v>
      </c>
      <c r="AJ19" s="13"/>
      <c r="AK19" s="14"/>
      <c r="AL19" s="22">
        <v>42629</v>
      </c>
      <c r="AM19" s="345"/>
      <c r="AN19" s="344" t="s">
        <v>553</v>
      </c>
      <c r="AO19" s="347">
        <v>850</v>
      </c>
      <c r="AP19" s="18">
        <v>0</v>
      </c>
      <c r="AR19" s="216"/>
      <c r="AS19" s="147"/>
      <c r="AT19" s="147"/>
    </row>
    <row r="20" spans="1:46" x14ac:dyDescent="0.25">
      <c r="B20" s="11">
        <v>42630</v>
      </c>
      <c r="C20" s="12">
        <v>77631.5</v>
      </c>
      <c r="D20" s="40" t="s">
        <v>599</v>
      </c>
      <c r="E20" s="20">
        <v>42630</v>
      </c>
      <c r="F20" s="13">
        <v>77631.5</v>
      </c>
      <c r="G20" s="14"/>
      <c r="H20" s="22">
        <v>42630</v>
      </c>
      <c r="I20" s="18">
        <v>0</v>
      </c>
      <c r="J20" s="343"/>
      <c r="K20" s="292">
        <v>0</v>
      </c>
      <c r="L20" s="18">
        <v>0</v>
      </c>
      <c r="Q20" s="11">
        <v>42630</v>
      </c>
      <c r="R20" s="12">
        <v>77631.5</v>
      </c>
      <c r="S20" s="19" t="s">
        <v>599</v>
      </c>
      <c r="T20" s="20">
        <v>42630</v>
      </c>
      <c r="U20" s="13">
        <v>77631.5</v>
      </c>
      <c r="V20" s="14"/>
      <c r="W20" s="22">
        <v>42630</v>
      </c>
      <c r="X20" s="18">
        <v>0</v>
      </c>
      <c r="Y20" s="343"/>
      <c r="Z20" s="292">
        <v>0</v>
      </c>
      <c r="AA20" s="18">
        <v>0</v>
      </c>
      <c r="AC20" s="216"/>
      <c r="AF20" s="11">
        <v>42630</v>
      </c>
      <c r="AG20" s="12"/>
      <c r="AH20" s="19"/>
      <c r="AI20" s="20">
        <v>42630</v>
      </c>
      <c r="AJ20" s="13"/>
      <c r="AK20" s="14"/>
      <c r="AL20" s="22">
        <v>42630</v>
      </c>
      <c r="AM20" s="18"/>
      <c r="AN20" s="343"/>
      <c r="AO20" s="292">
        <v>0</v>
      </c>
      <c r="AP20" s="18">
        <v>0</v>
      </c>
      <c r="AR20" s="216"/>
      <c r="AS20" s="147"/>
      <c r="AT20" s="147"/>
    </row>
    <row r="21" spans="1:46" x14ac:dyDescent="0.25">
      <c r="B21" s="11">
        <v>42631</v>
      </c>
      <c r="C21" s="12">
        <v>52885</v>
      </c>
      <c r="D21" s="40" t="s">
        <v>600</v>
      </c>
      <c r="E21" s="20">
        <v>42631</v>
      </c>
      <c r="F21" s="13">
        <v>52985.5</v>
      </c>
      <c r="G21" s="14"/>
      <c r="H21" s="22">
        <v>42631</v>
      </c>
      <c r="I21" s="18">
        <v>100</v>
      </c>
      <c r="J21" s="342" t="s">
        <v>515</v>
      </c>
      <c r="K21" s="318">
        <v>0</v>
      </c>
      <c r="L21" s="18">
        <v>0</v>
      </c>
      <c r="Q21" s="11">
        <v>42631</v>
      </c>
      <c r="R21" s="12">
        <v>52885</v>
      </c>
      <c r="S21" s="40" t="s">
        <v>600</v>
      </c>
      <c r="T21" s="20">
        <v>42631</v>
      </c>
      <c r="U21" s="13">
        <v>52985.5</v>
      </c>
      <c r="V21" s="14"/>
      <c r="W21" s="22">
        <v>42631</v>
      </c>
      <c r="X21" s="18">
        <v>100</v>
      </c>
      <c r="Y21" s="342" t="s">
        <v>515</v>
      </c>
      <c r="Z21" s="318">
        <v>0</v>
      </c>
      <c r="AA21" s="18">
        <v>0</v>
      </c>
      <c r="AC21" s="216"/>
      <c r="AF21" s="11">
        <v>42631</v>
      </c>
      <c r="AG21" s="12"/>
      <c r="AH21" s="40"/>
      <c r="AI21" s="20">
        <v>42631</v>
      </c>
      <c r="AJ21" s="13"/>
      <c r="AK21" s="14"/>
      <c r="AL21" s="22">
        <v>42631</v>
      </c>
      <c r="AM21" s="18"/>
      <c r="AN21" s="342" t="s">
        <v>515</v>
      </c>
      <c r="AO21" s="318">
        <v>0</v>
      </c>
      <c r="AP21" s="18">
        <v>0</v>
      </c>
      <c r="AR21" s="299"/>
      <c r="AS21" s="147"/>
      <c r="AT21" s="147"/>
    </row>
    <row r="22" spans="1:46" x14ac:dyDescent="0.25">
      <c r="B22" s="11">
        <v>42632</v>
      </c>
      <c r="C22" s="12">
        <v>63923.5</v>
      </c>
      <c r="D22" s="40" t="s">
        <v>601</v>
      </c>
      <c r="E22" s="20">
        <v>42632</v>
      </c>
      <c r="F22" s="13">
        <v>63923.5</v>
      </c>
      <c r="G22" s="21"/>
      <c r="H22" s="22">
        <v>42632</v>
      </c>
      <c r="I22" s="345">
        <v>0</v>
      </c>
      <c r="J22" s="23"/>
      <c r="K22" s="318">
        <v>0</v>
      </c>
      <c r="L22" s="18">
        <v>0</v>
      </c>
      <c r="Q22" s="11">
        <v>42632</v>
      </c>
      <c r="R22" s="12">
        <v>63923.5</v>
      </c>
      <c r="S22" s="40" t="s">
        <v>601</v>
      </c>
      <c r="T22" s="20">
        <v>42632</v>
      </c>
      <c r="U22" s="13">
        <v>63923.5</v>
      </c>
      <c r="V22" s="21"/>
      <c r="W22" s="22">
        <v>42632</v>
      </c>
      <c r="X22" s="345">
        <v>0</v>
      </c>
      <c r="Y22" s="23"/>
      <c r="Z22" s="318">
        <v>0</v>
      </c>
      <c r="AA22" s="18">
        <v>0</v>
      </c>
      <c r="AC22" s="299"/>
      <c r="AF22" s="11">
        <v>42632</v>
      </c>
      <c r="AG22" s="12"/>
      <c r="AH22" s="40"/>
      <c r="AI22" s="20">
        <v>42632</v>
      </c>
      <c r="AJ22" s="13"/>
      <c r="AK22" s="21"/>
      <c r="AL22" s="22">
        <v>42632</v>
      </c>
      <c r="AM22" s="345"/>
      <c r="AN22" s="23"/>
      <c r="AO22" s="318">
        <v>0</v>
      </c>
      <c r="AP22" s="18">
        <v>0</v>
      </c>
      <c r="AR22" s="147"/>
      <c r="AS22" s="147"/>
      <c r="AT22" s="147"/>
    </row>
    <row r="23" spans="1:46" x14ac:dyDescent="0.25">
      <c r="A23" s="28"/>
      <c r="B23" s="11">
        <v>42633</v>
      </c>
      <c r="C23" s="12">
        <v>60162</v>
      </c>
      <c r="D23" s="40" t="s">
        <v>602</v>
      </c>
      <c r="E23" s="20">
        <v>42633</v>
      </c>
      <c r="F23" s="13">
        <v>60228</v>
      </c>
      <c r="G23" s="14"/>
      <c r="H23" s="22">
        <v>42633</v>
      </c>
      <c r="I23" s="345">
        <v>66</v>
      </c>
      <c r="J23" s="23"/>
      <c r="K23" s="347">
        <v>0</v>
      </c>
      <c r="L23" s="18">
        <v>0</v>
      </c>
      <c r="P23" s="28"/>
      <c r="Q23" s="11">
        <v>42633</v>
      </c>
      <c r="R23" s="374">
        <v>60162</v>
      </c>
      <c r="S23" s="40" t="s">
        <v>602</v>
      </c>
      <c r="T23" s="20">
        <v>42633</v>
      </c>
      <c r="U23" s="230">
        <v>60228</v>
      </c>
      <c r="V23" s="14"/>
      <c r="W23" s="22">
        <v>42633</v>
      </c>
      <c r="X23" s="373">
        <v>66</v>
      </c>
      <c r="Y23" s="23" t="s">
        <v>414</v>
      </c>
      <c r="Z23" s="347">
        <v>0</v>
      </c>
      <c r="AA23" s="18">
        <v>0</v>
      </c>
      <c r="AC23" s="147"/>
      <c r="AE23" s="28"/>
      <c r="AF23" s="11">
        <v>42633</v>
      </c>
      <c r="AG23" s="12"/>
      <c r="AH23" s="40"/>
      <c r="AI23" s="20">
        <v>42633</v>
      </c>
      <c r="AJ23" s="13"/>
      <c r="AK23" s="14"/>
      <c r="AL23" s="22">
        <v>42633</v>
      </c>
      <c r="AM23" s="345"/>
      <c r="AN23" s="23" t="s">
        <v>414</v>
      </c>
      <c r="AO23" s="347">
        <v>0</v>
      </c>
      <c r="AP23" s="18">
        <v>0</v>
      </c>
    </row>
    <row r="24" spans="1:46" x14ac:dyDescent="0.25">
      <c r="A24" s="28"/>
      <c r="B24" s="11">
        <v>42634</v>
      </c>
      <c r="C24" s="12">
        <v>38027</v>
      </c>
      <c r="D24" s="40" t="s">
        <v>603</v>
      </c>
      <c r="E24" s="20">
        <v>42634</v>
      </c>
      <c r="F24" s="13">
        <v>38027</v>
      </c>
      <c r="G24" s="14"/>
      <c r="H24" s="22">
        <v>42634</v>
      </c>
      <c r="I24" s="345">
        <v>0</v>
      </c>
      <c r="J24" s="31" t="s">
        <v>644</v>
      </c>
      <c r="K24" s="318">
        <v>9700</v>
      </c>
      <c r="L24" s="18">
        <v>0</v>
      </c>
      <c r="P24" s="28"/>
      <c r="Q24" s="11">
        <v>42634</v>
      </c>
      <c r="R24" s="12"/>
      <c r="S24" s="40"/>
      <c r="T24" s="20">
        <v>42634</v>
      </c>
      <c r="U24" s="13"/>
      <c r="V24" s="14"/>
      <c r="W24" s="22">
        <v>42634</v>
      </c>
      <c r="X24" s="345"/>
      <c r="Y24" s="34"/>
      <c r="Z24" s="318"/>
      <c r="AA24" s="18">
        <v>0</v>
      </c>
      <c r="AE24" s="28"/>
      <c r="AF24" s="11">
        <v>42634</v>
      </c>
      <c r="AG24" s="12"/>
      <c r="AH24" s="40"/>
      <c r="AI24" s="20">
        <v>42634</v>
      </c>
      <c r="AJ24" s="13"/>
      <c r="AK24" s="14"/>
      <c r="AL24" s="22">
        <v>42634</v>
      </c>
      <c r="AM24" s="345"/>
      <c r="AN24" s="34"/>
      <c r="AO24" s="318"/>
      <c r="AP24" s="18">
        <v>0</v>
      </c>
    </row>
    <row r="25" spans="1:46" x14ac:dyDescent="0.25">
      <c r="B25" s="11">
        <v>42635</v>
      </c>
      <c r="C25" s="12">
        <v>27203.5</v>
      </c>
      <c r="D25" s="40" t="s">
        <v>605</v>
      </c>
      <c r="E25" s="20">
        <v>42635</v>
      </c>
      <c r="F25" s="13">
        <v>37203.5</v>
      </c>
      <c r="G25" s="14"/>
      <c r="H25" s="22">
        <v>42635</v>
      </c>
      <c r="I25" s="345">
        <v>0</v>
      </c>
      <c r="J25" s="34">
        <v>42639</v>
      </c>
      <c r="K25" s="318"/>
      <c r="L25" s="18">
        <v>0</v>
      </c>
      <c r="Q25" s="11">
        <v>42635</v>
      </c>
      <c r="R25" s="12"/>
      <c r="S25" s="19"/>
      <c r="T25" s="20">
        <v>42635</v>
      </c>
      <c r="U25" s="13"/>
      <c r="V25" s="14"/>
      <c r="W25" s="22">
        <v>42635</v>
      </c>
      <c r="X25" s="345"/>
      <c r="Y25" s="23"/>
      <c r="Z25" s="318"/>
      <c r="AA25" s="18">
        <v>0</v>
      </c>
      <c r="AF25" s="11">
        <v>42635</v>
      </c>
      <c r="AG25" s="12"/>
      <c r="AH25" s="19"/>
      <c r="AI25" s="20">
        <v>42635</v>
      </c>
      <c r="AJ25" s="13"/>
      <c r="AK25" s="14"/>
      <c r="AL25" s="22">
        <v>42635</v>
      </c>
      <c r="AM25" s="345"/>
      <c r="AN25" s="23"/>
      <c r="AO25" s="318"/>
      <c r="AP25" s="18">
        <v>0</v>
      </c>
    </row>
    <row r="26" spans="1:46" x14ac:dyDescent="0.25">
      <c r="B26" s="11">
        <v>42636</v>
      </c>
      <c r="C26" s="12">
        <v>96384</v>
      </c>
      <c r="D26" s="40" t="s">
        <v>643</v>
      </c>
      <c r="E26" s="20">
        <v>42636</v>
      </c>
      <c r="F26" s="13">
        <v>96384</v>
      </c>
      <c r="G26" s="14"/>
      <c r="H26" s="22">
        <v>42636</v>
      </c>
      <c r="I26" s="345">
        <v>0</v>
      </c>
      <c r="J26" s="23"/>
      <c r="K26" s="318"/>
      <c r="L26" s="18">
        <v>0</v>
      </c>
      <c r="Q26" s="11">
        <v>42636</v>
      </c>
      <c r="R26" s="12"/>
      <c r="S26" s="19"/>
      <c r="T26" s="20">
        <v>42636</v>
      </c>
      <c r="U26" s="13"/>
      <c r="V26" s="14"/>
      <c r="W26" s="22">
        <v>42636</v>
      </c>
      <c r="X26" s="345"/>
      <c r="Y26" s="23"/>
      <c r="Z26" s="318"/>
      <c r="AA26" s="18">
        <v>0</v>
      </c>
      <c r="AF26" s="11">
        <v>42636</v>
      </c>
      <c r="AG26" s="12"/>
      <c r="AH26" s="19"/>
      <c r="AI26" s="20">
        <v>42636</v>
      </c>
      <c r="AJ26" s="13"/>
      <c r="AK26" s="14"/>
      <c r="AL26" s="22">
        <v>42636</v>
      </c>
      <c r="AM26" s="345"/>
      <c r="AN26" s="23"/>
      <c r="AO26" s="318"/>
      <c r="AP26" s="18">
        <v>0</v>
      </c>
    </row>
    <row r="27" spans="1:46" x14ac:dyDescent="0.25">
      <c r="B27" s="11">
        <v>42637</v>
      </c>
      <c r="C27" s="12">
        <v>38278.5</v>
      </c>
      <c r="D27" s="40" t="s">
        <v>642</v>
      </c>
      <c r="E27" s="20">
        <v>42637</v>
      </c>
      <c r="F27" s="13">
        <v>38278</v>
      </c>
      <c r="G27" s="14"/>
      <c r="H27" s="22">
        <v>42637</v>
      </c>
      <c r="I27" s="345">
        <v>0</v>
      </c>
      <c r="J27" s="23"/>
      <c r="K27" s="24"/>
      <c r="L27" s="18">
        <v>0</v>
      </c>
      <c r="Q27" s="11">
        <v>42637</v>
      </c>
      <c r="R27" s="12"/>
      <c r="S27" s="19"/>
      <c r="T27" s="20">
        <v>42637</v>
      </c>
      <c r="U27" s="13"/>
      <c r="V27" s="14"/>
      <c r="W27" s="22">
        <v>42637</v>
      </c>
      <c r="X27" s="345"/>
      <c r="Y27" s="23"/>
      <c r="Z27" s="24"/>
      <c r="AA27" s="18">
        <v>0</v>
      </c>
      <c r="AF27" s="11">
        <v>42637</v>
      </c>
      <c r="AG27" s="12"/>
      <c r="AH27" s="19"/>
      <c r="AI27" s="20">
        <v>42637</v>
      </c>
      <c r="AJ27" s="13"/>
      <c r="AK27" s="14"/>
      <c r="AL27" s="22">
        <v>42637</v>
      </c>
      <c r="AM27" s="345"/>
      <c r="AN27" s="23"/>
      <c r="AO27" s="24"/>
      <c r="AP27" s="18">
        <v>0</v>
      </c>
    </row>
    <row r="28" spans="1:46" x14ac:dyDescent="0.25">
      <c r="B28" s="11">
        <v>42638</v>
      </c>
      <c r="C28" s="12">
        <v>30733.5</v>
      </c>
      <c r="D28" s="40" t="s">
        <v>641</v>
      </c>
      <c r="E28" s="20">
        <v>42638</v>
      </c>
      <c r="F28" s="13">
        <v>30833</v>
      </c>
      <c r="G28" s="14"/>
      <c r="H28" s="22">
        <v>42638</v>
      </c>
      <c r="I28" s="345">
        <v>100</v>
      </c>
      <c r="J28" s="23"/>
      <c r="K28" s="24"/>
      <c r="L28" s="18">
        <v>0</v>
      </c>
      <c r="Q28" s="11">
        <v>42638</v>
      </c>
      <c r="R28" s="12"/>
      <c r="S28" s="19"/>
      <c r="T28" s="20">
        <v>42638</v>
      </c>
      <c r="U28" s="13"/>
      <c r="V28" s="14"/>
      <c r="W28" s="22">
        <v>42638</v>
      </c>
      <c r="X28" s="345"/>
      <c r="Y28" s="23"/>
      <c r="Z28" s="24"/>
      <c r="AA28" s="18">
        <v>0</v>
      </c>
      <c r="AF28" s="11">
        <v>42638</v>
      </c>
      <c r="AG28" s="12"/>
      <c r="AH28" s="19"/>
      <c r="AI28" s="20">
        <v>42638</v>
      </c>
      <c r="AJ28" s="13"/>
      <c r="AK28" s="14"/>
      <c r="AL28" s="22">
        <v>42638</v>
      </c>
      <c r="AM28" s="345"/>
      <c r="AN28" s="23"/>
      <c r="AO28" s="24"/>
      <c r="AP28" s="18">
        <v>0</v>
      </c>
    </row>
    <row r="29" spans="1:46" x14ac:dyDescent="0.25">
      <c r="B29" s="11">
        <v>42639</v>
      </c>
      <c r="C29" s="12">
        <v>153664.79999999999</v>
      </c>
      <c r="D29" s="40" t="s">
        <v>645</v>
      </c>
      <c r="E29" s="20">
        <v>42639</v>
      </c>
      <c r="F29" s="13">
        <v>163364.79999999999</v>
      </c>
      <c r="G29" s="14"/>
      <c r="H29" s="22">
        <v>42639</v>
      </c>
      <c r="I29" s="345">
        <v>0</v>
      </c>
      <c r="J29" s="23"/>
      <c r="K29" s="24"/>
      <c r="L29" s="18">
        <v>0</v>
      </c>
      <c r="Q29" s="11">
        <v>42639</v>
      </c>
      <c r="R29" s="12"/>
      <c r="S29" s="19"/>
      <c r="T29" s="20">
        <v>42639</v>
      </c>
      <c r="U29" s="13"/>
      <c r="V29" s="14"/>
      <c r="W29" s="22">
        <v>42639</v>
      </c>
      <c r="X29" s="345"/>
      <c r="Y29" s="23"/>
      <c r="Z29" s="24"/>
      <c r="AA29" s="18"/>
      <c r="AF29" s="11">
        <v>42639</v>
      </c>
      <c r="AG29" s="12"/>
      <c r="AH29" s="19"/>
      <c r="AI29" s="20">
        <v>42639</v>
      </c>
      <c r="AJ29" s="13"/>
      <c r="AK29" s="14"/>
      <c r="AL29" s="22">
        <v>42639</v>
      </c>
      <c r="AM29" s="345"/>
      <c r="AN29" s="23"/>
      <c r="AO29" s="24"/>
      <c r="AP29" s="18"/>
    </row>
    <row r="30" spans="1:46" x14ac:dyDescent="0.25">
      <c r="B30" s="11">
        <v>42640</v>
      </c>
      <c r="C30" s="12">
        <v>49461</v>
      </c>
      <c r="D30" s="40" t="s">
        <v>646</v>
      </c>
      <c r="E30" s="20">
        <v>42640</v>
      </c>
      <c r="F30" s="13">
        <v>49461</v>
      </c>
      <c r="G30" s="14"/>
      <c r="H30" s="22">
        <v>42640</v>
      </c>
      <c r="I30" s="345">
        <v>0</v>
      </c>
      <c r="J30" s="23"/>
      <c r="K30" s="24"/>
      <c r="L30" s="18">
        <v>0</v>
      </c>
      <c r="Q30" s="11">
        <v>42640</v>
      </c>
      <c r="R30" s="12"/>
      <c r="S30" s="19"/>
      <c r="T30" s="20">
        <v>42640</v>
      </c>
      <c r="U30" s="13"/>
      <c r="V30" s="14"/>
      <c r="W30" s="22">
        <v>42640</v>
      </c>
      <c r="X30" s="345"/>
      <c r="Y30" s="23"/>
      <c r="Z30" s="24"/>
      <c r="AA30" s="18"/>
      <c r="AF30" s="11">
        <v>42640</v>
      </c>
      <c r="AG30" s="12"/>
      <c r="AH30" s="19"/>
      <c r="AI30" s="20">
        <v>42640</v>
      </c>
      <c r="AJ30" s="13"/>
      <c r="AK30" s="14"/>
      <c r="AL30" s="22">
        <v>42640</v>
      </c>
      <c r="AM30" s="345"/>
      <c r="AN30" s="23"/>
      <c r="AO30" s="24"/>
      <c r="AP30" s="18"/>
    </row>
    <row r="31" spans="1:46" x14ac:dyDescent="0.25">
      <c r="B31" s="11">
        <v>42641</v>
      </c>
      <c r="C31" s="12">
        <v>74869</v>
      </c>
      <c r="D31" s="40" t="s">
        <v>647</v>
      </c>
      <c r="E31" s="20">
        <v>42641</v>
      </c>
      <c r="F31" s="13">
        <v>74869</v>
      </c>
      <c r="G31" s="14"/>
      <c r="H31" s="22">
        <v>42641</v>
      </c>
      <c r="I31" s="345">
        <v>0</v>
      </c>
      <c r="J31" s="23"/>
      <c r="K31" s="24"/>
      <c r="L31" s="18">
        <v>0</v>
      </c>
      <c r="Q31" s="11">
        <v>42641</v>
      </c>
      <c r="R31" s="12"/>
      <c r="S31" s="19"/>
      <c r="T31" s="20">
        <v>42641</v>
      </c>
      <c r="U31" s="13"/>
      <c r="V31" s="14"/>
      <c r="W31" s="22">
        <v>42641</v>
      </c>
      <c r="X31" s="345"/>
      <c r="Y31" s="23"/>
      <c r="Z31" s="24"/>
      <c r="AA31" s="18"/>
      <c r="AF31" s="11">
        <v>42641</v>
      </c>
      <c r="AG31" s="12"/>
      <c r="AH31" s="19"/>
      <c r="AI31" s="20">
        <v>42641</v>
      </c>
      <c r="AJ31" s="13"/>
      <c r="AK31" s="14"/>
      <c r="AL31" s="22">
        <v>42641</v>
      </c>
      <c r="AM31" s="345"/>
      <c r="AN31" s="23"/>
      <c r="AO31" s="24"/>
      <c r="AP31" s="18"/>
    </row>
    <row r="32" spans="1:46" x14ac:dyDescent="0.25">
      <c r="B32" s="11">
        <v>42642</v>
      </c>
      <c r="C32" s="12">
        <v>53900.5</v>
      </c>
      <c r="D32" s="378" t="s">
        <v>650</v>
      </c>
      <c r="E32" s="20">
        <v>42642</v>
      </c>
      <c r="F32" s="13">
        <v>54770.5</v>
      </c>
      <c r="G32" s="14"/>
      <c r="H32" s="22">
        <v>42642</v>
      </c>
      <c r="I32" s="345">
        <v>0</v>
      </c>
      <c r="J32" s="23"/>
      <c r="K32" s="24"/>
      <c r="L32" s="18">
        <v>0</v>
      </c>
      <c r="Q32" s="11">
        <v>42642</v>
      </c>
      <c r="R32" s="12"/>
      <c r="S32" s="42"/>
      <c r="T32" s="20">
        <v>42642</v>
      </c>
      <c r="U32" s="13"/>
      <c r="V32" s="14"/>
      <c r="W32" s="22">
        <v>42642</v>
      </c>
      <c r="X32" s="345"/>
      <c r="Y32" s="23"/>
      <c r="Z32" s="24"/>
      <c r="AA32" s="18"/>
      <c r="AF32" s="11">
        <v>42642</v>
      </c>
      <c r="AG32" s="12"/>
      <c r="AH32" s="42"/>
      <c r="AI32" s="20">
        <v>42642</v>
      </c>
      <c r="AJ32" s="13"/>
      <c r="AK32" s="14"/>
      <c r="AL32" s="22">
        <v>42642</v>
      </c>
      <c r="AM32" s="345"/>
      <c r="AN32" s="23"/>
      <c r="AO32" s="24"/>
      <c r="AP32" s="18"/>
    </row>
    <row r="33" spans="1:42" x14ac:dyDescent="0.25">
      <c r="B33" s="11">
        <v>42643</v>
      </c>
      <c r="C33" s="12">
        <v>47598.5</v>
      </c>
      <c r="D33" s="40" t="s">
        <v>649</v>
      </c>
      <c r="E33" s="20">
        <v>42643</v>
      </c>
      <c r="F33" s="13">
        <v>47664.5</v>
      </c>
      <c r="G33" s="14"/>
      <c r="H33" s="22">
        <v>42643</v>
      </c>
      <c r="I33" s="345">
        <v>66</v>
      </c>
      <c r="J33" s="23"/>
      <c r="K33" s="24"/>
      <c r="L33" s="18">
        <v>0</v>
      </c>
      <c r="Q33" s="11">
        <v>42643</v>
      </c>
      <c r="R33" s="12"/>
      <c r="S33" s="19"/>
      <c r="T33" s="20">
        <v>42643</v>
      </c>
      <c r="U33" s="13"/>
      <c r="V33" s="14"/>
      <c r="W33" s="22">
        <v>42643</v>
      </c>
      <c r="X33" s="345"/>
      <c r="Y33" s="23"/>
      <c r="Z33" s="24"/>
      <c r="AA33" s="18"/>
      <c r="AF33" s="11">
        <v>42643</v>
      </c>
      <c r="AG33" s="12"/>
      <c r="AH33" s="19"/>
      <c r="AI33" s="20">
        <v>42643</v>
      </c>
      <c r="AJ33" s="13"/>
      <c r="AK33" s="14"/>
      <c r="AL33" s="22">
        <v>42643</v>
      </c>
      <c r="AM33" s="345"/>
      <c r="AN33" s="23"/>
      <c r="AO33" s="24"/>
      <c r="AP33" s="18"/>
    </row>
    <row r="34" spans="1:42" ht="15.75" thickBot="1" x14ac:dyDescent="0.3">
      <c r="A34" s="28"/>
      <c r="B34" s="11"/>
      <c r="C34" s="12"/>
      <c r="D34" s="40"/>
      <c r="E34" s="20"/>
      <c r="F34" s="13"/>
      <c r="G34" s="14"/>
      <c r="H34" s="22"/>
      <c r="I34" s="345"/>
      <c r="J34" s="23"/>
      <c r="K34" s="24"/>
      <c r="L34" s="18"/>
      <c r="P34" s="28"/>
      <c r="Q34" s="11"/>
      <c r="R34" s="12"/>
      <c r="S34" s="19"/>
      <c r="T34" s="20"/>
      <c r="U34" s="13"/>
      <c r="V34" s="14"/>
      <c r="W34" s="22"/>
      <c r="X34" s="345"/>
      <c r="Y34" s="23"/>
      <c r="Z34" s="24"/>
      <c r="AA34" s="18"/>
      <c r="AE34" s="28"/>
      <c r="AF34" s="11"/>
      <c r="AG34" s="12"/>
      <c r="AH34" s="19"/>
      <c r="AI34" s="20"/>
      <c r="AJ34" s="13"/>
      <c r="AK34" s="14"/>
      <c r="AL34" s="22"/>
      <c r="AM34" s="345"/>
      <c r="AN34" s="23"/>
      <c r="AO34" s="24"/>
      <c r="AP34" s="18"/>
    </row>
    <row r="35" spans="1:42" ht="15.75" thickBot="1" x14ac:dyDescent="0.3">
      <c r="A35" s="43"/>
      <c r="B35" s="44"/>
      <c r="C35" s="45">
        <v>0</v>
      </c>
      <c r="D35" s="64"/>
      <c r="E35" s="47"/>
      <c r="F35" s="24">
        <v>0</v>
      </c>
      <c r="H35" s="48"/>
      <c r="I35" s="49"/>
      <c r="J35" s="23"/>
      <c r="K35" s="24"/>
      <c r="L35" s="50">
        <v>0</v>
      </c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</row>
    <row r="36" spans="1:42" ht="15.75" thickBot="1" x14ac:dyDescent="0.3">
      <c r="A36" s="51"/>
      <c r="B36" s="52" t="s">
        <v>0</v>
      </c>
      <c r="C36" s="53">
        <v>0</v>
      </c>
      <c r="D36" s="64"/>
      <c r="E36" s="54"/>
      <c r="F36" s="55">
        <v>0</v>
      </c>
      <c r="H36" s="56"/>
      <c r="I36" s="57">
        <v>0</v>
      </c>
      <c r="J36" s="58"/>
      <c r="K36" s="55"/>
      <c r="L36" s="59">
        <v>0</v>
      </c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</row>
    <row r="37" spans="1:42" x14ac:dyDescent="0.25">
      <c r="B37" s="60" t="s">
        <v>11</v>
      </c>
      <c r="C37" s="61">
        <f>SUM(C4:C36)</f>
        <v>2080796.05</v>
      </c>
      <c r="D37" s="64"/>
      <c r="E37" s="62" t="s">
        <v>11</v>
      </c>
      <c r="F37" s="63">
        <f>SUM(F4:F36)</f>
        <v>2103260.6500000004</v>
      </c>
      <c r="H37" s="1" t="s">
        <v>11</v>
      </c>
      <c r="I37" s="64">
        <f>SUM(I4:I36)</f>
        <v>687.44</v>
      </c>
      <c r="J37" s="64"/>
      <c r="K37" s="64">
        <f t="shared" ref="K37" si="0">SUM(K4:K36)</f>
        <v>60089.42</v>
      </c>
      <c r="L37" s="2">
        <f>SUM(L4:L36)</f>
        <v>0</v>
      </c>
      <c r="Q37" s="60" t="s">
        <v>11</v>
      </c>
      <c r="R37" s="61">
        <f>SUM(R4:R36)</f>
        <v>1470675.75</v>
      </c>
      <c r="S37" s="46"/>
      <c r="T37" s="62" t="s">
        <v>11</v>
      </c>
      <c r="U37" s="63">
        <f>SUM(U4:U36)</f>
        <v>1472405.35</v>
      </c>
      <c r="W37" s="1" t="s">
        <v>11</v>
      </c>
      <c r="X37" s="64">
        <f>SUM(X4:X36)</f>
        <v>521.44000000000005</v>
      </c>
      <c r="Y37" s="64"/>
      <c r="Z37" s="64">
        <f t="shared" ref="Z37" si="1">SUM(Z4:Z36)</f>
        <v>38552.36</v>
      </c>
      <c r="AA37" s="2">
        <f>SUM(AA4:AA36)</f>
        <v>0</v>
      </c>
      <c r="AF37" s="60" t="s">
        <v>11</v>
      </c>
      <c r="AG37" s="61">
        <f>SUM(AG4:AG36)</f>
        <v>1047793.75</v>
      </c>
      <c r="AH37" s="46"/>
      <c r="AI37" s="62" t="s">
        <v>11</v>
      </c>
      <c r="AJ37" s="63">
        <f>SUM(AJ4:AJ36)</f>
        <v>1049374.8500000001</v>
      </c>
      <c r="AL37" s="1" t="s">
        <v>11</v>
      </c>
      <c r="AM37" s="64">
        <f>SUM(AM4:AM36)</f>
        <v>355.44</v>
      </c>
      <c r="AN37" s="64"/>
      <c r="AO37" s="64">
        <f t="shared" ref="AO37" si="2">SUM(AO4:AO36)</f>
        <v>22848.6</v>
      </c>
      <c r="AP37" s="2">
        <f>SUM(AP4:AP36)</f>
        <v>0</v>
      </c>
    </row>
    <row r="38" spans="1:42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P38" s="416"/>
      <c r="Q38" s="416"/>
      <c r="R38" s="50"/>
      <c r="T38" s="1"/>
      <c r="U38" s="1"/>
      <c r="W38" s="1"/>
      <c r="X38" s="64"/>
      <c r="Y38" s="1"/>
      <c r="Z38" s="64"/>
      <c r="AA38" s="2"/>
      <c r="AE38" s="416"/>
      <c r="AF38" s="416"/>
      <c r="AG38" s="50"/>
      <c r="AI38" s="1"/>
      <c r="AJ38" s="1"/>
      <c r="AL38" s="1"/>
      <c r="AM38" s="64"/>
      <c r="AN38" s="1"/>
      <c r="AO38" s="64"/>
      <c r="AP38" s="2"/>
    </row>
    <row r="39" spans="1:42" ht="15.75" customHeight="1" x14ac:dyDescent="0.25">
      <c r="A39" s="65"/>
      <c r="B39" s="66"/>
      <c r="C39" s="50"/>
      <c r="D39" s="66"/>
      <c r="E39" s="66"/>
      <c r="F39" s="66"/>
      <c r="H39" s="400" t="s">
        <v>12</v>
      </c>
      <c r="I39" s="401"/>
      <c r="J39" s="402">
        <f>I37+K37</f>
        <v>60776.86</v>
      </c>
      <c r="K39" s="403"/>
      <c r="L39" s="68"/>
      <c r="P39" s="65"/>
      <c r="Q39" s="66"/>
      <c r="R39" s="50"/>
      <c r="S39" s="67"/>
      <c r="T39" s="66"/>
      <c r="U39" s="66"/>
      <c r="W39" s="400" t="s">
        <v>12</v>
      </c>
      <c r="X39" s="401"/>
      <c r="Y39" s="402">
        <f>X37+Z37</f>
        <v>39073.800000000003</v>
      </c>
      <c r="Z39" s="403"/>
      <c r="AA39" s="68"/>
      <c r="AE39" s="65"/>
      <c r="AF39" s="66"/>
      <c r="AG39" s="50"/>
      <c r="AH39" s="67"/>
      <c r="AI39" s="66"/>
      <c r="AJ39" s="66"/>
      <c r="AL39" s="400" t="s">
        <v>12</v>
      </c>
      <c r="AM39" s="401"/>
      <c r="AN39" s="402">
        <f>AM37+AO37</f>
        <v>23204.039999999997</v>
      </c>
      <c r="AO39" s="403"/>
      <c r="AP39" s="68"/>
    </row>
    <row r="40" spans="1:42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2042483.7900000003</v>
      </c>
      <c r="H40" s="1"/>
      <c r="I40" s="70"/>
      <c r="J40" s="1"/>
      <c r="K40" s="1"/>
      <c r="L40" s="2"/>
      <c r="P40" s="404"/>
      <c r="Q40" s="404"/>
      <c r="R40" s="50"/>
      <c r="S40" s="405" t="s">
        <v>13</v>
      </c>
      <c r="T40" s="405"/>
      <c r="U40" s="69">
        <f>U37-Y39</f>
        <v>1433331.55</v>
      </c>
      <c r="W40" s="1"/>
      <c r="X40" s="70"/>
      <c r="Y40" s="1"/>
      <c r="Z40" s="1"/>
      <c r="AA40" s="2"/>
      <c r="AE40" s="404"/>
      <c r="AF40" s="404"/>
      <c r="AG40" s="50"/>
      <c r="AH40" s="405" t="s">
        <v>13</v>
      </c>
      <c r="AI40" s="405"/>
      <c r="AJ40" s="69">
        <f>AJ37-AN39</f>
        <v>1026170.81</v>
      </c>
      <c r="AL40" s="1"/>
      <c r="AM40" s="70"/>
      <c r="AN40" s="1"/>
      <c r="AO40" s="1"/>
      <c r="AP40" s="2"/>
    </row>
    <row r="41" spans="1:42" x14ac:dyDescent="0.25">
      <c r="A41" s="67"/>
      <c r="B41" s="66"/>
      <c r="C41" s="50"/>
      <c r="D41" s="66"/>
      <c r="E41" s="66"/>
      <c r="F41" s="69">
        <v>0</v>
      </c>
      <c r="H41" s="1"/>
      <c r="I41" s="1"/>
      <c r="J41" s="1"/>
      <c r="K41" s="1"/>
      <c r="L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</row>
    <row r="42" spans="1:42" ht="15.75" thickBot="1" x14ac:dyDescent="0.3">
      <c r="B42" s="1"/>
      <c r="C42" s="2"/>
      <c r="E42" s="71" t="s">
        <v>14</v>
      </c>
      <c r="F42" s="50">
        <v>-2155183.96</v>
      </c>
      <c r="H42" s="1"/>
      <c r="I42" s="72" t="s">
        <v>15</v>
      </c>
      <c r="J42" s="275"/>
      <c r="K42" s="276">
        <v>205674.65</v>
      </c>
      <c r="L42" s="2"/>
      <c r="Q42" s="1"/>
      <c r="R42" s="2"/>
      <c r="T42" s="71" t="s">
        <v>14</v>
      </c>
      <c r="U42" s="50">
        <v>-1504272.5</v>
      </c>
      <c r="W42" s="1"/>
      <c r="X42" s="72" t="s">
        <v>15</v>
      </c>
      <c r="Y42" s="275"/>
      <c r="Z42" s="276">
        <v>137061.5</v>
      </c>
      <c r="AA42" s="2"/>
      <c r="AF42" s="1"/>
      <c r="AG42" s="2"/>
      <c r="AI42" s="71" t="s">
        <v>14</v>
      </c>
      <c r="AJ42" s="50">
        <v>-1169766.98</v>
      </c>
      <c r="AL42" s="1"/>
      <c r="AM42" s="72" t="s">
        <v>15</v>
      </c>
      <c r="AN42" s="275"/>
      <c r="AO42" s="276">
        <v>221273.72</v>
      </c>
      <c r="AP42" s="2"/>
    </row>
    <row r="43" spans="1:42" ht="15.75" thickTop="1" x14ac:dyDescent="0.25">
      <c r="B43" s="1"/>
      <c r="C43" s="2"/>
      <c r="E43" s="1" t="s">
        <v>16</v>
      </c>
      <c r="F43" s="64">
        <f>SUM(F40:F42)</f>
        <v>-112700.16999999969</v>
      </c>
      <c r="H43" s="1"/>
      <c r="I43" s="1"/>
      <c r="J43" s="1"/>
      <c r="K43" s="64">
        <f>K42+F45</f>
        <v>92974.480000000302</v>
      </c>
      <c r="L43" s="2"/>
      <c r="Q43" s="1"/>
      <c r="R43" s="2"/>
      <c r="T43" s="1" t="s">
        <v>16</v>
      </c>
      <c r="U43" s="64">
        <f>SUM(U40:U42)</f>
        <v>-70940.949999999953</v>
      </c>
      <c r="W43" s="1"/>
      <c r="X43" s="1"/>
      <c r="Y43" s="1"/>
      <c r="Z43" s="64">
        <f>Z42+U45</f>
        <v>78768.050000000047</v>
      </c>
      <c r="AA43" s="2"/>
      <c r="AF43" s="1"/>
      <c r="AG43" s="2"/>
      <c r="AI43" s="1" t="s">
        <v>16</v>
      </c>
      <c r="AJ43" s="64">
        <f>SUM(AJ40:AJ42)</f>
        <v>-143596.16999999993</v>
      </c>
      <c r="AL43" s="1"/>
      <c r="AM43" s="1"/>
      <c r="AN43" s="1"/>
      <c r="AO43" s="64">
        <f>AO42+AJ45</f>
        <v>84727.550000000076</v>
      </c>
      <c r="AP43" s="2"/>
    </row>
    <row r="44" spans="1:42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v>0</v>
      </c>
      <c r="L44" s="2">
        <f>C3</f>
        <v>118199.66</v>
      </c>
      <c r="Q44" s="1"/>
      <c r="R44" s="2"/>
      <c r="S44" s="62" t="s">
        <v>17</v>
      </c>
      <c r="T44" s="62"/>
      <c r="U44" s="75">
        <v>12647.5</v>
      </c>
      <c r="W44" s="1"/>
      <c r="X44" s="1" t="s">
        <v>1</v>
      </c>
      <c r="Y44" s="76"/>
      <c r="Z44" s="77">
        <f>-R3</f>
        <v>-118199.66</v>
      </c>
      <c r="AA44" s="2"/>
      <c r="AF44" s="1"/>
      <c r="AG44" s="2"/>
      <c r="AH44" s="62" t="s">
        <v>17</v>
      </c>
      <c r="AI44" s="62"/>
      <c r="AJ44" s="75">
        <v>7050</v>
      </c>
      <c r="AL44" s="1"/>
      <c r="AM44" s="1" t="s">
        <v>1</v>
      </c>
      <c r="AN44" s="76"/>
      <c r="AO44" s="77">
        <f>-AG3</f>
        <v>-118199.66</v>
      </c>
      <c r="AP44" s="2"/>
    </row>
    <row r="45" spans="1:42" ht="20.25" thickTop="1" thickBot="1" x14ac:dyDescent="0.35">
      <c r="B45" s="1"/>
      <c r="C45" s="2"/>
      <c r="E45" s="60" t="s">
        <v>18</v>
      </c>
      <c r="F45" s="78">
        <f>F44+F43</f>
        <v>-112700.16999999969</v>
      </c>
      <c r="H45" s="1"/>
      <c r="I45" s="406" t="s">
        <v>285</v>
      </c>
      <c r="J45" s="407"/>
      <c r="K45" s="79">
        <f>K43+K44</f>
        <v>92974.480000000302</v>
      </c>
      <c r="L45" s="2"/>
      <c r="Q45" s="1"/>
      <c r="R45" s="2"/>
      <c r="T45" s="60" t="s">
        <v>18</v>
      </c>
      <c r="U45" s="78">
        <f>U44+U43</f>
        <v>-58293.449999999953</v>
      </c>
      <c r="W45" s="1"/>
      <c r="X45" s="406" t="s">
        <v>175</v>
      </c>
      <c r="Y45" s="407"/>
      <c r="Z45" s="79">
        <f>Z43+Z44</f>
        <v>-39431.609999999957</v>
      </c>
      <c r="AA45" s="2"/>
      <c r="AF45" s="1"/>
      <c r="AG45" s="2"/>
      <c r="AI45" s="60" t="s">
        <v>18</v>
      </c>
      <c r="AJ45" s="78">
        <f>AJ44+AJ43</f>
        <v>-136546.16999999993</v>
      </c>
      <c r="AL45" s="1"/>
      <c r="AM45" s="406" t="s">
        <v>175</v>
      </c>
      <c r="AN45" s="407"/>
      <c r="AO45" s="79">
        <f>AO43+AO44</f>
        <v>-33472.109999999928</v>
      </c>
      <c r="AP45" s="2"/>
    </row>
    <row r="46" spans="1:4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Q46" s="1"/>
      <c r="R46" s="2"/>
      <c r="T46" s="1"/>
      <c r="U46" s="1"/>
      <c r="W46" s="1"/>
      <c r="X46" s="1"/>
      <c r="Y46" s="1"/>
      <c r="Z46" s="1"/>
      <c r="AA46" s="2"/>
      <c r="AF46" s="1"/>
      <c r="AG46" s="2"/>
      <c r="AI46" s="1"/>
      <c r="AJ46" s="1"/>
      <c r="AL46" s="1"/>
      <c r="AM46" s="1"/>
      <c r="AN46" s="1"/>
      <c r="AO46" s="1"/>
      <c r="AP46" s="2"/>
    </row>
  </sheetData>
  <mergeCells count="30">
    <mergeCell ref="H39:I39"/>
    <mergeCell ref="J39:K39"/>
    <mergeCell ref="A40:B40"/>
    <mergeCell ref="D40:E40"/>
    <mergeCell ref="I45:J45"/>
    <mergeCell ref="C1:J1"/>
    <mergeCell ref="E3:F3"/>
    <mergeCell ref="I3:K3"/>
    <mergeCell ref="J5:J6"/>
    <mergeCell ref="A38:B38"/>
    <mergeCell ref="W39:X39"/>
    <mergeCell ref="Y39:Z39"/>
    <mergeCell ref="P40:Q40"/>
    <mergeCell ref="S40:T40"/>
    <mergeCell ref="X45:Y45"/>
    <mergeCell ref="R1:Y1"/>
    <mergeCell ref="T3:U3"/>
    <mergeCell ref="X3:Z3"/>
    <mergeCell ref="Y5:Y6"/>
    <mergeCell ref="P38:Q38"/>
    <mergeCell ref="AM45:AN45"/>
    <mergeCell ref="AE40:AF40"/>
    <mergeCell ref="AH40:AI40"/>
    <mergeCell ref="AL39:AM39"/>
    <mergeCell ref="AN39:AO39"/>
    <mergeCell ref="AN5:AN6"/>
    <mergeCell ref="AE38:AF38"/>
    <mergeCell ref="AG1:AN1"/>
    <mergeCell ref="AI3:AJ3"/>
    <mergeCell ref="AM3:AO3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83"/>
  <sheetViews>
    <sheetView topLeftCell="A48" workbookViewId="0">
      <selection activeCell="D61" sqref="D61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2.5703125" bestFit="1" customWidth="1"/>
    <col min="14" max="14" width="15.42578125" customWidth="1"/>
    <col min="17" max="17" width="20.140625" bestFit="1" customWidth="1"/>
    <col min="22" max="22" width="12.5703125" bestFit="1" customWidth="1"/>
    <col min="24" max="24" width="14.7109375" customWidth="1"/>
    <col min="27" max="27" width="14.42578125" customWidth="1"/>
  </cols>
  <sheetData>
    <row r="1" spans="1:28" ht="19.5" customHeight="1" thickBot="1" x14ac:dyDescent="0.35">
      <c r="L1" s="33"/>
      <c r="M1" s="417">
        <v>1</v>
      </c>
      <c r="N1" s="86" t="s">
        <v>28</v>
      </c>
      <c r="O1" s="86"/>
      <c r="P1" s="110"/>
      <c r="Q1" s="326">
        <v>42618</v>
      </c>
      <c r="R1" s="112"/>
      <c r="V1" s="33"/>
      <c r="W1" s="417">
        <v>1</v>
      </c>
      <c r="X1" s="86" t="s">
        <v>28</v>
      </c>
      <c r="Y1" s="86"/>
      <c r="Z1" s="110"/>
      <c r="AA1" s="323">
        <v>42628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8"/>
      <c r="N2" s="113"/>
      <c r="O2" s="113"/>
      <c r="P2" s="114"/>
      <c r="Q2" s="115"/>
      <c r="R2" s="112"/>
      <c r="V2" s="33"/>
      <c r="W2" s="418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42614</v>
      </c>
      <c r="C4" s="93" t="s">
        <v>530</v>
      </c>
      <c r="D4" s="132">
        <v>107872.6</v>
      </c>
      <c r="E4" s="95">
        <v>42623</v>
      </c>
      <c r="F4" s="94">
        <v>107872.6</v>
      </c>
      <c r="G4" s="158">
        <f t="shared" ref="G4:G17" si="0">D4-F4</f>
        <v>0</v>
      </c>
      <c r="H4" s="146"/>
      <c r="L4" s="33">
        <v>19926.5</v>
      </c>
      <c r="M4" s="331" t="s">
        <v>484</v>
      </c>
      <c r="N4" s="132">
        <v>19943.810000000001</v>
      </c>
      <c r="O4" s="120" t="s">
        <v>36</v>
      </c>
      <c r="P4" s="289">
        <v>3280872</v>
      </c>
      <c r="Q4" s="296">
        <v>58000</v>
      </c>
      <c r="R4" s="297">
        <v>42603</v>
      </c>
      <c r="U4" s="369"/>
      <c r="V4" s="33">
        <v>2007.2</v>
      </c>
      <c r="W4" s="93" t="s">
        <v>558</v>
      </c>
      <c r="X4" s="132">
        <v>2007.2</v>
      </c>
      <c r="Y4" s="120"/>
      <c r="Z4" s="289" t="s">
        <v>31</v>
      </c>
      <c r="AA4" s="296">
        <v>5906</v>
      </c>
      <c r="AB4" s="297">
        <v>42618</v>
      </c>
    </row>
    <row r="5" spans="1:28" x14ac:dyDescent="0.25">
      <c r="A5" s="14"/>
      <c r="B5" s="96">
        <v>42616</v>
      </c>
      <c r="C5" s="93" t="s">
        <v>533</v>
      </c>
      <c r="D5" s="132">
        <v>112943.6</v>
      </c>
      <c r="E5" s="95">
        <v>42623</v>
      </c>
      <c r="F5" s="94">
        <v>112943.6</v>
      </c>
      <c r="G5" s="97">
        <f t="shared" si="0"/>
        <v>0</v>
      </c>
      <c r="H5" s="146"/>
      <c r="L5" s="33">
        <v>36219.9</v>
      </c>
      <c r="M5" s="331" t="s">
        <v>485</v>
      </c>
      <c r="N5" s="81">
        <v>36219.9</v>
      </c>
      <c r="O5" s="124"/>
      <c r="P5" s="241">
        <v>3266294</v>
      </c>
      <c r="Q5" s="242">
        <v>15000</v>
      </c>
      <c r="R5" s="290">
        <v>42603</v>
      </c>
      <c r="U5" s="369">
        <v>5497</v>
      </c>
      <c r="V5" s="33">
        <v>7340.7</v>
      </c>
      <c r="W5" s="98" t="s">
        <v>534</v>
      </c>
      <c r="X5" s="132">
        <v>7357.97</v>
      </c>
      <c r="Y5" s="120" t="s">
        <v>36</v>
      </c>
      <c r="Z5" s="241" t="s">
        <v>31</v>
      </c>
      <c r="AA5" s="242">
        <v>4514</v>
      </c>
      <c r="AB5" s="290">
        <v>42618</v>
      </c>
    </row>
    <row r="6" spans="1:28" x14ac:dyDescent="0.25">
      <c r="A6" s="14"/>
      <c r="B6" s="96">
        <v>42616</v>
      </c>
      <c r="C6" s="93" t="s">
        <v>558</v>
      </c>
      <c r="D6" s="132">
        <v>2007.2</v>
      </c>
      <c r="E6" s="95">
        <v>42628</v>
      </c>
      <c r="F6" s="132">
        <v>2007.2</v>
      </c>
      <c r="G6" s="99">
        <f t="shared" si="0"/>
        <v>0</v>
      </c>
      <c r="H6" s="38"/>
      <c r="L6" s="33">
        <v>65563.199999999997</v>
      </c>
      <c r="M6" s="331" t="s">
        <v>486</v>
      </c>
      <c r="N6" s="81">
        <v>65563.199999999997</v>
      </c>
      <c r="O6" s="120"/>
      <c r="P6" s="241">
        <v>3266292</v>
      </c>
      <c r="Q6" s="242">
        <v>50000</v>
      </c>
      <c r="R6" s="290">
        <v>42603</v>
      </c>
      <c r="U6" s="369">
        <v>5551</v>
      </c>
      <c r="V6" s="33">
        <f>42260.6+105319.4</f>
        <v>147580</v>
      </c>
      <c r="W6" s="93" t="s">
        <v>536</v>
      </c>
      <c r="X6" s="132">
        <v>147580</v>
      </c>
      <c r="Y6" s="120"/>
      <c r="Z6" s="241">
        <v>3659716</v>
      </c>
      <c r="AA6" s="242">
        <v>25000</v>
      </c>
      <c r="AB6" s="290">
        <v>42617</v>
      </c>
    </row>
    <row r="7" spans="1:28" x14ac:dyDescent="0.25">
      <c r="A7" s="14"/>
      <c r="B7" s="96">
        <v>42616</v>
      </c>
      <c r="C7" s="98" t="s">
        <v>534</v>
      </c>
      <c r="D7" s="132">
        <v>16104</v>
      </c>
      <c r="E7" s="196" t="s">
        <v>565</v>
      </c>
      <c r="F7" s="94">
        <f>8746.03+7357.97</f>
        <v>16104</v>
      </c>
      <c r="G7" s="97">
        <f t="shared" si="0"/>
        <v>0</v>
      </c>
      <c r="H7" s="38"/>
      <c r="L7" s="33">
        <v>19324.599999999999</v>
      </c>
      <c r="M7" s="331" t="s">
        <v>487</v>
      </c>
      <c r="N7" s="81">
        <v>19324</v>
      </c>
      <c r="O7" s="124"/>
      <c r="P7" s="241" t="s">
        <v>31</v>
      </c>
      <c r="Q7" s="242">
        <v>7272</v>
      </c>
      <c r="R7" s="290">
        <v>42513</v>
      </c>
      <c r="U7" s="369">
        <v>5608</v>
      </c>
      <c r="V7" s="33">
        <v>10951.2</v>
      </c>
      <c r="W7" s="93" t="s">
        <v>535</v>
      </c>
      <c r="X7" s="132">
        <v>10951.2</v>
      </c>
      <c r="Y7" s="124"/>
      <c r="Z7" s="241">
        <v>3659714</v>
      </c>
      <c r="AA7" s="242">
        <v>25132.5</v>
      </c>
      <c r="AB7" s="290">
        <v>42617</v>
      </c>
    </row>
    <row r="8" spans="1:28" x14ac:dyDescent="0.25">
      <c r="A8" s="14"/>
      <c r="B8" s="96">
        <v>42616</v>
      </c>
      <c r="C8" s="93" t="s">
        <v>536</v>
      </c>
      <c r="D8" s="132">
        <v>147580</v>
      </c>
      <c r="E8" s="95">
        <v>42628</v>
      </c>
      <c r="F8" s="132">
        <v>147580</v>
      </c>
      <c r="G8" s="97">
        <f t="shared" si="0"/>
        <v>0</v>
      </c>
      <c r="H8" s="38"/>
      <c r="L8" s="33">
        <v>65786.399999999994</v>
      </c>
      <c r="M8" s="328" t="s">
        <v>490</v>
      </c>
      <c r="N8" s="332">
        <v>65786.399999999994</v>
      </c>
      <c r="O8" s="124"/>
      <c r="P8" s="241" t="s">
        <v>31</v>
      </c>
      <c r="Q8" s="242">
        <v>7963</v>
      </c>
      <c r="R8" s="290">
        <v>42605</v>
      </c>
      <c r="U8" s="369"/>
      <c r="V8" s="33">
        <f>89913.34+54894.66</f>
        <v>144808</v>
      </c>
      <c r="W8" s="217" t="s">
        <v>562</v>
      </c>
      <c r="X8" s="368">
        <v>144808</v>
      </c>
      <c r="Y8" s="372" t="s">
        <v>564</v>
      </c>
      <c r="Z8" s="241" t="s">
        <v>31</v>
      </c>
      <c r="AA8" s="242">
        <v>76000</v>
      </c>
      <c r="AB8" s="290">
        <v>42625</v>
      </c>
    </row>
    <row r="9" spans="1:28" x14ac:dyDescent="0.25">
      <c r="A9" s="286"/>
      <c r="B9" s="96">
        <v>42617</v>
      </c>
      <c r="C9" s="93" t="s">
        <v>535</v>
      </c>
      <c r="D9" s="132">
        <v>10951.2</v>
      </c>
      <c r="E9" s="95">
        <v>42628</v>
      </c>
      <c r="F9" s="94">
        <v>10951.2</v>
      </c>
      <c r="G9" s="99">
        <f t="shared" si="0"/>
        <v>0</v>
      </c>
      <c r="H9" s="38"/>
      <c r="L9" s="33">
        <f>5599+63013.4</f>
        <v>68612.399999999994</v>
      </c>
      <c r="M9" s="331" t="s">
        <v>488</v>
      </c>
      <c r="N9" s="292">
        <v>68612.399999999994</v>
      </c>
      <c r="O9" s="124"/>
      <c r="P9" s="241">
        <v>3266291</v>
      </c>
      <c r="Q9" s="242">
        <v>8398.5</v>
      </c>
      <c r="R9" s="290">
        <v>42603</v>
      </c>
      <c r="V9" s="33">
        <f>5793.74+39153.5+30818.13</f>
        <v>75765.37</v>
      </c>
      <c r="W9" s="93" t="s">
        <v>537</v>
      </c>
      <c r="X9" s="235">
        <v>75765.37</v>
      </c>
      <c r="Y9" s="124"/>
      <c r="Z9" s="241" t="s">
        <v>31</v>
      </c>
      <c r="AA9" s="242">
        <v>1255</v>
      </c>
      <c r="AB9" s="290">
        <v>42619</v>
      </c>
    </row>
    <row r="10" spans="1:28" x14ac:dyDescent="0.25">
      <c r="A10" s="14"/>
      <c r="B10" s="334">
        <v>42617</v>
      </c>
      <c r="C10" s="217" t="s">
        <v>562</v>
      </c>
      <c r="D10" s="368">
        <v>144808</v>
      </c>
      <c r="E10" s="95">
        <v>42628</v>
      </c>
      <c r="F10" s="94">
        <v>144808</v>
      </c>
      <c r="G10" s="99">
        <f t="shared" si="0"/>
        <v>0</v>
      </c>
      <c r="H10" s="370" t="s">
        <v>563</v>
      </c>
      <c r="L10" s="33">
        <f>62554.1+6730</f>
        <v>69284.100000000006</v>
      </c>
      <c r="M10" s="331" t="s">
        <v>489</v>
      </c>
      <c r="N10" s="356">
        <v>69284.100000000006</v>
      </c>
      <c r="O10" s="124"/>
      <c r="P10" s="241" t="s">
        <v>31</v>
      </c>
      <c r="Q10" s="242">
        <v>64000</v>
      </c>
      <c r="R10" s="290">
        <v>42607</v>
      </c>
      <c r="V10" s="33">
        <f>12119.87+133485.73</f>
        <v>145605.6</v>
      </c>
      <c r="W10" s="93" t="s">
        <v>538</v>
      </c>
      <c r="X10" s="132">
        <v>145605.6</v>
      </c>
      <c r="Y10" s="124"/>
      <c r="Z10" s="241">
        <v>3659710</v>
      </c>
      <c r="AA10" s="242">
        <v>39978</v>
      </c>
      <c r="AB10" s="290">
        <v>42618</v>
      </c>
    </row>
    <row r="11" spans="1:28" x14ac:dyDescent="0.25">
      <c r="A11" s="14"/>
      <c r="B11" s="96">
        <v>42619</v>
      </c>
      <c r="C11" s="93" t="s">
        <v>537</v>
      </c>
      <c r="D11" s="235">
        <v>75765.37</v>
      </c>
      <c r="E11" s="95">
        <v>42628</v>
      </c>
      <c r="F11" s="235">
        <v>75765.37</v>
      </c>
      <c r="G11" s="99">
        <f t="shared" si="0"/>
        <v>0</v>
      </c>
      <c r="H11" s="38"/>
      <c r="L11" s="33">
        <v>15344.45</v>
      </c>
      <c r="M11" s="328" t="s">
        <v>498</v>
      </c>
      <c r="N11" s="332">
        <v>15344.45</v>
      </c>
      <c r="O11" s="128"/>
      <c r="P11" s="291">
        <v>3266293</v>
      </c>
      <c r="Q11" s="292">
        <v>44000</v>
      </c>
      <c r="R11" s="290">
        <v>42604</v>
      </c>
      <c r="V11" s="33">
        <v>5795.57</v>
      </c>
      <c r="W11" s="93" t="s">
        <v>559</v>
      </c>
      <c r="X11" s="132">
        <v>5778.66</v>
      </c>
      <c r="Y11" s="128" t="s">
        <v>88</v>
      </c>
      <c r="Z11" s="291">
        <v>3659711</v>
      </c>
      <c r="AA11" s="292">
        <v>60000</v>
      </c>
      <c r="AB11" s="290">
        <v>42618</v>
      </c>
    </row>
    <row r="12" spans="1:28" x14ac:dyDescent="0.25">
      <c r="A12" s="14"/>
      <c r="B12" s="96">
        <v>42620</v>
      </c>
      <c r="C12" s="93" t="s">
        <v>538</v>
      </c>
      <c r="D12" s="132">
        <v>145605.6</v>
      </c>
      <c r="E12" s="95">
        <v>42628</v>
      </c>
      <c r="F12" s="132">
        <v>145605.6</v>
      </c>
      <c r="G12" s="99">
        <f t="shared" si="0"/>
        <v>0</v>
      </c>
      <c r="H12" s="38"/>
      <c r="L12" s="33">
        <f>24545.15+8243.65</f>
        <v>32788.800000000003</v>
      </c>
      <c r="M12" s="328" t="s">
        <v>491</v>
      </c>
      <c r="N12" s="332">
        <v>32788.800000000003</v>
      </c>
      <c r="O12" s="129"/>
      <c r="P12" s="291">
        <v>3266290</v>
      </c>
      <c r="Q12" s="292">
        <v>17567.5</v>
      </c>
      <c r="R12" s="290">
        <v>42604</v>
      </c>
      <c r="V12" s="33"/>
      <c r="W12" s="93"/>
      <c r="X12" s="132"/>
      <c r="Y12" s="129"/>
      <c r="Z12" s="291">
        <v>3659713</v>
      </c>
      <c r="AA12" s="292">
        <v>18000</v>
      </c>
      <c r="AB12" s="290">
        <v>42618</v>
      </c>
    </row>
    <row r="13" spans="1:28" x14ac:dyDescent="0.25">
      <c r="A13" s="14"/>
      <c r="B13" s="96">
        <v>42621</v>
      </c>
      <c r="C13" s="93" t="s">
        <v>559</v>
      </c>
      <c r="D13" s="132">
        <v>109175.44</v>
      </c>
      <c r="E13" s="95" t="s">
        <v>592</v>
      </c>
      <c r="F13" s="132">
        <f>5778.66+103396.78</f>
        <v>109175.44</v>
      </c>
      <c r="G13" s="99">
        <f t="shared" si="0"/>
        <v>0</v>
      </c>
      <c r="H13" s="38"/>
      <c r="L13" s="33">
        <v>33688.800000000003</v>
      </c>
      <c r="M13" s="328" t="s">
        <v>492</v>
      </c>
      <c r="N13" s="332">
        <v>33688.800000000003</v>
      </c>
      <c r="O13" s="124"/>
      <c r="P13" s="291" t="s">
        <v>31</v>
      </c>
      <c r="Q13" s="292">
        <v>9200</v>
      </c>
      <c r="R13" s="290">
        <v>42605</v>
      </c>
      <c r="V13" s="33"/>
      <c r="W13" s="93"/>
      <c r="X13" s="132"/>
      <c r="Y13" s="124"/>
      <c r="Z13" s="291" t="s">
        <v>31</v>
      </c>
      <c r="AA13" s="292">
        <v>28482</v>
      </c>
      <c r="AB13" s="290">
        <v>42620</v>
      </c>
    </row>
    <row r="14" spans="1:28" x14ac:dyDescent="0.25">
      <c r="A14" s="264"/>
      <c r="B14" s="96">
        <v>42622</v>
      </c>
      <c r="C14" s="93" t="s">
        <v>560</v>
      </c>
      <c r="D14" s="132">
        <v>11148.8</v>
      </c>
      <c r="E14" s="95">
        <v>42639</v>
      </c>
      <c r="F14" s="132">
        <v>11148.8</v>
      </c>
      <c r="G14" s="99">
        <f t="shared" si="0"/>
        <v>0</v>
      </c>
      <c r="H14" s="38"/>
      <c r="L14" s="33">
        <f>18995.17+41341.5+16720.53</f>
        <v>77057.2</v>
      </c>
      <c r="M14" s="328" t="s">
        <v>493</v>
      </c>
      <c r="N14" s="356">
        <v>77058.2</v>
      </c>
      <c r="O14" s="124"/>
      <c r="P14" s="291" t="s">
        <v>31</v>
      </c>
      <c r="Q14" s="292">
        <v>9530</v>
      </c>
      <c r="R14" s="290">
        <v>42605</v>
      </c>
      <c r="V14" s="33"/>
      <c r="W14" s="93"/>
      <c r="X14" s="132"/>
      <c r="Y14" s="124"/>
      <c r="Z14" s="291" t="s">
        <v>31</v>
      </c>
      <c r="AA14" s="292">
        <v>19310</v>
      </c>
      <c r="AB14" s="290">
        <v>42620</v>
      </c>
    </row>
    <row r="15" spans="1:28" x14ac:dyDescent="0.25">
      <c r="A15" s="14"/>
      <c r="B15" s="96">
        <v>42622</v>
      </c>
      <c r="C15" s="93" t="s">
        <v>561</v>
      </c>
      <c r="D15" s="132">
        <v>156480.6</v>
      </c>
      <c r="E15" s="95">
        <v>42639</v>
      </c>
      <c r="F15" s="132">
        <v>156480.6</v>
      </c>
      <c r="G15" s="99">
        <f t="shared" si="0"/>
        <v>0</v>
      </c>
      <c r="H15" s="38"/>
      <c r="L15" s="33">
        <v>70430.2</v>
      </c>
      <c r="M15" s="328" t="s">
        <v>497</v>
      </c>
      <c r="N15" s="332">
        <v>70430.2</v>
      </c>
      <c r="O15" s="124"/>
      <c r="P15" s="291">
        <v>3266288</v>
      </c>
      <c r="Q15" s="292">
        <v>20000</v>
      </c>
      <c r="R15" s="290">
        <v>42605</v>
      </c>
      <c r="V15" s="33"/>
      <c r="W15" s="93"/>
      <c r="X15" s="132"/>
      <c r="Y15" s="124"/>
      <c r="Z15" s="291">
        <v>3659712</v>
      </c>
      <c r="AA15" s="292">
        <v>12896.5</v>
      </c>
      <c r="AB15" s="290">
        <v>42619</v>
      </c>
    </row>
    <row r="16" spans="1:28" x14ac:dyDescent="0.25">
      <c r="A16" s="14"/>
      <c r="B16" s="96">
        <v>42623</v>
      </c>
      <c r="C16" s="93" t="s">
        <v>556</v>
      </c>
      <c r="D16" s="132">
        <v>49287.199999999997</v>
      </c>
      <c r="E16" s="95">
        <v>42639</v>
      </c>
      <c r="F16" s="132">
        <v>49287.199999999997</v>
      </c>
      <c r="G16" s="99">
        <f t="shared" si="0"/>
        <v>0</v>
      </c>
      <c r="H16" s="38"/>
      <c r="L16" s="33">
        <f>28574.27+78682.5+446</f>
        <v>107702.77</v>
      </c>
      <c r="M16" s="328" t="s">
        <v>522</v>
      </c>
      <c r="N16" s="332">
        <v>107702.6</v>
      </c>
      <c r="O16" s="124"/>
      <c r="P16" s="291">
        <v>3266287</v>
      </c>
      <c r="Q16" s="292">
        <v>25000</v>
      </c>
      <c r="R16" s="290">
        <v>42605</v>
      </c>
      <c r="V16" s="33"/>
      <c r="W16" s="93"/>
      <c r="X16" s="235"/>
      <c r="Y16" s="124"/>
      <c r="Z16" s="291">
        <v>3266417</v>
      </c>
      <c r="AA16" s="292">
        <v>3717</v>
      </c>
      <c r="AB16" s="290">
        <v>42622</v>
      </c>
    </row>
    <row r="17" spans="1:28" x14ac:dyDescent="0.25">
      <c r="A17" s="14"/>
      <c r="B17" s="96">
        <v>42623</v>
      </c>
      <c r="C17" s="93" t="s">
        <v>557</v>
      </c>
      <c r="D17" s="132">
        <v>39644.949999999997</v>
      </c>
      <c r="E17" s="95">
        <v>42639</v>
      </c>
      <c r="F17" s="132">
        <v>39644.949999999997</v>
      </c>
      <c r="G17" s="99">
        <f t="shared" si="0"/>
        <v>0</v>
      </c>
      <c r="H17" s="38"/>
      <c r="L17" s="33">
        <v>11300</v>
      </c>
      <c r="M17" s="328" t="s">
        <v>519</v>
      </c>
      <c r="N17" s="332">
        <v>11300</v>
      </c>
      <c r="O17" s="124"/>
      <c r="P17" s="291">
        <v>3266289</v>
      </c>
      <c r="Q17" s="292">
        <v>33000</v>
      </c>
      <c r="R17" s="290">
        <v>42605</v>
      </c>
      <c r="V17" s="33"/>
      <c r="W17" s="93"/>
      <c r="X17" s="132"/>
      <c r="Y17" s="124"/>
      <c r="Z17" s="291">
        <v>3659708</v>
      </c>
      <c r="AA17" s="292">
        <v>20000</v>
      </c>
      <c r="AB17" s="290">
        <v>42620</v>
      </c>
    </row>
    <row r="18" spans="1:28" x14ac:dyDescent="0.25">
      <c r="A18" s="14"/>
      <c r="B18" s="96">
        <v>42627</v>
      </c>
      <c r="C18" s="93" t="s">
        <v>566</v>
      </c>
      <c r="D18" s="132">
        <v>182204.91</v>
      </c>
      <c r="E18" s="95">
        <v>42639</v>
      </c>
      <c r="F18" s="132">
        <v>182204.91</v>
      </c>
      <c r="G18" s="99">
        <f t="shared" ref="G18:G58" si="1">D18-F18</f>
        <v>0</v>
      </c>
      <c r="H18" s="38"/>
      <c r="L18" s="33">
        <v>13204</v>
      </c>
      <c r="M18" s="328" t="s">
        <v>520</v>
      </c>
      <c r="N18" s="332">
        <v>13204</v>
      </c>
      <c r="O18" s="124"/>
      <c r="P18" s="291">
        <v>3659741</v>
      </c>
      <c r="Q18" s="292">
        <v>15676</v>
      </c>
      <c r="R18" s="290">
        <v>42606</v>
      </c>
      <c r="V18" s="33"/>
      <c r="W18" s="353"/>
      <c r="X18" s="292"/>
      <c r="Y18" s="124"/>
      <c r="Z18" s="291">
        <v>3659709</v>
      </c>
      <c r="AA18" s="292">
        <v>15436.5</v>
      </c>
      <c r="AB18" s="290">
        <v>42620</v>
      </c>
    </row>
    <row r="19" spans="1:28" x14ac:dyDescent="0.25">
      <c r="A19" s="14"/>
      <c r="B19" s="96">
        <v>42628</v>
      </c>
      <c r="C19" s="93" t="s">
        <v>585</v>
      </c>
      <c r="D19" s="132">
        <v>13075.2</v>
      </c>
      <c r="E19" s="95" t="s">
        <v>631</v>
      </c>
      <c r="F19" s="132">
        <f>10870.76+2204.44</f>
        <v>13075.2</v>
      </c>
      <c r="G19" s="99">
        <f t="shared" si="1"/>
        <v>0</v>
      </c>
      <c r="H19" s="38"/>
      <c r="L19" s="33">
        <v>103888</v>
      </c>
      <c r="M19" s="328" t="s">
        <v>521</v>
      </c>
      <c r="N19" s="332">
        <v>103870.64</v>
      </c>
      <c r="O19" s="124" t="s">
        <v>88</v>
      </c>
      <c r="P19" s="291">
        <v>3659740</v>
      </c>
      <c r="Q19" s="292">
        <v>25000</v>
      </c>
      <c r="R19" s="290">
        <v>42607</v>
      </c>
      <c r="V19" s="33"/>
      <c r="W19" s="353"/>
      <c r="X19" s="292"/>
      <c r="Y19" s="124"/>
      <c r="Z19" s="291">
        <v>3659707</v>
      </c>
      <c r="AA19" s="292">
        <v>30000</v>
      </c>
      <c r="AB19" s="290">
        <v>42621</v>
      </c>
    </row>
    <row r="20" spans="1:28" ht="19.5" customHeight="1" x14ac:dyDescent="0.25">
      <c r="A20" s="14"/>
      <c r="B20" s="96">
        <v>42632</v>
      </c>
      <c r="C20" s="93" t="s">
        <v>586</v>
      </c>
      <c r="D20" s="132">
        <v>70722.600000000006</v>
      </c>
      <c r="E20" s="95">
        <v>42654</v>
      </c>
      <c r="F20" s="132">
        <v>70722.600000000006</v>
      </c>
      <c r="G20" s="99">
        <f t="shared" si="1"/>
        <v>0</v>
      </c>
      <c r="H20" s="38"/>
      <c r="L20" s="33"/>
      <c r="M20" s="328"/>
      <c r="N20" s="332"/>
      <c r="O20" s="124"/>
      <c r="P20" s="291">
        <v>3659739</v>
      </c>
      <c r="Q20" s="292">
        <v>14002.5</v>
      </c>
      <c r="R20" s="290">
        <v>42606</v>
      </c>
      <c r="V20" s="33"/>
      <c r="W20" s="328"/>
      <c r="X20" s="332"/>
      <c r="Y20" s="124"/>
      <c r="Z20" s="291">
        <v>3659706</v>
      </c>
      <c r="AA20" s="292">
        <v>12938</v>
      </c>
      <c r="AB20" s="290">
        <v>42621</v>
      </c>
    </row>
    <row r="21" spans="1:28" ht="16.5" customHeight="1" x14ac:dyDescent="0.25">
      <c r="A21" s="14"/>
      <c r="B21" s="96">
        <v>42633</v>
      </c>
      <c r="C21" s="93" t="s">
        <v>587</v>
      </c>
      <c r="D21" s="132">
        <v>13740.8</v>
      </c>
      <c r="E21" s="95">
        <v>42654</v>
      </c>
      <c r="F21" s="132">
        <v>13740.8</v>
      </c>
      <c r="G21" s="99">
        <f t="shared" si="1"/>
        <v>0</v>
      </c>
      <c r="H21" s="38"/>
      <c r="L21" s="3"/>
      <c r="M21" s="349"/>
      <c r="N21" s="350"/>
      <c r="O21" s="124"/>
      <c r="P21" s="291">
        <v>3280883</v>
      </c>
      <c r="Q21" s="292">
        <v>21925</v>
      </c>
      <c r="R21" s="290">
        <v>42608</v>
      </c>
      <c r="V21" s="3"/>
      <c r="W21" s="328"/>
      <c r="X21" s="332"/>
      <c r="Y21" s="124"/>
      <c r="Z21" s="291">
        <v>3659705</v>
      </c>
      <c r="AA21" s="292">
        <v>15000</v>
      </c>
      <c r="AB21" s="290">
        <v>42621</v>
      </c>
    </row>
    <row r="22" spans="1:28" x14ac:dyDescent="0.25">
      <c r="A22" s="264"/>
      <c r="B22" s="96">
        <v>42634</v>
      </c>
      <c r="C22" s="93" t="s">
        <v>588</v>
      </c>
      <c r="D22" s="132">
        <v>97133.8</v>
      </c>
      <c r="E22" s="95">
        <v>42654</v>
      </c>
      <c r="F22" s="132">
        <v>97133.8</v>
      </c>
      <c r="G22" s="99">
        <f t="shared" si="1"/>
        <v>0</v>
      </c>
      <c r="H22" s="38"/>
      <c r="L22" s="3"/>
      <c r="M22" s="328"/>
      <c r="N22" s="332"/>
      <c r="O22" s="124"/>
      <c r="P22" s="291">
        <v>3659738</v>
      </c>
      <c r="Q22" s="292">
        <v>41341.5</v>
      </c>
      <c r="R22" s="290">
        <v>42607</v>
      </c>
      <c r="W22" s="192"/>
      <c r="X22" s="192"/>
      <c r="Y22" s="192"/>
      <c r="Z22" s="340">
        <v>3659704</v>
      </c>
      <c r="AA22" s="332">
        <v>30000</v>
      </c>
      <c r="AB22" s="290">
        <v>42622</v>
      </c>
    </row>
    <row r="23" spans="1:28" x14ac:dyDescent="0.25">
      <c r="A23" s="14"/>
      <c r="B23" s="96">
        <v>42636</v>
      </c>
      <c r="C23" s="352" t="s">
        <v>593</v>
      </c>
      <c r="D23" s="235">
        <v>34717.300000000003</v>
      </c>
      <c r="E23" s="95">
        <v>42654</v>
      </c>
      <c r="F23" s="235">
        <v>34717.300000000003</v>
      </c>
      <c r="G23" s="99">
        <f t="shared" si="1"/>
        <v>0</v>
      </c>
      <c r="H23" s="38"/>
      <c r="L23" s="3"/>
      <c r="M23" s="93"/>
      <c r="N23" s="132"/>
      <c r="O23" s="124"/>
      <c r="P23" s="291">
        <v>3659736</v>
      </c>
      <c r="Q23" s="292">
        <v>32500</v>
      </c>
      <c r="R23" s="290">
        <v>42608</v>
      </c>
      <c r="W23" s="192"/>
      <c r="X23" s="192"/>
      <c r="Y23" s="192"/>
      <c r="Z23" s="340">
        <v>3659703</v>
      </c>
      <c r="AA23" s="332">
        <v>35000</v>
      </c>
      <c r="AB23" s="290">
        <v>42622</v>
      </c>
    </row>
    <row r="24" spans="1:28" ht="15" x14ac:dyDescent="0.25">
      <c r="A24" s="14"/>
      <c r="B24" s="96">
        <v>42636</v>
      </c>
      <c r="C24" s="93" t="s">
        <v>594</v>
      </c>
      <c r="D24" s="132">
        <v>30761.84</v>
      </c>
      <c r="E24" s="95">
        <v>42654</v>
      </c>
      <c r="F24" s="132">
        <v>30761.84</v>
      </c>
      <c r="G24" s="99">
        <f t="shared" si="1"/>
        <v>0</v>
      </c>
      <c r="H24" s="38"/>
      <c r="L24" s="3"/>
      <c r="M24" s="93"/>
      <c r="N24" s="132"/>
      <c r="O24" s="124"/>
      <c r="P24" s="291">
        <v>3659737</v>
      </c>
      <c r="Q24" s="292">
        <v>35000</v>
      </c>
      <c r="R24" s="290">
        <v>42608</v>
      </c>
      <c r="W24" s="192"/>
      <c r="X24" s="192"/>
      <c r="Y24" s="192"/>
      <c r="Z24" s="340">
        <v>3659702</v>
      </c>
      <c r="AA24" s="332">
        <v>16758</v>
      </c>
      <c r="AB24" s="290">
        <v>42622</v>
      </c>
    </row>
    <row r="25" spans="1:28" ht="15" x14ac:dyDescent="0.25">
      <c r="A25" s="14"/>
      <c r="B25" s="96">
        <v>42637</v>
      </c>
      <c r="C25" s="93" t="s">
        <v>595</v>
      </c>
      <c r="D25" s="132">
        <v>155669</v>
      </c>
      <c r="E25" s="95">
        <v>42654</v>
      </c>
      <c r="F25" s="132">
        <v>155669</v>
      </c>
      <c r="G25" s="99">
        <f t="shared" si="1"/>
        <v>0</v>
      </c>
      <c r="H25" s="38"/>
      <c r="L25" s="3"/>
      <c r="M25" s="93"/>
      <c r="N25" s="132"/>
      <c r="O25" s="124"/>
      <c r="P25" s="291" t="s">
        <v>31</v>
      </c>
      <c r="Q25" s="292">
        <v>11844</v>
      </c>
      <c r="R25" s="290">
        <v>42611</v>
      </c>
      <c r="W25" s="192"/>
      <c r="X25" s="192"/>
      <c r="Y25" s="192"/>
      <c r="Z25" s="340">
        <v>3266418</v>
      </c>
      <c r="AA25" s="332">
        <v>44530.5</v>
      </c>
      <c r="AB25" s="290">
        <v>42623</v>
      </c>
    </row>
    <row r="26" spans="1:28" ht="15" x14ac:dyDescent="0.25">
      <c r="A26" s="14"/>
      <c r="B26" s="96">
        <v>42632</v>
      </c>
      <c r="C26" s="93" t="s">
        <v>606</v>
      </c>
      <c r="D26" s="132">
        <v>390</v>
      </c>
      <c r="E26" s="95">
        <v>42654</v>
      </c>
      <c r="F26" s="132">
        <v>390</v>
      </c>
      <c r="G26" s="99">
        <f t="shared" si="1"/>
        <v>0</v>
      </c>
      <c r="H26" s="38"/>
      <c r="M26" s="192"/>
      <c r="N26" s="192"/>
      <c r="O26" s="192"/>
      <c r="P26" s="340">
        <v>3659735</v>
      </c>
      <c r="Q26" s="332">
        <v>25000</v>
      </c>
      <c r="R26" s="329">
        <v>42608</v>
      </c>
      <c r="W26" s="192"/>
      <c r="X26" s="192"/>
      <c r="Y26" s="192"/>
      <c r="Z26" s="340"/>
      <c r="AA26" s="332"/>
      <c r="AB26" s="290"/>
    </row>
    <row r="27" spans="1:28" ht="16.5" thickBot="1" x14ac:dyDescent="0.3">
      <c r="A27" s="14"/>
      <c r="B27" s="96">
        <v>42639</v>
      </c>
      <c r="C27" s="352" t="s">
        <v>607</v>
      </c>
      <c r="D27" s="235">
        <v>77257.8</v>
      </c>
      <c r="E27" s="95">
        <v>42654</v>
      </c>
      <c r="F27" s="235">
        <v>77257.8</v>
      </c>
      <c r="G27" s="99">
        <f t="shared" si="1"/>
        <v>0</v>
      </c>
      <c r="H27" s="38"/>
      <c r="M27" s="192"/>
      <c r="N27" s="192"/>
      <c r="O27" s="192"/>
      <c r="P27" s="340">
        <v>3659734</v>
      </c>
      <c r="Q27" s="332">
        <v>22681</v>
      </c>
      <c r="R27" s="329">
        <v>42608</v>
      </c>
      <c r="V27" s="3"/>
      <c r="W27" s="361"/>
      <c r="X27" s="362"/>
      <c r="Y27" s="363"/>
      <c r="Z27" s="364"/>
      <c r="AA27" s="371">
        <v>0</v>
      </c>
      <c r="AB27" s="366"/>
    </row>
    <row r="28" spans="1:28" ht="16.5" thickTop="1" x14ac:dyDescent="0.25">
      <c r="A28" s="14"/>
      <c r="B28" s="96">
        <v>42640</v>
      </c>
      <c r="C28" s="93" t="s">
        <v>608</v>
      </c>
      <c r="D28" s="132">
        <v>78165.5</v>
      </c>
      <c r="E28" s="95">
        <v>42654</v>
      </c>
      <c r="F28" s="132">
        <v>78165.5</v>
      </c>
      <c r="G28" s="99">
        <f t="shared" si="1"/>
        <v>0</v>
      </c>
      <c r="H28" s="38"/>
      <c r="M28" s="192"/>
      <c r="N28" s="192"/>
      <c r="O28" s="192"/>
      <c r="P28" s="340">
        <v>3659733</v>
      </c>
      <c r="Q28" s="332">
        <v>50000</v>
      </c>
      <c r="R28" s="329">
        <v>42609</v>
      </c>
      <c r="V28" s="33">
        <f>SUM(V4:V27)</f>
        <v>539853.6399999999</v>
      </c>
      <c r="W28" s="147"/>
      <c r="X28" s="236">
        <f>SUM(X4:X27)</f>
        <v>539854</v>
      </c>
      <c r="Y28" s="210"/>
      <c r="Z28" s="211"/>
      <c r="AA28" s="200">
        <f>SUM(AA4:AA27)</f>
        <v>539854</v>
      </c>
      <c r="AB28" s="202"/>
    </row>
    <row r="29" spans="1:28" ht="15" x14ac:dyDescent="0.25">
      <c r="A29" s="14"/>
      <c r="B29" s="96">
        <v>42641</v>
      </c>
      <c r="C29" s="93" t="s">
        <v>609</v>
      </c>
      <c r="D29" s="132">
        <v>2469.6</v>
      </c>
      <c r="E29" s="95">
        <v>42654</v>
      </c>
      <c r="F29" s="132">
        <v>2469.6</v>
      </c>
      <c r="G29" s="99">
        <f t="shared" si="1"/>
        <v>0</v>
      </c>
      <c r="H29" s="38"/>
      <c r="M29" s="192"/>
      <c r="N29" s="192"/>
      <c r="O29" s="192"/>
      <c r="P29" s="340">
        <v>3659732</v>
      </c>
      <c r="Q29" s="332">
        <v>28682.5</v>
      </c>
      <c r="R29" s="329">
        <v>42609</v>
      </c>
    </row>
    <row r="30" spans="1:28" ht="15" x14ac:dyDescent="0.25">
      <c r="A30" s="14"/>
      <c r="B30" s="96">
        <v>42641</v>
      </c>
      <c r="C30" s="233" t="s">
        <v>610</v>
      </c>
      <c r="D30" s="216">
        <v>60700.2</v>
      </c>
      <c r="E30" s="95">
        <v>42654</v>
      </c>
      <c r="F30" s="216">
        <v>60700.2</v>
      </c>
      <c r="G30" s="99">
        <f t="shared" si="1"/>
        <v>0</v>
      </c>
      <c r="H30" s="38"/>
      <c r="M30" s="192"/>
      <c r="N30" s="192"/>
      <c r="O30" s="192"/>
      <c r="P30" s="340">
        <v>3659731</v>
      </c>
      <c r="Q30" s="332">
        <v>50000</v>
      </c>
      <c r="R30" s="329">
        <v>42610</v>
      </c>
    </row>
    <row r="31" spans="1:28" thickBot="1" x14ac:dyDescent="0.3">
      <c r="A31" s="14"/>
      <c r="B31" s="96">
        <v>42642</v>
      </c>
      <c r="C31" s="233" t="s">
        <v>611</v>
      </c>
      <c r="D31" s="216">
        <v>2188.8000000000002</v>
      </c>
      <c r="E31" s="95">
        <v>42654</v>
      </c>
      <c r="F31" s="216">
        <v>2188.8000000000002</v>
      </c>
      <c r="G31" s="99">
        <f t="shared" si="1"/>
        <v>0</v>
      </c>
      <c r="H31" s="38"/>
      <c r="M31" s="192"/>
      <c r="N31" s="192"/>
      <c r="O31" s="192"/>
      <c r="P31" s="340">
        <v>3659730</v>
      </c>
      <c r="Q31" s="332">
        <v>23500</v>
      </c>
      <c r="R31" s="329">
        <v>42610</v>
      </c>
    </row>
    <row r="32" spans="1:28" ht="19.5" customHeight="1" thickBot="1" x14ac:dyDescent="0.35">
      <c r="A32" s="14"/>
      <c r="B32" s="96">
        <v>42643</v>
      </c>
      <c r="C32" s="331" t="s">
        <v>612</v>
      </c>
      <c r="D32" s="81">
        <v>62341.5</v>
      </c>
      <c r="E32" s="95">
        <v>42654</v>
      </c>
      <c r="F32" s="81">
        <v>62341.5</v>
      </c>
      <c r="G32" s="99">
        <f t="shared" si="1"/>
        <v>0</v>
      </c>
      <c r="H32" s="38"/>
      <c r="M32" s="192"/>
      <c r="N32" s="192"/>
      <c r="O32" s="192"/>
      <c r="P32" s="340">
        <v>3659727</v>
      </c>
      <c r="Q32" s="332">
        <v>44038</v>
      </c>
      <c r="R32" s="329">
        <v>42610</v>
      </c>
      <c r="V32" s="33"/>
      <c r="W32" s="417">
        <v>1</v>
      </c>
      <c r="X32" s="86" t="s">
        <v>28</v>
      </c>
      <c r="Y32" s="86"/>
      <c r="Z32" s="110"/>
      <c r="AA32" s="302">
        <v>42639</v>
      </c>
      <c r="AB32" s="112"/>
    </row>
    <row r="33" spans="2:28" ht="16.5" customHeight="1" thickBot="1" x14ac:dyDescent="0.3">
      <c r="B33" s="96">
        <v>42643</v>
      </c>
      <c r="C33" s="353" t="s">
        <v>613</v>
      </c>
      <c r="D33" s="292">
        <v>46508.13</v>
      </c>
      <c r="E33" s="95">
        <v>42654</v>
      </c>
      <c r="F33" s="292">
        <v>46508.13</v>
      </c>
      <c r="G33" s="327">
        <f t="shared" si="1"/>
        <v>0</v>
      </c>
      <c r="L33" s="3"/>
      <c r="M33" s="281"/>
      <c r="N33" s="282"/>
      <c r="O33" s="219"/>
      <c r="P33" s="198"/>
      <c r="Q33" s="199">
        <v>0</v>
      </c>
      <c r="R33" s="220"/>
      <c r="V33" s="33"/>
      <c r="W33" s="418"/>
      <c r="X33" s="113"/>
      <c r="Y33" s="113"/>
      <c r="Z33" s="114"/>
      <c r="AA33" s="115"/>
      <c r="AB33" s="112"/>
    </row>
    <row r="34" spans="2:28" ht="17.25" thickTop="1" thickBot="1" x14ac:dyDescent="0.3">
      <c r="B34" s="96"/>
      <c r="C34" s="353"/>
      <c r="D34" s="292"/>
      <c r="E34" s="290"/>
      <c r="F34" s="131"/>
      <c r="G34" s="327">
        <f t="shared" si="1"/>
        <v>0</v>
      </c>
      <c r="H34"/>
      <c r="L34" s="33">
        <f>SUM(L4:L33)</f>
        <v>810121.32</v>
      </c>
      <c r="M34" s="147"/>
      <c r="N34" s="236">
        <f>SUM(N4:N33)</f>
        <v>810121.49999999988</v>
      </c>
      <c r="O34" s="210"/>
      <c r="P34" s="211"/>
      <c r="Q34" s="200">
        <f>SUM(Q4:Q33)</f>
        <v>810121.5</v>
      </c>
      <c r="R34" s="202"/>
      <c r="V34" s="3"/>
      <c r="W34" s="116" t="s">
        <v>23</v>
      </c>
      <c r="X34" s="116" t="s">
        <v>24</v>
      </c>
      <c r="Y34" s="116"/>
      <c r="Z34" s="117" t="s">
        <v>29</v>
      </c>
      <c r="AA34" s="118" t="s">
        <v>30</v>
      </c>
      <c r="AB34" s="119"/>
    </row>
    <row r="35" spans="2:28" ht="16.5" thickTop="1" x14ac:dyDescent="0.25">
      <c r="B35" s="96"/>
      <c r="C35" s="353"/>
      <c r="D35" s="292"/>
      <c r="E35" s="290"/>
      <c r="F35" s="131"/>
      <c r="G35" s="327">
        <f t="shared" si="1"/>
        <v>0</v>
      </c>
      <c r="H35"/>
      <c r="V35" s="33">
        <f>63022+40357.87</f>
        <v>103379.87</v>
      </c>
      <c r="W35" s="93" t="s">
        <v>559</v>
      </c>
      <c r="X35" s="132">
        <v>103396.78</v>
      </c>
      <c r="Y35" s="120" t="s">
        <v>36</v>
      </c>
      <c r="Z35" s="289">
        <v>3659700</v>
      </c>
      <c r="AA35" s="296">
        <v>23022</v>
      </c>
      <c r="AB35" s="297">
        <v>42623</v>
      </c>
    </row>
    <row r="36" spans="2:28" ht="16.5" thickBot="1" x14ac:dyDescent="0.3">
      <c r="B36" s="96"/>
      <c r="C36" s="353"/>
      <c r="D36" s="292"/>
      <c r="E36" s="290"/>
      <c r="F36" s="131"/>
      <c r="G36" s="327">
        <f t="shared" si="1"/>
        <v>0</v>
      </c>
      <c r="H36"/>
      <c r="V36" s="33">
        <v>11148.8</v>
      </c>
      <c r="W36" s="93" t="s">
        <v>560</v>
      </c>
      <c r="X36" s="132">
        <v>11148.8</v>
      </c>
      <c r="Y36" s="124"/>
      <c r="Z36" s="241">
        <v>3659701</v>
      </c>
      <c r="AA36" s="242">
        <v>40000</v>
      </c>
      <c r="AB36" s="290">
        <v>42623</v>
      </c>
    </row>
    <row r="37" spans="2:28" ht="19.5" thickBot="1" x14ac:dyDescent="0.35">
      <c r="B37" s="96"/>
      <c r="C37" s="353"/>
      <c r="D37" s="292"/>
      <c r="E37" s="290"/>
      <c r="F37" s="131"/>
      <c r="G37" s="327">
        <f t="shared" si="1"/>
        <v>0</v>
      </c>
      <c r="H37"/>
      <c r="L37" s="33"/>
      <c r="M37" s="417">
        <v>1</v>
      </c>
      <c r="N37" s="86" t="s">
        <v>28</v>
      </c>
      <c r="O37" s="86"/>
      <c r="P37" s="110"/>
      <c r="Q37" s="148">
        <v>42623</v>
      </c>
      <c r="R37" s="112"/>
      <c r="V37" s="33">
        <f>36561.18+62648.5+31065.5+26205.42</f>
        <v>156480.59999999998</v>
      </c>
      <c r="W37" s="93" t="s">
        <v>561</v>
      </c>
      <c r="X37" s="132">
        <v>156480.6</v>
      </c>
      <c r="Y37" s="120"/>
      <c r="Z37" s="241" t="s">
        <v>31</v>
      </c>
      <c r="AA37" s="242">
        <v>7521</v>
      </c>
      <c r="AB37" s="290">
        <v>42621</v>
      </c>
    </row>
    <row r="38" spans="2:28" ht="16.5" thickBot="1" x14ac:dyDescent="0.3">
      <c r="B38" s="96"/>
      <c r="C38" s="353"/>
      <c r="D38" s="292"/>
      <c r="E38" s="290"/>
      <c r="F38" s="131"/>
      <c r="G38" s="327">
        <f t="shared" si="1"/>
        <v>0</v>
      </c>
      <c r="H38"/>
      <c r="L38" s="33"/>
      <c r="M38" s="418"/>
      <c r="N38" s="113"/>
      <c r="O38" s="113"/>
      <c r="P38" s="114"/>
      <c r="Q38" s="115"/>
      <c r="R38" s="112"/>
      <c r="V38" s="33">
        <v>49287.199999999997</v>
      </c>
      <c r="W38" s="93" t="s">
        <v>556</v>
      </c>
      <c r="X38" s="132">
        <v>49287.199999999997</v>
      </c>
      <c r="Y38" s="124"/>
      <c r="Z38" s="241">
        <v>3659698</v>
      </c>
      <c r="AA38" s="242">
        <v>29785</v>
      </c>
      <c r="AB38" s="290">
        <v>42624</v>
      </c>
    </row>
    <row r="39" spans="2:28" ht="16.5" thickBot="1" x14ac:dyDescent="0.3">
      <c r="B39" s="96"/>
      <c r="C39" s="353"/>
      <c r="D39" s="292"/>
      <c r="E39" s="290"/>
      <c r="F39" s="131"/>
      <c r="G39" s="327">
        <f t="shared" si="1"/>
        <v>0</v>
      </c>
      <c r="H39"/>
      <c r="L39" s="3"/>
      <c r="M39" s="116" t="s">
        <v>23</v>
      </c>
      <c r="N39" s="116" t="s">
        <v>24</v>
      </c>
      <c r="O39" s="116"/>
      <c r="P39" s="117" t="s">
        <v>29</v>
      </c>
      <c r="Q39" s="118" t="s">
        <v>30</v>
      </c>
      <c r="R39" s="119"/>
      <c r="V39" s="33">
        <f>373.38+27395.5+18+11858.15</f>
        <v>39645.03</v>
      </c>
      <c r="W39" s="93" t="s">
        <v>557</v>
      </c>
      <c r="X39" s="132">
        <v>39644.949999999997</v>
      </c>
      <c r="Y39" s="124"/>
      <c r="Z39" s="241">
        <v>3659699</v>
      </c>
      <c r="AA39" s="242">
        <v>40000</v>
      </c>
      <c r="AB39" s="290">
        <v>42624</v>
      </c>
    </row>
    <row r="40" spans="2:28" ht="16.5" thickTop="1" x14ac:dyDescent="0.25">
      <c r="B40" s="96"/>
      <c r="C40" s="353"/>
      <c r="D40" s="292"/>
      <c r="E40" s="290"/>
      <c r="F40" s="131"/>
      <c r="G40" s="327">
        <f t="shared" si="1"/>
        <v>0</v>
      </c>
      <c r="H40"/>
      <c r="L40" s="33">
        <v>4393.6099999999997</v>
      </c>
      <c r="M40" s="328" t="s">
        <v>521</v>
      </c>
      <c r="N40" s="132">
        <v>4410.97</v>
      </c>
      <c r="O40" s="120" t="s">
        <v>36</v>
      </c>
      <c r="P40" s="289" t="s">
        <v>31</v>
      </c>
      <c r="Q40" s="296">
        <v>37000</v>
      </c>
      <c r="R40" s="297">
        <v>42614</v>
      </c>
      <c r="V40" s="33">
        <f>42390.35+54105.5+43173.5+42535.56</f>
        <v>182204.91</v>
      </c>
      <c r="W40" s="93" t="s">
        <v>566</v>
      </c>
      <c r="X40" s="132">
        <v>182204.91</v>
      </c>
      <c r="Y40" s="124"/>
      <c r="Z40" s="241">
        <v>3280897</v>
      </c>
      <c r="AA40" s="242">
        <v>10762</v>
      </c>
      <c r="AB40" s="290">
        <v>42625</v>
      </c>
    </row>
    <row r="41" spans="2:28" x14ac:dyDescent="0.25">
      <c r="B41" s="96"/>
      <c r="C41" s="353"/>
      <c r="D41" s="292"/>
      <c r="E41" s="290"/>
      <c r="F41" s="131"/>
      <c r="G41" s="327">
        <f t="shared" si="1"/>
        <v>0</v>
      </c>
      <c r="H41"/>
      <c r="L41" s="33">
        <v>11723.2</v>
      </c>
      <c r="M41" s="328" t="s">
        <v>523</v>
      </c>
      <c r="N41" s="332">
        <v>11723.2</v>
      </c>
      <c r="O41" s="124"/>
      <c r="P41" s="241">
        <v>3659726</v>
      </c>
      <c r="Q41" s="242">
        <v>40000</v>
      </c>
      <c r="R41" s="290">
        <v>42611</v>
      </c>
      <c r="V41" s="33">
        <v>10888</v>
      </c>
      <c r="W41" s="93" t="s">
        <v>585</v>
      </c>
      <c r="X41" s="132">
        <v>10870.76</v>
      </c>
      <c r="Y41" s="124" t="s">
        <v>88</v>
      </c>
      <c r="Z41" s="241">
        <v>3659697</v>
      </c>
      <c r="AA41" s="242">
        <v>18000</v>
      </c>
      <c r="AB41" s="290">
        <v>42625</v>
      </c>
    </row>
    <row r="42" spans="2:28" x14ac:dyDescent="0.25">
      <c r="B42" s="354"/>
      <c r="C42" s="355"/>
      <c r="D42" s="306"/>
      <c r="E42" s="307"/>
      <c r="F42" s="136"/>
      <c r="G42" s="327">
        <f t="shared" si="1"/>
        <v>0</v>
      </c>
      <c r="H42"/>
      <c r="L42" s="33">
        <f>100818.39+5353.71</f>
        <v>106172.1</v>
      </c>
      <c r="M42" s="349" t="s">
        <v>524</v>
      </c>
      <c r="N42" s="350">
        <v>106172.1</v>
      </c>
      <c r="O42" s="120"/>
      <c r="P42" s="241" t="s">
        <v>31</v>
      </c>
      <c r="Q42" s="242">
        <v>20470</v>
      </c>
      <c r="R42" s="290">
        <v>42614</v>
      </c>
      <c r="V42" s="33"/>
      <c r="W42" s="93"/>
      <c r="X42" s="132"/>
      <c r="Y42" s="128"/>
      <c r="Z42" s="291">
        <v>3659695</v>
      </c>
      <c r="AA42" s="292">
        <v>13730.5</v>
      </c>
      <c r="AB42" s="290">
        <v>42625</v>
      </c>
    </row>
    <row r="43" spans="2:28" ht="19.5" customHeight="1" x14ac:dyDescent="0.25">
      <c r="B43" s="96"/>
      <c r="C43" s="353"/>
      <c r="D43" s="292"/>
      <c r="E43" s="290"/>
      <c r="F43" s="131"/>
      <c r="G43" s="327">
        <f t="shared" si="1"/>
        <v>0</v>
      </c>
      <c r="H43"/>
      <c r="L43" s="33">
        <v>33318.400000000001</v>
      </c>
      <c r="M43" s="328" t="s">
        <v>525</v>
      </c>
      <c r="N43" s="332">
        <v>33318.400000000001</v>
      </c>
      <c r="O43" s="124"/>
      <c r="P43" s="241" t="s">
        <v>31</v>
      </c>
      <c r="Q43" s="242">
        <v>3571.5</v>
      </c>
      <c r="R43" s="290">
        <v>42614</v>
      </c>
      <c r="V43" s="33"/>
      <c r="W43" s="93"/>
      <c r="X43" s="132"/>
      <c r="Y43" s="129"/>
      <c r="Z43" s="291" t="s">
        <v>31</v>
      </c>
      <c r="AA43" s="292">
        <v>17802</v>
      </c>
      <c r="AB43" s="290">
        <v>42627</v>
      </c>
    </row>
    <row r="44" spans="2:28" ht="16.5" customHeight="1" x14ac:dyDescent="0.25">
      <c r="B44" s="96"/>
      <c r="C44" s="353"/>
      <c r="D44" s="292"/>
      <c r="E44" s="290"/>
      <c r="F44" s="131"/>
      <c r="G44" s="327">
        <f t="shared" si="1"/>
        <v>0</v>
      </c>
      <c r="H44"/>
      <c r="L44" s="33">
        <v>20904.8</v>
      </c>
      <c r="M44" s="328" t="s">
        <v>526</v>
      </c>
      <c r="N44" s="332">
        <v>20904.8</v>
      </c>
      <c r="O44" s="124"/>
      <c r="P44" s="241">
        <v>3659725</v>
      </c>
      <c r="Q44" s="242">
        <v>4170.5</v>
      </c>
      <c r="R44" s="290">
        <v>42611</v>
      </c>
      <c r="V44" s="33"/>
      <c r="W44" s="93"/>
      <c r="X44" s="132"/>
      <c r="Y44" s="124"/>
      <c r="Z44" s="291" t="s">
        <v>31</v>
      </c>
      <c r="AA44" s="292">
        <v>13116</v>
      </c>
      <c r="AB44" s="290">
        <v>42627</v>
      </c>
    </row>
    <row r="45" spans="2:28" x14ac:dyDescent="0.25">
      <c r="B45" s="96"/>
      <c r="C45" s="353"/>
      <c r="D45" s="292"/>
      <c r="E45" s="290"/>
      <c r="F45" s="131"/>
      <c r="G45" s="327">
        <f t="shared" si="1"/>
        <v>0</v>
      </c>
      <c r="H45"/>
      <c r="L45" s="33">
        <f>21651.11+13924.69</f>
        <v>35575.800000000003</v>
      </c>
      <c r="M45" s="328" t="s">
        <v>527</v>
      </c>
      <c r="N45" s="332">
        <v>35575.800000000003</v>
      </c>
      <c r="O45" s="124"/>
      <c r="P45" s="241">
        <v>3659729</v>
      </c>
      <c r="Q45" s="242">
        <v>38500</v>
      </c>
      <c r="R45" s="290">
        <v>42612</v>
      </c>
      <c r="V45" s="33"/>
      <c r="W45" s="93"/>
      <c r="X45" s="132"/>
      <c r="Y45" s="124"/>
      <c r="Z45" s="291">
        <v>3659696</v>
      </c>
      <c r="AA45" s="292">
        <v>25000</v>
      </c>
      <c r="AB45" s="290">
        <v>42626</v>
      </c>
    </row>
    <row r="46" spans="2:28" x14ac:dyDescent="0.25">
      <c r="B46" s="96"/>
      <c r="C46" s="353"/>
      <c r="D46" s="292"/>
      <c r="E46" s="290"/>
      <c r="F46" s="131"/>
      <c r="G46" s="327">
        <f t="shared" si="1"/>
        <v>0</v>
      </c>
      <c r="H46"/>
      <c r="L46" s="33">
        <v>35841</v>
      </c>
      <c r="M46" s="328" t="s">
        <v>528</v>
      </c>
      <c r="N46" s="332">
        <v>35841</v>
      </c>
      <c r="O46" s="124"/>
      <c r="P46" s="241">
        <v>3659728</v>
      </c>
      <c r="Q46" s="242">
        <v>54451.5</v>
      </c>
      <c r="R46" s="290">
        <v>42612</v>
      </c>
      <c r="V46" s="33"/>
      <c r="W46" s="93"/>
      <c r="X46" s="132"/>
      <c r="Y46" s="124"/>
      <c r="Z46" s="291">
        <v>3659694</v>
      </c>
      <c r="AA46" s="292">
        <v>6065.5</v>
      </c>
      <c r="AB46" s="290">
        <v>42626</v>
      </c>
    </row>
    <row r="47" spans="2:28" x14ac:dyDescent="0.25">
      <c r="B47" s="330"/>
      <c r="C47" s="328"/>
      <c r="D47" s="332"/>
      <c r="E47" s="329"/>
      <c r="F47" s="131"/>
      <c r="G47" s="327">
        <f t="shared" si="1"/>
        <v>0</v>
      </c>
      <c r="H47"/>
      <c r="L47" s="33">
        <f>4835+34432+57184+11421.6</f>
        <v>107872.6</v>
      </c>
      <c r="M47" s="93" t="s">
        <v>530</v>
      </c>
      <c r="N47" s="132">
        <v>107872.6</v>
      </c>
      <c r="O47" s="128"/>
      <c r="P47" s="291">
        <v>3659724</v>
      </c>
      <c r="Q47" s="292">
        <v>17500</v>
      </c>
      <c r="R47" s="290">
        <v>42613</v>
      </c>
      <c r="V47" s="33"/>
      <c r="W47" s="93"/>
      <c r="X47" s="235"/>
      <c r="Y47" s="124"/>
      <c r="Z47" s="291">
        <v>3280901</v>
      </c>
      <c r="AA47" s="292">
        <v>43814.5</v>
      </c>
      <c r="AB47" s="290">
        <v>42630</v>
      </c>
    </row>
    <row r="48" spans="2:28" x14ac:dyDescent="0.25">
      <c r="B48" s="330"/>
      <c r="C48" s="328"/>
      <c r="D48" s="332"/>
      <c r="E48" s="329"/>
      <c r="F48" s="131"/>
      <c r="G48" s="327">
        <f t="shared" si="1"/>
        <v>0</v>
      </c>
      <c r="H48"/>
      <c r="L48" s="33">
        <v>112943.6</v>
      </c>
      <c r="M48" s="93" t="s">
        <v>533</v>
      </c>
      <c r="N48" s="132">
        <v>112943.6</v>
      </c>
      <c r="O48" s="129"/>
      <c r="P48" s="291">
        <v>3659723</v>
      </c>
      <c r="Q48" s="292">
        <v>37100.5</v>
      </c>
      <c r="R48" s="290">
        <v>42613</v>
      </c>
      <c r="V48" s="33"/>
      <c r="W48" s="93"/>
      <c r="X48" s="132"/>
      <c r="Y48" s="124"/>
      <c r="Z48" s="291">
        <v>3659693</v>
      </c>
      <c r="AA48" s="292">
        <v>32051.5</v>
      </c>
      <c r="AB48" s="290">
        <v>42627</v>
      </c>
    </row>
    <row r="49" spans="2:28" x14ac:dyDescent="0.25">
      <c r="B49" s="330"/>
      <c r="C49" s="328"/>
      <c r="D49" s="332"/>
      <c r="E49" s="329"/>
      <c r="F49" s="131"/>
      <c r="G49" s="327">
        <f t="shared" si="1"/>
        <v>0</v>
      </c>
      <c r="H49"/>
      <c r="L49" s="33">
        <v>8763.2999999999993</v>
      </c>
      <c r="M49" s="98" t="s">
        <v>534</v>
      </c>
      <c r="N49" s="132">
        <v>8746.0300000000007</v>
      </c>
      <c r="O49" s="124" t="s">
        <v>88</v>
      </c>
      <c r="P49" s="291">
        <v>3659722</v>
      </c>
      <c r="Q49" s="292">
        <v>17320</v>
      </c>
      <c r="R49" s="290">
        <v>42614</v>
      </c>
      <c r="V49" s="33"/>
      <c r="W49" s="353"/>
      <c r="X49" s="292"/>
      <c r="Y49" s="124"/>
      <c r="Z49" s="291">
        <v>3659692</v>
      </c>
      <c r="AA49" s="292">
        <v>27413.5</v>
      </c>
      <c r="AB49" s="290">
        <v>42628</v>
      </c>
    </row>
    <row r="50" spans="2:28" x14ac:dyDescent="0.25">
      <c r="B50" s="330"/>
      <c r="C50" s="328"/>
      <c r="D50" s="332"/>
      <c r="E50" s="329"/>
      <c r="F50" s="131"/>
      <c r="G50" s="327">
        <f t="shared" si="1"/>
        <v>0</v>
      </c>
      <c r="H50"/>
      <c r="L50" s="33"/>
      <c r="M50" s="93"/>
      <c r="N50" s="132"/>
      <c r="O50" s="124"/>
      <c r="P50" s="291" t="s">
        <v>31</v>
      </c>
      <c r="Q50" s="292">
        <v>13155</v>
      </c>
      <c r="R50" s="290">
        <v>42615</v>
      </c>
      <c r="V50" s="33"/>
      <c r="W50" s="353"/>
      <c r="X50" s="292"/>
      <c r="Y50" s="124"/>
      <c r="Z50" s="291">
        <v>3680909</v>
      </c>
      <c r="AA50" s="292">
        <v>30000</v>
      </c>
      <c r="AB50" s="290">
        <v>42629</v>
      </c>
    </row>
    <row r="51" spans="2:28" x14ac:dyDescent="0.25">
      <c r="B51" s="330"/>
      <c r="C51" s="328"/>
      <c r="D51" s="332"/>
      <c r="E51" s="329"/>
      <c r="F51" s="131"/>
      <c r="G51" s="327">
        <f t="shared" si="1"/>
        <v>0</v>
      </c>
      <c r="H51"/>
      <c r="L51" s="33"/>
      <c r="M51" s="93"/>
      <c r="N51" s="132"/>
      <c r="O51" s="124"/>
      <c r="P51" s="291" t="s">
        <v>31</v>
      </c>
      <c r="Q51" s="292">
        <v>3957</v>
      </c>
      <c r="R51" s="290">
        <v>42615</v>
      </c>
      <c r="V51" s="33"/>
      <c r="W51" s="328"/>
      <c r="X51" s="332"/>
      <c r="Y51" s="124"/>
      <c r="Z51" s="291">
        <v>3680910</v>
      </c>
      <c r="AA51" s="292">
        <v>24248.5</v>
      </c>
      <c r="AB51" s="290">
        <v>42629</v>
      </c>
    </row>
    <row r="52" spans="2:28" x14ac:dyDescent="0.25">
      <c r="B52" s="330"/>
      <c r="C52" s="328"/>
      <c r="D52" s="332"/>
      <c r="E52" s="329"/>
      <c r="F52" s="131"/>
      <c r="G52" s="327">
        <f t="shared" si="1"/>
        <v>0</v>
      </c>
      <c r="H52"/>
      <c r="L52" s="33"/>
      <c r="M52" s="93"/>
      <c r="N52" s="235"/>
      <c r="O52" s="124"/>
      <c r="P52" s="291">
        <v>3659720</v>
      </c>
      <c r="Q52" s="292">
        <v>14184</v>
      </c>
      <c r="R52" s="290">
        <v>42615</v>
      </c>
      <c r="V52" s="3"/>
      <c r="W52" s="328"/>
      <c r="X52" s="332"/>
      <c r="Y52" s="124"/>
      <c r="Z52" s="291">
        <v>3680911</v>
      </c>
      <c r="AA52" s="292">
        <v>30000</v>
      </c>
      <c r="AB52" s="290">
        <v>42630</v>
      </c>
    </row>
    <row r="53" spans="2:28" x14ac:dyDescent="0.25">
      <c r="B53" s="330"/>
      <c r="C53" s="328"/>
      <c r="D53" s="332"/>
      <c r="E53" s="329"/>
      <c r="F53" s="131"/>
      <c r="G53" s="327">
        <f t="shared" si="1"/>
        <v>0</v>
      </c>
      <c r="H53"/>
      <c r="L53" s="33"/>
      <c r="M53" s="93"/>
      <c r="N53" s="132"/>
      <c r="O53" s="124"/>
      <c r="P53" s="291">
        <v>3659721</v>
      </c>
      <c r="Q53" s="292">
        <v>43000</v>
      </c>
      <c r="R53" s="290">
        <v>42615</v>
      </c>
      <c r="W53" s="192"/>
      <c r="X53" s="192"/>
      <c r="Y53" s="192"/>
      <c r="Z53" s="340">
        <v>3680912</v>
      </c>
      <c r="AA53" s="332">
        <v>24105.5</v>
      </c>
      <c r="AB53" s="329">
        <v>42630</v>
      </c>
    </row>
    <row r="54" spans="2:28" x14ac:dyDescent="0.25">
      <c r="B54" s="330"/>
      <c r="C54" s="328"/>
      <c r="D54" s="332"/>
      <c r="E54" s="329"/>
      <c r="F54" s="131"/>
      <c r="G54" s="327">
        <f t="shared" si="1"/>
        <v>0</v>
      </c>
      <c r="L54" s="33"/>
      <c r="M54" s="353"/>
      <c r="N54" s="292"/>
      <c r="O54" s="124"/>
      <c r="P54" s="291">
        <v>3659717</v>
      </c>
      <c r="Q54" s="292">
        <v>27371.5</v>
      </c>
      <c r="R54" s="290">
        <v>42616</v>
      </c>
      <c r="W54" s="192"/>
      <c r="X54" s="192"/>
      <c r="Y54" s="192"/>
      <c r="Z54" s="340" t="s">
        <v>31</v>
      </c>
      <c r="AA54" s="332">
        <v>36310</v>
      </c>
      <c r="AB54" s="329">
        <v>42634</v>
      </c>
    </row>
    <row r="55" spans="2:28" x14ac:dyDescent="0.25">
      <c r="B55" s="330"/>
      <c r="C55" s="328"/>
      <c r="D55" s="332"/>
      <c r="E55" s="329"/>
      <c r="F55" s="131"/>
      <c r="G55" s="327">
        <f t="shared" si="1"/>
        <v>0</v>
      </c>
      <c r="L55" s="33"/>
      <c r="M55" s="353"/>
      <c r="N55" s="292"/>
      <c r="O55" s="124"/>
      <c r="P55" s="291">
        <v>3659718</v>
      </c>
      <c r="Q55" s="292">
        <v>60000</v>
      </c>
      <c r="R55" s="290">
        <v>42616</v>
      </c>
      <c r="W55" s="192"/>
      <c r="X55" s="192"/>
      <c r="Y55" s="192"/>
      <c r="Z55" s="340">
        <v>3680913</v>
      </c>
      <c r="AA55" s="332">
        <v>6863</v>
      </c>
      <c r="AB55" s="329">
        <v>42631</v>
      </c>
    </row>
    <row r="56" spans="2:28" x14ac:dyDescent="0.25">
      <c r="B56" s="330"/>
      <c r="C56" s="328"/>
      <c r="D56" s="332"/>
      <c r="E56" s="329"/>
      <c r="F56" s="131"/>
      <c r="G56" s="327">
        <f t="shared" si="1"/>
        <v>0</v>
      </c>
      <c r="L56" s="33"/>
      <c r="M56" s="328"/>
      <c r="N56" s="332"/>
      <c r="O56" s="124"/>
      <c r="P56" s="291">
        <v>3659719</v>
      </c>
      <c r="Q56" s="292">
        <v>15000</v>
      </c>
      <c r="R56" s="290">
        <v>42616</v>
      </c>
      <c r="W56" s="192"/>
      <c r="X56" s="192"/>
      <c r="Y56" s="192"/>
      <c r="Z56" s="340">
        <v>3680914</v>
      </c>
      <c r="AA56" s="332">
        <v>25000</v>
      </c>
      <c r="AB56" s="329">
        <v>42632</v>
      </c>
    </row>
    <row r="57" spans="2:28" x14ac:dyDescent="0.25">
      <c r="B57" s="330"/>
      <c r="C57" s="328"/>
      <c r="D57" s="332"/>
      <c r="E57" s="329"/>
      <c r="F57" s="131"/>
      <c r="G57" s="327">
        <f t="shared" si="1"/>
        <v>0</v>
      </c>
      <c r="L57" s="3"/>
      <c r="M57" s="349"/>
      <c r="N57" s="350"/>
      <c r="O57" s="128"/>
      <c r="P57" s="305">
        <v>3266406</v>
      </c>
      <c r="Q57" s="306">
        <v>30757</v>
      </c>
      <c r="R57" s="307">
        <v>42616</v>
      </c>
      <c r="W57" s="192"/>
      <c r="X57" s="192"/>
      <c r="Y57" s="192"/>
      <c r="Z57" s="340">
        <v>3680915</v>
      </c>
      <c r="AA57" s="332">
        <v>23371.5</v>
      </c>
      <c r="AB57" s="329">
        <v>42632</v>
      </c>
    </row>
    <row r="58" spans="2:28" ht="16.5" thickBot="1" x14ac:dyDescent="0.3">
      <c r="B58" s="330"/>
      <c r="C58" s="328"/>
      <c r="D58" s="332"/>
      <c r="E58" s="329"/>
      <c r="F58" s="131"/>
      <c r="G58" s="327">
        <f t="shared" si="1"/>
        <v>0</v>
      </c>
      <c r="L58" s="3"/>
      <c r="M58" s="361"/>
      <c r="N58" s="362"/>
      <c r="O58" s="363"/>
      <c r="P58" s="364"/>
      <c r="Q58" s="365">
        <v>0</v>
      </c>
      <c r="R58" s="366"/>
      <c r="V58" s="3"/>
      <c r="W58" s="361"/>
      <c r="X58" s="362"/>
      <c r="Y58" s="363"/>
      <c r="Z58" s="375" t="s">
        <v>31</v>
      </c>
      <c r="AA58" s="371">
        <v>5052</v>
      </c>
      <c r="AB58" s="376">
        <v>42634</v>
      </c>
    </row>
    <row r="59" spans="2:28" ht="17.25" thickTop="1" thickBot="1" x14ac:dyDescent="0.3">
      <c r="B59"/>
      <c r="C59" s="104"/>
      <c r="D59" s="262"/>
      <c r="E59" s="104"/>
      <c r="F59" s="106"/>
      <c r="G59" s="351">
        <f>D59-F59</f>
        <v>0</v>
      </c>
      <c r="H59"/>
      <c r="L59" s="33">
        <f>SUM(L40:L58)</f>
        <v>477508.41</v>
      </c>
      <c r="M59" s="147"/>
      <c r="N59" s="236">
        <f>SUM(N40:N58)</f>
        <v>477508.5</v>
      </c>
      <c r="O59" s="210"/>
      <c r="P59" s="211"/>
      <c r="Q59" s="200">
        <f>SUM(Q40:Q58)</f>
        <v>477508.5</v>
      </c>
      <c r="R59" s="202"/>
      <c r="V59" s="33">
        <f>SUM(V35:V58)</f>
        <v>553034.41</v>
      </c>
      <c r="W59" s="147"/>
      <c r="X59" s="236">
        <f>SUM(X35:X58)</f>
        <v>553034</v>
      </c>
      <c r="Y59" s="210"/>
      <c r="Z59" s="211"/>
      <c r="AA59" s="200">
        <f>SUM(AA35:AA58)</f>
        <v>553034</v>
      </c>
      <c r="AB59" s="202"/>
    </row>
    <row r="60" spans="2:28" ht="16.5" thickTop="1" x14ac:dyDescent="0.25">
      <c r="B60"/>
      <c r="C60"/>
      <c r="D60" s="263">
        <f>SUM(D4:D59)</f>
        <v>2057421.5400000003</v>
      </c>
      <c r="E60" s="108"/>
      <c r="F60" s="109">
        <f>SUM(F4:F59)</f>
        <v>2057421.5400000003</v>
      </c>
      <c r="G60" s="109">
        <f>SUM(G4:G59)</f>
        <v>0</v>
      </c>
      <c r="H60"/>
    </row>
    <row r="61" spans="2:28" x14ac:dyDescent="0.25">
      <c r="B61"/>
      <c r="H61"/>
      <c r="L61" s="3"/>
      <c r="M61" s="161"/>
      <c r="N61" s="216"/>
      <c r="O61" s="213"/>
      <c r="P61" s="321"/>
      <c r="Q61" s="18"/>
      <c r="R61" s="95"/>
    </row>
    <row r="62" spans="2:28" x14ac:dyDescent="0.25">
      <c r="B62"/>
      <c r="H62"/>
      <c r="M62" s="67"/>
      <c r="N62" s="67"/>
      <c r="O62" s="67"/>
      <c r="P62" s="367"/>
      <c r="Q62" s="50"/>
      <c r="R62" s="170"/>
    </row>
    <row r="63" spans="2:28" x14ac:dyDescent="0.25">
      <c r="B63"/>
      <c r="H63"/>
      <c r="M63" s="67"/>
      <c r="N63" s="67"/>
      <c r="O63" s="67"/>
      <c r="P63" s="367"/>
      <c r="Q63" s="50"/>
      <c r="R63" s="170"/>
    </row>
    <row r="64" spans="2:28" ht="15" x14ac:dyDescent="0.25">
      <c r="B64"/>
      <c r="C64" s="159">
        <v>42616</v>
      </c>
      <c r="D64" s="3">
        <v>5000</v>
      </c>
      <c r="E64" t="s">
        <v>299</v>
      </c>
      <c r="F64"/>
      <c r="G64"/>
      <c r="H64"/>
      <c r="M64" s="67"/>
      <c r="N64" s="67"/>
      <c r="O64" s="67"/>
      <c r="P64" s="367"/>
      <c r="Q64" s="50"/>
      <c r="R64" s="170"/>
    </row>
    <row r="65" spans="2:18" ht="15" x14ac:dyDescent="0.25">
      <c r="B65"/>
      <c r="C65" s="159">
        <v>42617</v>
      </c>
      <c r="D65" s="3">
        <v>1037</v>
      </c>
      <c r="E65" t="s">
        <v>573</v>
      </c>
      <c r="F65"/>
      <c r="G65"/>
      <c r="H65"/>
      <c r="M65" s="67"/>
      <c r="N65" s="67"/>
      <c r="O65" s="67"/>
      <c r="P65" s="367"/>
      <c r="Q65" s="50"/>
      <c r="R65" s="170"/>
    </row>
    <row r="66" spans="2:18" ht="15" x14ac:dyDescent="0.25">
      <c r="B66"/>
      <c r="C66" s="159">
        <v>42618</v>
      </c>
      <c r="D66" s="3">
        <v>208.32</v>
      </c>
      <c r="E66" t="s">
        <v>575</v>
      </c>
      <c r="F66"/>
      <c r="G66"/>
      <c r="H66"/>
      <c r="M66" s="67"/>
      <c r="N66" s="67"/>
      <c r="O66" s="67"/>
      <c r="P66" s="367"/>
      <c r="Q66" s="50"/>
      <c r="R66" s="170"/>
    </row>
    <row r="67" spans="2:18" ht="15" x14ac:dyDescent="0.25">
      <c r="B67"/>
      <c r="C67" s="159">
        <v>42619</v>
      </c>
      <c r="D67" s="3">
        <v>18529.599999999999</v>
      </c>
      <c r="E67" t="s">
        <v>577</v>
      </c>
      <c r="F67"/>
      <c r="G67"/>
      <c r="H67"/>
      <c r="M67" s="67"/>
      <c r="N67" s="67"/>
      <c r="O67" s="67"/>
      <c r="P67" s="367"/>
      <c r="Q67" s="50"/>
      <c r="R67" s="170"/>
    </row>
    <row r="68" spans="2:18" ht="15" x14ac:dyDescent="0.25">
      <c r="B68"/>
      <c r="C68" s="159">
        <v>42623</v>
      </c>
      <c r="D68" s="3">
        <v>2680</v>
      </c>
      <c r="E68" t="s">
        <v>170</v>
      </c>
      <c r="F68"/>
      <c r="G68"/>
      <c r="H68"/>
      <c r="M68" s="67"/>
      <c r="N68" s="67"/>
      <c r="O68" s="67"/>
      <c r="P68" s="367"/>
      <c r="Q68" s="50"/>
      <c r="R68" s="170"/>
    </row>
    <row r="69" spans="2:18" ht="15" x14ac:dyDescent="0.25">
      <c r="B69"/>
      <c r="C69" s="159">
        <v>42625</v>
      </c>
      <c r="D69" s="3">
        <v>12937.5</v>
      </c>
      <c r="E69" t="s">
        <v>584</v>
      </c>
      <c r="F69"/>
      <c r="G69"/>
      <c r="H69"/>
    </row>
    <row r="70" spans="2:18" ht="15" x14ac:dyDescent="0.25">
      <c r="C70" s="159">
        <v>42628</v>
      </c>
      <c r="D70" s="3">
        <f>794+9958</f>
        <v>10752</v>
      </c>
      <c r="E70" t="s">
        <v>589</v>
      </c>
      <c r="F70"/>
      <c r="G70"/>
      <c r="H70"/>
    </row>
    <row r="71" spans="2:18" ht="15" x14ac:dyDescent="0.25">
      <c r="C71" s="159">
        <v>42630</v>
      </c>
      <c r="D71" s="3">
        <v>23526</v>
      </c>
      <c r="E71" t="s">
        <v>590</v>
      </c>
      <c r="F71"/>
      <c r="G71"/>
      <c r="H71"/>
    </row>
    <row r="72" spans="2:18" ht="15" x14ac:dyDescent="0.25">
      <c r="C72" s="159">
        <v>42631</v>
      </c>
      <c r="D72" s="3">
        <v>9712</v>
      </c>
      <c r="E72" t="s">
        <v>591</v>
      </c>
      <c r="F72"/>
      <c r="G72"/>
      <c r="H72"/>
    </row>
    <row r="73" spans="2:18" ht="15" x14ac:dyDescent="0.25">
      <c r="C73" s="159">
        <v>42632</v>
      </c>
      <c r="D73" s="3">
        <v>10500</v>
      </c>
      <c r="E73" t="s">
        <v>590</v>
      </c>
      <c r="F73" s="14"/>
      <c r="G73"/>
      <c r="H73"/>
    </row>
    <row r="74" spans="2:18" ht="15" x14ac:dyDescent="0.25">
      <c r="C74" s="159">
        <v>42634</v>
      </c>
      <c r="D74" s="3">
        <v>2880</v>
      </c>
      <c r="E74" t="s">
        <v>170</v>
      </c>
      <c r="H74"/>
    </row>
    <row r="75" spans="2:18" ht="15" x14ac:dyDescent="0.25">
      <c r="B75"/>
      <c r="C75" s="159">
        <v>42635</v>
      </c>
      <c r="D75" s="3">
        <v>936</v>
      </c>
      <c r="E75" t="s">
        <v>386</v>
      </c>
      <c r="F75"/>
      <c r="G75"/>
      <c r="H75"/>
    </row>
    <row r="76" spans="2:18" ht="15" x14ac:dyDescent="0.25">
      <c r="B76"/>
      <c r="C76" s="159">
        <v>42639</v>
      </c>
      <c r="D76" s="3">
        <v>15473</v>
      </c>
      <c r="E76" t="s">
        <v>648</v>
      </c>
      <c r="F76"/>
      <c r="G76"/>
      <c r="H76"/>
    </row>
    <row r="77" spans="2:18" ht="15" x14ac:dyDescent="0.25">
      <c r="B77"/>
      <c r="C77" s="159">
        <v>42641</v>
      </c>
      <c r="D77" s="3">
        <v>2840</v>
      </c>
      <c r="E77" t="s">
        <v>170</v>
      </c>
      <c r="F77"/>
      <c r="G77"/>
      <c r="H77"/>
    </row>
    <row r="78" spans="2:18" ht="15" x14ac:dyDescent="0.25">
      <c r="B78"/>
      <c r="C78" s="159">
        <v>42642</v>
      </c>
      <c r="D78" s="3">
        <v>487</v>
      </c>
      <c r="E78" t="s">
        <v>575</v>
      </c>
      <c r="F78"/>
      <c r="G78"/>
      <c r="H78"/>
    </row>
    <row r="79" spans="2:18" ht="15" x14ac:dyDescent="0.25">
      <c r="B79"/>
      <c r="C79"/>
      <c r="D79" s="3">
        <v>0</v>
      </c>
      <c r="E79"/>
      <c r="F79"/>
      <c r="G79"/>
      <c r="H79"/>
    </row>
    <row r="80" spans="2:18" x14ac:dyDescent="0.25">
      <c r="B80"/>
      <c r="C80"/>
      <c r="D80" s="263">
        <f>SUM(D64:D74)</f>
        <v>97762.42</v>
      </c>
      <c r="E80"/>
      <c r="F80"/>
      <c r="G80"/>
      <c r="H80"/>
    </row>
    <row r="81" spans="2:8" ht="15" x14ac:dyDescent="0.25">
      <c r="B81"/>
      <c r="C81"/>
      <c r="D81"/>
      <c r="E81"/>
      <c r="F81"/>
      <c r="G81"/>
      <c r="H81"/>
    </row>
    <row r="82" spans="2:8" ht="15" x14ac:dyDescent="0.25">
      <c r="B82"/>
      <c r="C82"/>
      <c r="D82"/>
      <c r="E82"/>
      <c r="F82"/>
      <c r="G82"/>
      <c r="H82"/>
    </row>
    <row r="83" spans="2:8" ht="15" x14ac:dyDescent="0.25">
      <c r="B83"/>
      <c r="C83"/>
      <c r="D83"/>
      <c r="E83"/>
      <c r="F83"/>
      <c r="G83"/>
      <c r="H83"/>
    </row>
  </sheetData>
  <sortState ref="B6:G17">
    <sortCondition ref="C6:C17"/>
  </sortState>
  <mergeCells count="4">
    <mergeCell ref="M1:M2"/>
    <mergeCell ref="M37:M38"/>
    <mergeCell ref="W1:W2"/>
    <mergeCell ref="W32:W3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D79"/>
  <sheetViews>
    <sheetView topLeftCell="A19" workbookViewId="0">
      <selection activeCell="K43" sqref="K43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7" max="17" width="14" customWidth="1"/>
    <col min="20" max="20" width="14.140625" bestFit="1" customWidth="1"/>
    <col min="25" max="25" width="14.140625" bestFit="1" customWidth="1"/>
    <col min="27" max="27" width="15" customWidth="1"/>
    <col min="31" max="31" width="14" customWidth="1"/>
    <col min="34" max="34" width="14.140625" bestFit="1" customWidth="1"/>
    <col min="39" max="39" width="14.140625" bestFit="1" customWidth="1"/>
    <col min="42" max="42" width="14.140625" bestFit="1" customWidth="1"/>
    <col min="45" max="45" width="14" customWidth="1"/>
    <col min="48" max="48" width="14.140625" bestFit="1" customWidth="1"/>
    <col min="53" max="53" width="14.140625" bestFit="1" customWidth="1"/>
    <col min="56" max="56" width="12.5703125" bestFit="1" customWidth="1"/>
  </cols>
  <sheetData>
    <row r="1" spans="1:56" ht="24" thickBot="1" x14ac:dyDescent="0.4">
      <c r="B1" s="1"/>
      <c r="C1" s="408" t="s">
        <v>614</v>
      </c>
      <c r="D1" s="408"/>
      <c r="E1" s="408"/>
      <c r="F1" s="408"/>
      <c r="G1" s="408"/>
      <c r="H1" s="408"/>
      <c r="I1" s="408"/>
      <c r="J1" s="408"/>
      <c r="K1" s="300" t="s">
        <v>293</v>
      </c>
      <c r="L1" s="2"/>
      <c r="P1" s="1"/>
      <c r="Q1" s="408" t="s">
        <v>614</v>
      </c>
      <c r="R1" s="408"/>
      <c r="S1" s="408"/>
      <c r="T1" s="408"/>
      <c r="U1" s="408"/>
      <c r="V1" s="408"/>
      <c r="W1" s="408"/>
      <c r="X1" s="408"/>
      <c r="Y1" s="300" t="s">
        <v>273</v>
      </c>
      <c r="Z1" s="2"/>
      <c r="AD1" s="1"/>
      <c r="AE1" s="408" t="s">
        <v>614</v>
      </c>
      <c r="AF1" s="408"/>
      <c r="AG1" s="408"/>
      <c r="AH1" s="408"/>
      <c r="AI1" s="408"/>
      <c r="AJ1" s="408"/>
      <c r="AK1" s="408"/>
      <c r="AL1" s="408"/>
      <c r="AM1" s="300" t="s">
        <v>257</v>
      </c>
      <c r="AN1" s="2"/>
      <c r="AO1" s="2"/>
      <c r="AR1" s="1"/>
      <c r="AS1" s="408" t="s">
        <v>614</v>
      </c>
      <c r="AT1" s="408"/>
      <c r="AU1" s="408"/>
      <c r="AV1" s="408"/>
      <c r="AW1" s="408"/>
      <c r="AX1" s="408"/>
      <c r="AY1" s="408"/>
      <c r="AZ1" s="408"/>
      <c r="BA1" s="300" t="s">
        <v>256</v>
      </c>
      <c r="BB1" s="2"/>
    </row>
    <row r="2" spans="1:5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O2" s="2"/>
      <c r="AR2" s="1"/>
      <c r="AS2" s="4" t="s">
        <v>0</v>
      </c>
      <c r="AU2" s="5"/>
      <c r="AV2" s="5"/>
      <c r="AX2" s="1"/>
      <c r="AY2" s="1"/>
      <c r="AZ2" s="1"/>
      <c r="BA2" s="1"/>
      <c r="BB2" s="2"/>
    </row>
    <row r="3" spans="1:56" ht="20.25" thickTop="1" thickBot="1" x14ac:dyDescent="0.35">
      <c r="A3" s="6" t="s">
        <v>1</v>
      </c>
      <c r="B3" s="7"/>
      <c r="C3" s="8">
        <v>205674.65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O3" s="6" t="s">
        <v>1</v>
      </c>
      <c r="P3" s="7"/>
      <c r="Q3" s="8">
        <v>205674.65</v>
      </c>
      <c r="R3" s="9"/>
      <c r="S3" s="409" t="s">
        <v>2</v>
      </c>
      <c r="T3" s="410"/>
      <c r="V3" s="1"/>
      <c r="W3" s="411" t="s">
        <v>3</v>
      </c>
      <c r="X3" s="412"/>
      <c r="Y3" s="413"/>
      <c r="Z3" s="10" t="s">
        <v>4</v>
      </c>
      <c r="AA3" s="216"/>
      <c r="AC3" s="6" t="s">
        <v>1</v>
      </c>
      <c r="AD3" s="7"/>
      <c r="AE3" s="8">
        <v>205674.65</v>
      </c>
      <c r="AF3" s="9"/>
      <c r="AG3" s="409" t="s">
        <v>2</v>
      </c>
      <c r="AH3" s="410"/>
      <c r="AJ3" s="1"/>
      <c r="AK3" s="411" t="s">
        <v>3</v>
      </c>
      <c r="AL3" s="412"/>
      <c r="AM3" s="413"/>
      <c r="AN3" s="10" t="s">
        <v>4</v>
      </c>
      <c r="AO3" s="10"/>
      <c r="AQ3" s="6" t="s">
        <v>1</v>
      </c>
      <c r="AR3" s="7"/>
      <c r="AS3" s="8">
        <v>205674.65</v>
      </c>
      <c r="AT3" s="9"/>
      <c r="AU3" s="409" t="s">
        <v>2</v>
      </c>
      <c r="AV3" s="410"/>
      <c r="AX3" s="1"/>
      <c r="AY3" s="411" t="s">
        <v>3</v>
      </c>
      <c r="AZ3" s="412"/>
      <c r="BA3" s="413"/>
      <c r="BB3" s="10" t="s">
        <v>4</v>
      </c>
    </row>
    <row r="4" spans="1:56" ht="15.75" thickTop="1" x14ac:dyDescent="0.25">
      <c r="B4" s="11">
        <v>42644</v>
      </c>
      <c r="C4" s="12">
        <v>85871</v>
      </c>
      <c r="D4" s="40" t="s">
        <v>651</v>
      </c>
      <c r="E4" s="186">
        <v>42644</v>
      </c>
      <c r="F4" s="13">
        <v>85871</v>
      </c>
      <c r="G4" s="14"/>
      <c r="H4" s="187">
        <v>42644</v>
      </c>
      <c r="I4" s="345">
        <v>0</v>
      </c>
      <c r="J4" s="16" t="s">
        <v>5</v>
      </c>
      <c r="K4" s="320">
        <v>549</v>
      </c>
      <c r="L4" s="18">
        <v>0</v>
      </c>
      <c r="P4" s="11">
        <v>42644</v>
      </c>
      <c r="Q4" s="12">
        <v>85871</v>
      </c>
      <c r="R4" s="40" t="s">
        <v>651</v>
      </c>
      <c r="S4" s="186">
        <v>42644</v>
      </c>
      <c r="T4" s="13">
        <v>85871</v>
      </c>
      <c r="U4" s="14"/>
      <c r="V4" s="187">
        <v>42644</v>
      </c>
      <c r="W4" s="345">
        <v>0</v>
      </c>
      <c r="X4" s="16" t="s">
        <v>5</v>
      </c>
      <c r="Y4" s="320">
        <v>0</v>
      </c>
      <c r="Z4" s="18">
        <v>0</v>
      </c>
      <c r="AA4" s="216"/>
      <c r="AD4" s="11">
        <v>42644</v>
      </c>
      <c r="AE4" s="12">
        <v>85871</v>
      </c>
      <c r="AF4" s="40" t="s">
        <v>651</v>
      </c>
      <c r="AG4" s="186">
        <v>42644</v>
      </c>
      <c r="AH4" s="13">
        <v>85871</v>
      </c>
      <c r="AI4" s="14"/>
      <c r="AJ4" s="187">
        <v>42644</v>
      </c>
      <c r="AK4" s="345">
        <v>0</v>
      </c>
      <c r="AL4" s="16" t="s">
        <v>5</v>
      </c>
      <c r="AM4" s="320">
        <v>0</v>
      </c>
      <c r="AN4" s="18">
        <v>0</v>
      </c>
      <c r="AO4" s="18"/>
      <c r="AR4" s="11">
        <v>42644</v>
      </c>
      <c r="AS4" s="12">
        <v>85871</v>
      </c>
      <c r="AT4" s="40" t="s">
        <v>651</v>
      </c>
      <c r="AU4" s="186">
        <v>42644</v>
      </c>
      <c r="AV4" s="13">
        <v>85871</v>
      </c>
      <c r="AW4" s="14"/>
      <c r="AX4" s="187">
        <v>42644</v>
      </c>
      <c r="AY4" s="345">
        <v>0</v>
      </c>
      <c r="AZ4" s="16" t="s">
        <v>5</v>
      </c>
      <c r="BA4" s="320">
        <v>0</v>
      </c>
      <c r="BB4" s="18">
        <v>0</v>
      </c>
    </row>
    <row r="5" spans="1:56" ht="15" customHeight="1" x14ac:dyDescent="0.25">
      <c r="B5" s="11">
        <v>42645</v>
      </c>
      <c r="C5" s="12">
        <v>72067.5</v>
      </c>
      <c r="D5" s="19" t="s">
        <v>652</v>
      </c>
      <c r="E5" s="20">
        <v>42645</v>
      </c>
      <c r="F5" s="13">
        <v>72067.5</v>
      </c>
      <c r="G5" s="21"/>
      <c r="H5" s="22">
        <v>42645</v>
      </c>
      <c r="I5" s="18">
        <v>0</v>
      </c>
      <c r="J5" s="422" t="s">
        <v>714</v>
      </c>
      <c r="K5" s="318">
        <v>0</v>
      </c>
      <c r="L5" s="18">
        <v>0</v>
      </c>
      <c r="P5" s="11">
        <v>42645</v>
      </c>
      <c r="Q5" s="12">
        <v>72067.5</v>
      </c>
      <c r="R5" s="19" t="s">
        <v>652</v>
      </c>
      <c r="S5" s="20">
        <v>42645</v>
      </c>
      <c r="T5" s="13">
        <v>72067.5</v>
      </c>
      <c r="U5" s="21"/>
      <c r="V5" s="22">
        <v>42645</v>
      </c>
      <c r="W5" s="18">
        <v>0</v>
      </c>
      <c r="X5" s="422" t="s">
        <v>714</v>
      </c>
      <c r="Y5" s="318">
        <v>0</v>
      </c>
      <c r="Z5" s="18">
        <v>0</v>
      </c>
      <c r="AA5" s="216"/>
      <c r="AD5" s="11">
        <v>42645</v>
      </c>
      <c r="AE5" s="12">
        <v>72067.5</v>
      </c>
      <c r="AF5" s="19" t="s">
        <v>652</v>
      </c>
      <c r="AG5" s="20">
        <v>42645</v>
      </c>
      <c r="AH5" s="13">
        <v>72067.5</v>
      </c>
      <c r="AI5" s="21"/>
      <c r="AJ5" s="22">
        <v>42645</v>
      </c>
      <c r="AK5" s="18">
        <v>0</v>
      </c>
      <c r="AL5" s="422" t="s">
        <v>6</v>
      </c>
      <c r="AM5" s="318">
        <v>0</v>
      </c>
      <c r="AN5" s="18">
        <v>0</v>
      </c>
      <c r="AO5" s="18"/>
      <c r="AR5" s="11">
        <v>42645</v>
      </c>
      <c r="AS5" s="12">
        <v>72067.5</v>
      </c>
      <c r="AT5" s="19" t="s">
        <v>652</v>
      </c>
      <c r="AU5" s="20">
        <v>42645</v>
      </c>
      <c r="AV5" s="13">
        <v>72067.5</v>
      </c>
      <c r="AW5" s="21"/>
      <c r="AX5" s="22">
        <v>42645</v>
      </c>
      <c r="AY5" s="18">
        <v>0</v>
      </c>
      <c r="AZ5" s="422" t="s">
        <v>6</v>
      </c>
      <c r="BA5" s="318">
        <v>0</v>
      </c>
      <c r="BB5" s="18">
        <v>0</v>
      </c>
      <c r="BD5" s="216"/>
    </row>
    <row r="6" spans="1:56" ht="15" customHeight="1" x14ac:dyDescent="0.25">
      <c r="B6" s="11">
        <v>42646</v>
      </c>
      <c r="C6" s="12">
        <v>115173.5</v>
      </c>
      <c r="D6" s="19" t="s">
        <v>654</v>
      </c>
      <c r="E6" s="20">
        <v>42646</v>
      </c>
      <c r="F6" s="13">
        <v>115273</v>
      </c>
      <c r="G6" s="14"/>
      <c r="H6" s="22">
        <v>42646</v>
      </c>
      <c r="I6" s="18">
        <v>100</v>
      </c>
      <c r="J6" s="423"/>
      <c r="K6" s="332">
        <f>2500+2500+2500+2500</f>
        <v>10000</v>
      </c>
      <c r="L6" s="18">
        <v>0</v>
      </c>
      <c r="P6" s="11">
        <v>42646</v>
      </c>
      <c r="Q6" s="12">
        <v>115173.5</v>
      </c>
      <c r="R6" s="19" t="s">
        <v>654</v>
      </c>
      <c r="S6" s="20">
        <v>42646</v>
      </c>
      <c r="T6" s="13">
        <v>115273</v>
      </c>
      <c r="U6" s="14"/>
      <c r="V6" s="22">
        <v>42646</v>
      </c>
      <c r="W6" s="18">
        <v>100</v>
      </c>
      <c r="X6" s="423"/>
      <c r="Y6" s="332">
        <f>2500+2500+2500</f>
        <v>7500</v>
      </c>
      <c r="Z6" s="18">
        <v>0</v>
      </c>
      <c r="AA6" s="216"/>
      <c r="AD6" s="11">
        <v>42646</v>
      </c>
      <c r="AE6" s="12">
        <v>115173.5</v>
      </c>
      <c r="AF6" s="19" t="s">
        <v>654</v>
      </c>
      <c r="AG6" s="20">
        <v>42646</v>
      </c>
      <c r="AH6" s="13">
        <v>115273</v>
      </c>
      <c r="AI6" s="14"/>
      <c r="AJ6" s="22">
        <v>42646</v>
      </c>
      <c r="AK6" s="18">
        <v>100</v>
      </c>
      <c r="AL6" s="423"/>
      <c r="AM6" s="332">
        <f>2500+2500</f>
        <v>5000</v>
      </c>
      <c r="AN6" s="18">
        <v>0</v>
      </c>
      <c r="AO6" s="18"/>
      <c r="AR6" s="11">
        <v>42646</v>
      </c>
      <c r="AS6" s="12">
        <v>115173.5</v>
      </c>
      <c r="AT6" s="19" t="s">
        <v>654</v>
      </c>
      <c r="AU6" s="20">
        <v>42646</v>
      </c>
      <c r="AV6" s="13">
        <v>115273</v>
      </c>
      <c r="AW6" s="14"/>
      <c r="AX6" s="22">
        <v>42646</v>
      </c>
      <c r="AY6" s="18">
        <v>100</v>
      </c>
      <c r="AZ6" s="423"/>
      <c r="BA6" s="332">
        <v>2500</v>
      </c>
      <c r="BB6" s="18">
        <v>0</v>
      </c>
      <c r="BD6" s="216"/>
    </row>
    <row r="7" spans="1:56" x14ac:dyDescent="0.25">
      <c r="B7" s="11">
        <v>42647</v>
      </c>
      <c r="C7" s="12">
        <v>85972.5</v>
      </c>
      <c r="D7" s="19" t="s">
        <v>655</v>
      </c>
      <c r="E7" s="20">
        <v>42647</v>
      </c>
      <c r="F7" s="13">
        <v>85972.5</v>
      </c>
      <c r="G7" s="14"/>
      <c r="H7" s="22">
        <v>42647</v>
      </c>
      <c r="I7" s="345">
        <v>0</v>
      </c>
      <c r="J7" s="23" t="s">
        <v>7</v>
      </c>
      <c r="K7" s="318">
        <f>7187.5</f>
        <v>7187.5</v>
      </c>
      <c r="L7" s="18">
        <v>0</v>
      </c>
      <c r="P7" s="11">
        <v>42647</v>
      </c>
      <c r="Q7" s="12">
        <v>85972.5</v>
      </c>
      <c r="R7" s="19" t="s">
        <v>655</v>
      </c>
      <c r="S7" s="20">
        <v>42647</v>
      </c>
      <c r="T7" s="13">
        <v>85972.5</v>
      </c>
      <c r="U7" s="14"/>
      <c r="V7" s="22">
        <v>42647</v>
      </c>
      <c r="W7" s="345">
        <v>0</v>
      </c>
      <c r="X7" s="23" t="s">
        <v>7</v>
      </c>
      <c r="Y7" s="318">
        <f>7187.5</f>
        <v>7187.5</v>
      </c>
      <c r="Z7" s="18">
        <v>0</v>
      </c>
      <c r="AA7" s="216"/>
      <c r="AD7" s="11">
        <v>42647</v>
      </c>
      <c r="AE7" s="12">
        <v>85972.5</v>
      </c>
      <c r="AF7" s="19" t="s">
        <v>655</v>
      </c>
      <c r="AG7" s="20">
        <v>42647</v>
      </c>
      <c r="AH7" s="13">
        <v>85972.5</v>
      </c>
      <c r="AI7" s="14"/>
      <c r="AJ7" s="22">
        <v>42647</v>
      </c>
      <c r="AK7" s="345">
        <v>0</v>
      </c>
      <c r="AL7" s="23" t="s">
        <v>7</v>
      </c>
      <c r="AM7" s="318">
        <f>7187.5</f>
        <v>7187.5</v>
      </c>
      <c r="AN7" s="18">
        <v>0</v>
      </c>
      <c r="AO7" s="18"/>
      <c r="AR7" s="11">
        <v>42647</v>
      </c>
      <c r="AS7" s="12">
        <v>85972.5</v>
      </c>
      <c r="AT7" s="19" t="s">
        <v>655</v>
      </c>
      <c r="AU7" s="20">
        <v>42647</v>
      </c>
      <c r="AV7" s="13">
        <v>85972.5</v>
      </c>
      <c r="AW7" s="14"/>
      <c r="AX7" s="22">
        <v>42647</v>
      </c>
      <c r="AY7" s="345">
        <v>0</v>
      </c>
      <c r="AZ7" s="23" t="s">
        <v>7</v>
      </c>
      <c r="BA7" s="318">
        <f>7187.5</f>
        <v>7187.5</v>
      </c>
      <c r="BB7" s="18">
        <v>0</v>
      </c>
      <c r="BD7" s="216"/>
    </row>
    <row r="8" spans="1:56" x14ac:dyDescent="0.25">
      <c r="B8" s="11">
        <v>42648</v>
      </c>
      <c r="C8" s="12">
        <v>47603</v>
      </c>
      <c r="D8" s="19" t="s">
        <v>657</v>
      </c>
      <c r="E8" s="20">
        <v>42648</v>
      </c>
      <c r="F8" s="13">
        <v>47603</v>
      </c>
      <c r="G8" s="14"/>
      <c r="H8" s="22">
        <v>42648</v>
      </c>
      <c r="I8" s="345">
        <v>0</v>
      </c>
      <c r="J8" s="23" t="s">
        <v>682</v>
      </c>
      <c r="K8" s="347">
        <v>7212.81</v>
      </c>
      <c r="L8" s="18">
        <v>0</v>
      </c>
      <c r="P8" s="11">
        <v>42648</v>
      </c>
      <c r="Q8" s="12">
        <v>47603</v>
      </c>
      <c r="R8" s="19" t="s">
        <v>657</v>
      </c>
      <c r="S8" s="20">
        <v>42648</v>
      </c>
      <c r="T8" s="13">
        <v>47603</v>
      </c>
      <c r="U8" s="14"/>
      <c r="V8" s="22">
        <v>42648</v>
      </c>
      <c r="W8" s="345">
        <v>0</v>
      </c>
      <c r="X8" s="23" t="s">
        <v>682</v>
      </c>
      <c r="Y8" s="347">
        <v>7212.81</v>
      </c>
      <c r="Z8" s="18">
        <v>0</v>
      </c>
      <c r="AA8" s="216"/>
      <c r="AD8" s="11">
        <v>42648</v>
      </c>
      <c r="AE8" s="12">
        <v>47603</v>
      </c>
      <c r="AF8" s="19" t="s">
        <v>657</v>
      </c>
      <c r="AG8" s="20">
        <v>42648</v>
      </c>
      <c r="AH8" s="13">
        <v>47603</v>
      </c>
      <c r="AI8" s="14"/>
      <c r="AJ8" s="22">
        <v>42648</v>
      </c>
      <c r="AK8" s="345">
        <v>0</v>
      </c>
      <c r="AL8" s="23" t="s">
        <v>682</v>
      </c>
      <c r="AM8" s="347">
        <v>7212.81</v>
      </c>
      <c r="AN8" s="18">
        <v>0</v>
      </c>
      <c r="AO8" s="18"/>
      <c r="AR8" s="11">
        <v>42648</v>
      </c>
      <c r="AS8" s="12">
        <v>47603</v>
      </c>
      <c r="AT8" s="19" t="s">
        <v>657</v>
      </c>
      <c r="AU8" s="20">
        <v>42648</v>
      </c>
      <c r="AV8" s="13">
        <v>47603</v>
      </c>
      <c r="AW8" s="14"/>
      <c r="AX8" s="22">
        <v>42648</v>
      </c>
      <c r="AY8" s="345">
        <v>0</v>
      </c>
      <c r="AZ8" s="23" t="s">
        <v>568</v>
      </c>
      <c r="BA8" s="347">
        <v>0</v>
      </c>
      <c r="BB8" s="18">
        <v>0</v>
      </c>
      <c r="BD8" s="216"/>
    </row>
    <row r="9" spans="1:56" x14ac:dyDescent="0.25">
      <c r="B9" s="11">
        <v>42649</v>
      </c>
      <c r="C9" s="12">
        <v>73657.5</v>
      </c>
      <c r="D9" s="19" t="s">
        <v>658</v>
      </c>
      <c r="E9" s="20">
        <v>42649</v>
      </c>
      <c r="F9" s="13">
        <v>73657.5</v>
      </c>
      <c r="G9" s="14"/>
      <c r="H9" s="22">
        <v>42649</v>
      </c>
      <c r="I9" s="345">
        <v>0</v>
      </c>
      <c r="J9" s="23" t="s">
        <v>683</v>
      </c>
      <c r="K9" s="383">
        <v>7212.81</v>
      </c>
      <c r="L9" s="18">
        <v>0</v>
      </c>
      <c r="P9" s="11">
        <v>42649</v>
      </c>
      <c r="Q9" s="12">
        <v>73657.5</v>
      </c>
      <c r="R9" s="19" t="s">
        <v>658</v>
      </c>
      <c r="S9" s="20">
        <v>42649</v>
      </c>
      <c r="T9" s="13">
        <v>73657.5</v>
      </c>
      <c r="U9" s="14"/>
      <c r="V9" s="22">
        <v>42649</v>
      </c>
      <c r="W9" s="345">
        <v>0</v>
      </c>
      <c r="X9" s="23" t="s">
        <v>683</v>
      </c>
      <c r="Y9" s="383">
        <v>0</v>
      </c>
      <c r="Z9" s="18">
        <v>0</v>
      </c>
      <c r="AA9" s="216"/>
      <c r="AD9" s="11">
        <v>42649</v>
      </c>
      <c r="AE9" s="12">
        <v>73657.5</v>
      </c>
      <c r="AF9" s="19" t="s">
        <v>658</v>
      </c>
      <c r="AG9" s="20">
        <v>42649</v>
      </c>
      <c r="AH9" s="13">
        <v>73657.5</v>
      </c>
      <c r="AI9" s="14"/>
      <c r="AJ9" s="22">
        <v>42649</v>
      </c>
      <c r="AK9" s="345">
        <v>0</v>
      </c>
      <c r="AL9" s="23" t="s">
        <v>683</v>
      </c>
      <c r="AM9" s="383">
        <v>0</v>
      </c>
      <c r="AN9" s="18">
        <v>0</v>
      </c>
      <c r="AO9" s="18"/>
      <c r="AR9" s="11">
        <v>42649</v>
      </c>
      <c r="AS9" s="12">
        <v>73657.5</v>
      </c>
      <c r="AT9" s="19" t="s">
        <v>658</v>
      </c>
      <c r="AU9" s="20">
        <v>42649</v>
      </c>
      <c r="AV9" s="13">
        <v>73657.5</v>
      </c>
      <c r="AW9" s="14"/>
      <c r="AX9" s="22">
        <v>42649</v>
      </c>
      <c r="AY9" s="345">
        <v>0</v>
      </c>
      <c r="AZ9" s="23" t="s">
        <v>569</v>
      </c>
      <c r="BA9" s="347">
        <v>0</v>
      </c>
      <c r="BB9" s="18">
        <v>0</v>
      </c>
      <c r="BD9" s="216"/>
    </row>
    <row r="10" spans="1:56" x14ac:dyDescent="0.25">
      <c r="A10" s="27"/>
      <c r="B10" s="11">
        <v>42650</v>
      </c>
      <c r="C10" s="12">
        <v>72571.5</v>
      </c>
      <c r="D10" s="26" t="s">
        <v>659</v>
      </c>
      <c r="E10" s="20">
        <v>42650</v>
      </c>
      <c r="F10" s="13">
        <v>72571.5</v>
      </c>
      <c r="G10" s="14"/>
      <c r="H10" s="22">
        <v>42650</v>
      </c>
      <c r="I10" s="345">
        <v>0</v>
      </c>
      <c r="J10" s="23" t="s">
        <v>684</v>
      </c>
      <c r="K10" s="347">
        <v>5119.3500000000004</v>
      </c>
      <c r="L10" s="18">
        <v>0</v>
      </c>
      <c r="O10" s="27"/>
      <c r="P10" s="11">
        <v>42650</v>
      </c>
      <c r="Q10" s="12">
        <v>72571.5</v>
      </c>
      <c r="R10" s="26" t="s">
        <v>659</v>
      </c>
      <c r="S10" s="20">
        <v>42650</v>
      </c>
      <c r="T10" s="13">
        <v>72571.5</v>
      </c>
      <c r="U10" s="14"/>
      <c r="V10" s="22">
        <v>42650</v>
      </c>
      <c r="W10" s="345">
        <v>0</v>
      </c>
      <c r="X10" s="23" t="s">
        <v>684</v>
      </c>
      <c r="Y10" s="347">
        <v>5119.3500000000004</v>
      </c>
      <c r="Z10" s="18">
        <v>0</v>
      </c>
      <c r="AA10" s="18"/>
      <c r="AC10" s="27"/>
      <c r="AD10" s="11">
        <v>42650</v>
      </c>
      <c r="AE10" s="12">
        <v>72571.5</v>
      </c>
      <c r="AF10" s="26" t="s">
        <v>659</v>
      </c>
      <c r="AG10" s="20">
        <v>42650</v>
      </c>
      <c r="AH10" s="13">
        <v>72571.5</v>
      </c>
      <c r="AI10" s="14"/>
      <c r="AJ10" s="22">
        <v>42650</v>
      </c>
      <c r="AK10" s="345">
        <v>0</v>
      </c>
      <c r="AL10" s="23" t="s">
        <v>684</v>
      </c>
      <c r="AM10" s="347">
        <v>5119.3500000000004</v>
      </c>
      <c r="AN10" s="18">
        <v>0</v>
      </c>
      <c r="AO10" s="18"/>
      <c r="AQ10" s="27"/>
      <c r="AR10" s="11">
        <v>42650</v>
      </c>
      <c r="AS10" s="12">
        <v>72571.5</v>
      </c>
      <c r="AT10" s="26" t="s">
        <v>659</v>
      </c>
      <c r="AU10" s="20">
        <v>42650</v>
      </c>
      <c r="AV10" s="13">
        <v>72571.5</v>
      </c>
      <c r="AW10" s="14"/>
      <c r="AX10" s="22">
        <v>42650</v>
      </c>
      <c r="AY10" s="345">
        <v>0</v>
      </c>
      <c r="AZ10" s="23" t="s">
        <v>570</v>
      </c>
      <c r="BA10" s="347">
        <v>0</v>
      </c>
      <c r="BB10" s="18">
        <v>0</v>
      </c>
      <c r="BD10" s="216"/>
    </row>
    <row r="11" spans="1:56" x14ac:dyDescent="0.25">
      <c r="B11" s="11">
        <v>42651</v>
      </c>
      <c r="C11" s="12">
        <v>76710.5</v>
      </c>
      <c r="D11" s="26" t="s">
        <v>661</v>
      </c>
      <c r="E11" s="20">
        <v>42651</v>
      </c>
      <c r="F11" s="13">
        <v>76710.5</v>
      </c>
      <c r="G11" s="14"/>
      <c r="H11" s="22">
        <v>42651</v>
      </c>
      <c r="I11" s="345">
        <v>0</v>
      </c>
      <c r="J11" s="23" t="s">
        <v>685</v>
      </c>
      <c r="K11" s="347">
        <v>5476.24</v>
      </c>
      <c r="L11" s="18">
        <v>0</v>
      </c>
      <c r="P11" s="11">
        <v>42651</v>
      </c>
      <c r="Q11" s="12">
        <v>76710.5</v>
      </c>
      <c r="R11" s="26" t="s">
        <v>661</v>
      </c>
      <c r="S11" s="20">
        <v>42651</v>
      </c>
      <c r="T11" s="13">
        <v>76710.5</v>
      </c>
      <c r="U11" s="14"/>
      <c r="V11" s="22">
        <v>42651</v>
      </c>
      <c r="W11" s="345">
        <v>0</v>
      </c>
      <c r="X11" s="23" t="s">
        <v>685</v>
      </c>
      <c r="Y11" s="347">
        <v>0</v>
      </c>
      <c r="Z11" s="18">
        <v>0</v>
      </c>
      <c r="AA11" s="216"/>
      <c r="AD11" s="11">
        <v>42651</v>
      </c>
      <c r="AE11" s="12">
        <v>76710.5</v>
      </c>
      <c r="AF11" s="26" t="s">
        <v>661</v>
      </c>
      <c r="AG11" s="20">
        <v>42651</v>
      </c>
      <c r="AH11" s="13">
        <v>76710.5</v>
      </c>
      <c r="AI11" s="14"/>
      <c r="AJ11" s="22">
        <v>42651</v>
      </c>
      <c r="AK11" s="345">
        <v>0</v>
      </c>
      <c r="AL11" s="23" t="s">
        <v>685</v>
      </c>
      <c r="AM11" s="347">
        <v>0</v>
      </c>
      <c r="AN11" s="18">
        <v>0</v>
      </c>
      <c r="AO11" s="18"/>
      <c r="AR11" s="11">
        <v>42651</v>
      </c>
      <c r="AS11" s="12">
        <v>76710.5</v>
      </c>
      <c r="AT11" s="26" t="s">
        <v>661</v>
      </c>
      <c r="AU11" s="20">
        <v>42651</v>
      </c>
      <c r="AV11" s="13">
        <v>76710.5</v>
      </c>
      <c r="AW11" s="14"/>
      <c r="AX11" s="22">
        <v>42651</v>
      </c>
      <c r="AY11" s="345">
        <v>0</v>
      </c>
      <c r="AZ11" s="23" t="s">
        <v>571</v>
      </c>
      <c r="BA11" s="347">
        <v>0</v>
      </c>
      <c r="BB11" s="18">
        <v>0</v>
      </c>
      <c r="BD11" s="216"/>
    </row>
    <row r="12" spans="1:56" x14ac:dyDescent="0.25">
      <c r="A12" s="28"/>
      <c r="B12" s="11">
        <v>42652</v>
      </c>
      <c r="C12" s="12">
        <v>75587.5</v>
      </c>
      <c r="D12" s="19" t="s">
        <v>663</v>
      </c>
      <c r="E12" s="20">
        <v>42652</v>
      </c>
      <c r="F12" s="13">
        <v>75753.5</v>
      </c>
      <c r="G12" s="14"/>
      <c r="H12" s="22">
        <v>42652</v>
      </c>
      <c r="I12" s="345">
        <v>166</v>
      </c>
      <c r="J12" s="23" t="s">
        <v>742</v>
      </c>
      <c r="K12" s="347">
        <v>7905.56</v>
      </c>
      <c r="L12" s="18">
        <v>0</v>
      </c>
      <c r="O12" s="28"/>
      <c r="P12" s="11">
        <v>42652</v>
      </c>
      <c r="Q12" s="12">
        <v>75587.5</v>
      </c>
      <c r="R12" s="19" t="s">
        <v>663</v>
      </c>
      <c r="S12" s="20">
        <v>42652</v>
      </c>
      <c r="T12" s="13">
        <v>75753.5</v>
      </c>
      <c r="U12" s="14"/>
      <c r="V12" s="22">
        <v>42652</v>
      </c>
      <c r="W12" s="345">
        <v>166</v>
      </c>
      <c r="X12" s="23" t="s">
        <v>117</v>
      </c>
      <c r="Y12" s="347">
        <v>0</v>
      </c>
      <c r="Z12" s="18">
        <v>0</v>
      </c>
      <c r="AA12" s="216"/>
      <c r="AC12" s="28"/>
      <c r="AD12" s="11">
        <v>42652</v>
      </c>
      <c r="AE12" s="12">
        <v>75587.5</v>
      </c>
      <c r="AF12" s="19" t="s">
        <v>663</v>
      </c>
      <c r="AG12" s="20">
        <v>42652</v>
      </c>
      <c r="AH12" s="13">
        <v>75753.5</v>
      </c>
      <c r="AI12" s="14"/>
      <c r="AJ12" s="22">
        <v>42652</v>
      </c>
      <c r="AK12" s="345">
        <v>166</v>
      </c>
      <c r="AL12" s="23" t="s">
        <v>117</v>
      </c>
      <c r="AM12" s="347">
        <v>0</v>
      </c>
      <c r="AN12" s="18">
        <v>0</v>
      </c>
      <c r="AO12" s="18"/>
      <c r="AQ12" s="28"/>
      <c r="AR12" s="11">
        <v>42652</v>
      </c>
      <c r="AS12" s="12">
        <v>75587.5</v>
      </c>
      <c r="AT12" s="19" t="s">
        <v>663</v>
      </c>
      <c r="AU12" s="20">
        <v>42652</v>
      </c>
      <c r="AV12" s="13">
        <v>75753.5</v>
      </c>
      <c r="AW12" s="14"/>
      <c r="AX12" s="22">
        <v>42652</v>
      </c>
      <c r="AY12" s="345">
        <v>166</v>
      </c>
      <c r="AZ12" s="23" t="s">
        <v>117</v>
      </c>
      <c r="BA12" s="347">
        <v>0</v>
      </c>
      <c r="BB12" s="18">
        <v>0</v>
      </c>
      <c r="BD12" s="18"/>
    </row>
    <row r="13" spans="1:56" x14ac:dyDescent="0.25">
      <c r="A13" s="28"/>
      <c r="B13" s="11">
        <v>42653</v>
      </c>
      <c r="C13" s="12">
        <v>70696.5</v>
      </c>
      <c r="D13" s="40" t="s">
        <v>676</v>
      </c>
      <c r="E13" s="20">
        <v>42653</v>
      </c>
      <c r="F13" s="13">
        <v>70696.5</v>
      </c>
      <c r="G13" s="14"/>
      <c r="H13" s="22">
        <v>42653</v>
      </c>
      <c r="I13" s="345">
        <v>0</v>
      </c>
      <c r="J13" s="30" t="s">
        <v>375</v>
      </c>
      <c r="K13" s="347">
        <v>0</v>
      </c>
      <c r="L13" s="18">
        <v>0</v>
      </c>
      <c r="O13" s="28"/>
      <c r="P13" s="11">
        <v>42653</v>
      </c>
      <c r="Q13" s="12">
        <v>70696.5</v>
      </c>
      <c r="R13" s="40" t="s">
        <v>676</v>
      </c>
      <c r="S13" s="20">
        <v>42653</v>
      </c>
      <c r="T13" s="13">
        <v>70696.5</v>
      </c>
      <c r="U13" s="14"/>
      <c r="V13" s="22">
        <v>42653</v>
      </c>
      <c r="W13" s="345">
        <v>0</v>
      </c>
      <c r="X13" s="30" t="s">
        <v>375</v>
      </c>
      <c r="Y13" s="347">
        <v>0</v>
      </c>
      <c r="Z13" s="18">
        <v>0</v>
      </c>
      <c r="AA13" s="216"/>
      <c r="AC13" s="28"/>
      <c r="AD13" s="11">
        <v>42653</v>
      </c>
      <c r="AE13" s="12">
        <v>70696.5</v>
      </c>
      <c r="AF13" s="40" t="s">
        <v>676</v>
      </c>
      <c r="AG13" s="20">
        <v>42653</v>
      </c>
      <c r="AH13" s="13">
        <v>70696.5</v>
      </c>
      <c r="AI13" s="14"/>
      <c r="AJ13" s="22">
        <v>42653</v>
      </c>
      <c r="AK13" s="345">
        <v>0</v>
      </c>
      <c r="AL13" s="30" t="s">
        <v>375</v>
      </c>
      <c r="AM13" s="347">
        <v>0</v>
      </c>
      <c r="AN13" s="18">
        <v>0</v>
      </c>
      <c r="AO13" s="18"/>
      <c r="AQ13" s="28"/>
      <c r="AR13" s="11">
        <v>42653</v>
      </c>
      <c r="AS13" s="12">
        <v>70696.5</v>
      </c>
      <c r="AT13" s="40" t="s">
        <v>676</v>
      </c>
      <c r="AU13" s="20">
        <v>42653</v>
      </c>
      <c r="AV13" s="13">
        <v>70696.5</v>
      </c>
      <c r="AW13" s="14"/>
      <c r="AX13" s="22">
        <v>42653</v>
      </c>
      <c r="AY13" s="345">
        <v>0</v>
      </c>
      <c r="AZ13" s="30" t="s">
        <v>375</v>
      </c>
      <c r="BA13" s="347">
        <v>0</v>
      </c>
      <c r="BB13" s="18">
        <v>0</v>
      </c>
      <c r="BD13" s="216"/>
    </row>
    <row r="14" spans="1:56" x14ac:dyDescent="0.25">
      <c r="B14" s="11">
        <v>42654</v>
      </c>
      <c r="C14" s="12">
        <v>77558.5</v>
      </c>
      <c r="D14" s="19" t="s">
        <v>677</v>
      </c>
      <c r="E14" s="20">
        <v>42654</v>
      </c>
      <c r="F14" s="13">
        <v>77558.5</v>
      </c>
      <c r="G14" s="14"/>
      <c r="H14" s="22">
        <v>42654</v>
      </c>
      <c r="I14" s="345">
        <v>0</v>
      </c>
      <c r="J14" s="31"/>
      <c r="K14" s="347">
        <v>0</v>
      </c>
      <c r="L14" s="18">
        <v>0</v>
      </c>
      <c r="P14" s="11">
        <v>42654</v>
      </c>
      <c r="Q14" s="12">
        <v>77558.5</v>
      </c>
      <c r="R14" s="19" t="s">
        <v>677</v>
      </c>
      <c r="S14" s="20">
        <v>42654</v>
      </c>
      <c r="T14" s="13">
        <v>77558.5</v>
      </c>
      <c r="U14" s="14"/>
      <c r="V14" s="22">
        <v>42654</v>
      </c>
      <c r="W14" s="345">
        <v>0</v>
      </c>
      <c r="X14" s="31"/>
      <c r="Y14" s="347">
        <v>0</v>
      </c>
      <c r="Z14" s="18">
        <v>0</v>
      </c>
      <c r="AA14" s="216"/>
      <c r="AD14" s="11">
        <v>42654</v>
      </c>
      <c r="AE14" s="12">
        <v>77558.5</v>
      </c>
      <c r="AF14" s="19" t="s">
        <v>677</v>
      </c>
      <c r="AG14" s="20">
        <v>42654</v>
      </c>
      <c r="AH14" s="13">
        <v>77558.5</v>
      </c>
      <c r="AI14" s="14"/>
      <c r="AJ14" s="22">
        <v>42654</v>
      </c>
      <c r="AK14" s="345">
        <v>0</v>
      </c>
      <c r="AL14" s="31"/>
      <c r="AM14" s="347">
        <v>0</v>
      </c>
      <c r="AN14" s="18">
        <v>0</v>
      </c>
      <c r="AO14" s="18"/>
      <c r="AR14" s="11">
        <v>42654</v>
      </c>
      <c r="AS14" s="12">
        <v>77558.5</v>
      </c>
      <c r="AT14" s="19" t="s">
        <v>677</v>
      </c>
      <c r="AU14" s="20">
        <v>42654</v>
      </c>
      <c r="AV14" s="230">
        <v>77558.5</v>
      </c>
      <c r="AW14" s="14"/>
      <c r="AX14" s="22">
        <v>42654</v>
      </c>
      <c r="AY14" s="373">
        <v>0</v>
      </c>
      <c r="AZ14" s="31"/>
      <c r="BA14" s="347">
        <v>0</v>
      </c>
      <c r="BB14" s="18">
        <v>0</v>
      </c>
      <c r="BD14" s="216"/>
    </row>
    <row r="15" spans="1:56" x14ac:dyDescent="0.25">
      <c r="A15" s="28"/>
      <c r="B15" s="11">
        <v>42655</v>
      </c>
      <c r="C15" s="12">
        <v>46452</v>
      </c>
      <c r="D15" s="19" t="s">
        <v>678</v>
      </c>
      <c r="E15" s="20">
        <v>42655</v>
      </c>
      <c r="F15" s="13">
        <v>46452</v>
      </c>
      <c r="G15" s="14"/>
      <c r="H15" s="22">
        <v>42655</v>
      </c>
      <c r="I15" s="345">
        <v>0</v>
      </c>
      <c r="J15" s="23" t="s">
        <v>225</v>
      </c>
      <c r="K15" s="347">
        <v>0</v>
      </c>
      <c r="L15" s="18">
        <v>0</v>
      </c>
      <c r="O15" s="28"/>
      <c r="P15" s="11">
        <v>42655</v>
      </c>
      <c r="Q15" s="12">
        <v>46452</v>
      </c>
      <c r="R15" s="19" t="s">
        <v>678</v>
      </c>
      <c r="S15" s="20">
        <v>42655</v>
      </c>
      <c r="T15" s="13">
        <v>46452</v>
      </c>
      <c r="U15" s="14"/>
      <c r="V15" s="22">
        <v>42655</v>
      </c>
      <c r="W15" s="345">
        <v>0</v>
      </c>
      <c r="X15" s="23" t="s">
        <v>225</v>
      </c>
      <c r="Y15" s="347">
        <v>0</v>
      </c>
      <c r="Z15" s="18">
        <v>0</v>
      </c>
      <c r="AA15" s="216"/>
      <c r="AC15" s="28"/>
      <c r="AD15" s="11">
        <v>42655</v>
      </c>
      <c r="AE15" s="12">
        <v>46452</v>
      </c>
      <c r="AF15" s="19" t="s">
        <v>678</v>
      </c>
      <c r="AG15" s="20">
        <v>42655</v>
      </c>
      <c r="AH15" s="13">
        <v>46452</v>
      </c>
      <c r="AI15" s="14"/>
      <c r="AJ15" s="22">
        <v>42655</v>
      </c>
      <c r="AK15" s="345">
        <v>0</v>
      </c>
      <c r="AL15" s="23" t="s">
        <v>225</v>
      </c>
      <c r="AM15" s="347">
        <v>0</v>
      </c>
      <c r="AN15" s="18">
        <v>0</v>
      </c>
      <c r="AO15" s="18"/>
      <c r="AQ15" s="28"/>
      <c r="AR15" s="11">
        <v>42655</v>
      </c>
      <c r="AS15" s="12"/>
      <c r="AT15" s="19"/>
      <c r="AU15" s="20">
        <v>42655</v>
      </c>
      <c r="AV15" s="13"/>
      <c r="AW15" s="14"/>
      <c r="AX15" s="22">
        <v>42655</v>
      </c>
      <c r="AY15" s="345"/>
      <c r="AZ15" s="23" t="s">
        <v>225</v>
      </c>
      <c r="BA15" s="347">
        <v>0</v>
      </c>
      <c r="BB15" s="18">
        <v>0</v>
      </c>
      <c r="BD15" s="216"/>
    </row>
    <row r="16" spans="1:56" x14ac:dyDescent="0.25">
      <c r="A16" s="28"/>
      <c r="B16" s="11">
        <v>42656</v>
      </c>
      <c r="C16" s="12">
        <v>73018.5</v>
      </c>
      <c r="D16" s="19" t="s">
        <v>679</v>
      </c>
      <c r="E16" s="20">
        <v>42656</v>
      </c>
      <c r="F16" s="13">
        <v>73598.5</v>
      </c>
      <c r="G16" s="14"/>
      <c r="H16" s="22">
        <v>42656</v>
      </c>
      <c r="I16" s="345">
        <v>580</v>
      </c>
      <c r="J16" s="34"/>
      <c r="K16" s="347">
        <v>0</v>
      </c>
      <c r="L16" s="18">
        <v>0</v>
      </c>
      <c r="O16" s="28"/>
      <c r="P16" s="11">
        <v>42656</v>
      </c>
      <c r="Q16" s="12">
        <v>73018.5</v>
      </c>
      <c r="R16" s="19" t="s">
        <v>679</v>
      </c>
      <c r="S16" s="20">
        <v>42656</v>
      </c>
      <c r="T16" s="13">
        <v>73598.5</v>
      </c>
      <c r="U16" s="14"/>
      <c r="V16" s="22">
        <v>42656</v>
      </c>
      <c r="W16" s="345">
        <v>580</v>
      </c>
      <c r="X16" s="34"/>
      <c r="Y16" s="347">
        <v>0</v>
      </c>
      <c r="Z16" s="18">
        <v>0</v>
      </c>
      <c r="AA16" s="216"/>
      <c r="AC16" s="28"/>
      <c r="AD16" s="11">
        <v>42656</v>
      </c>
      <c r="AE16" s="12">
        <v>73018.5</v>
      </c>
      <c r="AF16" s="19" t="s">
        <v>679</v>
      </c>
      <c r="AG16" s="20">
        <v>42656</v>
      </c>
      <c r="AH16" s="13">
        <v>73598.5</v>
      </c>
      <c r="AI16" s="14"/>
      <c r="AJ16" s="22">
        <v>42656</v>
      </c>
      <c r="AK16" s="345">
        <v>580</v>
      </c>
      <c r="AL16" s="34"/>
      <c r="AM16" s="347">
        <v>0</v>
      </c>
      <c r="AN16" s="18">
        <v>0</v>
      </c>
      <c r="AO16" s="18"/>
      <c r="AQ16" s="28"/>
      <c r="AR16" s="11">
        <v>42656</v>
      </c>
      <c r="AS16" s="12"/>
      <c r="AT16" s="19"/>
      <c r="AU16" s="20">
        <v>42656</v>
      </c>
      <c r="AV16" s="13"/>
      <c r="AW16" s="14"/>
      <c r="AX16" s="22">
        <v>42656</v>
      </c>
      <c r="AY16" s="345"/>
      <c r="AZ16" s="34"/>
      <c r="BA16" s="347">
        <v>0</v>
      </c>
      <c r="BB16" s="18">
        <v>0</v>
      </c>
      <c r="BD16" s="216"/>
    </row>
    <row r="17" spans="1:56" x14ac:dyDescent="0.25">
      <c r="A17" s="28"/>
      <c r="B17" s="11">
        <v>42657</v>
      </c>
      <c r="C17" s="12">
        <v>47338.5</v>
      </c>
      <c r="D17" s="19" t="s">
        <v>680</v>
      </c>
      <c r="E17" s="20">
        <v>42657</v>
      </c>
      <c r="F17" s="13">
        <v>47338.5</v>
      </c>
      <c r="G17" s="14"/>
      <c r="H17" s="22">
        <v>42657</v>
      </c>
      <c r="I17" s="345">
        <v>0</v>
      </c>
      <c r="J17" s="35" t="s">
        <v>374</v>
      </c>
      <c r="K17" s="347">
        <v>0</v>
      </c>
      <c r="L17" s="18">
        <v>0</v>
      </c>
      <c r="O17" s="28"/>
      <c r="P17" s="11">
        <v>42657</v>
      </c>
      <c r="Q17" s="12">
        <v>47338.5</v>
      </c>
      <c r="R17" s="19" t="s">
        <v>680</v>
      </c>
      <c r="S17" s="20">
        <v>42657</v>
      </c>
      <c r="T17" s="13">
        <v>47338.5</v>
      </c>
      <c r="U17" s="14"/>
      <c r="V17" s="22">
        <v>42657</v>
      </c>
      <c r="W17" s="345">
        <v>0</v>
      </c>
      <c r="X17" s="35" t="s">
        <v>374</v>
      </c>
      <c r="Y17" s="347">
        <v>0</v>
      </c>
      <c r="Z17" s="18">
        <v>0</v>
      </c>
      <c r="AA17" s="216"/>
      <c r="AC17" s="28"/>
      <c r="AD17" s="11">
        <v>42657</v>
      </c>
      <c r="AE17" s="12">
        <v>47338.5</v>
      </c>
      <c r="AF17" s="19" t="s">
        <v>680</v>
      </c>
      <c r="AG17" s="20">
        <v>42657</v>
      </c>
      <c r="AH17" s="13">
        <v>47338.5</v>
      </c>
      <c r="AI17" s="14"/>
      <c r="AJ17" s="22">
        <v>42657</v>
      </c>
      <c r="AK17" s="345">
        <v>0</v>
      </c>
      <c r="AL17" s="35" t="s">
        <v>374</v>
      </c>
      <c r="AM17" s="347">
        <v>0</v>
      </c>
      <c r="AN17" s="18">
        <v>0</v>
      </c>
      <c r="AO17" s="18"/>
      <c r="AQ17" s="28"/>
      <c r="AR17" s="11">
        <v>42657</v>
      </c>
      <c r="AS17" s="12"/>
      <c r="AT17" s="19"/>
      <c r="AU17" s="20">
        <v>42657</v>
      </c>
      <c r="AV17" s="13"/>
      <c r="AW17" s="14"/>
      <c r="AX17" s="22">
        <v>42657</v>
      </c>
      <c r="AY17" s="345"/>
      <c r="AZ17" s="35" t="s">
        <v>374</v>
      </c>
      <c r="BA17" s="347">
        <v>0</v>
      </c>
      <c r="BB17" s="18">
        <v>0</v>
      </c>
      <c r="BD17" s="216"/>
    </row>
    <row r="18" spans="1:56" x14ac:dyDescent="0.25">
      <c r="B18" s="11">
        <v>42658</v>
      </c>
      <c r="C18" s="12">
        <v>49490.5</v>
      </c>
      <c r="D18" s="19" t="s">
        <v>681</v>
      </c>
      <c r="E18" s="20">
        <v>42658</v>
      </c>
      <c r="F18" s="13">
        <v>49490.5</v>
      </c>
      <c r="G18" s="14"/>
      <c r="H18" s="22">
        <v>42658</v>
      </c>
      <c r="I18" s="345">
        <v>0</v>
      </c>
      <c r="J18" s="36"/>
      <c r="K18" s="318">
        <v>0</v>
      </c>
      <c r="L18" s="18">
        <v>0</v>
      </c>
      <c r="P18" s="11">
        <v>42658</v>
      </c>
      <c r="Q18" s="12">
        <v>49490.5</v>
      </c>
      <c r="R18" s="19" t="s">
        <v>681</v>
      </c>
      <c r="S18" s="20">
        <v>42658</v>
      </c>
      <c r="T18" s="13">
        <v>49490.5</v>
      </c>
      <c r="U18" s="14"/>
      <c r="V18" s="22">
        <v>42658</v>
      </c>
      <c r="W18" s="345">
        <v>0</v>
      </c>
      <c r="X18" s="36"/>
      <c r="Y18" s="318">
        <v>0</v>
      </c>
      <c r="Z18" s="18">
        <v>0</v>
      </c>
      <c r="AA18" s="216"/>
      <c r="AD18" s="11">
        <v>42658</v>
      </c>
      <c r="AE18" s="12">
        <v>49490.5</v>
      </c>
      <c r="AF18" s="19" t="s">
        <v>681</v>
      </c>
      <c r="AG18" s="20">
        <v>42658</v>
      </c>
      <c r="AH18" s="13">
        <v>49490.5</v>
      </c>
      <c r="AI18" s="14"/>
      <c r="AJ18" s="22">
        <v>42658</v>
      </c>
      <c r="AK18" s="345">
        <v>0</v>
      </c>
      <c r="AL18" s="36"/>
      <c r="AM18" s="318">
        <v>0</v>
      </c>
      <c r="AN18" s="18">
        <v>0</v>
      </c>
      <c r="AO18" s="18"/>
      <c r="AR18" s="11">
        <v>42658</v>
      </c>
      <c r="AS18" s="12"/>
      <c r="AT18" s="19"/>
      <c r="AU18" s="20">
        <v>42658</v>
      </c>
      <c r="AV18" s="13"/>
      <c r="AW18" s="14"/>
      <c r="AX18" s="22">
        <v>42658</v>
      </c>
      <c r="AY18" s="345"/>
      <c r="AZ18" s="36"/>
      <c r="BA18" s="318">
        <v>0</v>
      </c>
      <c r="BB18" s="18">
        <v>0</v>
      </c>
      <c r="BD18" s="216"/>
    </row>
    <row r="19" spans="1:56" x14ac:dyDescent="0.25">
      <c r="A19" s="28"/>
      <c r="B19" s="11">
        <v>42659</v>
      </c>
      <c r="C19" s="12">
        <v>41083.919999999998</v>
      </c>
      <c r="D19" s="19" t="s">
        <v>686</v>
      </c>
      <c r="E19" s="20">
        <v>42659</v>
      </c>
      <c r="F19" s="13">
        <v>61151</v>
      </c>
      <c r="G19" s="14"/>
      <c r="H19" s="22">
        <v>42659</v>
      </c>
      <c r="I19" s="345">
        <v>100</v>
      </c>
      <c r="J19" s="344"/>
      <c r="K19" s="347">
        <v>0</v>
      </c>
      <c r="L19" s="18">
        <v>19967</v>
      </c>
      <c r="O19" s="28"/>
      <c r="P19" s="11">
        <v>42659</v>
      </c>
      <c r="Q19" s="12">
        <v>41083.919999999998</v>
      </c>
      <c r="R19" s="19" t="s">
        <v>686</v>
      </c>
      <c r="S19" s="20">
        <v>42659</v>
      </c>
      <c r="T19" s="13">
        <v>61151</v>
      </c>
      <c r="U19" s="14"/>
      <c r="V19" s="22">
        <v>42659</v>
      </c>
      <c r="W19" s="345">
        <v>100</v>
      </c>
      <c r="X19" s="344"/>
      <c r="Y19" s="347">
        <v>0</v>
      </c>
      <c r="Z19" s="18">
        <v>19967</v>
      </c>
      <c r="AA19" s="216"/>
      <c r="AC19" s="28"/>
      <c r="AD19" s="11">
        <v>42659</v>
      </c>
      <c r="AE19" s="12">
        <v>41083.919999999998</v>
      </c>
      <c r="AF19" s="19" t="s">
        <v>686</v>
      </c>
      <c r="AG19" s="20">
        <v>42659</v>
      </c>
      <c r="AH19" s="13">
        <v>61151</v>
      </c>
      <c r="AI19" s="14"/>
      <c r="AJ19" s="22">
        <v>42659</v>
      </c>
      <c r="AK19" s="345">
        <v>100</v>
      </c>
      <c r="AL19" s="344"/>
      <c r="AM19" s="347">
        <v>0</v>
      </c>
      <c r="AN19" s="18">
        <v>19967</v>
      </c>
      <c r="AO19" s="18"/>
      <c r="AQ19" s="28"/>
      <c r="AR19" s="11">
        <v>42659</v>
      </c>
      <c r="AS19" s="12"/>
      <c r="AT19" s="19"/>
      <c r="AU19" s="20">
        <v>42659</v>
      </c>
      <c r="AV19" s="13"/>
      <c r="AW19" s="14"/>
      <c r="AX19" s="22">
        <v>42659</v>
      </c>
      <c r="AY19" s="345"/>
      <c r="AZ19" s="344"/>
      <c r="BA19" s="347">
        <v>0</v>
      </c>
      <c r="BB19" s="18">
        <v>0</v>
      </c>
      <c r="BD19" s="216"/>
    </row>
    <row r="20" spans="1:56" x14ac:dyDescent="0.25">
      <c r="B20" s="11">
        <v>42660</v>
      </c>
      <c r="C20" s="12">
        <v>0</v>
      </c>
      <c r="D20" s="19" t="s">
        <v>707</v>
      </c>
      <c r="E20" s="20">
        <v>42660</v>
      </c>
      <c r="F20" s="13">
        <v>66088.5</v>
      </c>
      <c r="G20" s="14"/>
      <c r="H20" s="22">
        <v>42660</v>
      </c>
      <c r="I20" s="18">
        <v>0</v>
      </c>
      <c r="J20" s="343"/>
      <c r="K20" s="292">
        <v>0</v>
      </c>
      <c r="L20" s="18">
        <v>66088.5</v>
      </c>
      <c r="P20" s="11">
        <v>42660</v>
      </c>
      <c r="Q20" s="12">
        <v>0</v>
      </c>
      <c r="R20" s="19" t="s">
        <v>707</v>
      </c>
      <c r="S20" s="20">
        <v>42660</v>
      </c>
      <c r="T20" s="13">
        <v>66088.5</v>
      </c>
      <c r="U20" s="14"/>
      <c r="V20" s="22">
        <v>42660</v>
      </c>
      <c r="W20" s="18">
        <v>0</v>
      </c>
      <c r="X20" s="343"/>
      <c r="Y20" s="292">
        <v>0</v>
      </c>
      <c r="Z20" s="18">
        <v>66088.5</v>
      </c>
      <c r="AA20" s="216"/>
      <c r="AD20" s="11">
        <v>42660</v>
      </c>
      <c r="AE20" s="12">
        <v>0</v>
      </c>
      <c r="AF20" s="19" t="s">
        <v>707</v>
      </c>
      <c r="AG20" s="20">
        <v>42660</v>
      </c>
      <c r="AH20" s="13">
        <v>66088.5</v>
      </c>
      <c r="AI20" s="14"/>
      <c r="AJ20" s="22">
        <v>42660</v>
      </c>
      <c r="AK20" s="18">
        <v>0</v>
      </c>
      <c r="AL20" s="343"/>
      <c r="AM20" s="292">
        <v>0</v>
      </c>
      <c r="AN20" s="18">
        <v>66088.5</v>
      </c>
      <c r="AO20" s="18"/>
      <c r="AR20" s="11">
        <v>42660</v>
      </c>
      <c r="AS20" s="12"/>
      <c r="AT20" s="19"/>
      <c r="AU20" s="20">
        <v>42660</v>
      </c>
      <c r="AV20" s="13"/>
      <c r="AW20" s="14"/>
      <c r="AX20" s="22">
        <v>42660</v>
      </c>
      <c r="AY20" s="18"/>
      <c r="AZ20" s="343"/>
      <c r="BA20" s="292">
        <v>0</v>
      </c>
      <c r="BB20" s="18">
        <v>0</v>
      </c>
      <c r="BD20" s="216"/>
    </row>
    <row r="21" spans="1:56" x14ac:dyDescent="0.25">
      <c r="B21" s="11">
        <v>42661</v>
      </c>
      <c r="C21" s="12">
        <v>77212.5</v>
      </c>
      <c r="D21" s="40" t="s">
        <v>708</v>
      </c>
      <c r="E21" s="20">
        <v>42661</v>
      </c>
      <c r="F21" s="13">
        <v>77212.5</v>
      </c>
      <c r="G21" s="14"/>
      <c r="H21" s="22">
        <v>42661</v>
      </c>
      <c r="I21" s="18">
        <v>0</v>
      </c>
      <c r="J21" s="342"/>
      <c r="K21" s="318">
        <v>0</v>
      </c>
      <c r="L21" s="18">
        <v>0</v>
      </c>
      <c r="P21" s="11">
        <v>42661</v>
      </c>
      <c r="Q21" s="12">
        <v>77212.5</v>
      </c>
      <c r="R21" s="40" t="s">
        <v>708</v>
      </c>
      <c r="S21" s="20">
        <v>42661</v>
      </c>
      <c r="T21" s="13">
        <v>77212.5</v>
      </c>
      <c r="U21" s="14"/>
      <c r="V21" s="22">
        <v>42661</v>
      </c>
      <c r="W21" s="18">
        <v>0</v>
      </c>
      <c r="X21" s="342"/>
      <c r="Y21" s="318">
        <v>0</v>
      </c>
      <c r="Z21" s="18">
        <v>0</v>
      </c>
      <c r="AA21" s="216"/>
      <c r="AD21" s="11">
        <v>42661</v>
      </c>
      <c r="AE21" s="12">
        <v>77212.5</v>
      </c>
      <c r="AF21" s="40" t="s">
        <v>708</v>
      </c>
      <c r="AG21" s="20">
        <v>42661</v>
      </c>
      <c r="AH21" s="230">
        <v>77212.5</v>
      </c>
      <c r="AI21" s="14"/>
      <c r="AJ21" s="22">
        <v>42661</v>
      </c>
      <c r="AK21" s="346">
        <v>0</v>
      </c>
      <c r="AL21" s="342"/>
      <c r="AM21" s="318">
        <v>0</v>
      </c>
      <c r="AN21" s="18">
        <v>0</v>
      </c>
      <c r="AO21" s="18"/>
      <c r="AR21" s="11">
        <v>42661</v>
      </c>
      <c r="AS21" s="12"/>
      <c r="AT21" s="40"/>
      <c r="AU21" s="20">
        <v>42661</v>
      </c>
      <c r="AV21" s="13"/>
      <c r="AW21" s="14"/>
      <c r="AX21" s="22">
        <v>42661</v>
      </c>
      <c r="AY21" s="18"/>
      <c r="AZ21" s="342"/>
      <c r="BA21" s="318">
        <v>0</v>
      </c>
      <c r="BB21" s="18">
        <v>0</v>
      </c>
      <c r="BD21" s="216"/>
    </row>
    <row r="22" spans="1:56" x14ac:dyDescent="0.25">
      <c r="B22" s="11">
        <v>42662</v>
      </c>
      <c r="C22" s="12">
        <v>52803.5</v>
      </c>
      <c r="D22" s="40" t="s">
        <v>710</v>
      </c>
      <c r="E22" s="20">
        <v>42662</v>
      </c>
      <c r="F22" s="13">
        <v>52803.5</v>
      </c>
      <c r="G22" s="21"/>
      <c r="H22" s="22">
        <v>42662</v>
      </c>
      <c r="I22" s="345">
        <v>0</v>
      </c>
      <c r="J22" s="23"/>
      <c r="K22" s="318">
        <v>0</v>
      </c>
      <c r="L22" s="18">
        <v>0</v>
      </c>
      <c r="P22" s="11">
        <v>42662</v>
      </c>
      <c r="Q22" s="12">
        <v>52803.5</v>
      </c>
      <c r="R22" s="40" t="s">
        <v>710</v>
      </c>
      <c r="S22" s="20">
        <v>42662</v>
      </c>
      <c r="T22" s="13">
        <v>52803.5</v>
      </c>
      <c r="U22" s="21"/>
      <c r="V22" s="22">
        <v>42662</v>
      </c>
      <c r="W22" s="345">
        <v>0</v>
      </c>
      <c r="X22" s="23"/>
      <c r="Y22" s="318">
        <v>0</v>
      </c>
      <c r="Z22" s="18">
        <v>0</v>
      </c>
      <c r="AA22" s="18"/>
      <c r="AD22" s="11">
        <v>42662</v>
      </c>
      <c r="AE22" s="12"/>
      <c r="AF22" s="40"/>
      <c r="AG22" s="20">
        <v>42662</v>
      </c>
      <c r="AH22" s="13"/>
      <c r="AI22" s="21"/>
      <c r="AJ22" s="22">
        <v>42662</v>
      </c>
      <c r="AK22" s="345"/>
      <c r="AL22" s="23"/>
      <c r="AM22" s="318">
        <v>0</v>
      </c>
      <c r="AN22" s="18">
        <v>0</v>
      </c>
      <c r="AO22" s="18"/>
      <c r="AR22" s="11">
        <v>42662</v>
      </c>
      <c r="AS22" s="12"/>
      <c r="AT22" s="40"/>
      <c r="AU22" s="20">
        <v>42662</v>
      </c>
      <c r="AV22" s="13"/>
      <c r="AW22" s="21"/>
      <c r="AX22" s="22">
        <v>42662</v>
      </c>
      <c r="AY22" s="345"/>
      <c r="AZ22" s="23"/>
      <c r="BA22" s="318">
        <v>0</v>
      </c>
      <c r="BB22" s="18">
        <v>0</v>
      </c>
      <c r="BD22" s="216"/>
    </row>
    <row r="23" spans="1:56" x14ac:dyDescent="0.25">
      <c r="A23" s="28"/>
      <c r="B23" s="11">
        <v>42663</v>
      </c>
      <c r="C23" s="12">
        <v>49427</v>
      </c>
      <c r="D23" s="40" t="s">
        <v>711</v>
      </c>
      <c r="E23" s="20">
        <v>42663</v>
      </c>
      <c r="F23" s="13">
        <v>49427</v>
      </c>
      <c r="G23" s="14"/>
      <c r="H23" s="22">
        <v>42663</v>
      </c>
      <c r="I23" s="345">
        <v>0</v>
      </c>
      <c r="J23" s="23" t="s">
        <v>414</v>
      </c>
      <c r="K23" s="347">
        <v>0</v>
      </c>
      <c r="L23" s="18">
        <v>0</v>
      </c>
      <c r="O23" s="28"/>
      <c r="P23" s="11">
        <v>42663</v>
      </c>
      <c r="Q23" s="12">
        <v>49427</v>
      </c>
      <c r="R23" s="40" t="s">
        <v>711</v>
      </c>
      <c r="S23" s="20">
        <v>42663</v>
      </c>
      <c r="T23" s="13">
        <v>49427</v>
      </c>
      <c r="U23" s="14"/>
      <c r="V23" s="22">
        <v>42663</v>
      </c>
      <c r="W23" s="345">
        <v>0</v>
      </c>
      <c r="X23" s="23" t="s">
        <v>414</v>
      </c>
      <c r="Y23" s="347">
        <v>0</v>
      </c>
      <c r="Z23" s="18">
        <v>0</v>
      </c>
      <c r="AA23" s="216"/>
      <c r="AC23" s="28"/>
      <c r="AD23" s="11">
        <v>42663</v>
      </c>
      <c r="AE23" s="12"/>
      <c r="AF23" s="40"/>
      <c r="AG23" s="20">
        <v>42663</v>
      </c>
      <c r="AH23" s="13"/>
      <c r="AI23" s="14"/>
      <c r="AJ23" s="22">
        <v>42663</v>
      </c>
      <c r="AK23" s="345"/>
      <c r="AL23" s="23" t="s">
        <v>414</v>
      </c>
      <c r="AM23" s="347">
        <v>0</v>
      </c>
      <c r="AN23" s="18">
        <v>0</v>
      </c>
      <c r="AO23" s="18"/>
      <c r="AQ23" s="28"/>
      <c r="AR23" s="11">
        <v>42663</v>
      </c>
      <c r="AS23" s="12"/>
      <c r="AT23" s="40"/>
      <c r="AU23" s="20">
        <v>42663</v>
      </c>
      <c r="AV23" s="13"/>
      <c r="AW23" s="14"/>
      <c r="AX23" s="22">
        <v>42663</v>
      </c>
      <c r="AY23" s="345"/>
      <c r="AZ23" s="23" t="s">
        <v>414</v>
      </c>
      <c r="BA23" s="347">
        <v>0</v>
      </c>
      <c r="BB23" s="18">
        <v>0</v>
      </c>
      <c r="BD23" s="216"/>
    </row>
    <row r="24" spans="1:56" x14ac:dyDescent="0.25">
      <c r="A24" s="28"/>
      <c r="B24" s="11">
        <v>42664</v>
      </c>
      <c r="C24" s="12">
        <v>61013</v>
      </c>
      <c r="D24" s="40" t="s">
        <v>712</v>
      </c>
      <c r="E24" s="20">
        <v>42664</v>
      </c>
      <c r="F24" s="13">
        <v>61079</v>
      </c>
      <c r="G24" s="14"/>
      <c r="H24" s="22">
        <v>42664</v>
      </c>
      <c r="I24" s="345">
        <v>66</v>
      </c>
      <c r="J24" s="34"/>
      <c r="K24" s="318"/>
      <c r="L24" s="18">
        <v>0</v>
      </c>
      <c r="O24" s="28"/>
      <c r="P24" s="11">
        <v>42664</v>
      </c>
      <c r="Q24" s="12">
        <v>61013</v>
      </c>
      <c r="R24" s="40" t="s">
        <v>712</v>
      </c>
      <c r="S24" s="20">
        <v>42664</v>
      </c>
      <c r="T24" s="13">
        <v>61079</v>
      </c>
      <c r="U24" s="14"/>
      <c r="V24" s="22">
        <v>42664</v>
      </c>
      <c r="W24" s="345">
        <v>66</v>
      </c>
      <c r="X24" s="34"/>
      <c r="Y24" s="318"/>
      <c r="Z24" s="18">
        <v>0</v>
      </c>
      <c r="AA24" s="216"/>
      <c r="AC24" s="28"/>
      <c r="AD24" s="11">
        <v>42664</v>
      </c>
      <c r="AE24" s="12"/>
      <c r="AF24" s="40"/>
      <c r="AG24" s="20">
        <v>42664</v>
      </c>
      <c r="AH24" s="13"/>
      <c r="AI24" s="14"/>
      <c r="AJ24" s="22">
        <v>42664</v>
      </c>
      <c r="AK24" s="345"/>
      <c r="AL24" s="34"/>
      <c r="AM24" s="318"/>
      <c r="AN24" s="18">
        <v>0</v>
      </c>
      <c r="AO24" s="18"/>
      <c r="AQ24" s="28"/>
      <c r="AR24" s="11">
        <v>42664</v>
      </c>
      <c r="AS24" s="12"/>
      <c r="AT24" s="40"/>
      <c r="AU24" s="20">
        <v>42664</v>
      </c>
      <c r="AV24" s="13"/>
      <c r="AW24" s="14"/>
      <c r="AX24" s="22">
        <v>42664</v>
      </c>
      <c r="AY24" s="345"/>
      <c r="AZ24" s="34"/>
      <c r="BA24" s="318"/>
      <c r="BB24" s="18">
        <v>0</v>
      </c>
      <c r="BD24" s="18"/>
    </row>
    <row r="25" spans="1:56" x14ac:dyDescent="0.25">
      <c r="B25" s="11">
        <v>42665</v>
      </c>
      <c r="C25" s="12">
        <v>115354</v>
      </c>
      <c r="D25" s="19" t="s">
        <v>713</v>
      </c>
      <c r="E25" s="20">
        <v>42665</v>
      </c>
      <c r="F25" s="13">
        <v>115354</v>
      </c>
      <c r="G25" s="14"/>
      <c r="H25" s="22">
        <v>42665</v>
      </c>
      <c r="I25" s="345">
        <v>0</v>
      </c>
      <c r="J25" s="23"/>
      <c r="K25" s="318"/>
      <c r="L25" s="18">
        <v>0</v>
      </c>
      <c r="P25" s="11">
        <v>42665</v>
      </c>
      <c r="Q25" s="12">
        <v>115354</v>
      </c>
      <c r="R25" s="19" t="s">
        <v>713</v>
      </c>
      <c r="S25" s="20">
        <v>42665</v>
      </c>
      <c r="T25" s="13">
        <v>115354</v>
      </c>
      <c r="U25" s="14"/>
      <c r="V25" s="22">
        <v>42665</v>
      </c>
      <c r="W25" s="345">
        <v>0</v>
      </c>
      <c r="X25" s="23"/>
      <c r="Y25" s="318"/>
      <c r="Z25" s="18">
        <v>0</v>
      </c>
      <c r="AA25" s="216"/>
      <c r="AD25" s="11">
        <v>42665</v>
      </c>
      <c r="AE25" s="12"/>
      <c r="AF25" s="19"/>
      <c r="AG25" s="20">
        <v>42665</v>
      </c>
      <c r="AH25" s="13"/>
      <c r="AI25" s="14"/>
      <c r="AJ25" s="22">
        <v>42665</v>
      </c>
      <c r="AK25" s="345"/>
      <c r="AL25" s="23"/>
      <c r="AM25" s="318"/>
      <c r="AN25" s="18">
        <v>0</v>
      </c>
      <c r="AO25" s="18"/>
      <c r="AR25" s="11">
        <v>42665</v>
      </c>
      <c r="AS25" s="12"/>
      <c r="AT25" s="19"/>
      <c r="AU25" s="20">
        <v>42665</v>
      </c>
      <c r="AV25" s="13"/>
      <c r="AW25" s="14"/>
      <c r="AX25" s="22">
        <v>42665</v>
      </c>
      <c r="AY25" s="345"/>
      <c r="AZ25" s="23"/>
      <c r="BA25" s="318"/>
      <c r="BB25" s="18">
        <v>0</v>
      </c>
      <c r="BD25" s="272"/>
    </row>
    <row r="26" spans="1:56" x14ac:dyDescent="0.25">
      <c r="B26" s="11">
        <v>42666</v>
      </c>
      <c r="C26" s="12">
        <v>23417.5</v>
      </c>
      <c r="D26" s="19" t="s">
        <v>715</v>
      </c>
      <c r="E26" s="20">
        <v>42666</v>
      </c>
      <c r="F26" s="13">
        <v>33517.5</v>
      </c>
      <c r="G26" s="14"/>
      <c r="H26" s="22">
        <v>42666</v>
      </c>
      <c r="I26" s="345">
        <v>100</v>
      </c>
      <c r="J26" s="23"/>
      <c r="K26" s="318"/>
      <c r="L26" s="18">
        <v>0</v>
      </c>
      <c r="P26" s="11">
        <v>42666</v>
      </c>
      <c r="Q26" s="12">
        <v>23417.5</v>
      </c>
      <c r="R26" s="19" t="s">
        <v>715</v>
      </c>
      <c r="S26" s="20">
        <v>42666</v>
      </c>
      <c r="T26" s="13">
        <v>33517.5</v>
      </c>
      <c r="U26" s="14"/>
      <c r="V26" s="22">
        <v>42666</v>
      </c>
      <c r="W26" s="345">
        <v>100</v>
      </c>
      <c r="X26" s="23"/>
      <c r="Y26" s="318"/>
      <c r="Z26" s="18">
        <v>0</v>
      </c>
      <c r="AA26" s="216"/>
      <c r="AD26" s="11">
        <v>42666</v>
      </c>
      <c r="AE26" s="12"/>
      <c r="AF26" s="19"/>
      <c r="AG26" s="20">
        <v>42666</v>
      </c>
      <c r="AH26" s="13"/>
      <c r="AI26" s="14"/>
      <c r="AJ26" s="22">
        <v>42666</v>
      </c>
      <c r="AK26" s="345"/>
      <c r="AL26" s="23"/>
      <c r="AM26" s="318"/>
      <c r="AN26" s="18">
        <v>0</v>
      </c>
      <c r="AO26" s="18"/>
      <c r="AR26" s="11">
        <v>42666</v>
      </c>
      <c r="AS26" s="12"/>
      <c r="AT26" s="19"/>
      <c r="AU26" s="20">
        <v>42666</v>
      </c>
      <c r="AV26" s="13"/>
      <c r="AW26" s="14"/>
      <c r="AX26" s="22">
        <v>42666</v>
      </c>
      <c r="AY26" s="345"/>
      <c r="AZ26" s="23"/>
      <c r="BA26" s="318"/>
      <c r="BB26" s="18">
        <v>0</v>
      </c>
      <c r="BD26" s="67"/>
    </row>
    <row r="27" spans="1:56" x14ac:dyDescent="0.25">
      <c r="B27" s="11">
        <v>42667</v>
      </c>
      <c r="C27" s="12">
        <v>7584.5</v>
      </c>
      <c r="D27" s="19" t="s">
        <v>717</v>
      </c>
      <c r="E27" s="20">
        <v>42667</v>
      </c>
      <c r="F27" s="13">
        <v>83484.5</v>
      </c>
      <c r="G27" s="14"/>
      <c r="H27" s="22">
        <v>42667</v>
      </c>
      <c r="I27" s="345">
        <v>0</v>
      </c>
      <c r="J27" s="23" t="s">
        <v>718</v>
      </c>
      <c r="K27" s="24">
        <v>7100</v>
      </c>
      <c r="L27" s="18">
        <v>400</v>
      </c>
      <c r="P27" s="11">
        <v>42667</v>
      </c>
      <c r="Q27" s="12">
        <v>7584.5</v>
      </c>
      <c r="R27" s="19" t="s">
        <v>717</v>
      </c>
      <c r="S27" s="20">
        <v>42667</v>
      </c>
      <c r="T27" s="13">
        <v>83484.5</v>
      </c>
      <c r="U27" s="14"/>
      <c r="V27" s="22">
        <v>42667</v>
      </c>
      <c r="W27" s="345">
        <v>0</v>
      </c>
      <c r="X27" s="23" t="s">
        <v>718</v>
      </c>
      <c r="Y27" s="24">
        <v>7500</v>
      </c>
      <c r="Z27" s="18">
        <v>0</v>
      </c>
      <c r="AA27" s="216"/>
      <c r="AD27" s="11">
        <v>42667</v>
      </c>
      <c r="AE27" s="12"/>
      <c r="AF27" s="19"/>
      <c r="AG27" s="20">
        <v>42667</v>
      </c>
      <c r="AH27" s="13"/>
      <c r="AI27" s="14"/>
      <c r="AJ27" s="22">
        <v>42667</v>
      </c>
      <c r="AK27" s="345"/>
      <c r="AL27" s="23"/>
      <c r="AM27" s="24"/>
      <c r="AN27" s="18">
        <v>0</v>
      </c>
      <c r="AO27" s="18"/>
      <c r="AR27" s="11">
        <v>42667</v>
      </c>
      <c r="AS27" s="12"/>
      <c r="AT27" s="19"/>
      <c r="AU27" s="20">
        <v>42667</v>
      </c>
      <c r="AV27" s="13"/>
      <c r="AW27" s="14"/>
      <c r="AX27" s="22">
        <v>42667</v>
      </c>
      <c r="AY27" s="345"/>
      <c r="AZ27" s="23"/>
      <c r="BA27" s="24"/>
      <c r="BB27" s="18">
        <v>0</v>
      </c>
      <c r="BD27" s="67"/>
    </row>
    <row r="28" spans="1:56" x14ac:dyDescent="0.25">
      <c r="B28" s="11">
        <v>42668</v>
      </c>
      <c r="C28" s="12">
        <v>79009.5</v>
      </c>
      <c r="D28" s="19" t="s">
        <v>720</v>
      </c>
      <c r="E28" s="20">
        <v>42668</v>
      </c>
      <c r="F28" s="13">
        <v>79009.5</v>
      </c>
      <c r="G28" s="14"/>
      <c r="H28" s="22">
        <v>42668</v>
      </c>
      <c r="I28" s="345">
        <v>0</v>
      </c>
      <c r="J28" s="34">
        <v>42667</v>
      </c>
      <c r="K28" s="24"/>
      <c r="L28" s="18">
        <v>0</v>
      </c>
      <c r="P28" s="11">
        <v>42668</v>
      </c>
      <c r="Q28" s="12">
        <v>79009.5</v>
      </c>
      <c r="R28" s="19" t="s">
        <v>720</v>
      </c>
      <c r="S28" s="20">
        <v>42668</v>
      </c>
      <c r="T28" s="230">
        <v>79009.5</v>
      </c>
      <c r="U28" s="14"/>
      <c r="V28" s="22">
        <v>42668</v>
      </c>
      <c r="W28" s="373">
        <v>0</v>
      </c>
      <c r="X28" s="23"/>
      <c r="Y28" s="24"/>
      <c r="Z28" s="18">
        <v>0</v>
      </c>
      <c r="AA28" s="216"/>
      <c r="AD28" s="11">
        <v>42668</v>
      </c>
      <c r="AE28" s="12"/>
      <c r="AF28" s="19"/>
      <c r="AG28" s="20">
        <v>42668</v>
      </c>
      <c r="AH28" s="13"/>
      <c r="AI28" s="14"/>
      <c r="AJ28" s="22">
        <v>42668</v>
      </c>
      <c r="AK28" s="345"/>
      <c r="AL28" s="23"/>
      <c r="AM28" s="24"/>
      <c r="AN28" s="18">
        <v>0</v>
      </c>
      <c r="AO28" s="18"/>
      <c r="AR28" s="11">
        <v>42668</v>
      </c>
      <c r="AS28" s="12"/>
      <c r="AT28" s="19"/>
      <c r="AU28" s="20">
        <v>42668</v>
      </c>
      <c r="AV28" s="13"/>
      <c r="AW28" s="14"/>
      <c r="AX28" s="22">
        <v>42668</v>
      </c>
      <c r="AY28" s="345"/>
      <c r="AZ28" s="23"/>
      <c r="BA28" s="24"/>
      <c r="BB28" s="18">
        <v>0</v>
      </c>
      <c r="BD28" s="67"/>
    </row>
    <row r="29" spans="1:56" x14ac:dyDescent="0.25">
      <c r="B29" s="11">
        <v>42669</v>
      </c>
      <c r="C29" s="12">
        <v>89725.5</v>
      </c>
      <c r="D29" s="19" t="s">
        <v>721</v>
      </c>
      <c r="E29" s="20">
        <v>42669</v>
      </c>
      <c r="F29" s="13">
        <v>89725.5</v>
      </c>
      <c r="G29" s="14"/>
      <c r="H29" s="22">
        <v>42669</v>
      </c>
      <c r="I29" s="345">
        <v>0</v>
      </c>
      <c r="J29" s="32" t="s">
        <v>725</v>
      </c>
      <c r="K29" s="24">
        <v>8000</v>
      </c>
      <c r="L29" s="18">
        <v>0</v>
      </c>
      <c r="P29" s="11">
        <v>42669</v>
      </c>
      <c r="Q29" s="12"/>
      <c r="R29" s="19"/>
      <c r="S29" s="20">
        <v>42669</v>
      </c>
      <c r="T29" s="13"/>
      <c r="U29" s="14"/>
      <c r="V29" s="22">
        <v>42669</v>
      </c>
      <c r="W29" s="345"/>
      <c r="X29" s="23"/>
      <c r="Y29" s="24"/>
      <c r="Z29" s="18">
        <v>0</v>
      </c>
      <c r="AA29" s="216"/>
      <c r="AD29" s="11">
        <v>42669</v>
      </c>
      <c r="AE29" s="12"/>
      <c r="AF29" s="19"/>
      <c r="AG29" s="20">
        <v>42669</v>
      </c>
      <c r="AH29" s="13"/>
      <c r="AI29" s="14"/>
      <c r="AJ29" s="22">
        <v>42669</v>
      </c>
      <c r="AK29" s="345"/>
      <c r="AL29" s="23"/>
      <c r="AM29" s="24"/>
      <c r="AN29" s="18"/>
      <c r="AO29" s="18"/>
      <c r="AR29" s="11">
        <v>42669</v>
      </c>
      <c r="AS29" s="12"/>
      <c r="AT29" s="19"/>
      <c r="AU29" s="20">
        <v>42669</v>
      </c>
      <c r="AV29" s="13"/>
      <c r="AW29" s="14"/>
      <c r="AX29" s="22">
        <v>42669</v>
      </c>
      <c r="AY29" s="345"/>
      <c r="AZ29" s="23"/>
      <c r="BA29" s="24"/>
      <c r="BB29" s="18"/>
      <c r="BD29" s="67"/>
    </row>
    <row r="30" spans="1:56" x14ac:dyDescent="0.25">
      <c r="B30" s="11">
        <v>42670</v>
      </c>
      <c r="C30" s="12">
        <v>47254.5</v>
      </c>
      <c r="D30" s="19" t="s">
        <v>723</v>
      </c>
      <c r="E30" s="20">
        <v>42670</v>
      </c>
      <c r="F30" s="13">
        <v>47254.5</v>
      </c>
      <c r="G30" s="14"/>
      <c r="H30" s="22">
        <v>42670</v>
      </c>
      <c r="I30" s="345">
        <v>0</v>
      </c>
      <c r="J30" s="34">
        <v>42672</v>
      </c>
      <c r="K30" s="24"/>
      <c r="L30" s="18">
        <v>0</v>
      </c>
      <c r="P30" s="11">
        <v>42670</v>
      </c>
      <c r="Q30" s="12"/>
      <c r="R30" s="19"/>
      <c r="S30" s="20">
        <v>42670</v>
      </c>
      <c r="T30" s="13"/>
      <c r="U30" s="14"/>
      <c r="V30" s="22">
        <v>42670</v>
      </c>
      <c r="W30" s="345"/>
      <c r="X30" s="23"/>
      <c r="Y30" s="24"/>
      <c r="Z30" s="18">
        <v>0</v>
      </c>
      <c r="AA30" s="216"/>
      <c r="AD30" s="11">
        <v>42670</v>
      </c>
      <c r="AE30" s="12"/>
      <c r="AF30" s="19"/>
      <c r="AG30" s="20">
        <v>42670</v>
      </c>
      <c r="AH30" s="13"/>
      <c r="AI30" s="14"/>
      <c r="AJ30" s="22">
        <v>42670</v>
      </c>
      <c r="AK30" s="345"/>
      <c r="AL30" s="23"/>
      <c r="AM30" s="24"/>
      <c r="AN30" s="18"/>
      <c r="AO30" s="18"/>
      <c r="AR30" s="11">
        <v>42670</v>
      </c>
      <c r="AS30" s="12"/>
      <c r="AT30" s="19"/>
      <c r="AU30" s="20">
        <v>42670</v>
      </c>
      <c r="AV30" s="13"/>
      <c r="AW30" s="14"/>
      <c r="AX30" s="22">
        <v>42670</v>
      </c>
      <c r="AY30" s="345"/>
      <c r="AZ30" s="23"/>
      <c r="BA30" s="24"/>
      <c r="BB30" s="18"/>
      <c r="BD30" s="308"/>
    </row>
    <row r="31" spans="1:56" x14ac:dyDescent="0.25">
      <c r="B31" s="11">
        <v>42671</v>
      </c>
      <c r="C31" s="12">
        <v>114678</v>
      </c>
      <c r="D31" s="19" t="s">
        <v>724</v>
      </c>
      <c r="E31" s="20">
        <v>42671</v>
      </c>
      <c r="F31" s="13">
        <v>114887</v>
      </c>
      <c r="G31" s="14"/>
      <c r="H31" s="22">
        <v>42671</v>
      </c>
      <c r="I31" s="345">
        <v>209</v>
      </c>
      <c r="J31" s="23"/>
      <c r="K31" s="24"/>
      <c r="L31" s="18">
        <v>0</v>
      </c>
      <c r="P31" s="11">
        <v>42671</v>
      </c>
      <c r="Q31" s="12"/>
      <c r="R31" s="19"/>
      <c r="S31" s="20">
        <v>42671</v>
      </c>
      <c r="T31" s="13"/>
      <c r="U31" s="14"/>
      <c r="V31" s="22">
        <v>42671</v>
      </c>
      <c r="W31" s="345"/>
      <c r="X31" s="23"/>
      <c r="Y31" s="24"/>
      <c r="Z31" s="18">
        <v>0</v>
      </c>
      <c r="AA31" s="216"/>
      <c r="AD31" s="11">
        <v>42671</v>
      </c>
      <c r="AE31" s="12"/>
      <c r="AF31" s="19"/>
      <c r="AG31" s="20">
        <v>42671</v>
      </c>
      <c r="AH31" s="13"/>
      <c r="AI31" s="14"/>
      <c r="AJ31" s="22">
        <v>42671</v>
      </c>
      <c r="AK31" s="345"/>
      <c r="AL31" s="23"/>
      <c r="AM31" s="24"/>
      <c r="AN31" s="18"/>
      <c r="AO31" s="18"/>
      <c r="AR31" s="11">
        <v>42671</v>
      </c>
      <c r="AS31" s="12"/>
      <c r="AT31" s="19"/>
      <c r="AU31" s="20">
        <v>42671</v>
      </c>
      <c r="AV31" s="13"/>
      <c r="AW31" s="14"/>
      <c r="AX31" s="22">
        <v>42671</v>
      </c>
      <c r="AY31" s="345"/>
      <c r="AZ31" s="23"/>
      <c r="BA31" s="24"/>
      <c r="BB31" s="18"/>
      <c r="BD31" s="308"/>
    </row>
    <row r="32" spans="1:56" x14ac:dyDescent="0.25">
      <c r="B32" s="11">
        <v>42672</v>
      </c>
      <c r="C32" s="12">
        <v>78813.5</v>
      </c>
      <c r="D32" s="42" t="s">
        <v>726</v>
      </c>
      <c r="E32" s="20">
        <v>42672</v>
      </c>
      <c r="F32" s="13">
        <v>86813.5</v>
      </c>
      <c r="G32" s="14"/>
      <c r="H32" s="22">
        <v>42672</v>
      </c>
      <c r="I32" s="345">
        <v>0</v>
      </c>
      <c r="J32" s="23"/>
      <c r="K32" s="24"/>
      <c r="L32" s="18">
        <v>0</v>
      </c>
      <c r="P32" s="11">
        <v>42672</v>
      </c>
      <c r="Q32" s="12"/>
      <c r="R32" s="42"/>
      <c r="S32" s="20">
        <v>42672</v>
      </c>
      <c r="T32" s="13"/>
      <c r="U32" s="14"/>
      <c r="V32" s="22">
        <v>42672</v>
      </c>
      <c r="W32" s="345"/>
      <c r="X32" s="23"/>
      <c r="Y32" s="24"/>
      <c r="Z32" s="18">
        <v>0</v>
      </c>
      <c r="AA32" s="216"/>
      <c r="AD32" s="11">
        <v>42672</v>
      </c>
      <c r="AE32" s="12"/>
      <c r="AF32" s="42"/>
      <c r="AG32" s="20">
        <v>42672</v>
      </c>
      <c r="AH32" s="13"/>
      <c r="AI32" s="14"/>
      <c r="AJ32" s="22">
        <v>42672</v>
      </c>
      <c r="AK32" s="345"/>
      <c r="AL32" s="23"/>
      <c r="AM32" s="24"/>
      <c r="AN32" s="18"/>
      <c r="AO32" s="18"/>
      <c r="AR32" s="11">
        <v>42672</v>
      </c>
      <c r="AS32" s="12"/>
      <c r="AT32" s="42"/>
      <c r="AU32" s="20">
        <v>42672</v>
      </c>
      <c r="AV32" s="13"/>
      <c r="AW32" s="14"/>
      <c r="AX32" s="22">
        <v>42672</v>
      </c>
      <c r="AY32" s="345"/>
      <c r="AZ32" s="23"/>
      <c r="BA32" s="24"/>
      <c r="BB32" s="18"/>
      <c r="BD32" s="308"/>
    </row>
    <row r="33" spans="1:56" x14ac:dyDescent="0.25">
      <c r="B33" s="11">
        <v>42673</v>
      </c>
      <c r="C33" s="12">
        <v>59949</v>
      </c>
      <c r="D33" s="19" t="s">
        <v>743</v>
      </c>
      <c r="E33" s="20">
        <v>42673</v>
      </c>
      <c r="F33" s="13">
        <v>60049</v>
      </c>
      <c r="G33" s="14"/>
      <c r="H33" s="22">
        <v>42673</v>
      </c>
      <c r="I33" s="345">
        <v>100</v>
      </c>
      <c r="J33" s="23"/>
      <c r="K33" s="24"/>
      <c r="L33" s="18">
        <v>0</v>
      </c>
      <c r="P33" s="11">
        <v>42673</v>
      </c>
      <c r="Q33" s="12"/>
      <c r="R33" s="19"/>
      <c r="S33" s="20">
        <v>42673</v>
      </c>
      <c r="T33" s="13"/>
      <c r="U33" s="14"/>
      <c r="V33" s="22">
        <v>42673</v>
      </c>
      <c r="W33" s="345"/>
      <c r="X33" s="23"/>
      <c r="Y33" s="24"/>
      <c r="Z33" s="18">
        <v>0</v>
      </c>
      <c r="AA33" s="216"/>
      <c r="AD33" s="11">
        <v>42673</v>
      </c>
      <c r="AE33" s="12"/>
      <c r="AF33" s="19"/>
      <c r="AG33" s="20">
        <v>42673</v>
      </c>
      <c r="AH33" s="13"/>
      <c r="AI33" s="14"/>
      <c r="AJ33" s="22">
        <v>42673</v>
      </c>
      <c r="AK33" s="345"/>
      <c r="AL33" s="23"/>
      <c r="AM33" s="24"/>
      <c r="AN33" s="18"/>
      <c r="AO33" s="18"/>
      <c r="AR33" s="11">
        <v>42673</v>
      </c>
      <c r="AS33" s="12"/>
      <c r="AT33" s="19"/>
      <c r="AU33" s="20">
        <v>42673</v>
      </c>
      <c r="AV33" s="13"/>
      <c r="AW33" s="14"/>
      <c r="AX33" s="22">
        <v>42673</v>
      </c>
      <c r="AY33" s="345"/>
      <c r="AZ33" s="23"/>
      <c r="BA33" s="24"/>
      <c r="BB33" s="18"/>
      <c r="BD33" s="308"/>
    </row>
    <row r="34" spans="1:56" ht="15.75" thickBot="1" x14ac:dyDescent="0.3">
      <c r="A34" s="28"/>
      <c r="B34" s="11">
        <v>42674</v>
      </c>
      <c r="C34" s="12">
        <v>90174</v>
      </c>
      <c r="D34" s="19" t="s">
        <v>744</v>
      </c>
      <c r="E34" s="20">
        <v>42674</v>
      </c>
      <c r="F34" s="13">
        <v>90174</v>
      </c>
      <c r="G34" s="14"/>
      <c r="H34" s="22">
        <v>42674</v>
      </c>
      <c r="I34" s="345">
        <v>0</v>
      </c>
      <c r="J34" s="23"/>
      <c r="K34" s="24"/>
      <c r="L34" s="18">
        <v>0</v>
      </c>
      <c r="O34" s="28"/>
      <c r="P34" s="11">
        <v>42674</v>
      </c>
      <c r="Q34" s="12"/>
      <c r="R34" s="19"/>
      <c r="S34" s="20">
        <v>42674</v>
      </c>
      <c r="T34" s="13"/>
      <c r="U34" s="14"/>
      <c r="V34" s="22">
        <v>42674</v>
      </c>
      <c r="W34" s="345"/>
      <c r="X34" s="23"/>
      <c r="Y34" s="24"/>
      <c r="Z34" s="18">
        <v>0</v>
      </c>
      <c r="AA34" s="18"/>
      <c r="AC34" s="28"/>
      <c r="AD34" s="11">
        <v>42674</v>
      </c>
      <c r="AE34" s="12"/>
      <c r="AF34" s="19"/>
      <c r="AG34" s="20">
        <v>42674</v>
      </c>
      <c r="AH34" s="13"/>
      <c r="AI34" s="14"/>
      <c r="AJ34" s="22">
        <v>42674</v>
      </c>
      <c r="AK34" s="345"/>
      <c r="AL34" s="23"/>
      <c r="AM34" s="24"/>
      <c r="AN34" s="18"/>
      <c r="AO34" s="18"/>
      <c r="AQ34" s="28"/>
      <c r="AR34" s="11">
        <v>42674</v>
      </c>
      <c r="AS34" s="12"/>
      <c r="AT34" s="19"/>
      <c r="AU34" s="20">
        <v>42674</v>
      </c>
      <c r="AV34" s="13"/>
      <c r="AW34" s="14"/>
      <c r="AX34" s="22">
        <v>42674</v>
      </c>
      <c r="AY34" s="345"/>
      <c r="AZ34" s="23"/>
      <c r="BA34" s="24"/>
      <c r="BB34" s="18"/>
      <c r="BD34" s="308"/>
    </row>
    <row r="35" spans="1:56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18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18">
        <v>0</v>
      </c>
      <c r="AA35" s="1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50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D35" s="308"/>
    </row>
    <row r="36" spans="1:56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18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50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D36" s="308"/>
    </row>
    <row r="37" spans="1:56" x14ac:dyDescent="0.25">
      <c r="B37" s="60" t="s">
        <v>11</v>
      </c>
      <c r="C37" s="61">
        <f>SUM(C4:C36)</f>
        <v>2057268.92</v>
      </c>
      <c r="D37" s="46"/>
      <c r="E37" s="62" t="s">
        <v>11</v>
      </c>
      <c r="F37" s="63">
        <f>SUM(F4:F36)</f>
        <v>2238645</v>
      </c>
      <c r="H37" s="1" t="s">
        <v>11</v>
      </c>
      <c r="I37" s="64">
        <f>SUM(I4:I36)</f>
        <v>1421</v>
      </c>
      <c r="J37" s="64"/>
      <c r="K37" s="64">
        <f t="shared" ref="K37" si="0">SUM(K4:K36)</f>
        <v>65763.26999999999</v>
      </c>
      <c r="L37" s="2">
        <f>SUM(L4:L36)</f>
        <v>86455.5</v>
      </c>
      <c r="P37" s="60" t="s">
        <v>11</v>
      </c>
      <c r="Q37" s="61">
        <f>SUM(Q4:Q36)</f>
        <v>1576674.42</v>
      </c>
      <c r="R37" s="46"/>
      <c r="S37" s="62" t="s">
        <v>11</v>
      </c>
      <c r="T37" s="63">
        <f>SUM(T4:T36)</f>
        <v>1749741.5</v>
      </c>
      <c r="V37" s="1" t="s">
        <v>11</v>
      </c>
      <c r="W37" s="64">
        <f>SUM(W4:W36)</f>
        <v>1112</v>
      </c>
      <c r="X37" s="64"/>
      <c r="Y37" s="64">
        <f t="shared" ref="Y37" si="1">SUM(Y4:Y36)</f>
        <v>34519.660000000003</v>
      </c>
      <c r="Z37" s="2">
        <f>SUM(Z4:Z36)</f>
        <v>86055.5</v>
      </c>
      <c r="AA37" s="18"/>
      <c r="AD37" s="60" t="s">
        <v>11</v>
      </c>
      <c r="AE37" s="61">
        <f>SUM(AE4:AE36)</f>
        <v>1188065.42</v>
      </c>
      <c r="AF37" s="46"/>
      <c r="AG37" s="62" t="s">
        <v>11</v>
      </c>
      <c r="AH37" s="63">
        <f>SUM(AH4:AH36)</f>
        <v>1275066.5</v>
      </c>
      <c r="AJ37" s="1" t="s">
        <v>11</v>
      </c>
      <c r="AK37" s="64">
        <f>SUM(AK4:AK36)</f>
        <v>946</v>
      </c>
      <c r="AL37" s="64"/>
      <c r="AM37" s="64">
        <f t="shared" ref="AM37" si="2">SUM(AM4:AM36)</f>
        <v>24519.660000000003</v>
      </c>
      <c r="AN37" s="2">
        <f>SUM(AN4:AN36)</f>
        <v>86055.5</v>
      </c>
      <c r="AO37" s="2"/>
      <c r="AR37" s="60" t="s">
        <v>11</v>
      </c>
      <c r="AS37" s="61">
        <f>SUM(AS4:AS36)</f>
        <v>853469.5</v>
      </c>
      <c r="AT37" s="46"/>
      <c r="AU37" s="62" t="s">
        <v>11</v>
      </c>
      <c r="AV37" s="63">
        <f>SUM(AV4:AV36)</f>
        <v>853735</v>
      </c>
      <c r="AX37" s="1" t="s">
        <v>11</v>
      </c>
      <c r="AY37" s="64">
        <f>SUM(AY4:AY36)</f>
        <v>266</v>
      </c>
      <c r="AZ37" s="64"/>
      <c r="BA37" s="64">
        <f t="shared" ref="BA37" si="3">SUM(BA4:BA36)</f>
        <v>9687.5</v>
      </c>
      <c r="BB37" s="2">
        <f>SUM(BB4:BB36)</f>
        <v>0</v>
      </c>
      <c r="BD37" s="308"/>
    </row>
    <row r="38" spans="1:56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O38" s="416"/>
      <c r="P38" s="416"/>
      <c r="Q38" s="50"/>
      <c r="S38" s="1"/>
      <c r="T38" s="1"/>
      <c r="V38" s="1"/>
      <c r="W38" s="64"/>
      <c r="X38" s="1"/>
      <c r="Y38" s="64"/>
      <c r="Z38" s="2"/>
      <c r="AA38" s="18"/>
      <c r="AC38" s="416"/>
      <c r="AD38" s="416"/>
      <c r="AE38" s="50"/>
      <c r="AG38" s="1"/>
      <c r="AH38" s="1"/>
      <c r="AJ38" s="1"/>
      <c r="AK38" s="64"/>
      <c r="AL38" s="1"/>
      <c r="AM38" s="64"/>
      <c r="AN38" s="2"/>
      <c r="AO38" s="2"/>
      <c r="AQ38" s="416"/>
      <c r="AR38" s="416"/>
      <c r="AS38" s="50"/>
      <c r="AU38" s="1"/>
      <c r="AV38" s="1"/>
      <c r="AX38" s="1"/>
      <c r="AY38" s="64"/>
      <c r="AZ38" s="1"/>
      <c r="BA38" s="64"/>
      <c r="BB38" s="2"/>
      <c r="BD38" s="272"/>
    </row>
    <row r="39" spans="1:56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67184.26999999999</v>
      </c>
      <c r="K39" s="403"/>
      <c r="L39" s="68"/>
      <c r="O39" s="65"/>
      <c r="P39" s="66"/>
      <c r="Q39" s="50"/>
      <c r="R39" s="67"/>
      <c r="S39" s="66"/>
      <c r="T39" s="66"/>
      <c r="V39" s="400" t="s">
        <v>12</v>
      </c>
      <c r="W39" s="401"/>
      <c r="X39" s="402">
        <f>W37+Y37</f>
        <v>35631.660000000003</v>
      </c>
      <c r="Y39" s="403"/>
      <c r="Z39" s="68"/>
      <c r="AA39" s="18"/>
      <c r="AC39" s="65"/>
      <c r="AD39" s="66"/>
      <c r="AE39" s="50"/>
      <c r="AF39" s="67"/>
      <c r="AG39" s="66"/>
      <c r="AH39" s="66"/>
      <c r="AJ39" s="400" t="s">
        <v>12</v>
      </c>
      <c r="AK39" s="401"/>
      <c r="AL39" s="402">
        <f>AK37+AM37</f>
        <v>25465.660000000003</v>
      </c>
      <c r="AM39" s="403"/>
      <c r="AN39" s="68"/>
      <c r="AO39" s="68"/>
      <c r="AQ39" s="65"/>
      <c r="AR39" s="66"/>
      <c r="AS39" s="50"/>
      <c r="AT39" s="67"/>
      <c r="AU39" s="66"/>
      <c r="AV39" s="66"/>
      <c r="AX39" s="400" t="s">
        <v>12</v>
      </c>
      <c r="AY39" s="401"/>
      <c r="AZ39" s="402">
        <f>AY37+BA37</f>
        <v>9953.5</v>
      </c>
      <c r="BA39" s="403"/>
      <c r="BB39" s="68"/>
      <c r="BD39" s="67"/>
    </row>
    <row r="40" spans="1:56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2171460.73</v>
      </c>
      <c r="H40" s="1"/>
      <c r="I40" s="70"/>
      <c r="J40" s="1"/>
      <c r="K40" s="1"/>
      <c r="L40" s="2"/>
      <c r="O40" s="404"/>
      <c r="P40" s="404"/>
      <c r="Q40" s="50"/>
      <c r="R40" s="405" t="s">
        <v>13</v>
      </c>
      <c r="S40" s="405"/>
      <c r="T40" s="69">
        <f>T37-X39</f>
        <v>1714109.84</v>
      </c>
      <c r="V40" s="1"/>
      <c r="W40" s="70"/>
      <c r="X40" s="1"/>
      <c r="Y40" s="1"/>
      <c r="Z40" s="2"/>
      <c r="AA40" s="18"/>
      <c r="AC40" s="404"/>
      <c r="AD40" s="404"/>
      <c r="AE40" s="50"/>
      <c r="AF40" s="405" t="s">
        <v>13</v>
      </c>
      <c r="AG40" s="405"/>
      <c r="AH40" s="69">
        <f>AH37-AL39</f>
        <v>1249600.8400000001</v>
      </c>
      <c r="AJ40" s="1"/>
      <c r="AK40" s="70"/>
      <c r="AL40" s="1"/>
      <c r="AM40" s="1"/>
      <c r="AN40" s="2"/>
      <c r="AO40" s="2"/>
      <c r="AQ40" s="404"/>
      <c r="AR40" s="404"/>
      <c r="AS40" s="50"/>
      <c r="AT40" s="405" t="s">
        <v>13</v>
      </c>
      <c r="AU40" s="405"/>
      <c r="AV40" s="69">
        <f>AV37-AZ39</f>
        <v>843781.5</v>
      </c>
      <c r="AX40" s="1"/>
      <c r="AY40" s="70"/>
      <c r="AZ40" s="1"/>
      <c r="BA40" s="1"/>
      <c r="BB40" s="2"/>
      <c r="BD40" s="67"/>
    </row>
    <row r="41" spans="1:56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50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2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  <c r="BD41" s="67"/>
    </row>
    <row r="42" spans="1:56" ht="15.75" thickBot="1" x14ac:dyDescent="0.3">
      <c r="B42" s="1"/>
      <c r="C42" s="2"/>
      <c r="E42" s="71" t="s">
        <v>14</v>
      </c>
      <c r="F42" s="50">
        <v>-2110711.75</v>
      </c>
      <c r="H42" s="1"/>
      <c r="I42" s="72" t="s">
        <v>15</v>
      </c>
      <c r="J42" s="275"/>
      <c r="K42" s="276">
        <v>164018.82</v>
      </c>
      <c r="L42" s="2"/>
      <c r="P42" s="1"/>
      <c r="Q42" s="2"/>
      <c r="S42" s="71" t="s">
        <v>14</v>
      </c>
      <c r="T42" s="50">
        <v>-1492371.11</v>
      </c>
      <c r="V42" s="1"/>
      <c r="W42" s="72" t="s">
        <v>15</v>
      </c>
      <c r="X42" s="275"/>
      <c r="Y42" s="276">
        <v>86300.46</v>
      </c>
      <c r="Z42" s="2"/>
      <c r="AA42" s="18"/>
      <c r="AD42" s="1"/>
      <c r="AE42" s="2"/>
      <c r="AG42" s="71" t="s">
        <v>14</v>
      </c>
      <c r="AH42" s="50">
        <v>-1159281.6499999999</v>
      </c>
      <c r="AJ42" s="1"/>
      <c r="AK42" s="72" t="s">
        <v>15</v>
      </c>
      <c r="AL42" s="275"/>
      <c r="AM42" s="276">
        <v>71139.16</v>
      </c>
      <c r="AN42" s="2"/>
      <c r="AO42" s="2"/>
      <c r="AR42" s="1"/>
      <c r="AS42" s="2"/>
      <c r="AU42" s="71" t="s">
        <v>14</v>
      </c>
      <c r="AV42" s="50">
        <v>-663397.75</v>
      </c>
      <c r="AX42" s="1"/>
      <c r="AY42" s="72" t="s">
        <v>15</v>
      </c>
      <c r="AZ42" s="275"/>
      <c r="BA42" s="276">
        <v>66823.520000000004</v>
      </c>
      <c r="BB42" s="2"/>
      <c r="BD42" s="67"/>
    </row>
    <row r="43" spans="1:56" ht="15.75" thickTop="1" x14ac:dyDescent="0.25">
      <c r="B43" s="1"/>
      <c r="C43" s="2"/>
      <c r="E43" s="1" t="s">
        <v>16</v>
      </c>
      <c r="F43" s="64">
        <f>SUM(F40:F42)</f>
        <v>60748.979999999981</v>
      </c>
      <c r="H43" s="1"/>
      <c r="I43" s="1"/>
      <c r="J43" s="1"/>
      <c r="K43" s="64">
        <f>K42+F45</f>
        <v>287556.3</v>
      </c>
      <c r="L43" s="2"/>
      <c r="P43" s="1"/>
      <c r="Q43" s="2"/>
      <c r="S43" s="1" t="s">
        <v>16</v>
      </c>
      <c r="T43" s="64">
        <f>SUM(T40:T42)</f>
        <v>221738.72999999998</v>
      </c>
      <c r="V43" s="1"/>
      <c r="W43" s="1"/>
      <c r="X43" s="1"/>
      <c r="Y43" s="64">
        <f>Y42+T45</f>
        <v>322543.19</v>
      </c>
      <c r="Z43" s="2"/>
      <c r="AA43" s="272"/>
      <c r="AD43" s="1"/>
      <c r="AE43" s="2"/>
      <c r="AG43" s="1" t="s">
        <v>16</v>
      </c>
      <c r="AH43" s="64">
        <f>SUM(AH40:AH42)</f>
        <v>90319.190000000177</v>
      </c>
      <c r="AJ43" s="1"/>
      <c r="AK43" s="1"/>
      <c r="AL43" s="1"/>
      <c r="AM43" s="64">
        <f>AM42+AH45</f>
        <v>163154.35000000018</v>
      </c>
      <c r="AN43" s="2"/>
      <c r="AO43" s="2"/>
      <c r="AR43" s="1"/>
      <c r="AS43" s="2"/>
      <c r="AU43" s="1" t="s">
        <v>16</v>
      </c>
      <c r="AV43" s="64">
        <f>SUM(AV40:AV42)</f>
        <v>180383.75</v>
      </c>
      <c r="AX43" s="1"/>
      <c r="AY43" s="1"/>
      <c r="AZ43" s="1"/>
      <c r="BA43" s="64">
        <f>BA42+AV45</f>
        <v>248991.27000000002</v>
      </c>
      <c r="BB43" s="2"/>
    </row>
    <row r="44" spans="1:56" ht="15.75" thickBot="1" x14ac:dyDescent="0.3">
      <c r="B44" s="1"/>
      <c r="C44" s="2"/>
      <c r="D44" s="62" t="s">
        <v>17</v>
      </c>
      <c r="E44" s="62"/>
      <c r="F44" s="75">
        <v>62788.5</v>
      </c>
      <c r="H44" s="1"/>
      <c r="I44" s="1" t="s">
        <v>1</v>
      </c>
      <c r="J44" s="76"/>
      <c r="K44" s="77">
        <f>-C3</f>
        <v>-205674.65</v>
      </c>
      <c r="L44" s="2"/>
      <c r="P44" s="1"/>
      <c r="Q44" s="2"/>
      <c r="R44" s="62" t="s">
        <v>17</v>
      </c>
      <c r="S44" s="62"/>
      <c r="T44" s="75">
        <v>14504</v>
      </c>
      <c r="V44" s="1"/>
      <c r="W44" s="1" t="s">
        <v>1</v>
      </c>
      <c r="X44" s="76"/>
      <c r="Y44" s="77">
        <f>-Q3</f>
        <v>-205674.65</v>
      </c>
      <c r="Z44" s="2"/>
      <c r="AA44" s="67"/>
      <c r="AD44" s="1"/>
      <c r="AE44" s="2"/>
      <c r="AF44" s="62" t="s">
        <v>17</v>
      </c>
      <c r="AG44" s="62"/>
      <c r="AH44" s="75">
        <v>1696</v>
      </c>
      <c r="AJ44" s="1"/>
      <c r="AK44" s="1" t="s">
        <v>1</v>
      </c>
      <c r="AL44" s="76"/>
      <c r="AM44" s="77">
        <f>-AE3</f>
        <v>-205674.65</v>
      </c>
      <c r="AN44" s="2"/>
      <c r="AO44" s="2"/>
      <c r="AR44" s="1"/>
      <c r="AS44" s="2"/>
      <c r="AT44" s="62" t="s">
        <v>17</v>
      </c>
      <c r="AU44" s="62"/>
      <c r="AV44" s="75">
        <v>1784</v>
      </c>
      <c r="AX44" s="1"/>
      <c r="AY44" s="1" t="s">
        <v>1</v>
      </c>
      <c r="AZ44" s="76"/>
      <c r="BA44" s="77">
        <f>-AS3</f>
        <v>-205674.65</v>
      </c>
      <c r="BB44" s="2"/>
    </row>
    <row r="45" spans="1:56" ht="20.25" thickTop="1" thickBot="1" x14ac:dyDescent="0.35">
      <c r="B45" s="1"/>
      <c r="C45" s="2"/>
      <c r="E45" s="60" t="s">
        <v>18</v>
      </c>
      <c r="F45" s="78">
        <f>F44+F43</f>
        <v>123537.47999999998</v>
      </c>
      <c r="H45" s="1"/>
      <c r="I45" s="406" t="s">
        <v>19</v>
      </c>
      <c r="J45" s="407"/>
      <c r="K45" s="79">
        <f>K43+K44</f>
        <v>81881.649999999994</v>
      </c>
      <c r="L45" s="2"/>
      <c r="P45" s="1"/>
      <c r="Q45" s="2"/>
      <c r="S45" s="60" t="s">
        <v>18</v>
      </c>
      <c r="T45" s="78">
        <f>T44+T43</f>
        <v>236242.72999999998</v>
      </c>
      <c r="V45" s="1"/>
      <c r="W45" s="406" t="s">
        <v>175</v>
      </c>
      <c r="X45" s="407"/>
      <c r="Y45" s="79">
        <f>Y43+Y44</f>
        <v>116868.54000000001</v>
      </c>
      <c r="Z45" s="2"/>
      <c r="AA45" s="67"/>
      <c r="AD45" s="1"/>
      <c r="AE45" s="2"/>
      <c r="AG45" s="60" t="s">
        <v>18</v>
      </c>
      <c r="AH45" s="78">
        <f>AH44+AH43</f>
        <v>92015.190000000177</v>
      </c>
      <c r="AJ45" s="1"/>
      <c r="AK45" s="406" t="s">
        <v>175</v>
      </c>
      <c r="AL45" s="407"/>
      <c r="AM45" s="79">
        <f>AM43+AM44</f>
        <v>-42520.299999999814</v>
      </c>
      <c r="AN45" s="2"/>
      <c r="AO45" s="2"/>
      <c r="AP45" s="216"/>
      <c r="AR45" s="1"/>
      <c r="AS45" s="2"/>
      <c r="AU45" s="60" t="s">
        <v>18</v>
      </c>
      <c r="AV45" s="78">
        <f>AV44+AV43</f>
        <v>182167.75</v>
      </c>
      <c r="AX45" s="1"/>
      <c r="AY45" s="406" t="s">
        <v>285</v>
      </c>
      <c r="AZ45" s="407"/>
      <c r="BA45" s="79">
        <f>BA43+BA44</f>
        <v>43316.620000000024</v>
      </c>
      <c r="BB45" s="2"/>
    </row>
    <row r="46" spans="1:56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P46" s="1"/>
      <c r="Q46" s="2"/>
      <c r="S46" s="1"/>
      <c r="T46" s="1"/>
      <c r="V46" s="1"/>
      <c r="W46" s="1"/>
      <c r="X46" s="1"/>
      <c r="Y46" s="1"/>
      <c r="Z46" s="2"/>
      <c r="AA46" s="67"/>
      <c r="AD46" s="1"/>
      <c r="AE46" s="2"/>
      <c r="AG46" s="1"/>
      <c r="AH46" s="1"/>
      <c r="AJ46" s="1"/>
      <c r="AK46" s="1"/>
      <c r="AL46" s="1"/>
      <c r="AM46" s="1"/>
      <c r="AN46" s="2"/>
      <c r="AO46" s="2"/>
      <c r="AP46" s="216"/>
      <c r="AR46" s="1"/>
      <c r="AS46" s="2"/>
      <c r="AU46" s="1"/>
      <c r="AV46" s="1"/>
      <c r="AX46" s="1"/>
      <c r="AY46" s="1"/>
      <c r="AZ46" s="1"/>
      <c r="BA46" s="1"/>
      <c r="BB46" s="2"/>
    </row>
    <row r="47" spans="1:56" x14ac:dyDescent="0.25">
      <c r="AA47" s="308"/>
      <c r="AP47" s="216"/>
    </row>
    <row r="48" spans="1:56" x14ac:dyDescent="0.25">
      <c r="AA48" s="308"/>
      <c r="AP48" s="216"/>
    </row>
    <row r="49" spans="27:42" x14ac:dyDescent="0.25">
      <c r="AA49" s="308"/>
      <c r="AP49" s="216"/>
    </row>
    <row r="50" spans="27:42" x14ac:dyDescent="0.25">
      <c r="AA50" s="308"/>
      <c r="AP50" s="216"/>
    </row>
    <row r="51" spans="27:42" x14ac:dyDescent="0.25">
      <c r="AA51" s="308"/>
      <c r="AP51" s="216"/>
    </row>
    <row r="52" spans="27:42" x14ac:dyDescent="0.25">
      <c r="AA52" s="308"/>
      <c r="AP52" s="18"/>
    </row>
    <row r="53" spans="27:42" x14ac:dyDescent="0.25">
      <c r="AA53" s="308"/>
      <c r="AP53" s="216"/>
    </row>
    <row r="54" spans="27:42" x14ac:dyDescent="0.25">
      <c r="AA54" s="308"/>
      <c r="AP54" s="216"/>
    </row>
    <row r="55" spans="27:42" x14ac:dyDescent="0.25">
      <c r="AA55" s="308"/>
      <c r="AP55" s="216"/>
    </row>
    <row r="56" spans="27:42" x14ac:dyDescent="0.25">
      <c r="AA56" s="308"/>
      <c r="AP56" s="216"/>
    </row>
    <row r="57" spans="27:42" x14ac:dyDescent="0.25">
      <c r="AA57" s="308"/>
      <c r="AP57" s="216"/>
    </row>
    <row r="58" spans="27:42" x14ac:dyDescent="0.25">
      <c r="AA58" s="308"/>
      <c r="AP58" s="216"/>
    </row>
    <row r="59" spans="27:42" x14ac:dyDescent="0.25">
      <c r="AA59" s="308"/>
      <c r="AP59" s="216"/>
    </row>
    <row r="60" spans="27:42" x14ac:dyDescent="0.25">
      <c r="AA60" s="308"/>
      <c r="AP60" s="216"/>
    </row>
    <row r="61" spans="27:42" x14ac:dyDescent="0.25">
      <c r="AA61" s="272"/>
      <c r="AP61" s="216"/>
    </row>
    <row r="62" spans="27:42" x14ac:dyDescent="0.25">
      <c r="AA62" s="67"/>
      <c r="AP62" s="216"/>
    </row>
    <row r="63" spans="27:42" x14ac:dyDescent="0.25">
      <c r="AA63" s="67"/>
      <c r="AP63" s="216"/>
    </row>
    <row r="64" spans="27:42" x14ac:dyDescent="0.25">
      <c r="AP64" s="18"/>
    </row>
    <row r="65" spans="42:42" x14ac:dyDescent="0.25">
      <c r="AP65" s="216"/>
    </row>
    <row r="66" spans="42:42" x14ac:dyDescent="0.25">
      <c r="AP66" s="216"/>
    </row>
    <row r="67" spans="42:42" x14ac:dyDescent="0.25">
      <c r="AP67" s="216"/>
    </row>
    <row r="68" spans="42:42" x14ac:dyDescent="0.25">
      <c r="AP68" s="216"/>
    </row>
    <row r="69" spans="42:42" x14ac:dyDescent="0.25">
      <c r="AP69" s="216"/>
    </row>
    <row r="70" spans="42:42" x14ac:dyDescent="0.25">
      <c r="AP70" s="216"/>
    </row>
    <row r="71" spans="42:42" x14ac:dyDescent="0.25">
      <c r="AP71" s="216"/>
    </row>
    <row r="72" spans="42:42" x14ac:dyDescent="0.25">
      <c r="AP72" s="216"/>
    </row>
    <row r="73" spans="42:42" x14ac:dyDescent="0.25">
      <c r="AP73" s="216"/>
    </row>
    <row r="74" spans="42:42" x14ac:dyDescent="0.25">
      <c r="AP74" s="216"/>
    </row>
    <row r="75" spans="42:42" x14ac:dyDescent="0.25">
      <c r="AP75" s="216"/>
    </row>
    <row r="76" spans="42:42" x14ac:dyDescent="0.25">
      <c r="AP76" s="18"/>
    </row>
    <row r="77" spans="42:42" x14ac:dyDescent="0.25">
      <c r="AP77" s="272"/>
    </row>
    <row r="78" spans="42:42" x14ac:dyDescent="0.25">
      <c r="AP78" s="67"/>
    </row>
    <row r="79" spans="42:42" x14ac:dyDescent="0.25">
      <c r="AP79" s="67"/>
    </row>
  </sheetData>
  <mergeCells count="40">
    <mergeCell ref="H39:I39"/>
    <mergeCell ref="J39:K39"/>
    <mergeCell ref="A40:B40"/>
    <mergeCell ref="D40:E40"/>
    <mergeCell ref="I45:J45"/>
    <mergeCell ref="C1:J1"/>
    <mergeCell ref="E3:F3"/>
    <mergeCell ref="I3:K3"/>
    <mergeCell ref="J5:J6"/>
    <mergeCell ref="A38:B38"/>
    <mergeCell ref="V39:W39"/>
    <mergeCell ref="X39:Y39"/>
    <mergeCell ref="O40:P40"/>
    <mergeCell ref="R40:S40"/>
    <mergeCell ref="W45:X45"/>
    <mergeCell ref="Q1:X1"/>
    <mergeCell ref="S3:T3"/>
    <mergeCell ref="W3:Y3"/>
    <mergeCell ref="X5:X6"/>
    <mergeCell ref="O38:P38"/>
    <mergeCell ref="AY45:AZ45"/>
    <mergeCell ref="AQ40:AR40"/>
    <mergeCell ref="AT40:AU40"/>
    <mergeCell ref="AX39:AY39"/>
    <mergeCell ref="AZ39:BA39"/>
    <mergeCell ref="AZ5:AZ6"/>
    <mergeCell ref="AQ38:AR38"/>
    <mergeCell ref="AS1:AZ1"/>
    <mergeCell ref="AU3:AV3"/>
    <mergeCell ref="AY3:BA3"/>
    <mergeCell ref="AE1:AL1"/>
    <mergeCell ref="AG3:AH3"/>
    <mergeCell ref="AK3:AM3"/>
    <mergeCell ref="AL5:AL6"/>
    <mergeCell ref="AC38:AD38"/>
    <mergeCell ref="AJ39:AK39"/>
    <mergeCell ref="AL39:AM39"/>
    <mergeCell ref="AC40:AD40"/>
    <mergeCell ref="AF40:AG40"/>
    <mergeCell ref="AK45:AL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417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418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417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418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417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418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A96"/>
  <sheetViews>
    <sheetView topLeftCell="A42" workbookViewId="0">
      <selection activeCell="D91" sqref="D91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6.140625" customWidth="1"/>
    <col min="15" max="15" width="12.7109375" customWidth="1"/>
    <col min="16" max="16" width="20.140625" bestFit="1" customWidth="1"/>
    <col min="21" max="21" width="12.5703125" bestFit="1" customWidth="1"/>
    <col min="23" max="23" width="14.7109375" customWidth="1"/>
    <col min="26" max="26" width="20.140625" bestFit="1" customWidth="1"/>
  </cols>
  <sheetData>
    <row r="1" spans="1:27" ht="19.5" customHeight="1" thickBot="1" x14ac:dyDescent="0.35">
      <c r="K1" s="33"/>
      <c r="L1" s="417">
        <v>1</v>
      </c>
      <c r="M1" s="86" t="s">
        <v>28</v>
      </c>
      <c r="N1" s="86"/>
      <c r="O1" s="110"/>
      <c r="P1" s="326">
        <v>42654</v>
      </c>
      <c r="Q1" s="112"/>
      <c r="U1" s="33"/>
      <c r="V1" s="417">
        <v>1</v>
      </c>
      <c r="W1" s="86" t="s">
        <v>28</v>
      </c>
      <c r="X1" s="86"/>
      <c r="Y1" s="110"/>
      <c r="Z1" s="333">
        <v>42663</v>
      </c>
      <c r="AA1" s="112"/>
    </row>
    <row r="2" spans="1:27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18"/>
      <c r="M2" s="113"/>
      <c r="N2" s="113"/>
      <c r="O2" s="114"/>
      <c r="P2" s="115"/>
      <c r="Q2" s="112"/>
      <c r="U2" s="33"/>
      <c r="V2" s="418"/>
      <c r="W2" s="113"/>
      <c r="X2" s="113"/>
      <c r="Y2" s="114"/>
      <c r="Z2" s="115"/>
      <c r="AA2" s="112"/>
    </row>
    <row r="3" spans="1:27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U3" s="3"/>
      <c r="V3" s="116" t="s">
        <v>23</v>
      </c>
      <c r="W3" s="116" t="s">
        <v>24</v>
      </c>
      <c r="X3" s="116"/>
      <c r="Y3" s="117" t="s">
        <v>29</v>
      </c>
      <c r="Z3" s="118" t="s">
        <v>30</v>
      </c>
      <c r="AA3" s="119"/>
    </row>
    <row r="4" spans="1:27" x14ac:dyDescent="0.25">
      <c r="A4" s="14"/>
      <c r="B4" s="92">
        <v>42644</v>
      </c>
      <c r="C4" s="93" t="s">
        <v>615</v>
      </c>
      <c r="D4" s="132">
        <v>2208</v>
      </c>
      <c r="E4" s="95">
        <v>42654</v>
      </c>
      <c r="F4" s="94">
        <v>2208</v>
      </c>
      <c r="G4" s="158">
        <f t="shared" ref="G4:G42" si="0">D4-F4</f>
        <v>0</v>
      </c>
      <c r="H4" s="146"/>
      <c r="K4" s="33">
        <v>2187.1999999999998</v>
      </c>
      <c r="L4" s="93" t="s">
        <v>585</v>
      </c>
      <c r="M4" s="132">
        <v>2204.44</v>
      </c>
      <c r="N4" s="120" t="s">
        <v>36</v>
      </c>
      <c r="O4" s="289">
        <v>3680916</v>
      </c>
      <c r="P4" s="296">
        <v>26000</v>
      </c>
      <c r="Q4" s="297">
        <v>42633</v>
      </c>
      <c r="U4" s="33">
        <v>9997.08</v>
      </c>
      <c r="V4" s="93" t="s">
        <v>629</v>
      </c>
      <c r="W4" s="132">
        <v>10014.36</v>
      </c>
      <c r="X4" s="120" t="s">
        <v>36</v>
      </c>
      <c r="Y4" s="289">
        <v>3680952</v>
      </c>
      <c r="Z4" s="296">
        <v>40000</v>
      </c>
      <c r="AA4" s="297">
        <v>42651</v>
      </c>
    </row>
    <row r="5" spans="1:27" x14ac:dyDescent="0.25">
      <c r="A5" s="14"/>
      <c r="B5" s="96">
        <v>42644</v>
      </c>
      <c r="C5" s="93" t="s">
        <v>616</v>
      </c>
      <c r="D5" s="132">
        <v>29588</v>
      </c>
      <c r="E5" s="95">
        <v>42654</v>
      </c>
      <c r="F5" s="94">
        <v>29588</v>
      </c>
      <c r="G5" s="97">
        <f t="shared" si="0"/>
        <v>0</v>
      </c>
      <c r="H5" s="146"/>
      <c r="K5" s="33">
        <f>57974.8+12747.8</f>
        <v>70722.600000000006</v>
      </c>
      <c r="L5" s="93" t="s">
        <v>586</v>
      </c>
      <c r="M5" s="132">
        <v>70722.600000000006</v>
      </c>
      <c r="N5" s="124"/>
      <c r="O5" s="241">
        <v>3680918</v>
      </c>
      <c r="P5" s="242">
        <v>34162</v>
      </c>
      <c r="Q5" s="290">
        <v>42633</v>
      </c>
      <c r="U5" s="33">
        <v>20787.900000000001</v>
      </c>
      <c r="V5" s="93" t="s">
        <v>630</v>
      </c>
      <c r="W5" s="132">
        <v>20787.900000000001</v>
      </c>
      <c r="X5" s="124"/>
      <c r="Y5" s="241">
        <v>3680953</v>
      </c>
      <c r="Z5" s="242">
        <v>19085</v>
      </c>
      <c r="AA5" s="290">
        <v>42651</v>
      </c>
    </row>
    <row r="6" spans="1:27" x14ac:dyDescent="0.25">
      <c r="A6" s="14"/>
      <c r="B6" s="96">
        <v>42644</v>
      </c>
      <c r="C6" s="93" t="s">
        <v>617</v>
      </c>
      <c r="D6" s="132">
        <v>29233.75</v>
      </c>
      <c r="E6" s="95">
        <v>42654</v>
      </c>
      <c r="F6" s="132">
        <v>29233.75</v>
      </c>
      <c r="G6" s="99">
        <f t="shared" si="0"/>
        <v>0</v>
      </c>
      <c r="H6" s="38"/>
      <c r="K6" s="33">
        <v>13740.8</v>
      </c>
      <c r="L6" s="93" t="s">
        <v>587</v>
      </c>
      <c r="M6" s="132">
        <v>13740.8</v>
      </c>
      <c r="N6" s="120"/>
      <c r="O6" s="241">
        <v>3680917</v>
      </c>
      <c r="P6" s="242">
        <v>12465.5</v>
      </c>
      <c r="Q6" s="290">
        <v>42634</v>
      </c>
      <c r="U6" s="33">
        <f>28299.72+75296.3+5087.98</f>
        <v>108684</v>
      </c>
      <c r="V6" s="93" t="s">
        <v>632</v>
      </c>
      <c r="W6" s="132">
        <v>108684</v>
      </c>
      <c r="X6" s="120"/>
      <c r="Y6" s="241">
        <v>3680954</v>
      </c>
      <c r="Z6" s="242">
        <v>50000</v>
      </c>
      <c r="AA6" s="290">
        <v>42652</v>
      </c>
    </row>
    <row r="7" spans="1:27" x14ac:dyDescent="0.25">
      <c r="A7" s="14"/>
      <c r="B7" s="96">
        <v>42644</v>
      </c>
      <c r="C7" s="98" t="s">
        <v>618</v>
      </c>
      <c r="D7" s="132">
        <v>29867.5</v>
      </c>
      <c r="E7" s="196" t="s">
        <v>640</v>
      </c>
      <c r="F7" s="94">
        <f>8735.74+21131.76</f>
        <v>29867.5</v>
      </c>
      <c r="G7" s="97">
        <f t="shared" si="0"/>
        <v>0</v>
      </c>
      <c r="H7" s="38"/>
      <c r="K7" s="33">
        <f>8658.4+27203.5+61271.9</f>
        <v>97133.8</v>
      </c>
      <c r="L7" s="93" t="s">
        <v>588</v>
      </c>
      <c r="M7" s="132">
        <v>97133.8</v>
      </c>
      <c r="N7" s="124"/>
      <c r="O7" s="241" t="s">
        <v>31</v>
      </c>
      <c r="P7" s="242">
        <v>22681.5</v>
      </c>
      <c r="Q7" s="290">
        <v>42636</v>
      </c>
      <c r="U7" s="33">
        <v>29825.4</v>
      </c>
      <c r="V7" s="93" t="s">
        <v>633</v>
      </c>
      <c r="W7" s="132">
        <v>29825.4</v>
      </c>
      <c r="X7" s="124"/>
      <c r="Y7" s="241">
        <v>3680955</v>
      </c>
      <c r="Z7" s="242">
        <v>9352.5</v>
      </c>
      <c r="AA7" s="290">
        <v>42652</v>
      </c>
    </row>
    <row r="8" spans="1:27" x14ac:dyDescent="0.25">
      <c r="A8" s="14"/>
      <c r="B8" s="96">
        <v>42646</v>
      </c>
      <c r="C8" s="93" t="s">
        <v>619</v>
      </c>
      <c r="D8" s="132">
        <v>91624</v>
      </c>
      <c r="E8" s="95">
        <v>42656</v>
      </c>
      <c r="F8" s="132">
        <v>91624</v>
      </c>
      <c r="G8" s="97">
        <f t="shared" si="0"/>
        <v>0</v>
      </c>
      <c r="H8" s="38"/>
      <c r="K8" s="33">
        <f>34176.1+541.2</f>
        <v>34717.299999999996</v>
      </c>
      <c r="L8" s="352" t="s">
        <v>593</v>
      </c>
      <c r="M8" s="235">
        <v>34717.300000000003</v>
      </c>
      <c r="N8" s="124"/>
      <c r="O8" s="241">
        <v>3680919</v>
      </c>
      <c r="P8" s="242">
        <v>16029</v>
      </c>
      <c r="Q8" s="290">
        <v>42635</v>
      </c>
      <c r="U8" s="33">
        <v>11160</v>
      </c>
      <c r="V8" s="93" t="s">
        <v>634</v>
      </c>
      <c r="W8" s="132">
        <v>11160</v>
      </c>
      <c r="X8" s="124"/>
      <c r="Y8" s="241" t="s">
        <v>31</v>
      </c>
      <c r="Z8" s="242">
        <v>13726</v>
      </c>
      <c r="AA8" s="290">
        <v>42655</v>
      </c>
    </row>
    <row r="9" spans="1:27" x14ac:dyDescent="0.25">
      <c r="A9" s="286"/>
      <c r="B9" s="96">
        <v>42646</v>
      </c>
      <c r="C9" s="93" t="s">
        <v>620</v>
      </c>
      <c r="D9" s="132">
        <v>2814</v>
      </c>
      <c r="E9" s="95">
        <v>42656</v>
      </c>
      <c r="F9" s="132">
        <v>2814</v>
      </c>
      <c r="G9" s="99">
        <f t="shared" si="0"/>
        <v>0</v>
      </c>
      <c r="H9" s="38"/>
      <c r="K9" s="33">
        <v>30761.84</v>
      </c>
      <c r="L9" s="93" t="s">
        <v>594</v>
      </c>
      <c r="M9" s="132">
        <v>30761.84</v>
      </c>
      <c r="N9" s="124"/>
      <c r="O9" s="241" t="s">
        <v>31</v>
      </c>
      <c r="P9" s="242">
        <v>11174.5</v>
      </c>
      <c r="Q9" s="290">
        <v>42632</v>
      </c>
      <c r="U9" s="33">
        <v>16009.6</v>
      </c>
      <c r="V9" s="352" t="s">
        <v>635</v>
      </c>
      <c r="W9" s="235">
        <v>16009.6</v>
      </c>
      <c r="X9" s="124"/>
      <c r="Y9" s="241" t="s">
        <v>31</v>
      </c>
      <c r="Z9" s="242">
        <v>2218</v>
      </c>
      <c r="AA9" s="290">
        <v>42653</v>
      </c>
    </row>
    <row r="10" spans="1:27" x14ac:dyDescent="0.25">
      <c r="A10" s="14"/>
      <c r="B10" s="96">
        <v>42647</v>
      </c>
      <c r="C10" s="93" t="s">
        <v>621</v>
      </c>
      <c r="D10" s="132">
        <v>88166.399999999994</v>
      </c>
      <c r="E10" s="95">
        <v>42656</v>
      </c>
      <c r="F10" s="132">
        <v>88166.399999999994</v>
      </c>
      <c r="G10" s="99">
        <f t="shared" si="0"/>
        <v>0</v>
      </c>
      <c r="H10" s="38"/>
      <c r="K10" s="33">
        <f>6975.46+30733.5+117960</f>
        <v>155668.96</v>
      </c>
      <c r="L10" s="93" t="s">
        <v>595</v>
      </c>
      <c r="M10" s="132">
        <v>155669</v>
      </c>
      <c r="N10" s="124"/>
      <c r="O10" s="241">
        <v>3680920</v>
      </c>
      <c r="P10" s="242">
        <v>52000</v>
      </c>
      <c r="Q10" s="290">
        <v>42636</v>
      </c>
      <c r="U10" s="33">
        <f>8613.52+45808.28</f>
        <v>54421.8</v>
      </c>
      <c r="V10" s="93" t="s">
        <v>636</v>
      </c>
      <c r="W10" s="132">
        <v>54421.8</v>
      </c>
      <c r="X10" s="124"/>
      <c r="Y10" s="241">
        <v>3680956</v>
      </c>
      <c r="Z10" s="242">
        <v>16000</v>
      </c>
      <c r="AA10" s="290">
        <v>42653</v>
      </c>
    </row>
    <row r="11" spans="1:27" x14ac:dyDescent="0.25">
      <c r="A11" s="14"/>
      <c r="B11" s="96">
        <v>42647</v>
      </c>
      <c r="C11" s="93" t="s">
        <v>622</v>
      </c>
      <c r="D11" s="235">
        <v>2613.1999999999998</v>
      </c>
      <c r="E11" s="95">
        <v>42656</v>
      </c>
      <c r="F11" s="235">
        <v>2613.1999999999998</v>
      </c>
      <c r="G11" s="99">
        <f t="shared" si="0"/>
        <v>0</v>
      </c>
      <c r="H11" s="38"/>
      <c r="K11" s="33">
        <v>390</v>
      </c>
      <c r="L11" s="93" t="s">
        <v>606</v>
      </c>
      <c r="M11" s="132">
        <v>390</v>
      </c>
      <c r="N11" s="128"/>
      <c r="O11" s="241">
        <v>3266433</v>
      </c>
      <c r="P11" s="292">
        <v>13017</v>
      </c>
      <c r="Q11" s="290">
        <v>42637</v>
      </c>
      <c r="U11" s="33">
        <f>963.02+5513.58</f>
        <v>6476.6</v>
      </c>
      <c r="V11" s="93" t="s">
        <v>637</v>
      </c>
      <c r="W11" s="132">
        <v>6476.6</v>
      </c>
      <c r="X11" s="128"/>
      <c r="Y11" s="241">
        <v>3680957</v>
      </c>
      <c r="Z11" s="292">
        <v>25000</v>
      </c>
      <c r="AA11" s="290">
        <v>42653</v>
      </c>
    </row>
    <row r="12" spans="1:27" x14ac:dyDescent="0.25">
      <c r="A12" s="14"/>
      <c r="B12" s="96">
        <v>42647</v>
      </c>
      <c r="C12" s="93" t="s">
        <v>623</v>
      </c>
      <c r="D12" s="132">
        <v>9507.2000000000007</v>
      </c>
      <c r="E12" s="95">
        <v>42656</v>
      </c>
      <c r="F12" s="132">
        <v>9507.2000000000007</v>
      </c>
      <c r="G12" s="99">
        <f t="shared" si="0"/>
        <v>0</v>
      </c>
      <c r="H12" s="38"/>
      <c r="K12" s="33">
        <f>20231.8+49461+7565</f>
        <v>77257.8</v>
      </c>
      <c r="L12" s="352" t="s">
        <v>607</v>
      </c>
      <c r="M12" s="235">
        <v>77257.8</v>
      </c>
      <c r="N12" s="129"/>
      <c r="O12" s="241">
        <v>3680921</v>
      </c>
      <c r="P12" s="292">
        <v>23000</v>
      </c>
      <c r="Q12" s="290">
        <v>42636</v>
      </c>
      <c r="U12" s="33">
        <f>24542.78+29373.22</f>
        <v>53916</v>
      </c>
      <c r="V12" s="93" t="s">
        <v>638</v>
      </c>
      <c r="W12" s="132">
        <v>53916</v>
      </c>
      <c r="X12" s="129"/>
      <c r="Y12" s="241">
        <v>3680958</v>
      </c>
      <c r="Z12" s="292">
        <v>16036.5</v>
      </c>
      <c r="AA12" s="290">
        <v>42653</v>
      </c>
    </row>
    <row r="13" spans="1:27" x14ac:dyDescent="0.25">
      <c r="A13" s="14"/>
      <c r="B13" s="96">
        <v>42648</v>
      </c>
      <c r="C13" s="93" t="s">
        <v>624</v>
      </c>
      <c r="D13" s="132">
        <v>30195.200000000001</v>
      </c>
      <c r="E13" s="95">
        <v>42656</v>
      </c>
      <c r="F13" s="132">
        <v>30195.200000000001</v>
      </c>
      <c r="G13" s="99">
        <f t="shared" si="0"/>
        <v>0</v>
      </c>
      <c r="H13" s="38"/>
      <c r="K13" s="33">
        <f>64464+13701.5</f>
        <v>78165.5</v>
      </c>
      <c r="L13" s="93" t="s">
        <v>608</v>
      </c>
      <c r="M13" s="132">
        <v>78165.5</v>
      </c>
      <c r="N13" s="124"/>
      <c r="O13" s="241">
        <v>3680922</v>
      </c>
      <c r="P13" s="292">
        <v>7431</v>
      </c>
      <c r="Q13" s="290">
        <v>42637</v>
      </c>
      <c r="U13" s="33">
        <v>478.8</v>
      </c>
      <c r="V13" s="93" t="s">
        <v>639</v>
      </c>
      <c r="W13" s="132">
        <v>478.8</v>
      </c>
      <c r="X13" s="124"/>
      <c r="Y13" s="241" t="s">
        <v>31</v>
      </c>
      <c r="Z13" s="292">
        <v>13660</v>
      </c>
      <c r="AA13" s="290">
        <v>42655</v>
      </c>
    </row>
    <row r="14" spans="1:27" x14ac:dyDescent="0.25">
      <c r="A14" s="264"/>
      <c r="B14" s="96">
        <v>42648</v>
      </c>
      <c r="C14" s="93" t="s">
        <v>625</v>
      </c>
      <c r="D14" s="132">
        <v>29539.200000000001</v>
      </c>
      <c r="E14" s="95">
        <v>42656</v>
      </c>
      <c r="F14" s="132">
        <v>29539.200000000001</v>
      </c>
      <c r="G14" s="99">
        <f t="shared" si="0"/>
        <v>0</v>
      </c>
      <c r="H14" s="38"/>
      <c r="K14" s="33">
        <v>2469.6</v>
      </c>
      <c r="L14" s="93" t="s">
        <v>609</v>
      </c>
      <c r="M14" s="132">
        <v>2469.6</v>
      </c>
      <c r="N14" s="124"/>
      <c r="O14" s="241">
        <v>3680923</v>
      </c>
      <c r="P14" s="292">
        <v>20000</v>
      </c>
      <c r="Q14" s="290">
        <v>42637</v>
      </c>
      <c r="U14" s="33">
        <v>11890.4</v>
      </c>
      <c r="V14" s="93" t="s">
        <v>664</v>
      </c>
      <c r="W14" s="132">
        <v>11890.4</v>
      </c>
      <c r="X14" s="124"/>
      <c r="Y14" s="241">
        <v>3680961</v>
      </c>
      <c r="Z14" s="292">
        <v>19014</v>
      </c>
      <c r="AA14" s="290">
        <v>42655</v>
      </c>
    </row>
    <row r="15" spans="1:27" x14ac:dyDescent="0.25">
      <c r="A15" s="14"/>
      <c r="B15" s="96">
        <v>42648</v>
      </c>
      <c r="C15" s="93" t="s">
        <v>626</v>
      </c>
      <c r="D15" s="132">
        <v>15993.6</v>
      </c>
      <c r="E15" s="95">
        <v>42656</v>
      </c>
      <c r="F15" s="132">
        <v>15993.6</v>
      </c>
      <c r="G15" s="99">
        <f t="shared" si="0"/>
        <v>0</v>
      </c>
      <c r="H15" s="38"/>
      <c r="K15" s="33">
        <f>34663.6+26036.6</f>
        <v>60700.2</v>
      </c>
      <c r="L15" s="233" t="s">
        <v>610</v>
      </c>
      <c r="M15" s="216">
        <v>60700.2</v>
      </c>
      <c r="N15" s="124"/>
      <c r="O15" s="241">
        <v>3680925</v>
      </c>
      <c r="P15" s="292">
        <v>18278.5</v>
      </c>
      <c r="Q15" s="290">
        <v>42637</v>
      </c>
      <c r="U15" s="33">
        <f>66594.92+14915.02</f>
        <v>81509.94</v>
      </c>
      <c r="V15" s="93" t="s">
        <v>665</v>
      </c>
      <c r="W15" s="132">
        <v>81510</v>
      </c>
      <c r="X15" s="124"/>
      <c r="Y15" s="241" t="s">
        <v>31</v>
      </c>
      <c r="Z15" s="292">
        <v>16327</v>
      </c>
      <c r="AA15" s="290">
        <v>42656</v>
      </c>
    </row>
    <row r="16" spans="1:27" x14ac:dyDescent="0.25">
      <c r="A16" s="14"/>
      <c r="B16" s="96">
        <v>42649</v>
      </c>
      <c r="C16" s="93" t="s">
        <v>627</v>
      </c>
      <c r="D16" s="132">
        <v>2472</v>
      </c>
      <c r="E16" s="95">
        <v>42656</v>
      </c>
      <c r="F16" s="132">
        <v>2472</v>
      </c>
      <c r="G16" s="99">
        <f t="shared" si="0"/>
        <v>0</v>
      </c>
      <c r="H16" s="38"/>
      <c r="K16" s="33">
        <v>2188.8000000000002</v>
      </c>
      <c r="L16" s="233" t="s">
        <v>611</v>
      </c>
      <c r="M16" s="216">
        <v>2188.8000000000002</v>
      </c>
      <c r="N16" s="124"/>
      <c r="O16" s="241">
        <v>3680926</v>
      </c>
      <c r="P16" s="292">
        <v>18000</v>
      </c>
      <c r="Q16" s="290">
        <v>42638</v>
      </c>
      <c r="U16" s="33">
        <f>32423.48+22580.92</f>
        <v>55004.399999999994</v>
      </c>
      <c r="V16" s="93" t="s">
        <v>666</v>
      </c>
      <c r="W16" s="132">
        <v>55004.4</v>
      </c>
      <c r="X16" s="124"/>
      <c r="Y16" s="241" t="s">
        <v>31</v>
      </c>
      <c r="Z16" s="292">
        <v>2534</v>
      </c>
      <c r="AA16" s="290">
        <v>42656</v>
      </c>
    </row>
    <row r="17" spans="1:27" x14ac:dyDescent="0.25">
      <c r="A17" s="14"/>
      <c r="B17" s="96">
        <v>42650</v>
      </c>
      <c r="C17" s="93" t="s">
        <v>628</v>
      </c>
      <c r="D17" s="132">
        <v>30399</v>
      </c>
      <c r="E17" s="95">
        <v>42656</v>
      </c>
      <c r="F17" s="132">
        <v>30399</v>
      </c>
      <c r="G17" s="99">
        <f t="shared" si="0"/>
        <v>0</v>
      </c>
      <c r="H17" s="38"/>
      <c r="K17" s="33">
        <f>21561.9+40779.6</f>
        <v>62341.5</v>
      </c>
      <c r="L17" s="331" t="s">
        <v>612</v>
      </c>
      <c r="M17" s="81">
        <v>62341.5</v>
      </c>
      <c r="N17" s="124"/>
      <c r="O17" s="241">
        <v>3680927</v>
      </c>
      <c r="P17" s="292">
        <v>12733.5</v>
      </c>
      <c r="Q17" s="290">
        <v>42638</v>
      </c>
      <c r="U17" s="33">
        <f>26909.58+1008.72</f>
        <v>27918.300000000003</v>
      </c>
      <c r="V17" s="93" t="s">
        <v>667</v>
      </c>
      <c r="W17" s="132">
        <v>27918.3</v>
      </c>
      <c r="X17" s="124"/>
      <c r="Y17" s="241">
        <v>3680962</v>
      </c>
      <c r="Z17" s="292">
        <v>20000</v>
      </c>
      <c r="AA17" s="290">
        <v>42656</v>
      </c>
    </row>
    <row r="18" spans="1:27" x14ac:dyDescent="0.25">
      <c r="A18" s="14"/>
      <c r="B18" s="96">
        <v>42650</v>
      </c>
      <c r="C18" s="93" t="s">
        <v>629</v>
      </c>
      <c r="D18" s="132">
        <v>38104.800000000003</v>
      </c>
      <c r="E18" s="95" t="s">
        <v>675</v>
      </c>
      <c r="F18" s="132">
        <f>28090.44+10014.36</f>
        <v>38104.800000000003</v>
      </c>
      <c r="G18" s="99">
        <f t="shared" si="0"/>
        <v>0</v>
      </c>
      <c r="H18" s="38"/>
      <c r="K18" s="33">
        <f>44478.4+2029.7</f>
        <v>46508.1</v>
      </c>
      <c r="L18" s="353" t="s">
        <v>613</v>
      </c>
      <c r="M18" s="292">
        <v>46508.13</v>
      </c>
      <c r="N18" s="124"/>
      <c r="O18" s="241" t="s">
        <v>31</v>
      </c>
      <c r="P18" s="292">
        <v>90439.8</v>
      </c>
      <c r="Q18" s="290">
        <v>42643</v>
      </c>
      <c r="U18" s="33">
        <v>23773.200000000001</v>
      </c>
      <c r="V18" s="93" t="s">
        <v>668</v>
      </c>
      <c r="W18" s="132">
        <v>23756.36</v>
      </c>
      <c r="X18" s="124" t="s">
        <v>88</v>
      </c>
      <c r="Y18" s="241">
        <v>3680963</v>
      </c>
      <c r="Z18" s="292">
        <v>25000</v>
      </c>
      <c r="AA18" s="290">
        <v>42656</v>
      </c>
    </row>
    <row r="19" spans="1:27" x14ac:dyDescent="0.25">
      <c r="A19" s="14"/>
      <c r="B19" s="96">
        <v>42651</v>
      </c>
      <c r="C19" s="93" t="s">
        <v>630</v>
      </c>
      <c r="D19" s="132">
        <v>20787.900000000001</v>
      </c>
      <c r="E19" s="95">
        <v>42665</v>
      </c>
      <c r="F19" s="132">
        <v>20787.900000000001</v>
      </c>
      <c r="G19" s="99">
        <f t="shared" si="0"/>
        <v>0</v>
      </c>
      <c r="H19" s="38"/>
      <c r="K19" s="33">
        <v>2208</v>
      </c>
      <c r="L19" s="93" t="s">
        <v>615</v>
      </c>
      <c r="M19" s="132">
        <v>2208</v>
      </c>
      <c r="N19" s="124"/>
      <c r="O19" s="241" t="s">
        <v>31</v>
      </c>
      <c r="P19" s="292">
        <v>25707</v>
      </c>
      <c r="Q19" s="290">
        <v>42641</v>
      </c>
      <c r="U19" s="33"/>
      <c r="V19" s="93"/>
      <c r="W19" s="132"/>
      <c r="X19" s="124"/>
      <c r="Y19" s="241">
        <v>3680964</v>
      </c>
      <c r="Z19" s="292">
        <v>27108.5</v>
      </c>
      <c r="AA19" s="290">
        <v>42656</v>
      </c>
    </row>
    <row r="20" spans="1:27" x14ac:dyDescent="0.25">
      <c r="A20" s="14"/>
      <c r="B20" s="96">
        <v>42651</v>
      </c>
      <c r="C20" s="93" t="s">
        <v>632</v>
      </c>
      <c r="D20" s="132">
        <v>108684</v>
      </c>
      <c r="E20" s="95">
        <v>42665</v>
      </c>
      <c r="F20" s="132">
        <v>108684</v>
      </c>
      <c r="G20" s="99">
        <f t="shared" si="0"/>
        <v>0</v>
      </c>
      <c r="H20" s="38"/>
      <c r="K20" s="33">
        <v>29588</v>
      </c>
      <c r="L20" s="93" t="s">
        <v>616</v>
      </c>
      <c r="M20" s="132">
        <v>29588</v>
      </c>
      <c r="N20" s="124"/>
      <c r="O20" s="241">
        <v>3680928</v>
      </c>
      <c r="P20" s="292">
        <v>22045</v>
      </c>
      <c r="Q20" s="290">
        <v>42639</v>
      </c>
      <c r="U20" s="33"/>
      <c r="V20" s="93"/>
      <c r="W20" s="132"/>
      <c r="X20" s="124"/>
      <c r="Y20" s="241">
        <v>3680959</v>
      </c>
      <c r="Z20" s="292">
        <v>62707.5</v>
      </c>
      <c r="AA20" s="290">
        <v>42654</v>
      </c>
    </row>
    <row r="21" spans="1:27" ht="16.5" customHeight="1" x14ac:dyDescent="0.25">
      <c r="A21" s="14"/>
      <c r="B21" s="96">
        <v>42653</v>
      </c>
      <c r="C21" s="93" t="s">
        <v>633</v>
      </c>
      <c r="D21" s="132">
        <v>29825.4</v>
      </c>
      <c r="E21" s="95">
        <v>42665</v>
      </c>
      <c r="F21" s="132">
        <v>29825.4</v>
      </c>
      <c r="G21" s="99">
        <f t="shared" si="0"/>
        <v>0</v>
      </c>
      <c r="H21" s="38"/>
      <c r="K21" s="3">
        <v>29233.75</v>
      </c>
      <c r="L21" s="93" t="s">
        <v>617</v>
      </c>
      <c r="M21" s="132">
        <v>29233.75</v>
      </c>
      <c r="N21" s="124"/>
      <c r="O21" s="241">
        <v>3680929</v>
      </c>
      <c r="P21" s="292">
        <v>18500</v>
      </c>
      <c r="Q21" s="290">
        <v>42640</v>
      </c>
      <c r="U21" s="3"/>
      <c r="V21" s="353"/>
      <c r="W21" s="292"/>
      <c r="X21" s="124"/>
      <c r="Y21" s="241">
        <v>3680960</v>
      </c>
      <c r="Z21" s="292">
        <v>12474</v>
      </c>
      <c r="AA21" s="290">
        <v>42654</v>
      </c>
    </row>
    <row r="22" spans="1:27" x14ac:dyDescent="0.25">
      <c r="A22" s="264"/>
      <c r="B22" s="96">
        <v>42653</v>
      </c>
      <c r="C22" s="93" t="s">
        <v>634</v>
      </c>
      <c r="D22" s="132">
        <v>11160</v>
      </c>
      <c r="E22" s="95">
        <v>42665</v>
      </c>
      <c r="F22" s="132">
        <v>11160</v>
      </c>
      <c r="G22" s="99">
        <f t="shared" si="0"/>
        <v>0</v>
      </c>
      <c r="H22" s="38"/>
      <c r="K22" s="3">
        <v>8753.02</v>
      </c>
      <c r="L22" s="98" t="s">
        <v>618</v>
      </c>
      <c r="M22" s="132">
        <v>8735.74</v>
      </c>
      <c r="N22" s="124" t="s">
        <v>88</v>
      </c>
      <c r="O22" s="241">
        <v>3680930</v>
      </c>
      <c r="P22" s="292">
        <v>30961</v>
      </c>
      <c r="Q22" s="290">
        <v>42640</v>
      </c>
      <c r="U22" s="3"/>
      <c r="V22" s="98"/>
      <c r="W22" s="132"/>
      <c r="X22" s="124"/>
      <c r="Y22" s="241">
        <v>3680965</v>
      </c>
      <c r="Z22" s="292">
        <v>20501.5</v>
      </c>
      <c r="AA22" s="290">
        <v>42657</v>
      </c>
    </row>
    <row r="23" spans="1:27" x14ac:dyDescent="0.25">
      <c r="A23" s="14"/>
      <c r="B23" s="96">
        <v>42654</v>
      </c>
      <c r="C23" s="352" t="s">
        <v>635</v>
      </c>
      <c r="D23" s="235">
        <v>16009.6</v>
      </c>
      <c r="E23" s="95">
        <v>42665</v>
      </c>
      <c r="F23" s="235">
        <v>16009.6</v>
      </c>
      <c r="G23" s="99">
        <f t="shared" si="0"/>
        <v>0</v>
      </c>
      <c r="H23" s="38"/>
      <c r="K23" s="3"/>
      <c r="L23" s="93"/>
      <c r="M23" s="132"/>
      <c r="N23" s="124"/>
      <c r="O23" s="241">
        <v>3680931</v>
      </c>
      <c r="P23" s="292">
        <v>25000</v>
      </c>
      <c r="Q23" s="290">
        <v>42641</v>
      </c>
      <c r="U23" s="3"/>
      <c r="V23" s="93"/>
      <c r="W23" s="132"/>
      <c r="X23" s="124"/>
      <c r="Y23" s="241" t="s">
        <v>31</v>
      </c>
      <c r="Z23" s="292">
        <v>11582</v>
      </c>
      <c r="AA23" s="290">
        <v>42660</v>
      </c>
    </row>
    <row r="24" spans="1:27" x14ac:dyDescent="0.25">
      <c r="A24" s="14"/>
      <c r="B24" s="96">
        <v>42655</v>
      </c>
      <c r="C24" s="93" t="s">
        <v>636</v>
      </c>
      <c r="D24" s="132">
        <v>54421.8</v>
      </c>
      <c r="E24" s="95">
        <v>42665</v>
      </c>
      <c r="F24" s="132">
        <v>54421.8</v>
      </c>
      <c r="G24" s="99">
        <f t="shared" si="0"/>
        <v>0</v>
      </c>
      <c r="H24" s="38"/>
      <c r="K24" s="3"/>
      <c r="L24" s="93"/>
      <c r="M24" s="132"/>
      <c r="N24" s="124"/>
      <c r="O24" s="241">
        <v>3680932</v>
      </c>
      <c r="P24" s="292">
        <v>30000</v>
      </c>
      <c r="Q24" s="290">
        <v>42641</v>
      </c>
      <c r="U24" s="3"/>
      <c r="V24" s="93"/>
      <c r="W24" s="132"/>
      <c r="X24" s="124"/>
      <c r="Y24" s="241" t="s">
        <v>31</v>
      </c>
      <c r="Z24" s="292">
        <v>15255</v>
      </c>
      <c r="AA24" s="290">
        <v>42657</v>
      </c>
    </row>
    <row r="25" spans="1:27" x14ac:dyDescent="0.25">
      <c r="A25" s="14"/>
      <c r="B25" s="96">
        <v>42655</v>
      </c>
      <c r="C25" s="93" t="s">
        <v>637</v>
      </c>
      <c r="D25" s="132">
        <v>6476.6</v>
      </c>
      <c r="E25" s="95">
        <v>42665</v>
      </c>
      <c r="F25" s="132">
        <v>6476.6</v>
      </c>
      <c r="G25" s="99">
        <f t="shared" si="0"/>
        <v>0</v>
      </c>
      <c r="H25" s="38"/>
      <c r="K25" s="3"/>
      <c r="L25" s="93"/>
      <c r="M25" s="132"/>
      <c r="N25" s="124"/>
      <c r="O25" s="241">
        <v>3680933</v>
      </c>
      <c r="P25" s="292">
        <v>17029</v>
      </c>
      <c r="Q25" s="290">
        <v>42641</v>
      </c>
      <c r="U25" s="3"/>
      <c r="V25" s="93"/>
      <c r="W25" s="132"/>
      <c r="X25" s="124"/>
      <c r="Y25" s="241">
        <v>3680967</v>
      </c>
      <c r="Z25" s="292">
        <v>14490.5</v>
      </c>
      <c r="AA25" s="290">
        <v>42658</v>
      </c>
    </row>
    <row r="26" spans="1:27" x14ac:dyDescent="0.25">
      <c r="A26" s="14"/>
      <c r="B26" s="96">
        <v>42655</v>
      </c>
      <c r="C26" s="93" t="s">
        <v>638</v>
      </c>
      <c r="D26" s="132">
        <v>53916</v>
      </c>
      <c r="E26" s="95">
        <v>42665</v>
      </c>
      <c r="F26" s="132">
        <v>53916</v>
      </c>
      <c r="G26" s="99">
        <f t="shared" si="0"/>
        <v>0</v>
      </c>
      <c r="H26" s="38"/>
      <c r="K26" s="3"/>
      <c r="L26" s="93"/>
      <c r="M26" s="235"/>
      <c r="N26" s="124"/>
      <c r="O26" s="241">
        <v>3680934</v>
      </c>
      <c r="P26" s="292">
        <v>30000</v>
      </c>
      <c r="Q26" s="290">
        <v>42642</v>
      </c>
      <c r="U26" s="3"/>
      <c r="V26" s="93"/>
      <c r="W26" s="235"/>
      <c r="X26" s="124"/>
      <c r="Y26" s="241">
        <v>3680966</v>
      </c>
      <c r="Z26" s="292">
        <v>35000</v>
      </c>
      <c r="AA26" s="290">
        <v>42658</v>
      </c>
    </row>
    <row r="27" spans="1:27" x14ac:dyDescent="0.25">
      <c r="A27" s="14"/>
      <c r="B27" s="96">
        <v>42655</v>
      </c>
      <c r="C27" s="93" t="s">
        <v>639</v>
      </c>
      <c r="D27" s="132">
        <v>478.8</v>
      </c>
      <c r="E27" s="95">
        <v>42665</v>
      </c>
      <c r="F27" s="132">
        <v>478.8</v>
      </c>
      <c r="G27" s="99">
        <f t="shared" si="0"/>
        <v>0</v>
      </c>
      <c r="H27" s="38"/>
      <c r="K27" s="3"/>
      <c r="L27" s="93"/>
      <c r="M27" s="132"/>
      <c r="N27" s="124"/>
      <c r="O27" s="241">
        <v>3680935</v>
      </c>
      <c r="P27" s="292">
        <v>23413.5</v>
      </c>
      <c r="Q27" s="290">
        <v>42642</v>
      </c>
      <c r="U27" s="3"/>
      <c r="V27" s="93"/>
      <c r="W27" s="132"/>
      <c r="X27" s="124"/>
      <c r="Y27" s="241">
        <v>3680969</v>
      </c>
      <c r="Z27" s="292">
        <v>24781.919999999998</v>
      </c>
      <c r="AA27" s="290">
        <v>42659</v>
      </c>
    </row>
    <row r="28" spans="1:27" ht="16.5" thickBot="1" x14ac:dyDescent="0.3">
      <c r="A28" s="14"/>
      <c r="B28" s="96">
        <v>42656</v>
      </c>
      <c r="C28" s="93" t="s">
        <v>664</v>
      </c>
      <c r="D28" s="132">
        <v>11890.4</v>
      </c>
      <c r="E28" s="95">
        <v>42665</v>
      </c>
      <c r="F28" s="132">
        <v>11890.4</v>
      </c>
      <c r="G28" s="99">
        <f t="shared" si="0"/>
        <v>0</v>
      </c>
      <c r="H28" s="38"/>
      <c r="K28" s="3"/>
      <c r="L28" s="93"/>
      <c r="M28" s="132"/>
      <c r="N28" s="124"/>
      <c r="O28" s="241">
        <v>3680936</v>
      </c>
      <c r="P28" s="292">
        <v>35000</v>
      </c>
      <c r="Q28" s="290">
        <v>42643</v>
      </c>
      <c r="U28" s="3"/>
      <c r="V28" s="361"/>
      <c r="W28" s="362"/>
      <c r="X28" s="363"/>
      <c r="Y28" s="382"/>
      <c r="Z28" s="365">
        <v>0</v>
      </c>
      <c r="AA28" s="366"/>
    </row>
    <row r="29" spans="1:27" ht="16.5" thickTop="1" x14ac:dyDescent="0.25">
      <c r="A29" s="14"/>
      <c r="B29" s="96">
        <v>42657</v>
      </c>
      <c r="C29" s="93" t="s">
        <v>665</v>
      </c>
      <c r="D29" s="132">
        <v>81510</v>
      </c>
      <c r="E29" s="95">
        <v>42665</v>
      </c>
      <c r="F29" s="132">
        <v>81510</v>
      </c>
      <c r="G29" s="99">
        <f t="shared" si="0"/>
        <v>0</v>
      </c>
      <c r="H29" s="38"/>
      <c r="K29" s="3"/>
      <c r="L29" s="93"/>
      <c r="M29" s="132"/>
      <c r="N29" s="124"/>
      <c r="O29" s="241">
        <v>3680937</v>
      </c>
      <c r="P29" s="292">
        <v>12598.5</v>
      </c>
      <c r="Q29" s="290">
        <v>42643</v>
      </c>
      <c r="U29" s="33">
        <f>SUM(U4:U28)</f>
        <v>511853.42000000004</v>
      </c>
      <c r="V29" s="147"/>
      <c r="W29" s="236">
        <f>SUM(W4:W28)</f>
        <v>511853.92000000004</v>
      </c>
      <c r="X29" s="210"/>
      <c r="Y29" s="211"/>
      <c r="Z29" s="200">
        <f>SUM(Z4:Z28)</f>
        <v>511853.92</v>
      </c>
      <c r="AA29" s="202"/>
    </row>
    <row r="30" spans="1:27" x14ac:dyDescent="0.25">
      <c r="A30" s="14"/>
      <c r="B30" s="96">
        <v>42658</v>
      </c>
      <c r="C30" s="93" t="s">
        <v>666</v>
      </c>
      <c r="D30" s="132">
        <v>55004.4</v>
      </c>
      <c r="E30" s="95">
        <v>42665</v>
      </c>
      <c r="F30" s="132">
        <v>55004.4</v>
      </c>
      <c r="G30" s="99">
        <f t="shared" si="0"/>
        <v>0</v>
      </c>
      <c r="H30" s="38"/>
      <c r="K30" s="3"/>
      <c r="L30" s="93"/>
      <c r="M30" s="132"/>
      <c r="N30" s="124"/>
      <c r="O30" s="241">
        <v>3680938</v>
      </c>
      <c r="P30" s="292">
        <v>50000</v>
      </c>
      <c r="Q30" s="290">
        <v>42644</v>
      </c>
      <c r="U30" s="3"/>
      <c r="V30" s="161"/>
      <c r="W30" s="216"/>
      <c r="X30" s="213"/>
      <c r="Y30" s="211"/>
      <c r="Z30" s="18"/>
      <c r="AA30" s="95"/>
    </row>
    <row r="31" spans="1:27" x14ac:dyDescent="0.25">
      <c r="A31" s="14"/>
      <c r="B31" s="96">
        <v>42659</v>
      </c>
      <c r="C31" s="93" t="s">
        <v>667</v>
      </c>
      <c r="D31" s="132">
        <v>27918.3</v>
      </c>
      <c r="E31" s="95">
        <v>42665</v>
      </c>
      <c r="F31" s="132">
        <v>27918.3</v>
      </c>
      <c r="G31" s="99">
        <f t="shared" si="0"/>
        <v>0</v>
      </c>
      <c r="H31" s="38"/>
      <c r="K31" s="3"/>
      <c r="L31" s="93"/>
      <c r="M31" s="132"/>
      <c r="N31" s="124"/>
      <c r="O31" s="241">
        <v>3680939</v>
      </c>
      <c r="P31" s="292">
        <v>35258</v>
      </c>
      <c r="Q31" s="290">
        <v>42644</v>
      </c>
      <c r="U31" s="3"/>
      <c r="V31" s="161"/>
      <c r="W31" s="216"/>
      <c r="X31" s="213"/>
      <c r="Y31" s="211"/>
      <c r="Z31" s="18"/>
      <c r="AA31" s="95"/>
    </row>
    <row r="32" spans="1:27" x14ac:dyDescent="0.25">
      <c r="A32" s="14"/>
      <c r="B32" s="96">
        <v>42660</v>
      </c>
      <c r="C32" s="93" t="s">
        <v>668</v>
      </c>
      <c r="D32" s="132">
        <v>23773.200000000001</v>
      </c>
      <c r="E32" s="196" t="s">
        <v>727</v>
      </c>
      <c r="F32" s="132">
        <f>23756.36+16.84</f>
        <v>23773.200000000001</v>
      </c>
      <c r="G32" s="99">
        <f t="shared" si="0"/>
        <v>0</v>
      </c>
      <c r="H32" s="38"/>
      <c r="K32" s="3"/>
      <c r="L32" s="93"/>
      <c r="M32" s="132"/>
      <c r="N32" s="124"/>
      <c r="O32" s="241">
        <v>3680940</v>
      </c>
      <c r="P32" s="292">
        <v>40000</v>
      </c>
      <c r="Q32" s="290">
        <v>42645</v>
      </c>
      <c r="U32" s="3"/>
      <c r="V32" s="161"/>
      <c r="W32" s="216"/>
      <c r="X32" s="213"/>
      <c r="Y32" s="211"/>
      <c r="Z32" s="18"/>
      <c r="AA32" s="95"/>
    </row>
    <row r="33" spans="1:27" x14ac:dyDescent="0.25">
      <c r="A33" s="14"/>
      <c r="B33" s="96">
        <v>42660</v>
      </c>
      <c r="C33" s="93" t="s">
        <v>669</v>
      </c>
      <c r="D33" s="132">
        <v>26398.400000000001</v>
      </c>
      <c r="E33" s="95">
        <v>42679</v>
      </c>
      <c r="F33" s="132">
        <v>26398.400000000001</v>
      </c>
      <c r="G33" s="99">
        <f t="shared" si="0"/>
        <v>0</v>
      </c>
      <c r="H33" s="38"/>
      <c r="K33" s="3"/>
      <c r="L33" s="93"/>
      <c r="M33" s="132"/>
      <c r="N33" s="124"/>
      <c r="O33" s="241">
        <v>3680941</v>
      </c>
      <c r="P33" s="292">
        <v>20000</v>
      </c>
      <c r="Q33" s="290">
        <v>42645</v>
      </c>
      <c r="U33" s="3"/>
      <c r="V33" s="161"/>
      <c r="W33" s="216"/>
      <c r="X33" s="213"/>
      <c r="Y33" s="211"/>
      <c r="Z33" s="18"/>
      <c r="AA33" s="95"/>
    </row>
    <row r="34" spans="1:27" x14ac:dyDescent="0.25">
      <c r="A34" s="14"/>
      <c r="B34" s="96">
        <v>42660</v>
      </c>
      <c r="C34" s="93" t="s">
        <v>670</v>
      </c>
      <c r="D34" s="132">
        <v>27183.599999999999</v>
      </c>
      <c r="E34" s="95">
        <v>42679</v>
      </c>
      <c r="F34" s="132">
        <v>27183.599999999999</v>
      </c>
      <c r="G34" s="99">
        <f t="shared" si="0"/>
        <v>0</v>
      </c>
      <c r="H34" s="38"/>
      <c r="K34" s="3"/>
      <c r="L34" s="93"/>
      <c r="M34" s="132"/>
      <c r="N34" s="124"/>
      <c r="O34" s="241">
        <v>3680942</v>
      </c>
      <c r="P34" s="292">
        <v>11812.5</v>
      </c>
      <c r="Q34" s="290">
        <v>42645</v>
      </c>
      <c r="U34" s="3"/>
      <c r="V34" s="161"/>
      <c r="W34" s="216"/>
      <c r="X34" s="213"/>
      <c r="Y34" s="211"/>
      <c r="Z34" s="18"/>
      <c r="AA34" s="95"/>
    </row>
    <row r="35" spans="1:27" ht="16.5" customHeight="1" thickBot="1" x14ac:dyDescent="0.3">
      <c r="B35" s="96">
        <v>42661</v>
      </c>
      <c r="C35" s="353" t="s">
        <v>671</v>
      </c>
      <c r="D35" s="292">
        <v>115642.4</v>
      </c>
      <c r="E35" s="95">
        <v>42679</v>
      </c>
      <c r="F35" s="292">
        <v>115642.4</v>
      </c>
      <c r="G35" s="99">
        <f t="shared" si="0"/>
        <v>0</v>
      </c>
      <c r="K35" s="3"/>
      <c r="L35" s="281"/>
      <c r="M35" s="282"/>
      <c r="N35" s="219"/>
      <c r="O35" s="377"/>
      <c r="P35" s="199">
        <v>0</v>
      </c>
      <c r="Q35" s="220"/>
    </row>
    <row r="36" spans="1:27" ht="16.5" thickTop="1" x14ac:dyDescent="0.25">
      <c r="B36" s="96">
        <v>42663</v>
      </c>
      <c r="C36" s="353" t="s">
        <v>672</v>
      </c>
      <c r="D36" s="292">
        <v>28836.16</v>
      </c>
      <c r="E36" s="95">
        <v>42679</v>
      </c>
      <c r="F36" s="292">
        <v>28836.16</v>
      </c>
      <c r="G36" s="99">
        <f t="shared" si="0"/>
        <v>0</v>
      </c>
      <c r="H36"/>
      <c r="K36" s="33">
        <f>SUM(K4:K35)</f>
        <v>804736.77</v>
      </c>
      <c r="L36" s="147"/>
      <c r="M36" s="236">
        <f>SUM(M4:M35)</f>
        <v>804736.8</v>
      </c>
      <c r="N36" s="210"/>
      <c r="O36" s="211"/>
      <c r="P36" s="200">
        <f>SUM(P4:P35)</f>
        <v>804736.8</v>
      </c>
      <c r="Q36" s="202"/>
    </row>
    <row r="37" spans="1:27" x14ac:dyDescent="0.25">
      <c r="A37" s="159"/>
      <c r="B37" s="96">
        <v>42663</v>
      </c>
      <c r="C37" s="353" t="s">
        <v>673</v>
      </c>
      <c r="D37" s="292">
        <v>49807.4</v>
      </c>
      <c r="E37" s="95">
        <v>42679</v>
      </c>
      <c r="F37" s="292">
        <v>49807.4</v>
      </c>
      <c r="G37" s="99">
        <f t="shared" si="0"/>
        <v>0</v>
      </c>
      <c r="H37"/>
    </row>
    <row r="38" spans="1:27" ht="16.5" thickBot="1" x14ac:dyDescent="0.3">
      <c r="B38" s="96">
        <v>42664</v>
      </c>
      <c r="C38" s="353" t="s">
        <v>674</v>
      </c>
      <c r="D38" s="292">
        <v>69202</v>
      </c>
      <c r="E38" s="95">
        <v>42679</v>
      </c>
      <c r="F38" s="292">
        <v>69202</v>
      </c>
      <c r="G38" s="327">
        <f t="shared" si="0"/>
        <v>0</v>
      </c>
      <c r="H38"/>
    </row>
    <row r="39" spans="1:27" ht="19.5" customHeight="1" thickBot="1" x14ac:dyDescent="0.35">
      <c r="B39" s="96">
        <v>42665</v>
      </c>
      <c r="C39" s="353" t="s">
        <v>687</v>
      </c>
      <c r="D39" s="292">
        <v>17048</v>
      </c>
      <c r="E39" s="95">
        <v>42679</v>
      </c>
      <c r="F39" s="292">
        <v>17048</v>
      </c>
      <c r="G39" s="327">
        <f t="shared" si="0"/>
        <v>0</v>
      </c>
      <c r="H39"/>
      <c r="K39" s="33"/>
      <c r="L39" s="417">
        <v>1</v>
      </c>
      <c r="M39" s="86" t="s">
        <v>28</v>
      </c>
      <c r="N39" s="86"/>
      <c r="O39" s="110"/>
      <c r="P39" s="111">
        <v>42656</v>
      </c>
      <c r="Q39" s="112"/>
    </row>
    <row r="40" spans="1:27" ht="16.5" customHeight="1" thickBot="1" x14ac:dyDescent="0.3">
      <c r="B40" s="96">
        <v>42665</v>
      </c>
      <c r="C40" s="353" t="s">
        <v>688</v>
      </c>
      <c r="D40" s="292">
        <v>61613.2</v>
      </c>
      <c r="E40" s="95">
        <v>42679</v>
      </c>
      <c r="F40" s="292">
        <v>61613.2</v>
      </c>
      <c r="G40" s="327">
        <f t="shared" si="0"/>
        <v>0</v>
      </c>
      <c r="H40"/>
      <c r="K40" s="33"/>
      <c r="L40" s="418"/>
      <c r="M40" s="113"/>
      <c r="N40" s="113"/>
      <c r="O40" s="114"/>
      <c r="P40" s="115"/>
      <c r="Q40" s="112"/>
    </row>
    <row r="41" spans="1:27" ht="16.5" thickBot="1" x14ac:dyDescent="0.3">
      <c r="B41" s="96">
        <v>42665</v>
      </c>
      <c r="C41" s="353" t="s">
        <v>689</v>
      </c>
      <c r="D41" s="292">
        <v>4901</v>
      </c>
      <c r="E41" s="95">
        <v>42679</v>
      </c>
      <c r="F41" s="292">
        <v>4901</v>
      </c>
      <c r="G41" s="327">
        <f t="shared" si="0"/>
        <v>0</v>
      </c>
      <c r="H41"/>
      <c r="K41" s="3"/>
      <c r="L41" s="116" t="s">
        <v>23</v>
      </c>
      <c r="M41" s="116" t="s">
        <v>24</v>
      </c>
      <c r="N41" s="116"/>
      <c r="O41" s="117" t="s">
        <v>29</v>
      </c>
      <c r="P41" s="118" t="s">
        <v>30</v>
      </c>
      <c r="Q41" s="119"/>
    </row>
    <row r="42" spans="1:27" ht="14.25" customHeight="1" thickTop="1" x14ac:dyDescent="0.25">
      <c r="B42" s="96">
        <v>42666</v>
      </c>
      <c r="C42" s="328" t="s">
        <v>693</v>
      </c>
      <c r="D42" s="332">
        <v>58204.5</v>
      </c>
      <c r="E42" s="95">
        <v>42679</v>
      </c>
      <c r="F42" s="332">
        <v>58204.5</v>
      </c>
      <c r="G42" s="384">
        <f t="shared" si="0"/>
        <v>0</v>
      </c>
      <c r="H42"/>
      <c r="K42" s="33">
        <v>21114.48</v>
      </c>
      <c r="L42" s="98" t="s">
        <v>618</v>
      </c>
      <c r="M42" s="132">
        <v>21131.759999999998</v>
      </c>
      <c r="N42" s="120" t="s">
        <v>36</v>
      </c>
      <c r="O42" s="289">
        <v>3680943</v>
      </c>
      <c r="P42" s="296">
        <v>30000</v>
      </c>
      <c r="Q42" s="297">
        <v>42646</v>
      </c>
    </row>
    <row r="43" spans="1:27" x14ac:dyDescent="0.25">
      <c r="B43" s="96">
        <v>42667</v>
      </c>
      <c r="C43" s="353" t="s">
        <v>690</v>
      </c>
      <c r="D43" s="292">
        <v>29059.200000000001</v>
      </c>
      <c r="E43" s="95">
        <v>42679</v>
      </c>
      <c r="F43" s="292">
        <v>29059.200000000001</v>
      </c>
      <c r="G43" s="384">
        <f>D43-F43</f>
        <v>0</v>
      </c>
      <c r="H43"/>
      <c r="K43" s="33">
        <v>91624</v>
      </c>
      <c r="L43" s="93" t="s">
        <v>619</v>
      </c>
      <c r="M43" s="132">
        <v>91624</v>
      </c>
      <c r="N43" s="124"/>
      <c r="O43" s="241">
        <v>3680945</v>
      </c>
      <c r="P43" s="242">
        <v>14959.5</v>
      </c>
      <c r="Q43" s="290">
        <v>42646</v>
      </c>
    </row>
    <row r="44" spans="1:27" x14ac:dyDescent="0.25">
      <c r="B44" s="96">
        <v>42669</v>
      </c>
      <c r="C44" s="389" t="s">
        <v>691</v>
      </c>
      <c r="D44" s="234">
        <v>58755.199999999997</v>
      </c>
      <c r="E44" s="95">
        <v>42679</v>
      </c>
      <c r="F44" s="234">
        <v>58755.199999999997</v>
      </c>
      <c r="G44" s="384">
        <f t="shared" ref="G44:G57" si="1">D44-F44</f>
        <v>0</v>
      </c>
      <c r="H44"/>
      <c r="K44" s="33">
        <f>2435.02+378.98</f>
        <v>2814</v>
      </c>
      <c r="L44" s="93" t="s">
        <v>620</v>
      </c>
      <c r="M44" s="132">
        <v>2814</v>
      </c>
      <c r="N44" s="120"/>
      <c r="O44" s="241" t="s">
        <v>31</v>
      </c>
      <c r="P44" s="242">
        <v>56480</v>
      </c>
      <c r="Q44" s="290">
        <v>42649</v>
      </c>
    </row>
    <row r="45" spans="1:27" x14ac:dyDescent="0.25">
      <c r="B45" s="96">
        <v>42669</v>
      </c>
      <c r="C45" s="390" t="s">
        <v>692</v>
      </c>
      <c r="D45" s="386">
        <v>8654.4</v>
      </c>
      <c r="E45" s="95">
        <v>42679</v>
      </c>
      <c r="F45" s="386">
        <v>8654.4</v>
      </c>
      <c r="G45" s="384">
        <f t="shared" si="1"/>
        <v>0</v>
      </c>
      <c r="H45"/>
      <c r="K45" s="33">
        <f>82163.52+6002.88</f>
        <v>88166.400000000009</v>
      </c>
      <c r="L45" s="93" t="s">
        <v>621</v>
      </c>
      <c r="M45" s="132">
        <v>88166.399999999994</v>
      </c>
      <c r="N45" s="124"/>
      <c r="O45" s="241" t="s">
        <v>31</v>
      </c>
      <c r="P45" s="242">
        <v>13734</v>
      </c>
      <c r="Q45" s="290">
        <v>42646</v>
      </c>
    </row>
    <row r="46" spans="1:27" x14ac:dyDescent="0.25">
      <c r="B46" s="96">
        <v>42669</v>
      </c>
      <c r="C46" s="328" t="s">
        <v>694</v>
      </c>
      <c r="D46" s="332">
        <v>29088</v>
      </c>
      <c r="E46" s="95">
        <v>42679</v>
      </c>
      <c r="F46" s="332">
        <v>29088</v>
      </c>
      <c r="G46" s="384">
        <f t="shared" si="1"/>
        <v>0</v>
      </c>
      <c r="H46"/>
      <c r="K46" s="33">
        <v>2613.1999999999998</v>
      </c>
      <c r="L46" s="93" t="s">
        <v>622</v>
      </c>
      <c r="M46" s="235">
        <v>2613.1999999999998</v>
      </c>
      <c r="N46" s="124"/>
      <c r="O46" s="241">
        <v>3680944</v>
      </c>
      <c r="P46" s="242">
        <v>62770</v>
      </c>
      <c r="Q46" s="290">
        <v>42647</v>
      </c>
    </row>
    <row r="47" spans="1:27" x14ac:dyDescent="0.25">
      <c r="B47" s="96">
        <v>42669</v>
      </c>
      <c r="C47" s="328" t="s">
        <v>695</v>
      </c>
      <c r="D47" s="394">
        <v>26764.799999999999</v>
      </c>
      <c r="E47" s="95">
        <v>42679</v>
      </c>
      <c r="F47" s="394">
        <v>26764.799999999999</v>
      </c>
      <c r="G47" s="384">
        <f t="shared" si="1"/>
        <v>0</v>
      </c>
      <c r="H47"/>
      <c r="K47" s="33">
        <v>9507.2000000000007</v>
      </c>
      <c r="L47" s="93" t="s">
        <v>623</v>
      </c>
      <c r="M47" s="132">
        <v>9507.2000000000007</v>
      </c>
      <c r="N47" s="124"/>
      <c r="O47" s="241">
        <v>3680946</v>
      </c>
      <c r="P47" s="242">
        <v>1490.5</v>
      </c>
      <c r="Q47" s="290">
        <v>42647</v>
      </c>
    </row>
    <row r="48" spans="1:27" x14ac:dyDescent="0.25">
      <c r="B48" s="96">
        <v>42669</v>
      </c>
      <c r="C48" s="391" t="s">
        <v>696</v>
      </c>
      <c r="D48" s="394">
        <v>10312.4</v>
      </c>
      <c r="E48" s="95">
        <v>42679</v>
      </c>
      <c r="F48" s="394">
        <v>10312.4</v>
      </c>
      <c r="G48" s="384">
        <f t="shared" si="1"/>
        <v>0</v>
      </c>
      <c r="H48"/>
      <c r="K48" s="33">
        <f>23759.72+6435.45</f>
        <v>30195.170000000002</v>
      </c>
      <c r="L48" s="93" t="s">
        <v>624</v>
      </c>
      <c r="M48" s="132">
        <v>30195.200000000001</v>
      </c>
      <c r="N48" s="124"/>
      <c r="O48" s="241" t="s">
        <v>31</v>
      </c>
      <c r="P48" s="242">
        <v>18282</v>
      </c>
      <c r="Q48" s="290">
        <v>42649</v>
      </c>
    </row>
    <row r="49" spans="2:17" x14ac:dyDescent="0.25">
      <c r="B49" s="96">
        <v>42670</v>
      </c>
      <c r="C49" s="391" t="s">
        <v>697</v>
      </c>
      <c r="D49" s="394">
        <v>29174.400000000001</v>
      </c>
      <c r="E49" s="95">
        <v>42679</v>
      </c>
      <c r="F49" s="394">
        <v>29174.400000000001</v>
      </c>
      <c r="G49" s="384">
        <f t="shared" si="1"/>
        <v>0</v>
      </c>
      <c r="H49"/>
      <c r="K49" s="33">
        <v>29539.200000000001</v>
      </c>
      <c r="L49" s="93" t="s">
        <v>625</v>
      </c>
      <c r="M49" s="132">
        <v>29539.200000000001</v>
      </c>
      <c r="N49" s="128"/>
      <c r="O49" s="241">
        <v>3680947</v>
      </c>
      <c r="P49" s="292">
        <v>4276</v>
      </c>
      <c r="Q49" s="290">
        <v>42648</v>
      </c>
    </row>
    <row r="50" spans="2:17" x14ac:dyDescent="0.25">
      <c r="B50" s="96">
        <v>42670</v>
      </c>
      <c r="C50" s="391" t="s">
        <v>698</v>
      </c>
      <c r="D50" s="394">
        <v>37174.400000000001</v>
      </c>
      <c r="E50" s="95">
        <v>42679</v>
      </c>
      <c r="F50" s="394">
        <v>37174.400000000001</v>
      </c>
      <c r="G50" s="384">
        <f t="shared" si="1"/>
        <v>0</v>
      </c>
      <c r="H50"/>
      <c r="K50" s="33">
        <v>15993.6</v>
      </c>
      <c r="L50" s="93" t="s">
        <v>626</v>
      </c>
      <c r="M50" s="132">
        <v>15993.6</v>
      </c>
      <c r="N50" s="129"/>
      <c r="O50" s="241" t="s">
        <v>31</v>
      </c>
      <c r="P50" s="292">
        <v>16076</v>
      </c>
      <c r="Q50" s="290">
        <v>42646</v>
      </c>
    </row>
    <row r="51" spans="2:17" x14ac:dyDescent="0.25">
      <c r="B51" s="96">
        <v>42670</v>
      </c>
      <c r="C51" s="391" t="s">
        <v>699</v>
      </c>
      <c r="D51" s="394">
        <v>30243.84</v>
      </c>
      <c r="E51" s="95">
        <v>42679</v>
      </c>
      <c r="F51" s="394">
        <v>30243.84</v>
      </c>
      <c r="G51" s="384">
        <f t="shared" si="1"/>
        <v>0</v>
      </c>
      <c r="H51"/>
      <c r="K51" s="33">
        <v>2472</v>
      </c>
      <c r="L51" s="93" t="s">
        <v>627</v>
      </c>
      <c r="M51" s="132">
        <v>2472</v>
      </c>
      <c r="N51" s="124"/>
      <c r="O51" s="241" t="s">
        <v>31</v>
      </c>
      <c r="P51" s="292">
        <v>21531</v>
      </c>
      <c r="Q51" s="290">
        <v>42649</v>
      </c>
    </row>
    <row r="52" spans="2:17" x14ac:dyDescent="0.25">
      <c r="B52" s="96">
        <v>42671</v>
      </c>
      <c r="C52" s="391" t="s">
        <v>700</v>
      </c>
      <c r="D52" s="394">
        <v>30839.040000000001</v>
      </c>
      <c r="E52" s="95">
        <v>42679</v>
      </c>
      <c r="F52" s="394">
        <v>30839.040000000001</v>
      </c>
      <c r="G52" s="384">
        <f t="shared" si="1"/>
        <v>0</v>
      </c>
      <c r="H52"/>
      <c r="K52" s="33">
        <f>228.22+30170.78</f>
        <v>30399</v>
      </c>
      <c r="L52" s="93" t="s">
        <v>628</v>
      </c>
      <c r="M52" s="132">
        <v>30399</v>
      </c>
      <c r="N52" s="124"/>
      <c r="O52" s="241">
        <v>3680949</v>
      </c>
      <c r="P52" s="292">
        <v>30000</v>
      </c>
      <c r="Q52" s="290">
        <v>42649</v>
      </c>
    </row>
    <row r="53" spans="2:17" x14ac:dyDescent="0.25">
      <c r="B53" s="96">
        <v>42671</v>
      </c>
      <c r="C53" s="391" t="s">
        <v>701</v>
      </c>
      <c r="D53" s="394">
        <v>57440.4</v>
      </c>
      <c r="E53" s="95" t="s">
        <v>741</v>
      </c>
      <c r="F53" s="292">
        <f>35164.82+22275.58</f>
        <v>57440.4</v>
      </c>
      <c r="G53" s="384">
        <f t="shared" si="1"/>
        <v>0</v>
      </c>
      <c r="H53"/>
      <c r="K53" s="33">
        <v>28107.72</v>
      </c>
      <c r="L53" s="93" t="s">
        <v>629</v>
      </c>
      <c r="M53" s="132">
        <v>28090.44</v>
      </c>
      <c r="N53" s="124" t="s">
        <v>88</v>
      </c>
      <c r="O53" s="241">
        <v>3680948</v>
      </c>
      <c r="P53" s="292">
        <v>24668.5</v>
      </c>
      <c r="Q53" s="290">
        <v>42649</v>
      </c>
    </row>
    <row r="54" spans="2:17" x14ac:dyDescent="0.25">
      <c r="B54" s="330">
        <v>42672</v>
      </c>
      <c r="C54" s="391" t="s">
        <v>702</v>
      </c>
      <c r="D54" s="394">
        <v>48843.199999999997</v>
      </c>
      <c r="E54" s="95">
        <v>42689</v>
      </c>
      <c r="F54" s="332">
        <v>48843.199999999997</v>
      </c>
      <c r="G54" s="384">
        <f t="shared" si="1"/>
        <v>0</v>
      </c>
      <c r="H54"/>
      <c r="K54" s="33"/>
      <c r="L54" s="93"/>
      <c r="M54" s="132"/>
      <c r="N54" s="124"/>
      <c r="O54" s="241">
        <v>3680950</v>
      </c>
      <c r="P54" s="292">
        <v>27500</v>
      </c>
      <c r="Q54" s="290">
        <v>42650</v>
      </c>
    </row>
    <row r="55" spans="2:17" x14ac:dyDescent="0.25">
      <c r="B55" s="330">
        <v>42672</v>
      </c>
      <c r="C55" s="328" t="s">
        <v>703</v>
      </c>
      <c r="D55" s="394">
        <v>105960.3</v>
      </c>
      <c r="E55" s="95">
        <v>42689</v>
      </c>
      <c r="F55" s="292">
        <v>105960.3</v>
      </c>
      <c r="G55" s="292">
        <f t="shared" si="1"/>
        <v>0</v>
      </c>
      <c r="H55"/>
      <c r="K55" s="33"/>
      <c r="L55" s="93"/>
      <c r="M55" s="132"/>
      <c r="N55" s="124"/>
      <c r="O55" s="241">
        <v>3680951</v>
      </c>
      <c r="P55" s="292">
        <v>22805.5</v>
      </c>
      <c r="Q55" s="290">
        <v>42650</v>
      </c>
    </row>
    <row r="56" spans="2:17" x14ac:dyDescent="0.25">
      <c r="B56" s="330">
        <v>42673</v>
      </c>
      <c r="C56" s="328" t="s">
        <v>704</v>
      </c>
      <c r="D56" s="394">
        <v>60301.56</v>
      </c>
      <c r="E56" s="95">
        <v>42689</v>
      </c>
      <c r="F56" s="292">
        <v>60301.56</v>
      </c>
      <c r="G56" s="292">
        <f t="shared" si="1"/>
        <v>0</v>
      </c>
      <c r="H56"/>
      <c r="K56" s="33"/>
      <c r="L56" s="353"/>
      <c r="M56" s="292"/>
      <c r="N56" s="124"/>
      <c r="O56" s="241" t="s">
        <v>31</v>
      </c>
      <c r="P56" s="292">
        <v>5446</v>
      </c>
      <c r="Q56" s="290">
        <v>42650</v>
      </c>
    </row>
    <row r="57" spans="2:17" x14ac:dyDescent="0.25">
      <c r="B57" s="330">
        <v>42674</v>
      </c>
      <c r="C57" s="328" t="s">
        <v>705</v>
      </c>
      <c r="D57" s="394">
        <v>20381.2</v>
      </c>
      <c r="E57" s="95">
        <v>42689</v>
      </c>
      <c r="F57" s="292">
        <v>20381.2</v>
      </c>
      <c r="G57" s="292">
        <f t="shared" si="1"/>
        <v>0</v>
      </c>
      <c r="H57"/>
      <c r="K57" s="33"/>
      <c r="L57" s="93"/>
      <c r="M57" s="132"/>
      <c r="N57" s="124"/>
      <c r="O57" s="241" t="s">
        <v>31</v>
      </c>
      <c r="P57" s="292">
        <v>2527</v>
      </c>
      <c r="Q57" s="290">
        <v>42653</v>
      </c>
    </row>
    <row r="58" spans="2:17" ht="16.5" thickBot="1" x14ac:dyDescent="0.3">
      <c r="B58" s="330"/>
      <c r="C58" s="392"/>
      <c r="D58" s="394"/>
      <c r="E58" s="95"/>
      <c r="F58" s="292"/>
      <c r="G58" s="292"/>
      <c r="K58" s="3"/>
      <c r="L58" s="281"/>
      <c r="M58" s="282"/>
      <c r="N58" s="219"/>
      <c r="O58" s="377"/>
      <c r="P58" s="199">
        <v>0</v>
      </c>
      <c r="Q58" s="220"/>
    </row>
    <row r="59" spans="2:17" ht="16.5" thickTop="1" x14ac:dyDescent="0.25">
      <c r="B59" s="330"/>
      <c r="C59" s="393"/>
      <c r="D59" s="394"/>
      <c r="E59" s="95"/>
      <c r="F59" s="131"/>
      <c r="G59" s="292"/>
      <c r="K59" s="33">
        <f>SUM(K42:K58)</f>
        <v>352545.97</v>
      </c>
      <c r="L59" s="147"/>
      <c r="M59" s="236">
        <f>SUM(M42:M58)</f>
        <v>352546</v>
      </c>
      <c r="N59" s="210"/>
      <c r="O59" s="211"/>
      <c r="P59" s="200">
        <f>SUM(P42:P58)</f>
        <v>352546</v>
      </c>
      <c r="Q59" s="202"/>
    </row>
    <row r="60" spans="2:17" x14ac:dyDescent="0.25">
      <c r="B60" s="330"/>
      <c r="C60" s="393"/>
      <c r="D60" s="394"/>
      <c r="E60" s="95"/>
      <c r="F60" s="131"/>
      <c r="G60" s="292"/>
    </row>
    <row r="61" spans="2:17" thickBot="1" x14ac:dyDescent="0.3">
      <c r="B61"/>
      <c r="C61" s="104"/>
      <c r="D61" s="262"/>
      <c r="E61" s="104"/>
      <c r="F61" s="106"/>
      <c r="G61" s="107">
        <f>D61-F61</f>
        <v>0</v>
      </c>
    </row>
    <row r="62" spans="2:17" ht="16.5" thickTop="1" x14ac:dyDescent="0.25">
      <c r="B62"/>
      <c r="C62"/>
      <c r="D62" s="263">
        <f>SUM(D4:D61)</f>
        <v>1976011.2499999995</v>
      </c>
      <c r="E62" s="108"/>
      <c r="F62" s="109">
        <f>SUM(F4:F61)</f>
        <v>1976011.2499999995</v>
      </c>
      <c r="G62" s="109">
        <f>SUM(G16:G61)</f>
        <v>0</v>
      </c>
    </row>
    <row r="63" spans="2:17" ht="15" x14ac:dyDescent="0.25">
      <c r="C63" s="159"/>
      <c r="E63"/>
    </row>
    <row r="64" spans="2:17" ht="15" x14ac:dyDescent="0.25">
      <c r="C64" s="159"/>
      <c r="E64"/>
    </row>
    <row r="65" spans="3:10" customFormat="1" ht="15" x14ac:dyDescent="0.25">
      <c r="C65" s="159"/>
      <c r="D65" s="3"/>
    </row>
    <row r="66" spans="3:10" customFormat="1" ht="15" x14ac:dyDescent="0.25">
      <c r="C66" s="159"/>
      <c r="D66" s="3"/>
    </row>
    <row r="67" spans="3:10" customFormat="1" ht="15" x14ac:dyDescent="0.25">
      <c r="C67" s="159"/>
      <c r="D67" s="3"/>
    </row>
    <row r="68" spans="3:10" customFormat="1" ht="15" x14ac:dyDescent="0.25">
      <c r="C68" s="159"/>
      <c r="D68" s="3"/>
    </row>
    <row r="69" spans="3:10" customFormat="1" ht="15" x14ac:dyDescent="0.25">
      <c r="C69" s="379"/>
      <c r="D69" s="3"/>
    </row>
    <row r="70" spans="3:10" customFormat="1" ht="15" x14ac:dyDescent="0.25">
      <c r="C70" s="379"/>
      <c r="D70" s="3"/>
    </row>
    <row r="71" spans="3:10" customFormat="1" x14ac:dyDescent="0.25">
      <c r="C71" s="380"/>
      <c r="D71" s="3"/>
      <c r="E71" s="85"/>
    </row>
    <row r="72" spans="3:10" customFormat="1" x14ac:dyDescent="0.25">
      <c r="C72" s="381"/>
      <c r="D72" s="3"/>
      <c r="E72" s="85"/>
      <c r="J72" s="3"/>
    </row>
    <row r="73" spans="3:10" x14ac:dyDescent="0.25">
      <c r="J73" s="3"/>
    </row>
    <row r="74" spans="3:10" customFormat="1" ht="15" x14ac:dyDescent="0.25">
      <c r="C74" s="159">
        <v>42644</v>
      </c>
      <c r="D74" s="3">
        <v>613</v>
      </c>
      <c r="E74" t="s">
        <v>653</v>
      </c>
      <c r="J74" s="3"/>
    </row>
    <row r="75" spans="3:10" customFormat="1" ht="15" x14ac:dyDescent="0.25">
      <c r="C75" s="159">
        <v>42645</v>
      </c>
      <c r="D75" s="3">
        <v>255</v>
      </c>
      <c r="E75" t="s">
        <v>653</v>
      </c>
      <c r="J75" s="3"/>
    </row>
    <row r="76" spans="3:10" customFormat="1" ht="15" x14ac:dyDescent="0.25">
      <c r="C76" s="159">
        <v>42647</v>
      </c>
      <c r="D76" s="3">
        <v>3430</v>
      </c>
      <c r="E76" t="s">
        <v>656</v>
      </c>
      <c r="J76" s="3"/>
    </row>
    <row r="77" spans="3:10" customFormat="1" ht="15" x14ac:dyDescent="0.25">
      <c r="C77" s="159">
        <v>42648</v>
      </c>
      <c r="D77" s="3">
        <v>5720</v>
      </c>
      <c r="E77" t="s">
        <v>170</v>
      </c>
      <c r="J77" s="3"/>
    </row>
    <row r="78" spans="3:10" customFormat="1" ht="15" x14ac:dyDescent="0.25">
      <c r="C78" s="159">
        <v>42650</v>
      </c>
      <c r="D78" s="3">
        <v>14293</v>
      </c>
      <c r="E78" t="s">
        <v>660</v>
      </c>
      <c r="J78" s="3"/>
    </row>
    <row r="79" spans="3:10" customFormat="1" ht="15" x14ac:dyDescent="0.25">
      <c r="C79" s="159">
        <v>42651</v>
      </c>
      <c r="D79" s="3">
        <v>17625.8</v>
      </c>
      <c r="E79" t="s">
        <v>662</v>
      </c>
      <c r="J79" s="3"/>
    </row>
    <row r="80" spans="3:10" customFormat="1" ht="15" x14ac:dyDescent="0.25">
      <c r="C80" s="379">
        <v>42652</v>
      </c>
      <c r="D80" s="3">
        <v>291.2</v>
      </c>
      <c r="E80" t="s">
        <v>575</v>
      </c>
      <c r="J80" s="3"/>
    </row>
    <row r="81" spans="3:10" customFormat="1" ht="15" x14ac:dyDescent="0.25">
      <c r="C81" s="379">
        <v>42654</v>
      </c>
      <c r="D81" s="3">
        <v>2377</v>
      </c>
      <c r="E81" t="s">
        <v>171</v>
      </c>
      <c r="J81" s="3"/>
    </row>
    <row r="82" spans="3:10" customFormat="1" x14ac:dyDescent="0.25">
      <c r="C82" s="380">
        <v>42655</v>
      </c>
      <c r="D82" s="3">
        <v>8577</v>
      </c>
      <c r="E82" s="85" t="s">
        <v>171</v>
      </c>
      <c r="J82" s="3"/>
    </row>
    <row r="83" spans="3:10" customFormat="1" x14ac:dyDescent="0.25">
      <c r="C83" s="381">
        <v>42656</v>
      </c>
      <c r="D83" s="3">
        <v>910</v>
      </c>
      <c r="E83" s="85" t="s">
        <v>494</v>
      </c>
      <c r="J83" s="224"/>
    </row>
    <row r="84" spans="3:10" x14ac:dyDescent="0.25">
      <c r="C84" s="381">
        <v>42661</v>
      </c>
      <c r="D84" s="3">
        <v>1783</v>
      </c>
      <c r="E84" s="85" t="s">
        <v>709</v>
      </c>
    </row>
    <row r="85" spans="3:10" x14ac:dyDescent="0.25">
      <c r="C85" s="381">
        <v>42665</v>
      </c>
      <c r="D85" s="3">
        <v>2520</v>
      </c>
      <c r="E85" s="85" t="s">
        <v>170</v>
      </c>
    </row>
    <row r="86" spans="3:10" x14ac:dyDescent="0.25">
      <c r="C86" s="381">
        <v>42666</v>
      </c>
      <c r="D86" s="3">
        <v>2137</v>
      </c>
      <c r="E86" s="85" t="s">
        <v>716</v>
      </c>
    </row>
    <row r="87" spans="3:10" x14ac:dyDescent="0.25">
      <c r="C87" s="381">
        <v>42667</v>
      </c>
      <c r="D87" s="3">
        <v>9761</v>
      </c>
      <c r="E87" s="85" t="s">
        <v>719</v>
      </c>
    </row>
    <row r="88" spans="3:10" x14ac:dyDescent="0.25">
      <c r="C88" s="381">
        <v>42669</v>
      </c>
      <c r="D88" s="3">
        <v>63962</v>
      </c>
      <c r="E88" s="85" t="s">
        <v>722</v>
      </c>
    </row>
    <row r="89" spans="3:10" x14ac:dyDescent="0.25">
      <c r="C89" s="381">
        <v>42671</v>
      </c>
      <c r="D89" s="3">
        <v>445.5</v>
      </c>
      <c r="E89" s="85" t="s">
        <v>745</v>
      </c>
    </row>
    <row r="90" spans="3:10" x14ac:dyDescent="0.25">
      <c r="C90" s="381"/>
      <c r="D90" s="3">
        <v>0</v>
      </c>
    </row>
    <row r="91" spans="3:10" x14ac:dyDescent="0.25">
      <c r="C91" s="381"/>
      <c r="D91" s="3">
        <f>SUM(D74:D90)</f>
        <v>134700.5</v>
      </c>
    </row>
    <row r="92" spans="3:10" x14ac:dyDescent="0.25">
      <c r="C92" s="381"/>
    </row>
    <row r="93" spans="3:10" x14ac:dyDescent="0.25">
      <c r="C93" s="381"/>
    </row>
    <row r="94" spans="3:10" x14ac:dyDescent="0.25">
      <c r="C94" s="381"/>
    </row>
    <row r="95" spans="3:10" x14ac:dyDescent="0.25">
      <c r="C95" s="381"/>
    </row>
    <row r="96" spans="3:10" x14ac:dyDescent="0.25">
      <c r="C96" s="381"/>
    </row>
  </sheetData>
  <sortState ref="B34:D49">
    <sortCondition ref="C34:C49"/>
  </sortState>
  <mergeCells count="3">
    <mergeCell ref="L1:L2"/>
    <mergeCell ref="L39:L40"/>
    <mergeCell ref="V1:V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46"/>
  <sheetViews>
    <sheetView workbookViewId="0">
      <selection sqref="A1:XFD1048576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7" max="17" width="14" customWidth="1"/>
    <col min="20" max="20" width="14.140625" bestFit="1" customWidth="1"/>
    <col min="25" max="25" width="14.140625" bestFit="1" customWidth="1"/>
  </cols>
  <sheetData>
    <row r="1" spans="1:27" ht="24" thickBot="1" x14ac:dyDescent="0.4">
      <c r="B1" s="1"/>
      <c r="C1" s="408" t="s">
        <v>746</v>
      </c>
      <c r="D1" s="408"/>
      <c r="E1" s="408"/>
      <c r="F1" s="408"/>
      <c r="G1" s="408"/>
      <c r="H1" s="408"/>
      <c r="I1" s="408"/>
      <c r="J1" s="408"/>
      <c r="K1" s="300" t="s">
        <v>257</v>
      </c>
      <c r="L1" s="2"/>
      <c r="P1" s="1"/>
      <c r="Q1" s="408" t="s">
        <v>746</v>
      </c>
      <c r="R1" s="408"/>
      <c r="S1" s="408"/>
      <c r="T1" s="408"/>
      <c r="U1" s="408"/>
      <c r="V1" s="408"/>
      <c r="W1" s="408"/>
      <c r="X1" s="408"/>
      <c r="Y1" s="300" t="s">
        <v>256</v>
      </c>
      <c r="Z1" s="2"/>
      <c r="AA1" s="2"/>
    </row>
    <row r="2" spans="1:27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A2" s="2"/>
    </row>
    <row r="3" spans="1:27" ht="20.25" thickTop="1" thickBot="1" x14ac:dyDescent="0.35">
      <c r="A3" s="6" t="s">
        <v>1</v>
      </c>
      <c r="B3" s="7"/>
      <c r="C3" s="8">
        <v>0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O3" s="6" t="s">
        <v>1</v>
      </c>
      <c r="P3" s="7"/>
      <c r="Q3" s="8">
        <v>0</v>
      </c>
      <c r="R3" s="9"/>
      <c r="S3" s="409" t="s">
        <v>2</v>
      </c>
      <c r="T3" s="410"/>
      <c r="V3" s="1"/>
      <c r="W3" s="411" t="s">
        <v>3</v>
      </c>
      <c r="X3" s="412"/>
      <c r="Y3" s="413"/>
      <c r="Z3" s="10" t="s">
        <v>4</v>
      </c>
      <c r="AA3" s="10"/>
    </row>
    <row r="4" spans="1:27" ht="15.75" thickTop="1" x14ac:dyDescent="0.25">
      <c r="B4" s="11">
        <v>42675</v>
      </c>
      <c r="C4" s="12">
        <v>83981.5</v>
      </c>
      <c r="D4" s="40" t="s">
        <v>752</v>
      </c>
      <c r="E4" s="186">
        <v>42675</v>
      </c>
      <c r="F4" s="13">
        <v>84047.5</v>
      </c>
      <c r="G4" s="14"/>
      <c r="H4" s="187">
        <v>42675</v>
      </c>
      <c r="I4" s="345">
        <v>66</v>
      </c>
      <c r="J4" s="16" t="s">
        <v>5</v>
      </c>
      <c r="K4" s="320">
        <v>0</v>
      </c>
      <c r="L4" s="18">
        <v>0</v>
      </c>
      <c r="P4" s="11">
        <v>42675</v>
      </c>
      <c r="Q4" s="12">
        <v>83981.5</v>
      </c>
      <c r="R4" s="40" t="s">
        <v>752</v>
      </c>
      <c r="S4" s="186">
        <v>42675</v>
      </c>
      <c r="T4" s="13">
        <v>84047.5</v>
      </c>
      <c r="U4" s="14"/>
      <c r="V4" s="187">
        <v>42675</v>
      </c>
      <c r="W4" s="345">
        <v>66</v>
      </c>
      <c r="X4" s="16" t="s">
        <v>5</v>
      </c>
      <c r="Y4" s="320">
        <v>0</v>
      </c>
      <c r="Z4" s="18">
        <v>0</v>
      </c>
      <c r="AA4" s="18"/>
    </row>
    <row r="5" spans="1:27" ht="15" customHeight="1" x14ac:dyDescent="0.25">
      <c r="B5" s="11">
        <v>42676</v>
      </c>
      <c r="C5" s="12">
        <v>25681.5</v>
      </c>
      <c r="D5" s="19" t="s">
        <v>753</v>
      </c>
      <c r="E5" s="20">
        <v>42676</v>
      </c>
      <c r="F5" s="13">
        <v>25681.5</v>
      </c>
      <c r="G5" s="21"/>
      <c r="H5" s="22">
        <v>42676</v>
      </c>
      <c r="I5" s="18">
        <v>0</v>
      </c>
      <c r="J5" s="422" t="s">
        <v>6</v>
      </c>
      <c r="K5" s="318">
        <v>0</v>
      </c>
      <c r="L5" s="18">
        <v>0</v>
      </c>
      <c r="P5" s="11">
        <v>42676</v>
      </c>
      <c r="Q5" s="12">
        <v>25681.5</v>
      </c>
      <c r="R5" s="19" t="s">
        <v>753</v>
      </c>
      <c r="S5" s="20">
        <v>42676</v>
      </c>
      <c r="T5" s="13">
        <v>25681.5</v>
      </c>
      <c r="U5" s="21"/>
      <c r="V5" s="22">
        <v>42676</v>
      </c>
      <c r="W5" s="18">
        <v>0</v>
      </c>
      <c r="X5" s="422" t="s">
        <v>6</v>
      </c>
      <c r="Y5" s="318">
        <v>0</v>
      </c>
      <c r="Z5" s="18">
        <v>0</v>
      </c>
      <c r="AA5" s="18"/>
    </row>
    <row r="6" spans="1:27" ht="15" customHeight="1" x14ac:dyDescent="0.25">
      <c r="B6" s="11">
        <v>42677</v>
      </c>
      <c r="C6" s="12">
        <v>46371.5</v>
      </c>
      <c r="D6" s="19" t="s">
        <v>754</v>
      </c>
      <c r="E6" s="20">
        <v>42677</v>
      </c>
      <c r="F6" s="13">
        <v>46371.5</v>
      </c>
      <c r="G6" s="14"/>
      <c r="H6" s="22">
        <v>42677</v>
      </c>
      <c r="I6" s="18">
        <v>0</v>
      </c>
      <c r="J6" s="423"/>
      <c r="K6" s="332">
        <v>10000</v>
      </c>
      <c r="L6" s="18">
        <v>0</v>
      </c>
      <c r="P6" s="11">
        <v>42677</v>
      </c>
      <c r="Q6" s="12">
        <v>46371.5</v>
      </c>
      <c r="R6" s="19" t="s">
        <v>754</v>
      </c>
      <c r="S6" s="20">
        <v>42677</v>
      </c>
      <c r="T6" s="13">
        <v>46371.5</v>
      </c>
      <c r="U6" s="14"/>
      <c r="V6" s="22">
        <v>42677</v>
      </c>
      <c r="W6" s="18">
        <v>0</v>
      </c>
      <c r="X6" s="423"/>
      <c r="Y6" s="332">
        <v>10000</v>
      </c>
      <c r="Z6" s="18">
        <v>0</v>
      </c>
      <c r="AA6" s="18"/>
    </row>
    <row r="7" spans="1:27" x14ac:dyDescent="0.25">
      <c r="B7" s="11">
        <v>42678</v>
      </c>
      <c r="C7" s="12">
        <v>79001.5</v>
      </c>
      <c r="D7" s="19" t="s">
        <v>755</v>
      </c>
      <c r="E7" s="20">
        <v>42678</v>
      </c>
      <c r="F7" s="13">
        <v>49434.5</v>
      </c>
      <c r="G7" s="14"/>
      <c r="H7" s="22">
        <v>42678</v>
      </c>
      <c r="I7" s="345">
        <v>0</v>
      </c>
      <c r="J7" s="23" t="s">
        <v>7</v>
      </c>
      <c r="K7" s="318">
        <v>0</v>
      </c>
      <c r="L7" s="18">
        <v>0</v>
      </c>
      <c r="P7" s="11">
        <v>42678</v>
      </c>
      <c r="Q7" s="12">
        <v>79001.5</v>
      </c>
      <c r="R7" s="19" t="s">
        <v>755</v>
      </c>
      <c r="S7" s="20">
        <v>42678</v>
      </c>
      <c r="T7" s="13">
        <v>49434.5</v>
      </c>
      <c r="U7" s="14"/>
      <c r="V7" s="22">
        <v>42678</v>
      </c>
      <c r="W7" s="345">
        <v>0</v>
      </c>
      <c r="X7" s="23" t="s">
        <v>7</v>
      </c>
      <c r="Y7" s="318">
        <v>0</v>
      </c>
      <c r="Z7" s="18">
        <v>0</v>
      </c>
      <c r="AA7" s="18"/>
    </row>
    <row r="8" spans="1:27" x14ac:dyDescent="0.25">
      <c r="B8" s="11">
        <v>42679</v>
      </c>
      <c r="C8" s="12">
        <v>76834</v>
      </c>
      <c r="D8" s="19" t="s">
        <v>756</v>
      </c>
      <c r="E8" s="20">
        <v>42679</v>
      </c>
      <c r="F8" s="13">
        <v>76834</v>
      </c>
      <c r="G8" s="14" t="s">
        <v>72</v>
      </c>
      <c r="H8" s="22">
        <v>42679</v>
      </c>
      <c r="I8" s="345">
        <v>0</v>
      </c>
      <c r="J8" s="23" t="s">
        <v>747</v>
      </c>
      <c r="K8" s="347">
        <v>7405.56</v>
      </c>
      <c r="L8" s="18">
        <v>0</v>
      </c>
      <c r="P8" s="11">
        <v>42679</v>
      </c>
      <c r="Q8" s="12">
        <v>76834</v>
      </c>
      <c r="R8" s="19" t="s">
        <v>756</v>
      </c>
      <c r="S8" s="20">
        <v>42679</v>
      </c>
      <c r="T8" s="13">
        <v>76834</v>
      </c>
      <c r="U8" s="14" t="s">
        <v>72</v>
      </c>
      <c r="V8" s="22">
        <v>42679</v>
      </c>
      <c r="W8" s="345">
        <v>0</v>
      </c>
      <c r="X8" s="23" t="s">
        <v>747</v>
      </c>
      <c r="Y8" s="347">
        <v>7405.56</v>
      </c>
      <c r="Z8" s="18">
        <v>0</v>
      </c>
      <c r="AA8" s="18"/>
    </row>
    <row r="9" spans="1:27" x14ac:dyDescent="0.25">
      <c r="B9" s="11">
        <v>42680</v>
      </c>
      <c r="C9" s="12">
        <v>76107.5</v>
      </c>
      <c r="D9" s="19" t="s">
        <v>757</v>
      </c>
      <c r="E9" s="20">
        <v>42680</v>
      </c>
      <c r="F9" s="13">
        <v>45515</v>
      </c>
      <c r="G9" s="14"/>
      <c r="H9" s="22">
        <v>42680</v>
      </c>
      <c r="I9" s="345">
        <v>100</v>
      </c>
      <c r="J9" s="23" t="s">
        <v>748</v>
      </c>
      <c r="K9" s="383">
        <v>0</v>
      </c>
      <c r="L9" s="18">
        <v>0</v>
      </c>
      <c r="P9" s="11">
        <v>42680</v>
      </c>
      <c r="Q9" s="12">
        <v>76107.5</v>
      </c>
      <c r="R9" s="19" t="s">
        <v>757</v>
      </c>
      <c r="S9" s="20">
        <v>42680</v>
      </c>
      <c r="T9" s="13">
        <v>45515</v>
      </c>
      <c r="U9" s="14"/>
      <c r="V9" s="22">
        <v>42680</v>
      </c>
      <c r="W9" s="345">
        <v>100</v>
      </c>
      <c r="X9" s="23" t="s">
        <v>748</v>
      </c>
      <c r="Y9" s="383">
        <v>0</v>
      </c>
      <c r="Z9" s="18">
        <v>0</v>
      </c>
      <c r="AA9" s="18"/>
    </row>
    <row r="10" spans="1:27" x14ac:dyDescent="0.25">
      <c r="A10" s="27"/>
      <c r="B10" s="11">
        <v>42681</v>
      </c>
      <c r="C10" s="12">
        <v>102676.5</v>
      </c>
      <c r="D10" s="26" t="s">
        <v>758</v>
      </c>
      <c r="E10" s="20">
        <v>42681</v>
      </c>
      <c r="F10" s="13">
        <v>102676.5</v>
      </c>
      <c r="G10" s="14"/>
      <c r="H10" s="22">
        <v>42681</v>
      </c>
      <c r="I10" s="345">
        <v>0</v>
      </c>
      <c r="J10" s="23" t="s">
        <v>749</v>
      </c>
      <c r="K10" s="347">
        <v>0</v>
      </c>
      <c r="L10" s="18">
        <v>0</v>
      </c>
      <c r="O10" s="27"/>
      <c r="P10" s="11">
        <v>42681</v>
      </c>
      <c r="Q10" s="12">
        <v>102676.5</v>
      </c>
      <c r="R10" s="26" t="s">
        <v>758</v>
      </c>
      <c r="S10" s="20">
        <v>42681</v>
      </c>
      <c r="T10" s="13">
        <v>102676.5</v>
      </c>
      <c r="U10" s="14"/>
      <c r="V10" s="22">
        <v>42681</v>
      </c>
      <c r="W10" s="345">
        <v>0</v>
      </c>
      <c r="X10" s="23" t="s">
        <v>749</v>
      </c>
      <c r="Y10" s="347">
        <v>0</v>
      </c>
      <c r="Z10" s="18">
        <v>0</v>
      </c>
      <c r="AA10" s="18"/>
    </row>
    <row r="11" spans="1:27" x14ac:dyDescent="0.25">
      <c r="B11" s="11">
        <v>42682</v>
      </c>
      <c r="C11" s="12">
        <v>69286</v>
      </c>
      <c r="D11" s="26" t="s">
        <v>759</v>
      </c>
      <c r="E11" s="20">
        <v>42682</v>
      </c>
      <c r="F11" s="13">
        <v>69286</v>
      </c>
      <c r="G11" s="14"/>
      <c r="H11" s="22">
        <v>42682</v>
      </c>
      <c r="I11" s="345">
        <v>0</v>
      </c>
      <c r="J11" s="23" t="s">
        <v>750</v>
      </c>
      <c r="K11" s="347">
        <v>0</v>
      </c>
      <c r="L11" s="18">
        <v>0</v>
      </c>
      <c r="P11" s="11">
        <v>42682</v>
      </c>
      <c r="Q11" s="12">
        <v>69286</v>
      </c>
      <c r="R11" s="26" t="s">
        <v>759</v>
      </c>
      <c r="S11" s="20">
        <v>42682</v>
      </c>
      <c r="T11" s="230">
        <v>69286</v>
      </c>
      <c r="U11" s="14"/>
      <c r="V11" s="22">
        <v>42682</v>
      </c>
      <c r="W11" s="373">
        <v>0</v>
      </c>
      <c r="X11" s="23" t="s">
        <v>750</v>
      </c>
      <c r="Y11" s="347">
        <v>0</v>
      </c>
      <c r="Z11" s="18">
        <v>0</v>
      </c>
      <c r="AA11" s="18"/>
    </row>
    <row r="12" spans="1:27" x14ac:dyDescent="0.25">
      <c r="A12" s="28"/>
      <c r="B12" s="11">
        <v>42683</v>
      </c>
      <c r="C12" s="12">
        <v>57976</v>
      </c>
      <c r="D12" s="19" t="s">
        <v>761</v>
      </c>
      <c r="E12" s="20">
        <v>42683</v>
      </c>
      <c r="F12" s="13">
        <v>56201</v>
      </c>
      <c r="G12" s="14"/>
      <c r="H12" s="22">
        <v>42683</v>
      </c>
      <c r="I12" s="345">
        <v>0</v>
      </c>
      <c r="J12" s="23" t="s">
        <v>117</v>
      </c>
      <c r="K12" s="347">
        <v>0</v>
      </c>
      <c r="L12" s="18">
        <v>0</v>
      </c>
      <c r="O12" s="28"/>
      <c r="P12" s="11">
        <v>42683</v>
      </c>
      <c r="Q12" s="12"/>
      <c r="R12" s="19"/>
      <c r="S12" s="20">
        <v>42683</v>
      </c>
      <c r="T12" s="13"/>
      <c r="U12" s="14"/>
      <c r="V12" s="22">
        <v>42683</v>
      </c>
      <c r="W12" s="345"/>
      <c r="X12" s="23" t="s">
        <v>117</v>
      </c>
      <c r="Y12" s="347">
        <v>0</v>
      </c>
      <c r="Z12" s="18">
        <v>0</v>
      </c>
      <c r="AA12" s="18"/>
    </row>
    <row r="13" spans="1:27" x14ac:dyDescent="0.25">
      <c r="A13" s="28"/>
      <c r="B13" s="11">
        <v>42684</v>
      </c>
      <c r="C13" s="12">
        <v>36970.5</v>
      </c>
      <c r="D13" s="40" t="s">
        <v>762</v>
      </c>
      <c r="E13" s="20">
        <v>42684</v>
      </c>
      <c r="F13" s="13">
        <v>36970</v>
      </c>
      <c r="G13" s="14"/>
      <c r="H13" s="22">
        <v>42684</v>
      </c>
      <c r="I13" s="345">
        <v>0</v>
      </c>
      <c r="J13" s="30" t="s">
        <v>375</v>
      </c>
      <c r="K13" s="347">
        <v>0</v>
      </c>
      <c r="L13" s="18">
        <v>0</v>
      </c>
      <c r="O13" s="28"/>
      <c r="P13" s="11">
        <v>42684</v>
      </c>
      <c r="Q13" s="12"/>
      <c r="R13" s="40"/>
      <c r="S13" s="20">
        <v>42684</v>
      </c>
      <c r="T13" s="13"/>
      <c r="U13" s="14"/>
      <c r="V13" s="22">
        <v>42684</v>
      </c>
      <c r="W13" s="345"/>
      <c r="X13" s="30" t="s">
        <v>375</v>
      </c>
      <c r="Y13" s="347">
        <v>0</v>
      </c>
      <c r="Z13" s="18">
        <v>0</v>
      </c>
      <c r="AA13" s="18"/>
    </row>
    <row r="14" spans="1:27" x14ac:dyDescent="0.25">
      <c r="B14" s="11">
        <v>42685</v>
      </c>
      <c r="C14" s="12">
        <v>33466.5</v>
      </c>
      <c r="D14" s="19" t="s">
        <v>763</v>
      </c>
      <c r="E14" s="20">
        <v>42685</v>
      </c>
      <c r="F14" s="13">
        <v>33532.5</v>
      </c>
      <c r="G14" s="14"/>
      <c r="H14" s="22">
        <v>42685</v>
      </c>
      <c r="I14" s="345">
        <v>66</v>
      </c>
      <c r="J14" s="31"/>
      <c r="K14" s="347">
        <v>0</v>
      </c>
      <c r="L14" s="18">
        <v>0</v>
      </c>
      <c r="P14" s="11">
        <v>42685</v>
      </c>
      <c r="Q14" s="12"/>
      <c r="R14" s="19"/>
      <c r="S14" s="20">
        <v>42685</v>
      </c>
      <c r="T14" s="13"/>
      <c r="U14" s="14"/>
      <c r="V14" s="22">
        <v>42685</v>
      </c>
      <c r="W14" s="345"/>
      <c r="X14" s="31"/>
      <c r="Y14" s="347">
        <v>0</v>
      </c>
      <c r="Z14" s="18">
        <v>0</v>
      </c>
      <c r="AA14" s="18"/>
    </row>
    <row r="15" spans="1:27" x14ac:dyDescent="0.25">
      <c r="A15" s="28"/>
      <c r="B15" s="11">
        <v>42686</v>
      </c>
      <c r="C15" s="12">
        <v>58274.5</v>
      </c>
      <c r="D15" s="19" t="s">
        <v>764</v>
      </c>
      <c r="E15" s="20">
        <v>42686</v>
      </c>
      <c r="F15" s="13">
        <v>58274.5</v>
      </c>
      <c r="G15" s="14"/>
      <c r="H15" s="22">
        <v>42686</v>
      </c>
      <c r="I15" s="345">
        <v>0</v>
      </c>
      <c r="J15" s="23" t="s">
        <v>225</v>
      </c>
      <c r="K15" s="347">
        <v>0</v>
      </c>
      <c r="L15" s="18">
        <v>0</v>
      </c>
      <c r="O15" s="28"/>
      <c r="P15" s="11">
        <v>42686</v>
      </c>
      <c r="Q15" s="12"/>
      <c r="R15" s="19"/>
      <c r="S15" s="20">
        <v>42686</v>
      </c>
      <c r="T15" s="13"/>
      <c r="U15" s="14"/>
      <c r="V15" s="22">
        <v>42686</v>
      </c>
      <c r="W15" s="345"/>
      <c r="X15" s="23" t="s">
        <v>225</v>
      </c>
      <c r="Y15" s="347">
        <v>0</v>
      </c>
      <c r="Z15" s="18">
        <v>0</v>
      </c>
      <c r="AA15" s="18"/>
    </row>
    <row r="16" spans="1:27" x14ac:dyDescent="0.25">
      <c r="A16" s="28"/>
      <c r="B16" s="11">
        <v>42687</v>
      </c>
      <c r="C16" s="12"/>
      <c r="D16" s="19"/>
      <c r="E16" s="20">
        <v>42687</v>
      </c>
      <c r="F16" s="13"/>
      <c r="G16" s="14"/>
      <c r="H16" s="22">
        <v>42687</v>
      </c>
      <c r="I16" s="345"/>
      <c r="J16" s="34"/>
      <c r="K16" s="347">
        <v>0</v>
      </c>
      <c r="L16" s="18">
        <v>0</v>
      </c>
      <c r="O16" s="28"/>
      <c r="P16" s="11">
        <v>42687</v>
      </c>
      <c r="Q16" s="12"/>
      <c r="R16" s="19"/>
      <c r="S16" s="20">
        <v>42687</v>
      </c>
      <c r="T16" s="13"/>
      <c r="U16" s="14"/>
      <c r="V16" s="22">
        <v>42687</v>
      </c>
      <c r="W16" s="345"/>
      <c r="X16" s="34"/>
      <c r="Y16" s="347">
        <v>0</v>
      </c>
      <c r="Z16" s="18">
        <v>0</v>
      </c>
      <c r="AA16" s="18"/>
    </row>
    <row r="17" spans="1:27" x14ac:dyDescent="0.25">
      <c r="A17" s="28"/>
      <c r="B17" s="11">
        <v>42688</v>
      </c>
      <c r="C17" s="12"/>
      <c r="D17" s="19"/>
      <c r="E17" s="20">
        <v>42688</v>
      </c>
      <c r="F17" s="13"/>
      <c r="G17" s="14"/>
      <c r="H17" s="22">
        <v>42688</v>
      </c>
      <c r="I17" s="345"/>
      <c r="J17" s="35" t="s">
        <v>374</v>
      </c>
      <c r="K17" s="347">
        <v>754</v>
      </c>
      <c r="L17" s="18">
        <v>0</v>
      </c>
      <c r="O17" s="28"/>
      <c r="P17" s="11">
        <v>42688</v>
      </c>
      <c r="Q17" s="12"/>
      <c r="R17" s="19"/>
      <c r="S17" s="20">
        <v>42688</v>
      </c>
      <c r="T17" s="13"/>
      <c r="U17" s="14"/>
      <c r="V17" s="22">
        <v>42688</v>
      </c>
      <c r="W17" s="345"/>
      <c r="X17" s="35" t="s">
        <v>374</v>
      </c>
      <c r="Y17" s="347">
        <v>754</v>
      </c>
      <c r="Z17" s="18">
        <v>0</v>
      </c>
      <c r="AA17" s="18"/>
    </row>
    <row r="18" spans="1:27" x14ac:dyDescent="0.25">
      <c r="B18" s="11">
        <v>42689</v>
      </c>
      <c r="C18" s="12"/>
      <c r="D18" s="19"/>
      <c r="E18" s="20">
        <v>42689</v>
      </c>
      <c r="F18" s="230"/>
      <c r="G18" s="14"/>
      <c r="H18" s="22">
        <v>42689</v>
      </c>
      <c r="I18" s="373"/>
      <c r="J18" s="36">
        <v>42678</v>
      </c>
      <c r="K18" s="318">
        <v>0</v>
      </c>
      <c r="L18" s="18">
        <v>0</v>
      </c>
      <c r="P18" s="11">
        <v>42689</v>
      </c>
      <c r="Q18" s="12"/>
      <c r="R18" s="19"/>
      <c r="S18" s="20">
        <v>42689</v>
      </c>
      <c r="T18" s="13"/>
      <c r="U18" s="14"/>
      <c r="V18" s="22">
        <v>42689</v>
      </c>
      <c r="W18" s="345"/>
      <c r="X18" s="36">
        <v>42678</v>
      </c>
      <c r="Y18" s="318">
        <v>0</v>
      </c>
      <c r="Z18" s="18">
        <v>0</v>
      </c>
      <c r="AA18" s="18"/>
    </row>
    <row r="19" spans="1:27" x14ac:dyDescent="0.25">
      <c r="A19" s="28"/>
      <c r="B19" s="11">
        <v>42690</v>
      </c>
      <c r="C19" s="12"/>
      <c r="D19" s="19"/>
      <c r="E19" s="20">
        <v>42690</v>
      </c>
      <c r="F19" s="13"/>
      <c r="G19" s="14"/>
      <c r="H19" s="22">
        <v>42690</v>
      </c>
      <c r="I19" s="345"/>
      <c r="J19" s="344"/>
      <c r="K19" s="347">
        <v>0</v>
      </c>
      <c r="L19" s="18">
        <v>19967</v>
      </c>
      <c r="O19" s="28"/>
      <c r="P19" s="11">
        <v>42690</v>
      </c>
      <c r="Q19" s="12"/>
      <c r="R19" s="19"/>
      <c r="S19" s="20">
        <v>42690</v>
      </c>
      <c r="T19" s="13"/>
      <c r="U19" s="14"/>
      <c r="V19" s="22">
        <v>42690</v>
      </c>
      <c r="W19" s="345"/>
      <c r="X19" s="344"/>
      <c r="Y19" s="347">
        <v>0</v>
      </c>
      <c r="Z19" s="18">
        <v>19967</v>
      </c>
      <c r="AA19" s="18"/>
    </row>
    <row r="20" spans="1:27" x14ac:dyDescent="0.25">
      <c r="B20" s="11">
        <v>42691</v>
      </c>
      <c r="C20" s="12"/>
      <c r="D20" s="19"/>
      <c r="E20" s="20">
        <v>42691</v>
      </c>
      <c r="F20" s="13"/>
      <c r="G20" s="14"/>
      <c r="H20" s="22">
        <v>42691</v>
      </c>
      <c r="I20" s="18"/>
      <c r="J20" s="343"/>
      <c r="K20" s="292">
        <v>0</v>
      </c>
      <c r="L20" s="18">
        <v>0</v>
      </c>
      <c r="P20" s="11">
        <v>42691</v>
      </c>
      <c r="Q20" s="12"/>
      <c r="R20" s="19"/>
      <c r="S20" s="20">
        <v>42691</v>
      </c>
      <c r="T20" s="13"/>
      <c r="U20" s="14"/>
      <c r="V20" s="22">
        <v>42691</v>
      </c>
      <c r="W20" s="18"/>
      <c r="X20" s="343"/>
      <c r="Y20" s="292">
        <v>0</v>
      </c>
      <c r="Z20" s="18">
        <v>0</v>
      </c>
      <c r="AA20" s="18"/>
    </row>
    <row r="21" spans="1:27" x14ac:dyDescent="0.25">
      <c r="B21" s="11">
        <v>42692</v>
      </c>
      <c r="C21" s="12"/>
      <c r="D21" s="40"/>
      <c r="E21" s="20">
        <v>42692</v>
      </c>
      <c r="F21" s="13"/>
      <c r="G21" s="14"/>
      <c r="H21" s="22">
        <v>42692</v>
      </c>
      <c r="I21" s="18"/>
      <c r="J21" s="342"/>
      <c r="K21" s="318">
        <v>0</v>
      </c>
      <c r="L21" s="18">
        <v>0</v>
      </c>
      <c r="P21" s="11">
        <v>42692</v>
      </c>
      <c r="Q21" s="12"/>
      <c r="R21" s="40"/>
      <c r="S21" s="20">
        <v>42692</v>
      </c>
      <c r="T21" s="13"/>
      <c r="U21" s="14"/>
      <c r="V21" s="22">
        <v>42692</v>
      </c>
      <c r="W21" s="18"/>
      <c r="X21" s="342"/>
      <c r="Y21" s="318">
        <v>0</v>
      </c>
      <c r="Z21" s="18">
        <v>0</v>
      </c>
      <c r="AA21" s="18"/>
    </row>
    <row r="22" spans="1:27" x14ac:dyDescent="0.25">
      <c r="B22" s="11">
        <v>42693</v>
      </c>
      <c r="C22" s="12"/>
      <c r="D22" s="40"/>
      <c r="E22" s="20">
        <v>42693</v>
      </c>
      <c r="F22" s="13"/>
      <c r="G22" s="21"/>
      <c r="H22" s="22">
        <v>42693</v>
      </c>
      <c r="I22" s="345"/>
      <c r="J22" s="23"/>
      <c r="K22" s="318">
        <v>0</v>
      </c>
      <c r="L22" s="18">
        <v>0</v>
      </c>
      <c r="P22" s="11">
        <v>42693</v>
      </c>
      <c r="Q22" s="12"/>
      <c r="R22" s="40"/>
      <c r="S22" s="20">
        <v>42693</v>
      </c>
      <c r="T22" s="13"/>
      <c r="U22" s="21"/>
      <c r="V22" s="22">
        <v>42693</v>
      </c>
      <c r="W22" s="345"/>
      <c r="X22" s="23"/>
      <c r="Y22" s="318">
        <v>0</v>
      </c>
      <c r="Z22" s="18">
        <v>0</v>
      </c>
      <c r="AA22" s="18"/>
    </row>
    <row r="23" spans="1:27" x14ac:dyDescent="0.25">
      <c r="A23" s="28"/>
      <c r="B23" s="11">
        <v>42694</v>
      </c>
      <c r="C23" s="12"/>
      <c r="D23" s="40"/>
      <c r="E23" s="20">
        <v>42694</v>
      </c>
      <c r="F23" s="13"/>
      <c r="G23" s="14"/>
      <c r="H23" s="22">
        <v>42694</v>
      </c>
      <c r="I23" s="345"/>
      <c r="J23" s="23" t="s">
        <v>414</v>
      </c>
      <c r="K23" s="347">
        <v>0</v>
      </c>
      <c r="L23" s="18">
        <v>0</v>
      </c>
      <c r="O23" s="28"/>
      <c r="P23" s="11">
        <v>42694</v>
      </c>
      <c r="Q23" s="12"/>
      <c r="R23" s="40"/>
      <c r="S23" s="20">
        <v>42694</v>
      </c>
      <c r="T23" s="13"/>
      <c r="U23" s="14"/>
      <c r="V23" s="22">
        <v>42694</v>
      </c>
      <c r="W23" s="345"/>
      <c r="X23" s="23" t="s">
        <v>414</v>
      </c>
      <c r="Y23" s="347">
        <v>0</v>
      </c>
      <c r="Z23" s="18">
        <v>0</v>
      </c>
      <c r="AA23" s="18"/>
    </row>
    <row r="24" spans="1:27" x14ac:dyDescent="0.25">
      <c r="A24" s="28"/>
      <c r="B24" s="11">
        <v>42695</v>
      </c>
      <c r="C24" s="12"/>
      <c r="D24" s="40"/>
      <c r="E24" s="20">
        <v>42695</v>
      </c>
      <c r="F24" s="13"/>
      <c r="G24" s="14"/>
      <c r="H24" s="22">
        <v>42695</v>
      </c>
      <c r="I24" s="345"/>
      <c r="J24" s="34"/>
      <c r="K24" s="318"/>
      <c r="L24" s="18">
        <v>0</v>
      </c>
      <c r="O24" s="28"/>
      <c r="P24" s="11">
        <v>42695</v>
      </c>
      <c r="Q24" s="12"/>
      <c r="R24" s="40"/>
      <c r="S24" s="20">
        <v>42695</v>
      </c>
      <c r="T24" s="13"/>
      <c r="U24" s="14"/>
      <c r="V24" s="22">
        <v>42695</v>
      </c>
      <c r="W24" s="345"/>
      <c r="X24" s="34"/>
      <c r="Y24" s="318"/>
      <c r="Z24" s="18">
        <v>0</v>
      </c>
      <c r="AA24" s="18"/>
    </row>
    <row r="25" spans="1:27" x14ac:dyDescent="0.25">
      <c r="B25" s="11">
        <v>42696</v>
      </c>
      <c r="C25" s="12"/>
      <c r="D25" s="19"/>
      <c r="E25" s="20">
        <v>42696</v>
      </c>
      <c r="F25" s="13"/>
      <c r="G25" s="14"/>
      <c r="H25" s="22">
        <v>42696</v>
      </c>
      <c r="I25" s="345"/>
      <c r="J25" s="23"/>
      <c r="K25" s="318"/>
      <c r="L25" s="18">
        <v>0</v>
      </c>
      <c r="P25" s="11">
        <v>42696</v>
      </c>
      <c r="Q25" s="12"/>
      <c r="R25" s="19"/>
      <c r="S25" s="20">
        <v>42696</v>
      </c>
      <c r="T25" s="13"/>
      <c r="U25" s="14"/>
      <c r="V25" s="22">
        <v>42696</v>
      </c>
      <c r="W25" s="345"/>
      <c r="X25" s="23"/>
      <c r="Y25" s="318"/>
      <c r="Z25" s="18">
        <v>0</v>
      </c>
      <c r="AA25" s="18"/>
    </row>
    <row r="26" spans="1:27" x14ac:dyDescent="0.25">
      <c r="B26" s="11">
        <v>42697</v>
      </c>
      <c r="C26" s="12"/>
      <c r="D26" s="19"/>
      <c r="E26" s="20">
        <v>42697</v>
      </c>
      <c r="F26" s="13"/>
      <c r="G26" s="14"/>
      <c r="H26" s="22">
        <v>42697</v>
      </c>
      <c r="I26" s="345"/>
      <c r="J26" s="23"/>
      <c r="K26" s="318"/>
      <c r="L26" s="18">
        <v>0</v>
      </c>
      <c r="P26" s="11">
        <v>42697</v>
      </c>
      <c r="Q26" s="12"/>
      <c r="R26" s="19"/>
      <c r="S26" s="20">
        <v>42697</v>
      </c>
      <c r="T26" s="13"/>
      <c r="U26" s="14"/>
      <c r="V26" s="22">
        <v>42697</v>
      </c>
      <c r="W26" s="345"/>
      <c r="X26" s="23"/>
      <c r="Y26" s="318"/>
      <c r="Z26" s="18">
        <v>0</v>
      </c>
      <c r="AA26" s="18"/>
    </row>
    <row r="27" spans="1:27" x14ac:dyDescent="0.25">
      <c r="B27" s="11">
        <v>42698</v>
      </c>
      <c r="C27" s="12"/>
      <c r="D27" s="19"/>
      <c r="E27" s="20">
        <v>42698</v>
      </c>
      <c r="F27" s="13"/>
      <c r="G27" s="14"/>
      <c r="H27" s="22">
        <v>42698</v>
      </c>
      <c r="I27" s="345"/>
      <c r="J27" s="23"/>
      <c r="K27" s="24"/>
      <c r="L27" s="18">
        <v>0</v>
      </c>
      <c r="P27" s="11">
        <v>42698</v>
      </c>
      <c r="Q27" s="12"/>
      <c r="R27" s="19"/>
      <c r="S27" s="20">
        <v>42698</v>
      </c>
      <c r="T27" s="13"/>
      <c r="U27" s="14"/>
      <c r="V27" s="22">
        <v>42698</v>
      </c>
      <c r="W27" s="345"/>
      <c r="X27" s="23"/>
      <c r="Y27" s="24"/>
      <c r="Z27" s="18">
        <v>0</v>
      </c>
      <c r="AA27" s="18"/>
    </row>
    <row r="28" spans="1:27" x14ac:dyDescent="0.25">
      <c r="B28" s="11">
        <v>42699</v>
      </c>
      <c r="C28" s="12"/>
      <c r="D28" s="19"/>
      <c r="E28" s="20">
        <v>42699</v>
      </c>
      <c r="F28" s="13"/>
      <c r="G28" s="14"/>
      <c r="H28" s="22">
        <v>42699</v>
      </c>
      <c r="I28" s="345"/>
      <c r="J28" s="23"/>
      <c r="K28" s="24"/>
      <c r="L28" s="18">
        <v>0</v>
      </c>
      <c r="P28" s="11">
        <v>42699</v>
      </c>
      <c r="Q28" s="12"/>
      <c r="R28" s="19"/>
      <c r="S28" s="20">
        <v>42699</v>
      </c>
      <c r="T28" s="13"/>
      <c r="U28" s="14"/>
      <c r="V28" s="22">
        <v>42699</v>
      </c>
      <c r="W28" s="345"/>
      <c r="X28" s="23"/>
      <c r="Y28" s="24"/>
      <c r="Z28" s="18">
        <v>0</v>
      </c>
      <c r="AA28" s="18"/>
    </row>
    <row r="29" spans="1:27" x14ac:dyDescent="0.25">
      <c r="B29" s="11">
        <v>42700</v>
      </c>
      <c r="C29" s="12"/>
      <c r="D29" s="19"/>
      <c r="E29" s="20">
        <v>42700</v>
      </c>
      <c r="F29" s="13"/>
      <c r="G29" s="14"/>
      <c r="H29" s="22">
        <v>42700</v>
      </c>
      <c r="I29" s="345"/>
      <c r="J29" s="23"/>
      <c r="K29" s="24"/>
      <c r="L29" s="18"/>
      <c r="P29" s="11">
        <v>42700</v>
      </c>
      <c r="Q29" s="12"/>
      <c r="R29" s="19"/>
      <c r="S29" s="20">
        <v>42700</v>
      </c>
      <c r="T29" s="13"/>
      <c r="U29" s="14"/>
      <c r="V29" s="22">
        <v>42700</v>
      </c>
      <c r="W29" s="345"/>
      <c r="X29" s="23"/>
      <c r="Y29" s="24"/>
      <c r="Z29" s="18"/>
      <c r="AA29" s="18"/>
    </row>
    <row r="30" spans="1:27" x14ac:dyDescent="0.25">
      <c r="B30" s="11">
        <v>42701</v>
      </c>
      <c r="C30" s="12"/>
      <c r="D30" s="19"/>
      <c r="E30" s="20">
        <v>42701</v>
      </c>
      <c r="F30" s="13"/>
      <c r="G30" s="14"/>
      <c r="H30" s="22">
        <v>42701</v>
      </c>
      <c r="I30" s="345"/>
      <c r="J30" s="23"/>
      <c r="K30" s="24"/>
      <c r="L30" s="18"/>
      <c r="P30" s="11">
        <v>42701</v>
      </c>
      <c r="Q30" s="12"/>
      <c r="R30" s="19"/>
      <c r="S30" s="20">
        <v>42701</v>
      </c>
      <c r="T30" s="13"/>
      <c r="U30" s="14"/>
      <c r="V30" s="22">
        <v>42701</v>
      </c>
      <c r="W30" s="345"/>
      <c r="X30" s="23"/>
      <c r="Y30" s="24"/>
      <c r="Z30" s="18"/>
      <c r="AA30" s="18"/>
    </row>
    <row r="31" spans="1:27" x14ac:dyDescent="0.25">
      <c r="B31" s="11">
        <v>42702</v>
      </c>
      <c r="C31" s="12"/>
      <c r="D31" s="19"/>
      <c r="E31" s="20">
        <v>42702</v>
      </c>
      <c r="F31" s="13"/>
      <c r="G31" s="14"/>
      <c r="H31" s="22">
        <v>42702</v>
      </c>
      <c r="I31" s="345"/>
      <c r="J31" s="23"/>
      <c r="K31" s="24"/>
      <c r="L31" s="18"/>
      <c r="P31" s="11">
        <v>42702</v>
      </c>
      <c r="Q31" s="12"/>
      <c r="R31" s="19"/>
      <c r="S31" s="20">
        <v>42702</v>
      </c>
      <c r="T31" s="13"/>
      <c r="U31" s="14"/>
      <c r="V31" s="22">
        <v>42702</v>
      </c>
      <c r="W31" s="345"/>
      <c r="X31" s="23"/>
      <c r="Y31" s="24"/>
      <c r="Z31" s="18"/>
      <c r="AA31" s="18"/>
    </row>
    <row r="32" spans="1:27" x14ac:dyDescent="0.25">
      <c r="B32" s="11">
        <v>42703</v>
      </c>
      <c r="C32" s="12"/>
      <c r="D32" s="42"/>
      <c r="E32" s="20">
        <v>42703</v>
      </c>
      <c r="F32" s="13"/>
      <c r="G32" s="14"/>
      <c r="H32" s="22">
        <v>42703</v>
      </c>
      <c r="I32" s="345"/>
      <c r="J32" s="23"/>
      <c r="K32" s="24"/>
      <c r="L32" s="18"/>
      <c r="P32" s="11">
        <v>42703</v>
      </c>
      <c r="Q32" s="12"/>
      <c r="R32" s="42"/>
      <c r="S32" s="20">
        <v>42703</v>
      </c>
      <c r="T32" s="13"/>
      <c r="U32" s="14"/>
      <c r="V32" s="22">
        <v>42703</v>
      </c>
      <c r="W32" s="345"/>
      <c r="X32" s="23"/>
      <c r="Y32" s="24"/>
      <c r="Z32" s="18"/>
      <c r="AA32" s="18"/>
    </row>
    <row r="33" spans="1:27" x14ac:dyDescent="0.25">
      <c r="B33" s="11">
        <v>42704</v>
      </c>
      <c r="C33" s="12"/>
      <c r="D33" s="19"/>
      <c r="E33" s="20">
        <v>42704</v>
      </c>
      <c r="F33" s="13"/>
      <c r="G33" s="14"/>
      <c r="H33" s="22">
        <v>42704</v>
      </c>
      <c r="I33" s="345"/>
      <c r="J33" s="23"/>
      <c r="K33" s="24"/>
      <c r="L33" s="18"/>
      <c r="P33" s="11">
        <v>42704</v>
      </c>
      <c r="Q33" s="12"/>
      <c r="R33" s="19"/>
      <c r="S33" s="20">
        <v>42704</v>
      </c>
      <c r="T33" s="13"/>
      <c r="U33" s="14"/>
      <c r="V33" s="22">
        <v>42704</v>
      </c>
      <c r="W33" s="345"/>
      <c r="X33" s="23"/>
      <c r="Y33" s="24"/>
      <c r="Z33" s="18"/>
      <c r="AA33" s="18"/>
    </row>
    <row r="34" spans="1:27" ht="15.75" thickBot="1" x14ac:dyDescent="0.3">
      <c r="A34" s="28"/>
      <c r="B34" s="11"/>
      <c r="C34" s="12"/>
      <c r="D34" s="19"/>
      <c r="E34" s="20"/>
      <c r="F34" s="13"/>
      <c r="G34" s="14"/>
      <c r="H34" s="22"/>
      <c r="I34" s="345"/>
      <c r="J34" s="23"/>
      <c r="K34" s="24"/>
      <c r="L34" s="18"/>
      <c r="O34" s="28"/>
      <c r="P34" s="11"/>
      <c r="Q34" s="12"/>
      <c r="R34" s="19"/>
      <c r="S34" s="20"/>
      <c r="T34" s="13"/>
      <c r="U34" s="14"/>
      <c r="V34" s="22"/>
      <c r="W34" s="345"/>
      <c r="X34" s="23"/>
      <c r="Y34" s="24"/>
      <c r="Z34" s="18"/>
      <c r="AA34" s="18"/>
    </row>
    <row r="35" spans="1:27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50"/>
    </row>
    <row r="36" spans="1:27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50"/>
    </row>
    <row r="37" spans="1:27" x14ac:dyDescent="0.25">
      <c r="B37" s="60" t="s">
        <v>11</v>
      </c>
      <c r="C37" s="61">
        <f>SUM(C4:C36)</f>
        <v>746627.5</v>
      </c>
      <c r="D37" s="46"/>
      <c r="E37" s="62" t="s">
        <v>11</v>
      </c>
      <c r="F37" s="63">
        <f>SUM(F4:F36)</f>
        <v>684824.5</v>
      </c>
      <c r="H37" s="1" t="s">
        <v>11</v>
      </c>
      <c r="I37" s="64">
        <f>SUM(I4:I36)</f>
        <v>232</v>
      </c>
      <c r="J37" s="64"/>
      <c r="K37" s="64">
        <f t="shared" ref="K37" si="0">SUM(K4:K36)</f>
        <v>18159.560000000001</v>
      </c>
      <c r="L37" s="2">
        <f>SUM(L4:L36)</f>
        <v>19967</v>
      </c>
      <c r="P37" s="60" t="s">
        <v>11</v>
      </c>
      <c r="Q37" s="61">
        <f>SUM(Q4:Q36)</f>
        <v>559940</v>
      </c>
      <c r="R37" s="46"/>
      <c r="S37" s="62" t="s">
        <v>11</v>
      </c>
      <c r="T37" s="63">
        <f>SUM(T4:T36)</f>
        <v>499846.5</v>
      </c>
      <c r="V37" s="1" t="s">
        <v>11</v>
      </c>
      <c r="W37" s="64">
        <f>SUM(W4:W36)</f>
        <v>166</v>
      </c>
      <c r="X37" s="64"/>
      <c r="Y37" s="64">
        <f t="shared" ref="Y37" si="1">SUM(Y4:Y36)</f>
        <v>18159.560000000001</v>
      </c>
      <c r="Z37" s="2">
        <f>SUM(Z4:Z36)</f>
        <v>19967</v>
      </c>
      <c r="AA37" s="2"/>
    </row>
    <row r="38" spans="1:27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O38" s="416"/>
      <c r="P38" s="416"/>
      <c r="Q38" s="50"/>
      <c r="S38" s="1"/>
      <c r="T38" s="1"/>
      <c r="V38" s="1"/>
      <c r="W38" s="64"/>
      <c r="X38" s="1"/>
      <c r="Y38" s="64"/>
      <c r="Z38" s="2"/>
      <c r="AA38" s="2"/>
    </row>
    <row r="39" spans="1:27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18391.560000000001</v>
      </c>
      <c r="K39" s="403"/>
      <c r="L39" s="68"/>
      <c r="O39" s="65"/>
      <c r="P39" s="66"/>
      <c r="Q39" s="50"/>
      <c r="R39" s="67"/>
      <c r="S39" s="66"/>
      <c r="T39" s="66"/>
      <c r="V39" s="400" t="s">
        <v>12</v>
      </c>
      <c r="W39" s="401"/>
      <c r="X39" s="402">
        <f>W37+Y37</f>
        <v>18325.560000000001</v>
      </c>
      <c r="Y39" s="403"/>
      <c r="Z39" s="68"/>
      <c r="AA39" s="68"/>
    </row>
    <row r="40" spans="1:27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666432.93999999994</v>
      </c>
      <c r="H40" s="1"/>
      <c r="I40" s="70"/>
      <c r="J40" s="1"/>
      <c r="K40" s="1"/>
      <c r="L40" s="2"/>
      <c r="O40" s="404"/>
      <c r="P40" s="404"/>
      <c r="Q40" s="50"/>
      <c r="R40" s="405" t="s">
        <v>13</v>
      </c>
      <c r="S40" s="405"/>
      <c r="T40" s="69">
        <f>T37-X39</f>
        <v>481520.94</v>
      </c>
      <c r="V40" s="1"/>
      <c r="W40" s="70"/>
      <c r="X40" s="1"/>
      <c r="Y40" s="1"/>
      <c r="Z40" s="2"/>
      <c r="AA40" s="2"/>
    </row>
    <row r="41" spans="1:27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"/>
    </row>
    <row r="42" spans="1:27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275"/>
      <c r="K42" s="276">
        <v>138025.20000000001</v>
      </c>
      <c r="L42" s="2"/>
      <c r="P42" s="1"/>
      <c r="Q42" s="2"/>
      <c r="S42" s="71" t="s">
        <v>14</v>
      </c>
      <c r="T42" s="50">
        <v>0</v>
      </c>
      <c r="V42" s="1"/>
      <c r="W42" s="72" t="s">
        <v>15</v>
      </c>
      <c r="X42" s="275"/>
      <c r="Y42" s="276">
        <v>138025.20000000001</v>
      </c>
      <c r="Z42" s="2"/>
      <c r="AA42" s="2"/>
    </row>
    <row r="43" spans="1:27" ht="15.75" thickTop="1" x14ac:dyDescent="0.25">
      <c r="B43" s="1"/>
      <c r="C43" s="2"/>
      <c r="E43" s="1" t="s">
        <v>16</v>
      </c>
      <c r="F43" s="64">
        <f>SUM(F40:F42)</f>
        <v>666432.93999999994</v>
      </c>
      <c r="H43" s="1"/>
      <c r="I43" s="1"/>
      <c r="J43" s="1"/>
      <c r="K43" s="64">
        <f>K42+F45</f>
        <v>804458.1399999999</v>
      </c>
      <c r="L43" s="2"/>
      <c r="P43" s="1"/>
      <c r="Q43" s="2"/>
      <c r="S43" s="1" t="s">
        <v>16</v>
      </c>
      <c r="T43" s="64">
        <f>SUM(T40:T42)</f>
        <v>481520.94</v>
      </c>
      <c r="V43" s="1"/>
      <c r="W43" s="1"/>
      <c r="X43" s="1"/>
      <c r="Y43" s="64">
        <f>Y42+T45</f>
        <v>619546.14</v>
      </c>
      <c r="Z43" s="2"/>
      <c r="AA43" s="2"/>
    </row>
    <row r="44" spans="1:27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v>0</v>
      </c>
      <c r="L44" s="2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v>0</v>
      </c>
      <c r="Z44" s="2"/>
      <c r="AA44" s="2"/>
    </row>
    <row r="45" spans="1:27" ht="20.25" thickTop="1" thickBot="1" x14ac:dyDescent="0.35">
      <c r="B45" s="1"/>
      <c r="C45" s="2"/>
      <c r="E45" s="60" t="s">
        <v>18</v>
      </c>
      <c r="F45" s="78">
        <f>F44+F43</f>
        <v>666432.93999999994</v>
      </c>
      <c r="H45" s="1"/>
      <c r="I45" s="406" t="s">
        <v>175</v>
      </c>
      <c r="J45" s="407"/>
      <c r="K45" s="79">
        <f>K43+K44</f>
        <v>804458.1399999999</v>
      </c>
      <c r="L45" s="2"/>
      <c r="P45" s="1"/>
      <c r="Q45" s="2"/>
      <c r="S45" s="60" t="s">
        <v>18</v>
      </c>
      <c r="T45" s="78">
        <f>T44+T43</f>
        <v>481520.94</v>
      </c>
      <c r="V45" s="1"/>
      <c r="W45" s="406" t="s">
        <v>175</v>
      </c>
      <c r="X45" s="407"/>
      <c r="Y45" s="79">
        <f>Y43+Y44</f>
        <v>619546.14</v>
      </c>
      <c r="Z45" s="2"/>
      <c r="AA45" s="2"/>
    </row>
    <row r="46" spans="1:27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P46" s="1"/>
      <c r="Q46" s="2"/>
      <c r="S46" s="1"/>
      <c r="T46" s="1"/>
      <c r="V46" s="1"/>
      <c r="W46" s="1"/>
      <c r="X46" s="1"/>
      <c r="Y46" s="1"/>
      <c r="Z46" s="2"/>
      <c r="AA46" s="2"/>
    </row>
  </sheetData>
  <mergeCells count="20">
    <mergeCell ref="Q1:X1"/>
    <mergeCell ref="S3:T3"/>
    <mergeCell ref="W3:Y3"/>
    <mergeCell ref="O40:P40"/>
    <mergeCell ref="R40:S40"/>
    <mergeCell ref="W45:X45"/>
    <mergeCell ref="X5:X6"/>
    <mergeCell ref="O38:P38"/>
    <mergeCell ref="V39:W39"/>
    <mergeCell ref="X39:Y39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80"/>
  <sheetViews>
    <sheetView workbookViewId="0">
      <pane ySplit="3" topLeftCell="A29" activePane="bottomLeft" state="frozen"/>
      <selection activeCell="E1" sqref="E1"/>
      <selection pane="bottomLeft" sqref="A1:XFD1048576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2.5703125" bestFit="1" customWidth="1"/>
    <col min="14" max="14" width="17.5703125" customWidth="1"/>
    <col min="17" max="17" width="20.140625" bestFit="1" customWidth="1"/>
    <col min="23" max="23" width="14.140625" bestFit="1" customWidth="1"/>
    <col min="25" max="25" width="17.42578125" customWidth="1"/>
    <col min="27" max="27" width="13.7109375" customWidth="1"/>
    <col min="28" max="28" width="15.5703125" customWidth="1"/>
  </cols>
  <sheetData>
    <row r="1" spans="1:29" ht="19.5" customHeight="1" thickBot="1" x14ac:dyDescent="0.35">
      <c r="L1" s="33"/>
      <c r="M1" s="417">
        <v>1</v>
      </c>
      <c r="N1" s="86" t="s">
        <v>28</v>
      </c>
      <c r="O1" s="86"/>
      <c r="P1" s="110"/>
      <c r="Q1" s="111">
        <v>42679</v>
      </c>
      <c r="R1" s="112"/>
      <c r="W1" s="33"/>
      <c r="X1" s="417">
        <v>1</v>
      </c>
      <c r="Y1" s="86" t="s">
        <v>28</v>
      </c>
      <c r="Z1" s="86"/>
      <c r="AA1" s="110"/>
      <c r="AB1" s="333">
        <v>42704</v>
      </c>
      <c r="AC1" s="112"/>
    </row>
    <row r="2" spans="1:29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18"/>
      <c r="N2" s="113"/>
      <c r="O2" s="113"/>
      <c r="P2" s="114"/>
      <c r="Q2" s="115"/>
      <c r="R2" s="112"/>
      <c r="W2" s="33"/>
      <c r="X2" s="418"/>
      <c r="Y2" s="113"/>
      <c r="Z2" s="113"/>
      <c r="AA2" s="114"/>
      <c r="AB2" s="115"/>
      <c r="AC2" s="112"/>
    </row>
    <row r="3" spans="1:29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W3" s="3"/>
      <c r="X3" s="116" t="s">
        <v>23</v>
      </c>
      <c r="Y3" s="116" t="s">
        <v>24</v>
      </c>
      <c r="Z3" s="116"/>
      <c r="AA3" s="117" t="s">
        <v>29</v>
      </c>
      <c r="AB3" s="118" t="s">
        <v>30</v>
      </c>
      <c r="AC3" s="119"/>
    </row>
    <row r="4" spans="1:29" x14ac:dyDescent="0.25">
      <c r="A4" s="14"/>
      <c r="B4" s="92">
        <v>42676</v>
      </c>
      <c r="C4" s="93" t="s">
        <v>706</v>
      </c>
      <c r="D4" s="132">
        <v>91875.3</v>
      </c>
      <c r="E4" s="95">
        <v>42689</v>
      </c>
      <c r="F4" s="132">
        <v>91875.3</v>
      </c>
      <c r="G4" s="158">
        <f t="shared" ref="G4:G42" si="0">D4-F4</f>
        <v>0</v>
      </c>
      <c r="H4" s="146"/>
      <c r="L4" s="33"/>
      <c r="M4" s="93" t="s">
        <v>668</v>
      </c>
      <c r="N4" s="132">
        <v>16.84</v>
      </c>
      <c r="O4" s="120" t="s">
        <v>36</v>
      </c>
      <c r="P4" s="289">
        <v>3680973</v>
      </c>
      <c r="Q4" s="296">
        <v>55500</v>
      </c>
      <c r="R4" s="297">
        <v>42661</v>
      </c>
      <c r="W4" s="33">
        <v>676.5</v>
      </c>
      <c r="X4" s="353" t="s">
        <v>732</v>
      </c>
      <c r="Y4" s="292">
        <v>676.5</v>
      </c>
      <c r="Z4" s="120"/>
      <c r="AA4" s="289">
        <v>3002939</v>
      </c>
      <c r="AB4" s="296">
        <v>13674</v>
      </c>
      <c r="AC4" s="297">
        <v>42683</v>
      </c>
    </row>
    <row r="5" spans="1:29" x14ac:dyDescent="0.25">
      <c r="A5" s="14"/>
      <c r="B5" s="96">
        <v>42677</v>
      </c>
      <c r="C5" s="93" t="s">
        <v>728</v>
      </c>
      <c r="D5" s="132">
        <v>76511.839999999997</v>
      </c>
      <c r="E5" s="95">
        <v>42689</v>
      </c>
      <c r="F5" s="132">
        <v>76511.839999999997</v>
      </c>
      <c r="G5" s="97">
        <f t="shared" si="0"/>
        <v>0</v>
      </c>
      <c r="H5" s="146"/>
      <c r="L5" s="33">
        <v>26398.400000000001</v>
      </c>
      <c r="M5" s="93" t="s">
        <v>669</v>
      </c>
      <c r="N5" s="132">
        <v>26398.400000000001</v>
      </c>
      <c r="O5" s="124"/>
      <c r="P5" s="241">
        <v>3680975</v>
      </c>
      <c r="Q5" s="242">
        <v>19929.5</v>
      </c>
      <c r="R5" s="290">
        <v>42661</v>
      </c>
      <c r="W5" s="33">
        <v>24558</v>
      </c>
      <c r="X5" s="353" t="s">
        <v>733</v>
      </c>
      <c r="Y5" s="292">
        <v>24575.08</v>
      </c>
      <c r="Z5" s="310" t="s">
        <v>788</v>
      </c>
      <c r="AA5" s="241">
        <v>3002938</v>
      </c>
      <c r="AB5" s="242">
        <v>20000</v>
      </c>
      <c r="AC5" s="290">
        <v>42683</v>
      </c>
    </row>
    <row r="6" spans="1:29" x14ac:dyDescent="0.25">
      <c r="A6" s="14"/>
      <c r="B6" s="96">
        <v>42679</v>
      </c>
      <c r="C6" s="93" t="s">
        <v>729</v>
      </c>
      <c r="D6" s="132">
        <v>93795.8</v>
      </c>
      <c r="E6" s="95">
        <v>42689</v>
      </c>
      <c r="F6" s="132">
        <v>93795.8</v>
      </c>
      <c r="G6" s="99">
        <f t="shared" si="0"/>
        <v>0</v>
      </c>
      <c r="H6" s="38"/>
      <c r="L6" s="33">
        <v>27183.599999999999</v>
      </c>
      <c r="M6" s="93" t="s">
        <v>670</v>
      </c>
      <c r="N6" s="132">
        <v>27183.599999999999</v>
      </c>
      <c r="O6" s="120"/>
      <c r="P6" s="241" t="s">
        <v>31</v>
      </c>
      <c r="Q6" s="242">
        <v>12558</v>
      </c>
      <c r="R6" s="290">
        <v>42664</v>
      </c>
      <c r="W6" s="33">
        <f>32741.5+32428.5</f>
        <v>65170</v>
      </c>
      <c r="X6" s="353" t="s">
        <v>734</v>
      </c>
      <c r="Y6" s="292">
        <v>65170</v>
      </c>
      <c r="Z6" s="120"/>
      <c r="AA6" s="241" t="s">
        <v>31</v>
      </c>
      <c r="AB6" s="242">
        <v>12430</v>
      </c>
      <c r="AC6" s="290">
        <v>42684</v>
      </c>
    </row>
    <row r="7" spans="1:29" x14ac:dyDescent="0.25">
      <c r="A7" s="14"/>
      <c r="B7" s="96">
        <v>42679</v>
      </c>
      <c r="C7" s="93" t="s">
        <v>730</v>
      </c>
      <c r="D7" s="132">
        <v>69162.960000000006</v>
      </c>
      <c r="E7" s="95">
        <v>42689</v>
      </c>
      <c r="F7" s="132">
        <v>69162.960000000006</v>
      </c>
      <c r="G7" s="97">
        <f t="shared" si="0"/>
        <v>0</v>
      </c>
      <c r="H7" s="38"/>
      <c r="L7" s="33">
        <f>21847.5+52803.5+40991.4</f>
        <v>115642.4</v>
      </c>
      <c r="M7" s="353" t="s">
        <v>671</v>
      </c>
      <c r="N7" s="292">
        <v>115642.4</v>
      </c>
      <c r="O7" s="124"/>
      <c r="P7" s="241">
        <v>3680976</v>
      </c>
      <c r="Q7" s="242">
        <v>20245.5</v>
      </c>
      <c r="R7" s="290">
        <v>42662</v>
      </c>
      <c r="W7" s="33">
        <f>4542+21735.5+58274.5+12384</f>
        <v>96936</v>
      </c>
      <c r="X7" s="353" t="s">
        <v>736</v>
      </c>
      <c r="Y7" s="292">
        <v>96936</v>
      </c>
      <c r="Z7" s="124"/>
      <c r="AA7" s="241" t="s">
        <v>31</v>
      </c>
      <c r="AB7" s="242">
        <v>3118</v>
      </c>
      <c r="AC7" s="290">
        <v>42684</v>
      </c>
    </row>
    <row r="8" spans="1:29" x14ac:dyDescent="0.25">
      <c r="A8" s="14"/>
      <c r="B8" s="96">
        <v>42680</v>
      </c>
      <c r="C8" s="93" t="s">
        <v>731</v>
      </c>
      <c r="D8" s="132">
        <v>31132.1</v>
      </c>
      <c r="E8" s="95">
        <v>42689</v>
      </c>
      <c r="F8" s="132">
        <v>31132.1</v>
      </c>
      <c r="G8" s="97">
        <f t="shared" si="0"/>
        <v>0</v>
      </c>
      <c r="H8" s="38"/>
      <c r="L8" s="33">
        <f>8435.6+20400.56</f>
        <v>28836.160000000003</v>
      </c>
      <c r="M8" s="353" t="s">
        <v>672</v>
      </c>
      <c r="N8" s="292">
        <v>28836.16</v>
      </c>
      <c r="O8" s="124"/>
      <c r="P8" s="241">
        <v>3680974</v>
      </c>
      <c r="Q8" s="242">
        <v>20000</v>
      </c>
      <c r="R8" s="290">
        <v>42662</v>
      </c>
      <c r="W8" s="33">
        <v>32398.799999999999</v>
      </c>
      <c r="X8" s="353" t="s">
        <v>737</v>
      </c>
      <c r="Y8" s="292">
        <v>32398.799999999999</v>
      </c>
      <c r="Z8" s="124"/>
      <c r="AA8" s="241" t="s">
        <v>31</v>
      </c>
      <c r="AB8" s="242">
        <v>6282</v>
      </c>
      <c r="AC8" s="290">
        <v>42685</v>
      </c>
    </row>
    <row r="9" spans="1:29" x14ac:dyDescent="0.25">
      <c r="A9" s="286"/>
      <c r="B9" s="96">
        <v>42681</v>
      </c>
      <c r="C9" s="353" t="s">
        <v>735</v>
      </c>
      <c r="D9" s="292">
        <v>29235.24</v>
      </c>
      <c r="E9" s="95">
        <v>42689</v>
      </c>
      <c r="F9" s="292">
        <v>29235.24</v>
      </c>
      <c r="G9" s="99">
        <f t="shared" si="0"/>
        <v>0</v>
      </c>
      <c r="H9" s="38"/>
      <c r="L9" s="33">
        <f>40612.44+9194.96</f>
        <v>49807.4</v>
      </c>
      <c r="M9" s="353" t="s">
        <v>673</v>
      </c>
      <c r="N9" s="292">
        <v>49807.4</v>
      </c>
      <c r="O9" s="124"/>
      <c r="P9" s="241" t="s">
        <v>31</v>
      </c>
      <c r="Q9" s="242">
        <v>11146</v>
      </c>
      <c r="R9" s="290">
        <v>42664</v>
      </c>
      <c r="W9" s="33">
        <f>58994.4+43615.2</f>
        <v>102609.60000000001</v>
      </c>
      <c r="X9" s="353" t="s">
        <v>738</v>
      </c>
      <c r="Y9" s="292">
        <v>102609.60000000001</v>
      </c>
      <c r="Z9" s="124"/>
      <c r="AA9" s="241" t="s">
        <v>31</v>
      </c>
      <c r="AB9" s="242">
        <v>2472</v>
      </c>
      <c r="AC9" s="290">
        <v>42685</v>
      </c>
    </row>
    <row r="10" spans="1:29" x14ac:dyDescent="0.25">
      <c r="A10" s="14"/>
      <c r="B10" s="96">
        <v>42681</v>
      </c>
      <c r="C10" s="353" t="s">
        <v>732</v>
      </c>
      <c r="D10" s="292">
        <v>676.5</v>
      </c>
      <c r="E10" s="95">
        <v>42704</v>
      </c>
      <c r="F10" s="132">
        <v>676.5</v>
      </c>
      <c r="G10" s="99">
        <f t="shared" si="0"/>
        <v>0</v>
      </c>
      <c r="H10" s="38"/>
      <c r="L10" s="33">
        <v>69202</v>
      </c>
      <c r="M10" s="353" t="s">
        <v>674</v>
      </c>
      <c r="N10" s="292">
        <v>69202</v>
      </c>
      <c r="O10" s="124"/>
      <c r="P10" s="241">
        <v>3680977</v>
      </c>
      <c r="Q10" s="242">
        <v>20000</v>
      </c>
      <c r="R10" s="290">
        <v>42663</v>
      </c>
      <c r="W10" s="33">
        <v>2492.8000000000002</v>
      </c>
      <c r="X10" s="328" t="s">
        <v>739</v>
      </c>
      <c r="Y10" s="332">
        <v>2492.8000000000002</v>
      </c>
      <c r="Z10" s="124"/>
      <c r="AA10" s="241" t="s">
        <v>31</v>
      </c>
      <c r="AB10" s="242">
        <v>4956</v>
      </c>
      <c r="AC10" s="290">
        <v>42685</v>
      </c>
    </row>
    <row r="11" spans="1:29" x14ac:dyDescent="0.25">
      <c r="A11" s="14"/>
      <c r="B11" s="96">
        <v>42682</v>
      </c>
      <c r="C11" s="353" t="s">
        <v>733</v>
      </c>
      <c r="D11" s="292">
        <v>30576</v>
      </c>
      <c r="E11" s="95" t="s">
        <v>789</v>
      </c>
      <c r="F11" s="235">
        <f>6000.92+24575.08</f>
        <v>30576</v>
      </c>
      <c r="G11" s="99">
        <f t="shared" si="0"/>
        <v>0</v>
      </c>
      <c r="H11" s="38"/>
      <c r="L11" s="33">
        <v>17048</v>
      </c>
      <c r="M11" s="353" t="s">
        <v>687</v>
      </c>
      <c r="N11" s="292">
        <v>17048</v>
      </c>
      <c r="O11" s="128"/>
      <c r="P11" s="241">
        <v>3680978</v>
      </c>
      <c r="Q11" s="292">
        <v>18281</v>
      </c>
      <c r="R11" s="290">
        <v>42663</v>
      </c>
      <c r="W11" s="33">
        <v>100360.8</v>
      </c>
      <c r="X11" s="353" t="s">
        <v>740</v>
      </c>
      <c r="Y11" s="292">
        <v>100360.8</v>
      </c>
      <c r="Z11" s="128"/>
      <c r="AA11" s="241">
        <v>3002940</v>
      </c>
      <c r="AB11" s="292">
        <v>20000</v>
      </c>
      <c r="AC11" s="290">
        <v>42684</v>
      </c>
    </row>
    <row r="12" spans="1:29" x14ac:dyDescent="0.25">
      <c r="A12" s="14"/>
      <c r="B12" s="96">
        <v>42683</v>
      </c>
      <c r="C12" s="353" t="s">
        <v>734</v>
      </c>
      <c r="D12" s="292">
        <v>65170</v>
      </c>
      <c r="E12" s="95">
        <v>42704</v>
      </c>
      <c r="F12" s="132">
        <v>65170</v>
      </c>
      <c r="G12" s="99">
        <f t="shared" si="0"/>
        <v>0</v>
      </c>
      <c r="H12" s="38"/>
      <c r="L12" s="33">
        <f>12488.04+21280.5+27844.66</f>
        <v>61613.2</v>
      </c>
      <c r="M12" s="353" t="s">
        <v>688</v>
      </c>
      <c r="N12" s="292">
        <v>61613.2</v>
      </c>
      <c r="O12" s="129"/>
      <c r="P12" s="241">
        <v>3680979</v>
      </c>
      <c r="Q12" s="292">
        <v>25000</v>
      </c>
      <c r="R12" s="290">
        <v>42664</v>
      </c>
      <c r="W12" s="33">
        <f>50270.36+49078.84</f>
        <v>99349.2</v>
      </c>
      <c r="X12" s="93" t="s">
        <v>765</v>
      </c>
      <c r="Y12" s="132">
        <v>99349.2</v>
      </c>
      <c r="Z12" s="129"/>
      <c r="AA12" s="241">
        <v>3002941</v>
      </c>
      <c r="AB12" s="292">
        <v>12014.5</v>
      </c>
      <c r="AC12" s="290">
        <v>42684</v>
      </c>
    </row>
    <row r="13" spans="1:29" x14ac:dyDescent="0.25">
      <c r="A13" s="14"/>
      <c r="B13" s="96">
        <v>42683</v>
      </c>
      <c r="C13" s="353" t="s">
        <v>736</v>
      </c>
      <c r="D13" s="292">
        <v>96936</v>
      </c>
      <c r="E13" s="95">
        <v>42704</v>
      </c>
      <c r="F13" s="292">
        <v>96936</v>
      </c>
      <c r="G13" s="99">
        <f t="shared" si="0"/>
        <v>0</v>
      </c>
      <c r="H13" s="38"/>
      <c r="L13" s="33">
        <v>4901</v>
      </c>
      <c r="M13" s="353" t="s">
        <v>689</v>
      </c>
      <c r="N13" s="292">
        <v>4901</v>
      </c>
      <c r="O13" s="124"/>
      <c r="P13" s="241">
        <v>3680980</v>
      </c>
      <c r="Q13" s="292">
        <v>20000</v>
      </c>
      <c r="R13" s="290">
        <v>42664</v>
      </c>
      <c r="W13" s="33">
        <f>14172.66+2324.14</f>
        <v>16496.8</v>
      </c>
      <c r="X13" s="93" t="s">
        <v>766</v>
      </c>
      <c r="Y13" s="132">
        <v>16496.8</v>
      </c>
      <c r="Z13" s="124"/>
      <c r="AA13" s="241">
        <v>3002942</v>
      </c>
      <c r="AB13" s="292">
        <v>15000</v>
      </c>
      <c r="AC13" s="290">
        <v>42685</v>
      </c>
    </row>
    <row r="14" spans="1:29" x14ac:dyDescent="0.25">
      <c r="A14" s="264"/>
      <c r="B14" s="96">
        <v>42685</v>
      </c>
      <c r="C14" s="353" t="s">
        <v>737</v>
      </c>
      <c r="D14" s="292">
        <v>32398.799999999999</v>
      </c>
      <c r="E14" s="95">
        <v>42704</v>
      </c>
      <c r="F14" s="292">
        <v>32398.799999999999</v>
      </c>
      <c r="G14" s="99">
        <f t="shared" si="0"/>
        <v>0</v>
      </c>
      <c r="H14" s="38"/>
      <c r="L14" s="33">
        <f>38378.84+19825.96</f>
        <v>58204.799999999996</v>
      </c>
      <c r="M14" s="328" t="s">
        <v>693</v>
      </c>
      <c r="N14" s="332">
        <v>58204.5</v>
      </c>
      <c r="O14" s="124"/>
      <c r="P14" s="241">
        <v>3680981</v>
      </c>
      <c r="Q14" s="292">
        <v>16013</v>
      </c>
      <c r="R14" s="290">
        <v>42664</v>
      </c>
      <c r="W14" s="33">
        <f>67.16+85348.5+15472.98</f>
        <v>100888.64</v>
      </c>
      <c r="X14" s="93" t="s">
        <v>767</v>
      </c>
      <c r="Y14" s="132">
        <v>100888.64</v>
      </c>
      <c r="Z14" s="124"/>
      <c r="AA14" s="241">
        <v>3002943</v>
      </c>
      <c r="AB14" s="292">
        <v>6735.5</v>
      </c>
      <c r="AC14" s="290">
        <v>42685</v>
      </c>
    </row>
    <row r="15" spans="1:29" x14ac:dyDescent="0.25">
      <c r="A15" s="14"/>
      <c r="B15" s="96">
        <v>42685</v>
      </c>
      <c r="C15" s="353" t="s">
        <v>738</v>
      </c>
      <c r="D15" s="292">
        <v>102609.60000000001</v>
      </c>
      <c r="E15" s="95">
        <v>42704</v>
      </c>
      <c r="F15" s="292">
        <v>102609.60000000001</v>
      </c>
      <c r="G15" s="99">
        <f t="shared" si="0"/>
        <v>0</v>
      </c>
      <c r="H15" s="38"/>
      <c r="L15" s="33">
        <v>29059.200000000001</v>
      </c>
      <c r="M15" s="353" t="s">
        <v>690</v>
      </c>
      <c r="N15" s="292">
        <v>29059.200000000001</v>
      </c>
      <c r="O15" s="124"/>
      <c r="P15" s="241">
        <v>3680982</v>
      </c>
      <c r="Q15" s="292">
        <v>20000</v>
      </c>
      <c r="R15" s="290">
        <v>42665</v>
      </c>
      <c r="W15" s="33">
        <v>34382.25</v>
      </c>
      <c r="X15" s="93" t="s">
        <v>768</v>
      </c>
      <c r="Y15" s="132">
        <v>34382.25</v>
      </c>
      <c r="Z15" s="124"/>
      <c r="AA15" s="241" t="s">
        <v>31</v>
      </c>
      <c r="AB15" s="292">
        <v>16610</v>
      </c>
      <c r="AC15" s="290">
        <v>42688</v>
      </c>
    </row>
    <row r="16" spans="1:29" x14ac:dyDescent="0.25">
      <c r="A16" s="14"/>
      <c r="B16" s="96">
        <v>42685</v>
      </c>
      <c r="C16" s="328" t="s">
        <v>739</v>
      </c>
      <c r="D16" s="332">
        <v>2492.8000000000002</v>
      </c>
      <c r="E16" s="95">
        <v>42704</v>
      </c>
      <c r="F16" s="332">
        <v>2492.8000000000002</v>
      </c>
      <c r="G16" s="99">
        <f t="shared" si="0"/>
        <v>0</v>
      </c>
      <c r="H16" s="38"/>
      <c r="L16" s="33">
        <f>30124.34+25763.5+2867.36</f>
        <v>58755.199999999997</v>
      </c>
      <c r="M16" s="389" t="s">
        <v>691</v>
      </c>
      <c r="N16" s="234">
        <v>58755.199999999997</v>
      </c>
      <c r="O16" s="124"/>
      <c r="P16" s="241">
        <v>3680983</v>
      </c>
      <c r="Q16" s="292">
        <v>35000</v>
      </c>
      <c r="R16" s="290">
        <v>42665</v>
      </c>
      <c r="W16" s="33">
        <v>67147.600000000006</v>
      </c>
      <c r="X16" s="93" t="s">
        <v>771</v>
      </c>
      <c r="Y16" s="132">
        <v>67147.600000000006</v>
      </c>
      <c r="Z16" s="124"/>
      <c r="AA16" s="241">
        <v>3002944</v>
      </c>
      <c r="AB16" s="292">
        <v>36261.5</v>
      </c>
      <c r="AC16" s="290">
        <v>42686</v>
      </c>
    </row>
    <row r="17" spans="1:29" x14ac:dyDescent="0.25">
      <c r="A17" s="14"/>
      <c r="B17" s="96">
        <v>42688</v>
      </c>
      <c r="C17" s="353" t="s">
        <v>740</v>
      </c>
      <c r="D17" s="292">
        <v>100360.8</v>
      </c>
      <c r="E17" s="95">
        <v>42704</v>
      </c>
      <c r="F17" s="292">
        <v>100360.8</v>
      </c>
      <c r="G17" s="99">
        <f t="shared" si="0"/>
        <v>0</v>
      </c>
      <c r="H17" s="38"/>
      <c r="L17" s="33">
        <v>8654.4</v>
      </c>
      <c r="M17" s="390" t="s">
        <v>692</v>
      </c>
      <c r="N17" s="386">
        <v>8654.4</v>
      </c>
      <c r="O17" s="124"/>
      <c r="P17" s="241">
        <v>3680984</v>
      </c>
      <c r="Q17" s="292">
        <v>30000</v>
      </c>
      <c r="R17" s="290">
        <v>42665</v>
      </c>
      <c r="W17" s="33">
        <f>77220.83+25942.57</f>
        <v>103163.4</v>
      </c>
      <c r="X17" s="93" t="s">
        <v>769</v>
      </c>
      <c r="Y17" s="132">
        <v>103163.4</v>
      </c>
      <c r="Z17" s="124"/>
      <c r="AA17" s="241">
        <v>3300949</v>
      </c>
      <c r="AB17" s="292">
        <v>5403</v>
      </c>
      <c r="AC17" s="290">
        <v>42686</v>
      </c>
    </row>
    <row r="18" spans="1:29" x14ac:dyDescent="0.25">
      <c r="A18" s="14"/>
      <c r="B18" s="96">
        <v>42686</v>
      </c>
      <c r="C18" s="93" t="s">
        <v>765</v>
      </c>
      <c r="D18" s="132">
        <v>99349.2</v>
      </c>
      <c r="E18" s="95">
        <v>42704</v>
      </c>
      <c r="F18" s="132">
        <v>99349.2</v>
      </c>
      <c r="G18" s="99">
        <f t="shared" si="0"/>
        <v>0</v>
      </c>
      <c r="H18" s="38"/>
      <c r="L18" s="33">
        <v>29088</v>
      </c>
      <c r="M18" s="328" t="s">
        <v>694</v>
      </c>
      <c r="N18" s="332">
        <v>29088</v>
      </c>
      <c r="O18" s="124"/>
      <c r="P18" s="241">
        <v>3680985</v>
      </c>
      <c r="Q18" s="292">
        <v>27834</v>
      </c>
      <c r="R18" s="290">
        <v>42665</v>
      </c>
      <c r="W18" s="33">
        <v>7467.6</v>
      </c>
      <c r="X18" s="352" t="s">
        <v>770</v>
      </c>
      <c r="Y18" s="235">
        <v>7467.6</v>
      </c>
      <c r="Z18" s="124"/>
      <c r="AA18" s="241">
        <v>3002945</v>
      </c>
      <c r="AB18" s="292">
        <v>48000</v>
      </c>
      <c r="AC18" s="290">
        <v>42687</v>
      </c>
    </row>
    <row r="19" spans="1:29" x14ac:dyDescent="0.25">
      <c r="A19" s="14"/>
      <c r="B19" s="96">
        <v>42689</v>
      </c>
      <c r="C19" s="93" t="s">
        <v>766</v>
      </c>
      <c r="D19" s="132">
        <v>16496.8</v>
      </c>
      <c r="E19" s="95">
        <v>42704</v>
      </c>
      <c r="F19" s="132">
        <v>16496.8</v>
      </c>
      <c r="G19" s="99">
        <f t="shared" si="0"/>
        <v>0</v>
      </c>
      <c r="H19" s="38"/>
      <c r="L19" s="33">
        <f>6644.74+20120.06</f>
        <v>26764.800000000003</v>
      </c>
      <c r="M19" s="328" t="s">
        <v>695</v>
      </c>
      <c r="N19" s="394">
        <v>26764.799999999999</v>
      </c>
      <c r="O19" s="124"/>
      <c r="P19" s="241" t="s">
        <v>31</v>
      </c>
      <c r="Q19" s="292">
        <v>17110</v>
      </c>
      <c r="R19" s="290">
        <v>42669</v>
      </c>
      <c r="W19" s="33">
        <f>25445.17+98083.5+50059.13</f>
        <v>173587.8</v>
      </c>
      <c r="X19" s="93" t="s">
        <v>772</v>
      </c>
      <c r="Y19" s="132">
        <v>173587.8</v>
      </c>
      <c r="Z19" s="124"/>
      <c r="AA19" s="241">
        <v>3002948</v>
      </c>
      <c r="AB19" s="292">
        <v>30000</v>
      </c>
      <c r="AC19" s="290">
        <v>42687</v>
      </c>
    </row>
    <row r="20" spans="1:29" x14ac:dyDescent="0.25">
      <c r="A20" s="14"/>
      <c r="B20" s="96">
        <v>42690</v>
      </c>
      <c r="C20" s="93" t="s">
        <v>767</v>
      </c>
      <c r="D20" s="132">
        <v>100888.64</v>
      </c>
      <c r="E20" s="95">
        <v>42704</v>
      </c>
      <c r="F20" s="132">
        <v>100888.64</v>
      </c>
      <c r="G20" s="99">
        <f t="shared" si="0"/>
        <v>0</v>
      </c>
      <c r="H20" s="38"/>
      <c r="L20" s="33">
        <v>10312.4</v>
      </c>
      <c r="M20" s="391" t="s">
        <v>696</v>
      </c>
      <c r="N20" s="394">
        <v>10312.4</v>
      </c>
      <c r="O20" s="124"/>
      <c r="P20" s="241">
        <v>3680986</v>
      </c>
      <c r="Q20" s="292">
        <v>4170.5</v>
      </c>
      <c r="R20" s="290">
        <v>42666</v>
      </c>
      <c r="W20" s="33">
        <v>12716</v>
      </c>
      <c r="X20" s="93" t="s">
        <v>773</v>
      </c>
      <c r="Y20" s="132">
        <v>12716</v>
      </c>
      <c r="Z20" s="124"/>
      <c r="AA20" s="241">
        <v>3002949</v>
      </c>
      <c r="AB20" s="292">
        <v>28270</v>
      </c>
      <c r="AC20" s="290">
        <v>42687</v>
      </c>
    </row>
    <row r="21" spans="1:29" ht="16.5" customHeight="1" x14ac:dyDescent="0.25">
      <c r="A21" s="14"/>
      <c r="B21" s="96">
        <v>42691</v>
      </c>
      <c r="C21" s="93" t="s">
        <v>768</v>
      </c>
      <c r="D21" s="132">
        <v>34382.25</v>
      </c>
      <c r="E21" s="95">
        <v>42704</v>
      </c>
      <c r="F21" s="132">
        <v>34382.25</v>
      </c>
      <c r="G21" s="99">
        <f t="shared" si="0"/>
        <v>0</v>
      </c>
      <c r="H21" s="38"/>
      <c r="L21" s="3">
        <v>29174.400000000001</v>
      </c>
      <c r="M21" s="391" t="s">
        <v>697</v>
      </c>
      <c r="N21" s="394">
        <v>29174.400000000001</v>
      </c>
      <c r="O21" s="124"/>
      <c r="P21" s="241">
        <v>3680987</v>
      </c>
      <c r="Q21" s="292">
        <v>44000</v>
      </c>
      <c r="R21" s="290">
        <v>42667</v>
      </c>
      <c r="W21" s="3">
        <f>128032.87+12202.33</f>
        <v>140235.19999999998</v>
      </c>
      <c r="X21" s="93" t="s">
        <v>774</v>
      </c>
      <c r="Y21" s="132">
        <v>140235.20000000001</v>
      </c>
      <c r="Z21" s="124"/>
      <c r="AA21" s="241">
        <v>3002947</v>
      </c>
      <c r="AB21" s="292">
        <v>50000</v>
      </c>
      <c r="AC21" s="290">
        <v>42688</v>
      </c>
    </row>
    <row r="22" spans="1:29" x14ac:dyDescent="0.25">
      <c r="A22" s="264"/>
      <c r="B22" s="96">
        <v>42691</v>
      </c>
      <c r="C22" s="93" t="s">
        <v>771</v>
      </c>
      <c r="D22" s="132">
        <v>67147.600000000006</v>
      </c>
      <c r="E22" s="95">
        <v>42704</v>
      </c>
      <c r="F22" s="132">
        <v>67147.600000000006</v>
      </c>
      <c r="G22" s="99">
        <f t="shared" si="0"/>
        <v>0</v>
      </c>
      <c r="H22" s="38"/>
      <c r="L22" s="3">
        <v>37174.400000000001</v>
      </c>
      <c r="M22" s="391" t="s">
        <v>698</v>
      </c>
      <c r="N22" s="394">
        <v>37174.400000000001</v>
      </c>
      <c r="O22" s="124"/>
      <c r="P22" s="241" t="s">
        <v>31</v>
      </c>
      <c r="Q22" s="292">
        <v>22223</v>
      </c>
      <c r="R22" s="290">
        <v>42670</v>
      </c>
      <c r="W22" s="3">
        <v>8812.7999999999993</v>
      </c>
      <c r="X22" s="93" t="s">
        <v>775</v>
      </c>
      <c r="Y22" s="132">
        <v>8812.7999999999993</v>
      </c>
      <c r="Z22" s="124"/>
      <c r="AA22" s="241">
        <v>3002950</v>
      </c>
      <c r="AB22" s="292">
        <v>35886</v>
      </c>
      <c r="AC22" s="290">
        <v>42688</v>
      </c>
    </row>
    <row r="23" spans="1:29" x14ac:dyDescent="0.25">
      <c r="A23" s="14"/>
      <c r="B23" s="96">
        <v>42692</v>
      </c>
      <c r="C23" s="93" t="s">
        <v>769</v>
      </c>
      <c r="D23" s="132">
        <v>103163.4</v>
      </c>
      <c r="E23" s="95">
        <v>42704</v>
      </c>
      <c r="F23" s="132">
        <v>103163.4</v>
      </c>
      <c r="G23" s="99">
        <f t="shared" si="0"/>
        <v>0</v>
      </c>
      <c r="H23" s="38"/>
      <c r="L23" s="3">
        <f>12792.6+17451.24</f>
        <v>30243.840000000004</v>
      </c>
      <c r="M23" s="391" t="s">
        <v>699</v>
      </c>
      <c r="N23" s="394">
        <v>30243.84</v>
      </c>
      <c r="O23" s="124"/>
      <c r="P23" s="241">
        <v>3660787</v>
      </c>
      <c r="Q23" s="292">
        <v>36000</v>
      </c>
      <c r="R23" s="290">
        <v>42668</v>
      </c>
      <c r="W23" s="3">
        <v>34260.42</v>
      </c>
      <c r="X23" s="93" t="s">
        <v>776</v>
      </c>
      <c r="Y23" s="132">
        <v>34260.42</v>
      </c>
      <c r="Z23" s="124"/>
      <c r="AA23" s="241" t="s">
        <v>31</v>
      </c>
      <c r="AB23" s="292">
        <v>72262.8</v>
      </c>
      <c r="AC23" s="290">
        <v>42692</v>
      </c>
    </row>
    <row r="24" spans="1:29" x14ac:dyDescent="0.25">
      <c r="A24" s="14"/>
      <c r="B24" s="96">
        <v>42692</v>
      </c>
      <c r="C24" s="352" t="s">
        <v>770</v>
      </c>
      <c r="D24" s="235">
        <v>7467.6</v>
      </c>
      <c r="E24" s="95">
        <v>42704</v>
      </c>
      <c r="F24" s="235">
        <v>7467.6</v>
      </c>
      <c r="G24" s="99">
        <f t="shared" si="0"/>
        <v>0</v>
      </c>
      <c r="H24" s="38"/>
      <c r="L24" s="3">
        <v>30839.040000000001</v>
      </c>
      <c r="M24" s="391" t="s">
        <v>700</v>
      </c>
      <c r="N24" s="394">
        <v>30839.040000000001</v>
      </c>
      <c r="O24" s="124"/>
      <c r="P24" s="241">
        <v>3680990</v>
      </c>
      <c r="Q24" s="292">
        <v>41200</v>
      </c>
      <c r="R24" s="290">
        <v>42668</v>
      </c>
      <c r="W24" s="3">
        <v>32450</v>
      </c>
      <c r="X24" s="93" t="s">
        <v>777</v>
      </c>
      <c r="Y24" s="132">
        <v>32450.86</v>
      </c>
      <c r="Z24" s="124"/>
      <c r="AA24" s="241" t="s">
        <v>31</v>
      </c>
      <c r="AB24" s="292">
        <v>52594.5</v>
      </c>
      <c r="AC24" s="290">
        <v>42690</v>
      </c>
    </row>
    <row r="25" spans="1:29" x14ac:dyDescent="0.25">
      <c r="A25" s="14"/>
      <c r="B25" s="96">
        <v>42693</v>
      </c>
      <c r="C25" s="93" t="s">
        <v>772</v>
      </c>
      <c r="D25" s="132">
        <v>173587.8</v>
      </c>
      <c r="E25" s="95">
        <v>42704</v>
      </c>
      <c r="F25" s="132">
        <v>173587.8</v>
      </c>
      <c r="G25" s="99">
        <f t="shared" si="0"/>
        <v>0</v>
      </c>
      <c r="H25" s="38"/>
      <c r="L25" s="3">
        <v>35181.86</v>
      </c>
      <c r="M25" s="391" t="s">
        <v>701</v>
      </c>
      <c r="N25" s="394">
        <v>35164.82</v>
      </c>
      <c r="O25" s="124" t="s">
        <v>88</v>
      </c>
      <c r="P25" s="241">
        <v>3660790</v>
      </c>
      <c r="Q25" s="292">
        <v>1809.5</v>
      </c>
      <c r="R25" s="290">
        <v>42668</v>
      </c>
      <c r="W25" s="3">
        <f>6220.59+4259.81</f>
        <v>10480.400000000001</v>
      </c>
      <c r="X25" s="396" t="s">
        <v>786</v>
      </c>
      <c r="Y25" s="397">
        <v>10481.4</v>
      </c>
      <c r="Z25" s="124" t="s">
        <v>564</v>
      </c>
      <c r="AA25" s="241" t="s">
        <v>31</v>
      </c>
      <c r="AB25" s="292">
        <v>7104</v>
      </c>
      <c r="AC25" s="290">
        <v>42690</v>
      </c>
    </row>
    <row r="26" spans="1:29" x14ac:dyDescent="0.25">
      <c r="A26" s="14"/>
      <c r="B26" s="96">
        <v>42693</v>
      </c>
      <c r="C26" s="93" t="s">
        <v>773</v>
      </c>
      <c r="D26" s="132">
        <v>12716</v>
      </c>
      <c r="E26" s="95">
        <v>42704</v>
      </c>
      <c r="F26" s="132">
        <v>12716</v>
      </c>
      <c r="G26" s="99">
        <f t="shared" si="0"/>
        <v>0</v>
      </c>
      <c r="H26" s="38"/>
      <c r="L26" s="3"/>
      <c r="M26" s="391"/>
      <c r="N26" s="394"/>
      <c r="O26" s="124"/>
      <c r="P26" s="241" t="s">
        <v>31</v>
      </c>
      <c r="Q26" s="292">
        <v>25763.5</v>
      </c>
      <c r="R26" s="290">
        <v>42670</v>
      </c>
      <c r="W26" s="3">
        <v>23631.8</v>
      </c>
      <c r="X26" s="93" t="s">
        <v>778</v>
      </c>
      <c r="Y26" s="132">
        <v>23631.8</v>
      </c>
      <c r="Z26" s="124"/>
      <c r="AA26" s="241" t="s">
        <v>31</v>
      </c>
      <c r="AB26" s="292">
        <v>10496.5</v>
      </c>
      <c r="AC26" s="290">
        <v>42690</v>
      </c>
    </row>
    <row r="27" spans="1:29" x14ac:dyDescent="0.25">
      <c r="A27" s="14"/>
      <c r="B27" s="96">
        <v>42694</v>
      </c>
      <c r="C27" s="93" t="s">
        <v>774</v>
      </c>
      <c r="D27" s="132">
        <v>140235.20000000001</v>
      </c>
      <c r="E27" s="95">
        <v>42704</v>
      </c>
      <c r="F27" s="132">
        <v>140235.20000000001</v>
      </c>
      <c r="G27" s="99">
        <f t="shared" si="0"/>
        <v>0</v>
      </c>
      <c r="H27" s="38"/>
      <c r="L27" s="3"/>
      <c r="M27" s="328"/>
      <c r="N27" s="394"/>
      <c r="O27" s="124"/>
      <c r="P27" s="241">
        <v>3680989</v>
      </c>
      <c r="Q27" s="292">
        <v>39062</v>
      </c>
      <c r="R27" s="290">
        <v>42670</v>
      </c>
      <c r="W27" s="3">
        <f>31222.39+110651.81</f>
        <v>141874.20000000001</v>
      </c>
      <c r="X27" s="93" t="s">
        <v>779</v>
      </c>
      <c r="Y27" s="132">
        <v>141874.20000000001</v>
      </c>
      <c r="Z27" s="124"/>
      <c r="AA27" s="241">
        <v>3301002</v>
      </c>
      <c r="AB27" s="292">
        <v>16545.5</v>
      </c>
      <c r="AC27" s="290">
        <v>42690</v>
      </c>
    </row>
    <row r="28" spans="1:29" x14ac:dyDescent="0.25">
      <c r="A28" s="14"/>
      <c r="B28" s="96">
        <v>42694</v>
      </c>
      <c r="C28" s="93" t="s">
        <v>775</v>
      </c>
      <c r="D28" s="132">
        <v>8812.7999999999993</v>
      </c>
      <c r="E28" s="95">
        <v>42704</v>
      </c>
      <c r="F28" s="132">
        <v>8812.7999999999993</v>
      </c>
      <c r="G28" s="99">
        <f t="shared" si="0"/>
        <v>0</v>
      </c>
      <c r="H28" s="38"/>
      <c r="L28" s="3"/>
      <c r="M28" s="328"/>
      <c r="N28" s="394"/>
      <c r="O28" s="124"/>
      <c r="P28" s="241" t="s">
        <v>31</v>
      </c>
      <c r="Q28" s="292">
        <v>8192.5</v>
      </c>
      <c r="R28" s="290">
        <v>42670</v>
      </c>
      <c r="W28" s="3">
        <f>14750.69+20729.56</f>
        <v>35480.25</v>
      </c>
      <c r="X28" s="93" t="s">
        <v>780</v>
      </c>
      <c r="Y28" s="132">
        <v>35480.25</v>
      </c>
      <c r="Z28" s="124"/>
      <c r="AA28" s="241">
        <v>3301001</v>
      </c>
      <c r="AB28" s="292">
        <v>15000</v>
      </c>
      <c r="AC28" s="290">
        <v>42690</v>
      </c>
    </row>
    <row r="29" spans="1:29" x14ac:dyDescent="0.25">
      <c r="A29" s="14"/>
      <c r="B29" s="96">
        <v>42695</v>
      </c>
      <c r="C29" s="93" t="s">
        <v>776</v>
      </c>
      <c r="D29" s="132">
        <v>34260.42</v>
      </c>
      <c r="E29" s="95">
        <v>42704</v>
      </c>
      <c r="F29" s="132">
        <v>34260.42</v>
      </c>
      <c r="G29" s="99">
        <f t="shared" si="0"/>
        <v>0</v>
      </c>
      <c r="H29" s="38"/>
      <c r="L29" s="3"/>
      <c r="M29" s="328"/>
      <c r="N29" s="394"/>
      <c r="O29" s="124"/>
      <c r="P29" s="241">
        <v>3660794</v>
      </c>
      <c r="Q29" s="292">
        <v>31681.5</v>
      </c>
      <c r="R29" s="290">
        <v>42672</v>
      </c>
      <c r="W29" s="3">
        <v>472.5</v>
      </c>
      <c r="X29" s="233" t="s">
        <v>781</v>
      </c>
      <c r="Y29" s="234">
        <v>472.5</v>
      </c>
      <c r="Z29" s="124"/>
      <c r="AA29" s="241">
        <v>3301003</v>
      </c>
      <c r="AB29" s="292">
        <v>50000</v>
      </c>
      <c r="AC29" s="290">
        <v>42691</v>
      </c>
    </row>
    <row r="30" spans="1:29" x14ac:dyDescent="0.25">
      <c r="A30" s="14"/>
      <c r="B30" s="96">
        <v>42695</v>
      </c>
      <c r="C30" s="93" t="s">
        <v>777</v>
      </c>
      <c r="D30" s="132">
        <v>32450.86</v>
      </c>
      <c r="E30" s="95">
        <v>42704</v>
      </c>
      <c r="F30" s="132">
        <v>32450.86</v>
      </c>
      <c r="G30" s="99">
        <f t="shared" si="0"/>
        <v>0</v>
      </c>
      <c r="H30" s="38"/>
      <c r="L30" s="3"/>
      <c r="M30" s="93"/>
      <c r="N30" s="132"/>
      <c r="O30" s="124"/>
      <c r="P30" s="241" t="s">
        <v>31</v>
      </c>
      <c r="Q30" s="292">
        <v>47132</v>
      </c>
      <c r="R30" s="290">
        <v>42674</v>
      </c>
      <c r="W30" s="3">
        <v>35016</v>
      </c>
      <c r="X30" s="353" t="s">
        <v>782</v>
      </c>
      <c r="Y30" s="292">
        <v>35016</v>
      </c>
      <c r="Z30" s="124"/>
      <c r="AA30" s="241">
        <v>3301004</v>
      </c>
      <c r="AB30" s="292">
        <v>20000</v>
      </c>
      <c r="AC30" s="290">
        <v>42691</v>
      </c>
    </row>
    <row r="31" spans="1:29" x14ac:dyDescent="0.25">
      <c r="A31" s="14"/>
      <c r="B31" s="96">
        <v>42696</v>
      </c>
      <c r="C31" s="352" t="s">
        <v>786</v>
      </c>
      <c r="D31" s="235">
        <v>10481.4</v>
      </c>
      <c r="E31" s="95">
        <v>42704</v>
      </c>
      <c r="F31" s="235">
        <v>10481.4</v>
      </c>
      <c r="G31" s="99">
        <f t="shared" si="0"/>
        <v>0</v>
      </c>
      <c r="H31" s="38"/>
      <c r="L31" s="3"/>
      <c r="M31" s="93"/>
      <c r="N31" s="132"/>
      <c r="O31" s="124"/>
      <c r="P31" s="241">
        <v>3660791</v>
      </c>
      <c r="Q31" s="292">
        <v>55000</v>
      </c>
      <c r="R31" s="290">
        <v>42671</v>
      </c>
      <c r="W31" s="3">
        <v>2577.42</v>
      </c>
      <c r="X31" s="353" t="s">
        <v>783</v>
      </c>
      <c r="Y31" s="292">
        <v>2560.48</v>
      </c>
      <c r="Z31" s="124" t="s">
        <v>88</v>
      </c>
      <c r="AA31" s="241">
        <v>3301005</v>
      </c>
      <c r="AB31" s="292">
        <v>15348.5</v>
      </c>
      <c r="AC31" s="290">
        <v>42692</v>
      </c>
    </row>
    <row r="32" spans="1:29" x14ac:dyDescent="0.25">
      <c r="A32" s="14"/>
      <c r="B32" s="96">
        <v>42697</v>
      </c>
      <c r="C32" s="93" t="s">
        <v>778</v>
      </c>
      <c r="D32" s="132">
        <v>23631.8</v>
      </c>
      <c r="E32" s="95">
        <v>42704</v>
      </c>
      <c r="F32" s="132">
        <v>23631.8</v>
      </c>
      <c r="G32" s="99">
        <f t="shared" si="0"/>
        <v>0</v>
      </c>
      <c r="H32" s="38"/>
      <c r="L32" s="3"/>
      <c r="M32" s="93"/>
      <c r="N32" s="132"/>
      <c r="O32" s="124"/>
      <c r="P32" s="241">
        <v>3</v>
      </c>
      <c r="Q32" s="292">
        <v>30000</v>
      </c>
      <c r="R32" s="290">
        <v>42671</v>
      </c>
      <c r="W32" s="3"/>
      <c r="X32" s="352"/>
      <c r="Y32" s="235"/>
      <c r="Z32" s="124"/>
      <c r="AA32" s="241">
        <v>3301008</v>
      </c>
      <c r="AB32" s="292">
        <v>22806</v>
      </c>
      <c r="AC32" s="290">
        <v>42692</v>
      </c>
    </row>
    <row r="33" spans="1:29" x14ac:dyDescent="0.25">
      <c r="A33" s="14"/>
      <c r="B33" s="96">
        <v>42697</v>
      </c>
      <c r="C33" s="93" t="s">
        <v>779</v>
      </c>
      <c r="D33" s="132">
        <v>141874.20000000001</v>
      </c>
      <c r="E33" s="95">
        <v>42704</v>
      </c>
      <c r="F33" s="132">
        <v>141874.20000000001</v>
      </c>
      <c r="G33" s="99">
        <f t="shared" si="0"/>
        <v>0</v>
      </c>
      <c r="H33" s="38"/>
      <c r="L33" s="3"/>
      <c r="M33" s="93"/>
      <c r="N33" s="132"/>
      <c r="O33" s="124"/>
      <c r="P33" s="241">
        <v>3660793</v>
      </c>
      <c r="Q33" s="292">
        <v>29232.5</v>
      </c>
      <c r="R33" s="290">
        <v>42671</v>
      </c>
      <c r="W33" s="3">
        <v>10019.52</v>
      </c>
      <c r="X33" s="396" t="s">
        <v>787</v>
      </c>
      <c r="Y33" s="397">
        <v>10019.52</v>
      </c>
      <c r="Z33" s="124" t="s">
        <v>564</v>
      </c>
      <c r="AA33" s="241">
        <v>3301007</v>
      </c>
      <c r="AB33" s="292">
        <v>40000</v>
      </c>
      <c r="AC33" s="290">
        <v>42692</v>
      </c>
    </row>
    <row r="34" spans="1:29" x14ac:dyDescent="0.25">
      <c r="A34" s="14"/>
      <c r="B34" s="96">
        <v>42698</v>
      </c>
      <c r="C34" s="93" t="s">
        <v>780</v>
      </c>
      <c r="D34" s="132">
        <v>35480.25</v>
      </c>
      <c r="E34" s="95">
        <v>42704</v>
      </c>
      <c r="F34" s="132">
        <v>35480.25</v>
      </c>
      <c r="G34" s="99">
        <f t="shared" si="0"/>
        <v>0</v>
      </c>
      <c r="H34" s="38"/>
      <c r="L34" s="3"/>
      <c r="M34" s="93"/>
      <c r="N34" s="132"/>
      <c r="O34" s="124"/>
      <c r="P34" s="241"/>
      <c r="Q34" s="292"/>
      <c r="R34" s="290"/>
      <c r="W34" s="3"/>
      <c r="X34" s="93"/>
      <c r="Y34" s="132"/>
      <c r="Z34" s="124"/>
      <c r="AA34" s="241">
        <v>3301006</v>
      </c>
      <c r="AB34" s="292">
        <v>50000</v>
      </c>
      <c r="AC34" s="290">
        <v>42692</v>
      </c>
    </row>
    <row r="35" spans="1:29" ht="16.5" customHeight="1" thickBot="1" x14ac:dyDescent="0.3">
      <c r="B35" s="96">
        <v>42698</v>
      </c>
      <c r="C35" s="233" t="s">
        <v>781</v>
      </c>
      <c r="D35" s="234">
        <v>472.5</v>
      </c>
      <c r="E35" s="95">
        <v>42704</v>
      </c>
      <c r="F35" s="234">
        <v>472.5</v>
      </c>
      <c r="G35" s="99">
        <f t="shared" si="0"/>
        <v>0</v>
      </c>
      <c r="L35" s="3"/>
      <c r="M35" s="281"/>
      <c r="N35" s="282"/>
      <c r="O35" s="219"/>
      <c r="P35" s="377"/>
      <c r="Q35" s="199">
        <v>0</v>
      </c>
      <c r="R35" s="220"/>
      <c r="X35" s="192"/>
      <c r="Y35" s="192"/>
      <c r="Z35" s="192"/>
      <c r="AA35" s="340" t="s">
        <v>31</v>
      </c>
      <c r="AB35" s="332">
        <v>19966</v>
      </c>
      <c r="AC35" s="290">
        <v>42698</v>
      </c>
    </row>
    <row r="36" spans="1:29" ht="16.5" thickTop="1" x14ac:dyDescent="0.25">
      <c r="B36" s="96">
        <v>42698</v>
      </c>
      <c r="C36" s="353" t="s">
        <v>782</v>
      </c>
      <c r="D36" s="292">
        <v>35016</v>
      </c>
      <c r="E36" s="95">
        <v>42704</v>
      </c>
      <c r="F36" s="292">
        <v>35016</v>
      </c>
      <c r="G36" s="99">
        <f t="shared" si="0"/>
        <v>0</v>
      </c>
      <c r="H36"/>
      <c r="L36" s="33">
        <f>SUM(L4:L35)</f>
        <v>784084.50000000012</v>
      </c>
      <c r="M36" s="147"/>
      <c r="N36" s="236">
        <f>SUM(N4:N35)</f>
        <v>784084.00000000012</v>
      </c>
      <c r="O36" s="210"/>
      <c r="P36" s="211"/>
      <c r="Q36" s="200">
        <f>SUM(Q4:Q35)</f>
        <v>784084</v>
      </c>
      <c r="R36" s="202"/>
      <c r="X36" s="192"/>
      <c r="Y36" s="192"/>
      <c r="Z36" s="192"/>
      <c r="AA36" s="340">
        <v>3300937</v>
      </c>
      <c r="AB36" s="332">
        <v>17641</v>
      </c>
      <c r="AC36" s="290">
        <v>42693</v>
      </c>
    </row>
    <row r="37" spans="1:29" x14ac:dyDescent="0.25">
      <c r="A37" s="159"/>
      <c r="B37" s="96">
        <v>42698</v>
      </c>
      <c r="C37" s="353" t="s">
        <v>783</v>
      </c>
      <c r="D37" s="292">
        <v>119226.6</v>
      </c>
      <c r="E37" s="95">
        <v>42704</v>
      </c>
      <c r="F37" s="356">
        <v>2560.48</v>
      </c>
      <c r="G37" s="398">
        <f t="shared" si="0"/>
        <v>116666.12000000001</v>
      </c>
      <c r="H37"/>
      <c r="X37" s="192"/>
      <c r="Y37" s="192"/>
      <c r="Z37" s="192"/>
      <c r="AA37" s="241">
        <v>3300933</v>
      </c>
      <c r="AB37" s="292">
        <v>20000</v>
      </c>
      <c r="AC37" s="290">
        <v>42693</v>
      </c>
    </row>
    <row r="38" spans="1:29" x14ac:dyDescent="0.25">
      <c r="B38" s="96">
        <v>42699</v>
      </c>
      <c r="C38" s="353" t="s">
        <v>785</v>
      </c>
      <c r="D38" s="292">
        <v>73709.600000000006</v>
      </c>
      <c r="E38" s="95"/>
      <c r="F38" s="131"/>
      <c r="G38" s="327">
        <f t="shared" si="0"/>
        <v>73709.600000000006</v>
      </c>
      <c r="H38"/>
      <c r="X38" s="192"/>
      <c r="Y38" s="192"/>
      <c r="Z38" s="192"/>
      <c r="AA38" s="241">
        <v>3301009</v>
      </c>
      <c r="AB38" s="292">
        <v>45000</v>
      </c>
      <c r="AC38" s="290">
        <v>42693</v>
      </c>
    </row>
    <row r="39" spans="1:29" ht="19.5" customHeight="1" x14ac:dyDescent="0.25">
      <c r="B39" s="96">
        <v>42699</v>
      </c>
      <c r="C39" s="353" t="s">
        <v>787</v>
      </c>
      <c r="D39" s="292">
        <v>10019.52</v>
      </c>
      <c r="E39" s="95">
        <v>42704</v>
      </c>
      <c r="F39" s="292">
        <v>10019.52</v>
      </c>
      <c r="G39" s="327">
        <f t="shared" si="0"/>
        <v>0</v>
      </c>
      <c r="H39"/>
      <c r="X39" s="192"/>
      <c r="Y39" s="192"/>
      <c r="Z39" s="192"/>
      <c r="AA39" s="241">
        <v>3301010</v>
      </c>
      <c r="AB39" s="292">
        <v>37666</v>
      </c>
      <c r="AC39" s="290">
        <v>42693</v>
      </c>
    </row>
    <row r="40" spans="1:29" ht="16.5" customHeight="1" x14ac:dyDescent="0.25">
      <c r="B40" s="96">
        <v>42700</v>
      </c>
      <c r="C40" s="353" t="s">
        <v>790</v>
      </c>
      <c r="D40" s="292">
        <v>109184</v>
      </c>
      <c r="E40" s="290"/>
      <c r="F40" s="131"/>
      <c r="G40" s="327">
        <f t="shared" si="0"/>
        <v>109184</v>
      </c>
      <c r="H40"/>
      <c r="X40" s="192"/>
      <c r="Y40" s="192"/>
      <c r="Z40" s="192"/>
      <c r="AA40" s="340">
        <v>3301012</v>
      </c>
      <c r="AB40" s="332">
        <v>36000</v>
      </c>
      <c r="AC40" s="290">
        <v>42694</v>
      </c>
    </row>
    <row r="41" spans="1:29" x14ac:dyDescent="0.25">
      <c r="B41" s="96">
        <v>42701</v>
      </c>
      <c r="C41" s="353" t="s">
        <v>791</v>
      </c>
      <c r="D41" s="292">
        <v>12227.6</v>
      </c>
      <c r="E41" s="290"/>
      <c r="F41" s="131"/>
      <c r="G41" s="327">
        <f t="shared" si="0"/>
        <v>12227.6</v>
      </c>
      <c r="H41"/>
      <c r="X41" s="192"/>
      <c r="Y41" s="192"/>
      <c r="Z41" s="192"/>
      <c r="AA41" s="340">
        <v>3301013</v>
      </c>
      <c r="AB41" s="332">
        <v>22000</v>
      </c>
      <c r="AC41" s="290">
        <v>42694</v>
      </c>
    </row>
    <row r="42" spans="1:29" ht="14.25" customHeight="1" x14ac:dyDescent="0.25">
      <c r="B42" s="96">
        <v>42702</v>
      </c>
      <c r="C42" s="328" t="s">
        <v>792</v>
      </c>
      <c r="D42" s="332">
        <v>37012</v>
      </c>
      <c r="E42" s="290"/>
      <c r="F42" s="131"/>
      <c r="G42" s="384">
        <f t="shared" si="0"/>
        <v>37012</v>
      </c>
      <c r="H42"/>
      <c r="X42" s="192"/>
      <c r="Y42" s="192"/>
      <c r="Z42" s="192"/>
      <c r="AA42" s="340">
        <v>3301015</v>
      </c>
      <c r="AB42" s="332">
        <v>25000</v>
      </c>
      <c r="AC42" s="290">
        <v>42694</v>
      </c>
    </row>
    <row r="43" spans="1:29" x14ac:dyDescent="0.25">
      <c r="B43" s="96">
        <v>42703</v>
      </c>
      <c r="C43" s="389" t="s">
        <v>794</v>
      </c>
      <c r="D43" s="234">
        <v>149969.79999999999</v>
      </c>
      <c r="E43" s="385"/>
      <c r="F43" s="131"/>
      <c r="G43" s="384">
        <f>D43-F43</f>
        <v>149969.79999999999</v>
      </c>
      <c r="H43"/>
      <c r="X43" s="192"/>
      <c r="Y43" s="192"/>
      <c r="Z43" s="192"/>
      <c r="AA43" s="340">
        <v>3301016</v>
      </c>
      <c r="AB43" s="332">
        <v>15083.5</v>
      </c>
      <c r="AC43" s="290">
        <v>42694</v>
      </c>
    </row>
    <row r="44" spans="1:29" x14ac:dyDescent="0.25">
      <c r="B44" s="96">
        <v>42704</v>
      </c>
      <c r="C44" s="353" t="s">
        <v>793</v>
      </c>
      <c r="D44" s="292">
        <v>118315.07</v>
      </c>
      <c r="E44" s="387"/>
      <c r="F44" s="388"/>
      <c r="G44" s="384">
        <f t="shared" ref="G44:G61" si="1">D44-F44</f>
        <v>118315.07</v>
      </c>
      <c r="H44"/>
      <c r="X44" s="192"/>
      <c r="Y44" s="192"/>
      <c r="Z44" s="192"/>
      <c r="AA44" s="340" t="s">
        <v>31</v>
      </c>
      <c r="AB44" s="332">
        <v>104557</v>
      </c>
      <c r="AC44" s="290">
        <v>42699</v>
      </c>
    </row>
    <row r="45" spans="1:29" ht="16.5" thickBot="1" x14ac:dyDescent="0.3">
      <c r="B45" s="96"/>
      <c r="C45" s="390"/>
      <c r="D45" s="386"/>
      <c r="E45" s="329"/>
      <c r="F45" s="131"/>
      <c r="G45" s="384">
        <f t="shared" si="1"/>
        <v>0</v>
      </c>
      <c r="H45"/>
      <c r="X45" s="192"/>
      <c r="Y45" s="192"/>
      <c r="Z45" s="192"/>
      <c r="AA45" s="340" t="s">
        <v>31</v>
      </c>
      <c r="AB45" s="332">
        <v>10850</v>
      </c>
      <c r="AC45" s="290">
        <v>42697</v>
      </c>
    </row>
    <row r="46" spans="1:29" ht="19.5" thickBot="1" x14ac:dyDescent="0.35">
      <c r="B46" s="96"/>
      <c r="C46" s="328"/>
      <c r="D46" s="332"/>
      <c r="E46" s="329"/>
      <c r="F46" s="131"/>
      <c r="G46" s="384">
        <f t="shared" si="1"/>
        <v>0</v>
      </c>
      <c r="H46"/>
      <c r="L46" s="33"/>
      <c r="M46" s="417">
        <v>1</v>
      </c>
      <c r="N46" s="86" t="s">
        <v>28</v>
      </c>
      <c r="O46" s="86"/>
      <c r="P46" s="110"/>
      <c r="Q46" s="148">
        <v>42689</v>
      </c>
      <c r="R46" s="112"/>
      <c r="X46" s="192"/>
      <c r="Y46" s="192"/>
      <c r="Z46" s="192"/>
      <c r="AA46" s="340" t="s">
        <v>31</v>
      </c>
      <c r="AB46" s="332">
        <v>818</v>
      </c>
      <c r="AC46" s="290">
        <v>42697</v>
      </c>
    </row>
    <row r="47" spans="1:29" ht="16.5" thickBot="1" x14ac:dyDescent="0.3">
      <c r="B47" s="96"/>
      <c r="C47" s="328"/>
      <c r="D47" s="394"/>
      <c r="E47" s="329"/>
      <c r="F47" s="131"/>
      <c r="G47" s="384">
        <f t="shared" si="1"/>
        <v>0</v>
      </c>
      <c r="H47"/>
      <c r="L47" s="33"/>
      <c r="M47" s="418"/>
      <c r="N47" s="113"/>
      <c r="O47" s="113"/>
      <c r="P47" s="114"/>
      <c r="Q47" s="115"/>
      <c r="R47" s="112"/>
      <c r="X47" s="192"/>
      <c r="Y47" s="192"/>
      <c r="Z47" s="192"/>
      <c r="AA47" s="340">
        <v>3301018</v>
      </c>
      <c r="AB47" s="332">
        <v>23000</v>
      </c>
      <c r="AC47" s="290">
        <v>42695</v>
      </c>
    </row>
    <row r="48" spans="1:29" ht="16.5" thickBot="1" x14ac:dyDescent="0.3">
      <c r="B48" s="96"/>
      <c r="C48" s="391"/>
      <c r="D48" s="394"/>
      <c r="E48" s="192"/>
      <c r="F48" s="192"/>
      <c r="G48" s="384">
        <f t="shared" si="1"/>
        <v>0</v>
      </c>
      <c r="H48"/>
      <c r="L48" s="3"/>
      <c r="M48" s="116" t="s">
        <v>23</v>
      </c>
      <c r="N48" s="116" t="s">
        <v>24</v>
      </c>
      <c r="O48" s="116"/>
      <c r="P48" s="117" t="s">
        <v>29</v>
      </c>
      <c r="Q48" s="118" t="s">
        <v>30</v>
      </c>
      <c r="R48" s="119"/>
      <c r="X48" s="192"/>
      <c r="Y48" s="192"/>
      <c r="Z48" s="192"/>
      <c r="AA48" s="340">
        <v>3301019</v>
      </c>
      <c r="AB48" s="332">
        <v>27500</v>
      </c>
      <c r="AC48" s="290">
        <v>42695</v>
      </c>
    </row>
    <row r="49" spans="2:29" ht="16.5" thickTop="1" x14ac:dyDescent="0.25">
      <c r="B49" s="96"/>
      <c r="C49" s="391"/>
      <c r="D49" s="394"/>
      <c r="E49" s="192"/>
      <c r="F49" s="192"/>
      <c r="G49" s="384">
        <f t="shared" si="1"/>
        <v>0</v>
      </c>
      <c r="H49"/>
      <c r="L49" s="33">
        <v>22258.54</v>
      </c>
      <c r="M49" s="391" t="s">
        <v>701</v>
      </c>
      <c r="N49" s="394">
        <v>22275.58</v>
      </c>
      <c r="O49" s="120" t="s">
        <v>36</v>
      </c>
      <c r="P49" s="289">
        <v>3002919</v>
      </c>
      <c r="Q49" s="296">
        <v>40000</v>
      </c>
      <c r="R49" s="297">
        <v>42673</v>
      </c>
      <c r="X49" s="192"/>
      <c r="Y49" s="192"/>
      <c r="Z49" s="192"/>
      <c r="AA49" s="340">
        <v>3301020</v>
      </c>
      <c r="AB49" s="332">
        <v>24083</v>
      </c>
      <c r="AC49" s="290">
        <v>42695</v>
      </c>
    </row>
    <row r="50" spans="2:29" x14ac:dyDescent="0.25">
      <c r="B50" s="96"/>
      <c r="C50" s="391"/>
      <c r="D50" s="394"/>
      <c r="E50" s="192"/>
      <c r="F50" s="192"/>
      <c r="G50" s="384">
        <f t="shared" si="1"/>
        <v>0</v>
      </c>
      <c r="H50"/>
      <c r="L50" s="33">
        <f>37690.46+11152.74</f>
        <v>48843.199999999997</v>
      </c>
      <c r="M50" s="391" t="s">
        <v>702</v>
      </c>
      <c r="N50" s="394">
        <v>48843.199999999997</v>
      </c>
      <c r="O50" s="124"/>
      <c r="P50" s="241">
        <v>3002920</v>
      </c>
      <c r="Q50" s="242">
        <v>19949</v>
      </c>
      <c r="R50" s="290">
        <v>42673</v>
      </c>
      <c r="X50" s="192"/>
      <c r="Y50" s="192"/>
      <c r="Z50" s="192"/>
      <c r="AA50" s="340">
        <v>3301017</v>
      </c>
      <c r="AB50" s="332">
        <v>86700</v>
      </c>
      <c r="AC50" s="290">
        <v>42696</v>
      </c>
    </row>
    <row r="51" spans="2:29" x14ac:dyDescent="0.25">
      <c r="B51" s="96"/>
      <c r="C51" s="391"/>
      <c r="D51" s="394"/>
      <c r="E51" s="192"/>
      <c r="F51" s="192"/>
      <c r="G51" s="384">
        <f t="shared" si="1"/>
        <v>0</v>
      </c>
      <c r="H51"/>
      <c r="L51" s="33">
        <f>79021.76+16470+10469</f>
        <v>105960.76</v>
      </c>
      <c r="M51" s="328" t="s">
        <v>703</v>
      </c>
      <c r="N51" s="394">
        <v>105960.3</v>
      </c>
      <c r="O51" s="120"/>
      <c r="P51" s="241">
        <v>3002921</v>
      </c>
      <c r="Q51" s="242">
        <v>32000</v>
      </c>
      <c r="R51" s="290">
        <v>42674</v>
      </c>
      <c r="X51" s="192"/>
      <c r="Y51" s="192"/>
      <c r="Z51" s="192"/>
      <c r="AA51" s="340" t="s">
        <v>31</v>
      </c>
      <c r="AB51" s="332">
        <v>6948</v>
      </c>
      <c r="AC51" s="290">
        <v>42697</v>
      </c>
    </row>
    <row r="52" spans="2:29" x14ac:dyDescent="0.25">
      <c r="B52" s="96"/>
      <c r="C52" s="391"/>
      <c r="D52" s="394"/>
      <c r="E52" s="192"/>
      <c r="F52" s="192"/>
      <c r="G52" s="384">
        <f t="shared" si="1"/>
        <v>0</v>
      </c>
      <c r="H52"/>
      <c r="L52" s="33">
        <f>37645.5+22656.06</f>
        <v>60301.56</v>
      </c>
      <c r="M52" s="328" t="s">
        <v>704</v>
      </c>
      <c r="N52" s="394">
        <v>60301.56</v>
      </c>
      <c r="O52" s="124"/>
      <c r="P52" s="241">
        <v>3002923</v>
      </c>
      <c r="Q52" s="242">
        <v>30000</v>
      </c>
      <c r="R52" s="290">
        <v>42674</v>
      </c>
      <c r="X52" s="192"/>
      <c r="Y52" s="192"/>
      <c r="Z52" s="192"/>
      <c r="AA52" s="340">
        <v>3301029</v>
      </c>
      <c r="AB52" s="332">
        <v>300</v>
      </c>
      <c r="AC52" s="290">
        <v>42696</v>
      </c>
    </row>
    <row r="53" spans="2:29" x14ac:dyDescent="0.25">
      <c r="B53" s="96"/>
      <c r="C53" s="391"/>
      <c r="D53" s="394"/>
      <c r="E53" s="192"/>
      <c r="F53" s="192"/>
      <c r="G53" s="384">
        <f t="shared" si="1"/>
        <v>0</v>
      </c>
      <c r="H53"/>
      <c r="L53" s="33">
        <f>3025.44+17355.76</f>
        <v>20381.199999999997</v>
      </c>
      <c r="M53" s="328" t="s">
        <v>705</v>
      </c>
      <c r="N53" s="394">
        <v>20381.2</v>
      </c>
      <c r="O53" s="124"/>
      <c r="P53" s="241">
        <v>3002924</v>
      </c>
      <c r="Q53" s="242">
        <v>28174</v>
      </c>
      <c r="R53" s="290">
        <v>42674</v>
      </c>
      <c r="X53" s="192"/>
      <c r="Y53" s="192"/>
      <c r="Z53" s="192"/>
      <c r="AA53" s="340">
        <v>3301023</v>
      </c>
      <c r="AB53" s="332">
        <v>9114</v>
      </c>
      <c r="AC53" s="290">
        <v>42697</v>
      </c>
    </row>
    <row r="54" spans="2:29" x14ac:dyDescent="0.25">
      <c r="B54" s="330"/>
      <c r="C54" s="391"/>
      <c r="D54" s="394"/>
      <c r="E54" s="192"/>
      <c r="F54" s="192"/>
      <c r="G54" s="384">
        <f t="shared" si="1"/>
        <v>0</v>
      </c>
      <c r="H54"/>
      <c r="L54" s="33">
        <f>29015.74+62859.56</f>
        <v>91875.3</v>
      </c>
      <c r="M54" s="93" t="s">
        <v>706</v>
      </c>
      <c r="N54" s="132">
        <v>91875.3</v>
      </c>
      <c r="O54" s="124"/>
      <c r="P54" s="241">
        <v>3002922</v>
      </c>
      <c r="Q54" s="242">
        <v>48114.5</v>
      </c>
      <c r="R54" s="290">
        <v>42675</v>
      </c>
      <c r="X54" s="192"/>
      <c r="Y54" s="192"/>
      <c r="Z54" s="192"/>
      <c r="AA54" s="340">
        <v>3301022</v>
      </c>
      <c r="AB54" s="332">
        <v>25000</v>
      </c>
      <c r="AC54" s="290">
        <v>42698</v>
      </c>
    </row>
    <row r="55" spans="2:29" x14ac:dyDescent="0.25">
      <c r="B55" s="330"/>
      <c r="C55" s="328"/>
      <c r="D55" s="394"/>
      <c r="E55" s="329"/>
      <c r="F55" s="131"/>
      <c r="G55" s="292">
        <f t="shared" si="1"/>
        <v>0</v>
      </c>
      <c r="H55"/>
      <c r="L55" s="33">
        <f>16141.94+60369.9</f>
        <v>76511.839999999997</v>
      </c>
      <c r="M55" s="93" t="s">
        <v>728</v>
      </c>
      <c r="N55" s="132">
        <v>76511.839999999997</v>
      </c>
      <c r="O55" s="124"/>
      <c r="P55" s="241" t="s">
        <v>31</v>
      </c>
      <c r="Q55" s="242">
        <v>16470</v>
      </c>
      <c r="R55" s="290">
        <v>42678</v>
      </c>
      <c r="X55" s="192"/>
      <c r="Y55" s="192"/>
      <c r="Z55" s="192"/>
      <c r="AA55" s="340">
        <v>3301021</v>
      </c>
      <c r="AB55" s="332">
        <v>25000</v>
      </c>
      <c r="AC55" s="290">
        <v>42697</v>
      </c>
    </row>
    <row r="56" spans="2:29" x14ac:dyDescent="0.25">
      <c r="B56" s="330"/>
      <c r="C56" s="328"/>
      <c r="D56" s="394"/>
      <c r="E56" s="329"/>
      <c r="F56" s="131"/>
      <c r="G56" s="292">
        <f t="shared" si="1"/>
        <v>0</v>
      </c>
      <c r="H56"/>
      <c r="L56" s="33">
        <f>16464.1+76107.5+1224.2</f>
        <v>93795.8</v>
      </c>
      <c r="M56" s="93" t="s">
        <v>729</v>
      </c>
      <c r="N56" s="132">
        <v>93795.8</v>
      </c>
      <c r="O56" s="128"/>
      <c r="P56" s="241">
        <v>3002925</v>
      </c>
      <c r="Q56" s="292">
        <v>25681.5</v>
      </c>
      <c r="R56" s="290">
        <v>42676</v>
      </c>
      <c r="X56" s="192"/>
      <c r="Y56" s="192"/>
      <c r="Z56" s="192"/>
      <c r="AA56" s="340">
        <v>3300921</v>
      </c>
      <c r="AB56" s="332">
        <v>17494</v>
      </c>
      <c r="AC56" s="290">
        <v>42700</v>
      </c>
    </row>
    <row r="57" spans="2:29" x14ac:dyDescent="0.25">
      <c r="B57" s="330"/>
      <c r="C57" s="328"/>
      <c r="D57" s="394"/>
      <c r="E57" s="329"/>
      <c r="F57" s="131"/>
      <c r="G57" s="292">
        <f t="shared" si="1"/>
        <v>0</v>
      </c>
      <c r="H57"/>
      <c r="L57" s="33">
        <v>69162.960000000006</v>
      </c>
      <c r="M57" s="93" t="s">
        <v>730</v>
      </c>
      <c r="N57" s="132">
        <v>69162.960000000006</v>
      </c>
      <c r="O57" s="129"/>
      <c r="P57" s="241">
        <v>3002926</v>
      </c>
      <c r="Q57" s="292">
        <v>25072.5</v>
      </c>
      <c r="R57" s="290">
        <v>42677</v>
      </c>
      <c r="X57" s="192"/>
      <c r="Y57" s="192"/>
      <c r="Z57" s="192"/>
      <c r="AA57" s="340">
        <v>3300922</v>
      </c>
      <c r="AB57" s="332">
        <v>13414</v>
      </c>
      <c r="AC57" s="290">
        <v>42700</v>
      </c>
    </row>
    <row r="58" spans="2:29" x14ac:dyDescent="0.25">
      <c r="B58" s="330"/>
      <c r="C58" s="392"/>
      <c r="D58" s="394"/>
      <c r="E58" s="329"/>
      <c r="F58" s="131"/>
      <c r="G58" s="292">
        <f t="shared" si="1"/>
        <v>0</v>
      </c>
      <c r="L58" s="33">
        <v>31132.1</v>
      </c>
      <c r="M58" s="93" t="s">
        <v>731</v>
      </c>
      <c r="N58" s="132">
        <v>31132.1</v>
      </c>
      <c r="O58" s="124"/>
      <c r="P58" s="241" t="s">
        <v>31</v>
      </c>
      <c r="Q58" s="292">
        <v>21299</v>
      </c>
      <c r="R58" s="290">
        <v>42678</v>
      </c>
      <c r="X58" s="192"/>
      <c r="Y58" s="192"/>
      <c r="Z58" s="192"/>
      <c r="AA58" s="340" t="s">
        <v>31</v>
      </c>
      <c r="AB58" s="332">
        <v>6286.5</v>
      </c>
      <c r="AC58" s="290">
        <v>42699</v>
      </c>
    </row>
    <row r="59" spans="2:29" x14ac:dyDescent="0.25">
      <c r="B59" s="330"/>
      <c r="C59" s="393"/>
      <c r="D59" s="394"/>
      <c r="E59" s="329"/>
      <c r="F59" s="131"/>
      <c r="G59" s="292">
        <f t="shared" si="1"/>
        <v>0</v>
      </c>
      <c r="L59" s="33">
        <f>1157.24+28078</f>
        <v>29235.24</v>
      </c>
      <c r="M59" s="353" t="s">
        <v>735</v>
      </c>
      <c r="N59" s="292">
        <v>29235.24</v>
      </c>
      <c r="O59" s="124"/>
      <c r="P59" s="241">
        <v>3002927</v>
      </c>
      <c r="Q59" s="292">
        <v>50000</v>
      </c>
      <c r="R59" s="290">
        <v>42679</v>
      </c>
      <c r="X59" s="192"/>
      <c r="Y59" s="192"/>
      <c r="Z59" s="192"/>
      <c r="AA59" s="340" t="s">
        <v>31</v>
      </c>
      <c r="AB59" s="332">
        <v>16205</v>
      </c>
      <c r="AC59" s="290">
        <v>42696</v>
      </c>
    </row>
    <row r="60" spans="2:29" x14ac:dyDescent="0.25">
      <c r="B60" s="330"/>
      <c r="C60" s="393"/>
      <c r="D60" s="394"/>
      <c r="E60" s="329"/>
      <c r="F60" s="131"/>
      <c r="G60" s="292">
        <f t="shared" si="1"/>
        <v>0</v>
      </c>
      <c r="L60" s="33">
        <f>6018</f>
        <v>6018</v>
      </c>
      <c r="M60" s="353" t="s">
        <v>733</v>
      </c>
      <c r="N60" s="292">
        <v>6000.92</v>
      </c>
      <c r="O60" s="124" t="s">
        <v>88</v>
      </c>
      <c r="P60" s="241">
        <v>3002928</v>
      </c>
      <c r="Q60" s="292">
        <v>29001.5</v>
      </c>
      <c r="R60" s="290">
        <v>42678</v>
      </c>
      <c r="X60" s="192"/>
      <c r="Y60" s="192"/>
      <c r="Z60" s="192"/>
      <c r="AA60" s="340">
        <v>3301028</v>
      </c>
      <c r="AB60" s="332">
        <v>25003</v>
      </c>
      <c r="AC60" s="290">
        <v>42698</v>
      </c>
    </row>
    <row r="61" spans="2:29" ht="16.5" thickBot="1" x14ac:dyDescent="0.3">
      <c r="B61"/>
      <c r="C61" s="104"/>
      <c r="D61" s="262"/>
      <c r="E61" s="104"/>
      <c r="F61" s="106"/>
      <c r="G61" s="292">
        <f t="shared" si="1"/>
        <v>0</v>
      </c>
      <c r="L61" s="33"/>
      <c r="M61" s="353"/>
      <c r="N61" s="292"/>
      <c r="O61" s="124"/>
      <c r="P61" s="241" t="s">
        <v>31</v>
      </c>
      <c r="Q61" s="292">
        <v>2931</v>
      </c>
      <c r="R61" s="290">
        <v>42681</v>
      </c>
      <c r="X61" s="192"/>
      <c r="Y61" s="192"/>
      <c r="Z61" s="192"/>
      <c r="AA61" s="340">
        <v>3301025</v>
      </c>
      <c r="AB61" s="332">
        <v>17000</v>
      </c>
      <c r="AC61" s="290">
        <v>42698</v>
      </c>
    </row>
    <row r="62" spans="2:29" ht="16.5" thickTop="1" x14ac:dyDescent="0.25">
      <c r="B62"/>
      <c r="C62"/>
      <c r="D62" s="263">
        <f>SUM(D4:D61)</f>
        <v>2530512.65</v>
      </c>
      <c r="E62" s="108"/>
      <c r="F62" s="109">
        <f>SUM(F4:F61)</f>
        <v>1913428.4600000002</v>
      </c>
      <c r="G62" s="109">
        <f>SUM(G4:G61)</f>
        <v>617084.18999999994</v>
      </c>
      <c r="L62" s="33"/>
      <c r="M62" s="353"/>
      <c r="N62" s="292"/>
      <c r="O62" s="124"/>
      <c r="P62" s="241" t="s">
        <v>31</v>
      </c>
      <c r="Q62" s="292">
        <v>2395</v>
      </c>
      <c r="R62" s="290">
        <v>42678</v>
      </c>
      <c r="X62" s="192"/>
      <c r="Y62" s="192"/>
      <c r="Z62" s="192"/>
      <c r="AA62" s="340">
        <v>3301024</v>
      </c>
      <c r="AB62" s="332">
        <v>30000</v>
      </c>
      <c r="AC62" s="290">
        <v>42698</v>
      </c>
    </row>
    <row r="63" spans="2:29" x14ac:dyDescent="0.25">
      <c r="C63" s="159"/>
      <c r="E63"/>
      <c r="L63" s="33"/>
      <c r="M63" s="353"/>
      <c r="N63" s="292"/>
      <c r="O63" s="124"/>
      <c r="P63" s="241">
        <v>3002929</v>
      </c>
      <c r="Q63" s="292">
        <v>50000</v>
      </c>
      <c r="R63" s="290">
        <v>42679</v>
      </c>
      <c r="X63" s="192"/>
      <c r="Y63" s="192"/>
      <c r="Z63" s="192"/>
      <c r="AA63" s="340">
        <v>3300920</v>
      </c>
      <c r="AB63" s="332">
        <v>58681</v>
      </c>
      <c r="AC63" s="290">
        <v>42700</v>
      </c>
    </row>
    <row r="64" spans="2:29" x14ac:dyDescent="0.25">
      <c r="C64" s="159"/>
      <c r="E64"/>
      <c r="L64" s="33"/>
      <c r="M64" s="353"/>
      <c r="N64" s="292"/>
      <c r="O64" s="124"/>
      <c r="P64" s="241">
        <v>3002930</v>
      </c>
      <c r="Q64" s="292">
        <v>21508</v>
      </c>
      <c r="R64" s="290">
        <v>42679</v>
      </c>
      <c r="X64" s="192"/>
      <c r="Y64" s="192"/>
      <c r="Z64" s="192"/>
      <c r="AA64" s="340">
        <v>3301027</v>
      </c>
      <c r="AB64" s="332">
        <v>10134</v>
      </c>
      <c r="AC64" s="290">
        <v>42699</v>
      </c>
    </row>
    <row r="65" spans="2:29" x14ac:dyDescent="0.25">
      <c r="B65"/>
      <c r="C65" s="159"/>
      <c r="E65"/>
      <c r="F65"/>
      <c r="G65"/>
      <c r="H65"/>
      <c r="L65" s="33"/>
      <c r="M65" s="353"/>
      <c r="N65" s="292"/>
      <c r="O65" s="124"/>
      <c r="P65" s="241" t="s">
        <v>31</v>
      </c>
      <c r="Q65" s="292">
        <v>12965</v>
      </c>
      <c r="R65" s="290">
        <v>42669</v>
      </c>
      <c r="X65" s="192"/>
      <c r="Y65" s="192"/>
      <c r="Z65" s="192"/>
      <c r="AA65" s="340"/>
      <c r="AB65" s="332"/>
      <c r="AC65" s="290"/>
    </row>
    <row r="66" spans="2:29" ht="16.5" thickBot="1" x14ac:dyDescent="0.3">
      <c r="B66"/>
      <c r="C66" s="159"/>
      <c r="E66"/>
      <c r="F66"/>
      <c r="G66"/>
      <c r="H66"/>
      <c r="L66" s="3"/>
      <c r="M66" s="328"/>
      <c r="N66" s="332"/>
      <c r="O66" s="124"/>
      <c r="P66" s="241" t="s">
        <v>31</v>
      </c>
      <c r="Q66" s="292">
        <v>17727.5</v>
      </c>
      <c r="R66" s="290">
        <v>42674</v>
      </c>
      <c r="W66" s="3"/>
      <c r="X66" s="281"/>
      <c r="Y66" s="282"/>
      <c r="Z66" s="219"/>
      <c r="AA66" s="395"/>
      <c r="AB66" s="199">
        <v>0</v>
      </c>
      <c r="AC66" s="290"/>
    </row>
    <row r="67" spans="2:29" ht="16.5" thickTop="1" x14ac:dyDescent="0.25">
      <c r="B67"/>
      <c r="C67" s="159"/>
      <c r="E67"/>
      <c r="F67"/>
      <c r="G67"/>
      <c r="H67"/>
      <c r="L67" s="3"/>
      <c r="M67" s="353"/>
      <c r="N67" s="292"/>
      <c r="O67" s="124"/>
      <c r="P67" s="241" t="s">
        <v>31</v>
      </c>
      <c r="Q67" s="292">
        <v>12300</v>
      </c>
      <c r="R67" s="290">
        <v>42681</v>
      </c>
      <c r="W67" s="33">
        <f>SUM(W4:W66)</f>
        <v>1515712.2999999998</v>
      </c>
      <c r="X67" s="147"/>
      <c r="Y67" s="236">
        <f>SUM(Y4:Y66)</f>
        <v>1515714.2999999998</v>
      </c>
      <c r="Z67" s="210"/>
      <c r="AA67" s="211"/>
      <c r="AB67" s="200">
        <f>SUM(AB4:AB66)</f>
        <v>1515714.3</v>
      </c>
      <c r="AC67" s="202"/>
    </row>
    <row r="68" spans="2:29" x14ac:dyDescent="0.25">
      <c r="B68"/>
      <c r="C68" s="159"/>
      <c r="E68"/>
      <c r="F68"/>
      <c r="G68"/>
      <c r="H68"/>
      <c r="L68" s="3"/>
      <c r="M68" s="391"/>
      <c r="N68" s="394"/>
      <c r="O68" s="124"/>
      <c r="P68" s="241">
        <v>3002931</v>
      </c>
      <c r="Q68" s="292">
        <v>33115</v>
      </c>
      <c r="R68" s="290">
        <v>42680</v>
      </c>
    </row>
    <row r="69" spans="2:29" x14ac:dyDescent="0.25">
      <c r="B69"/>
      <c r="C69" s="379"/>
      <c r="E69"/>
      <c r="F69"/>
      <c r="G69"/>
      <c r="H69"/>
      <c r="L69" s="3"/>
      <c r="M69" s="391"/>
      <c r="N69" s="394"/>
      <c r="O69" s="124"/>
      <c r="P69" s="241" t="s">
        <v>31</v>
      </c>
      <c r="Q69" s="292">
        <v>17066</v>
      </c>
      <c r="R69" s="290">
        <v>42681</v>
      </c>
    </row>
    <row r="70" spans="2:29" x14ac:dyDescent="0.25">
      <c r="B70"/>
      <c r="C70" s="379"/>
      <c r="E70"/>
      <c r="F70"/>
      <c r="G70"/>
      <c r="H70"/>
      <c r="L70" s="3"/>
      <c r="M70" s="391"/>
      <c r="N70" s="394"/>
      <c r="O70" s="124"/>
      <c r="P70" s="241" t="s">
        <v>31</v>
      </c>
      <c r="Q70" s="292">
        <v>8883</v>
      </c>
      <c r="R70" s="290">
        <v>42681</v>
      </c>
    </row>
    <row r="71" spans="2:29" x14ac:dyDescent="0.25">
      <c r="B71"/>
      <c r="C71" s="380"/>
      <c r="F71"/>
      <c r="G71"/>
      <c r="H71"/>
      <c r="L71" s="3"/>
      <c r="M71" s="391"/>
      <c r="N71" s="394"/>
      <c r="O71" s="124"/>
      <c r="P71" s="241">
        <v>3002932</v>
      </c>
      <c r="Q71" s="292">
        <v>13000</v>
      </c>
      <c r="R71" s="290">
        <v>42681</v>
      </c>
    </row>
    <row r="72" spans="2:29" x14ac:dyDescent="0.25">
      <c r="B72"/>
      <c r="C72" s="381"/>
      <c r="F72"/>
      <c r="G72"/>
      <c r="H72"/>
      <c r="L72" s="3"/>
      <c r="M72" s="328"/>
      <c r="N72" s="394"/>
      <c r="O72" s="124"/>
      <c r="P72" s="241">
        <v>3002935</v>
      </c>
      <c r="Q72" s="292">
        <v>35000</v>
      </c>
      <c r="R72" s="290">
        <v>42681</v>
      </c>
    </row>
    <row r="73" spans="2:29" x14ac:dyDescent="0.25">
      <c r="L73" s="3"/>
      <c r="M73" s="328"/>
      <c r="N73" s="394"/>
      <c r="O73" s="124"/>
      <c r="P73" s="241">
        <v>3002936</v>
      </c>
      <c r="Q73" s="292">
        <v>28727.5</v>
      </c>
      <c r="R73" s="290">
        <v>42681</v>
      </c>
    </row>
    <row r="74" spans="2:29" x14ac:dyDescent="0.25">
      <c r="B74"/>
      <c r="C74" s="159"/>
      <c r="E74"/>
      <c r="F74"/>
      <c r="G74"/>
      <c r="H74"/>
      <c r="L74" s="3"/>
      <c r="M74" s="328"/>
      <c r="N74" s="394"/>
      <c r="O74" s="124"/>
      <c r="P74" s="241">
        <v>3002934</v>
      </c>
      <c r="Q74" s="292">
        <v>26218</v>
      </c>
      <c r="R74" s="290">
        <v>42682</v>
      </c>
    </row>
    <row r="75" spans="2:29" x14ac:dyDescent="0.25">
      <c r="B75"/>
      <c r="C75" s="159"/>
      <c r="E75"/>
      <c r="F75"/>
      <c r="G75"/>
      <c r="H75"/>
      <c r="L75" s="3"/>
      <c r="M75" s="93"/>
      <c r="N75" s="132"/>
      <c r="O75" s="124"/>
      <c r="P75" s="241" t="s">
        <v>31</v>
      </c>
      <c r="Q75" s="292">
        <v>6175</v>
      </c>
      <c r="R75" s="290">
        <v>42683</v>
      </c>
    </row>
    <row r="76" spans="2:29" x14ac:dyDescent="0.25">
      <c r="B76"/>
      <c r="C76" s="159">
        <v>42675</v>
      </c>
      <c r="D76" s="3">
        <v>19397</v>
      </c>
      <c r="E76" t="s">
        <v>751</v>
      </c>
      <c r="F76"/>
      <c r="G76"/>
      <c r="H76"/>
      <c r="L76" s="3"/>
      <c r="M76" s="93"/>
      <c r="N76" s="132"/>
      <c r="O76" s="124"/>
      <c r="P76" s="241">
        <v>3002937</v>
      </c>
      <c r="Q76" s="292">
        <v>1703</v>
      </c>
      <c r="R76" s="290">
        <v>42682</v>
      </c>
    </row>
    <row r="77" spans="2:29" ht="16.5" thickBot="1" x14ac:dyDescent="0.3">
      <c r="B77"/>
      <c r="C77" s="379">
        <v>42682</v>
      </c>
      <c r="D77" s="3">
        <v>35190</v>
      </c>
      <c r="E77" t="s">
        <v>760</v>
      </c>
      <c r="F77"/>
      <c r="G77"/>
      <c r="H77"/>
      <c r="L77" s="3"/>
      <c r="M77" s="281"/>
      <c r="N77" s="282"/>
      <c r="O77" s="219"/>
      <c r="P77" s="377"/>
      <c r="Q77" s="199">
        <v>0</v>
      </c>
      <c r="R77" s="220"/>
    </row>
    <row r="78" spans="2:29" ht="16.5" thickTop="1" x14ac:dyDescent="0.25">
      <c r="B78"/>
      <c r="C78" s="379">
        <v>42685</v>
      </c>
      <c r="D78" s="3">
        <v>11731</v>
      </c>
      <c r="E78" t="s">
        <v>784</v>
      </c>
      <c r="F78"/>
      <c r="G78"/>
      <c r="H78"/>
      <c r="L78" s="33">
        <f>SUM(L49:L77)</f>
        <v>655476.5</v>
      </c>
      <c r="M78" s="147"/>
      <c r="N78" s="236">
        <f>SUM(N49:N77)</f>
        <v>655476</v>
      </c>
      <c r="O78" s="210"/>
      <c r="P78" s="211"/>
      <c r="Q78" s="200">
        <f>SUM(Q49:Q77)</f>
        <v>655476</v>
      </c>
      <c r="R78" s="202"/>
    </row>
    <row r="79" spans="2:29" x14ac:dyDescent="0.25">
      <c r="B79"/>
      <c r="C79" s="380"/>
      <c r="F79"/>
      <c r="G79"/>
      <c r="H79"/>
    </row>
    <row r="80" spans="2:29" x14ac:dyDescent="0.25">
      <c r="B80"/>
      <c r="C80" s="381"/>
      <c r="F80"/>
      <c r="G80"/>
      <c r="H80"/>
    </row>
  </sheetData>
  <sortState ref="B40:D44">
    <sortCondition ref="C40:C44"/>
  </sortState>
  <mergeCells count="3">
    <mergeCell ref="M1:M2"/>
    <mergeCell ref="M46:M47"/>
    <mergeCell ref="X1:X2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46"/>
  <sheetViews>
    <sheetView workbookViewId="0">
      <selection activeCell="J25" sqref="J2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</cols>
  <sheetData>
    <row r="1" spans="1:12" ht="24" thickBot="1" x14ac:dyDescent="0.4">
      <c r="B1" s="1"/>
      <c r="C1" s="408" t="s">
        <v>795</v>
      </c>
      <c r="D1" s="408"/>
      <c r="E1" s="408"/>
      <c r="F1" s="408"/>
      <c r="G1" s="408"/>
      <c r="H1" s="408"/>
      <c r="I1" s="408"/>
      <c r="J1" s="408"/>
      <c r="K1" s="300" t="s">
        <v>257</v>
      </c>
      <c r="L1" s="2"/>
    </row>
    <row r="2" spans="1:12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</row>
    <row r="3" spans="1:12" ht="20.25" thickTop="1" thickBot="1" x14ac:dyDescent="0.35">
      <c r="A3" s="6" t="s">
        <v>1</v>
      </c>
      <c r="B3" s="7"/>
      <c r="C3" s="8">
        <v>0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</row>
    <row r="4" spans="1:12" ht="15.75" thickTop="1" x14ac:dyDescent="0.25">
      <c r="B4" s="11"/>
      <c r="C4" s="12"/>
      <c r="D4" s="40"/>
      <c r="E4" s="186"/>
      <c r="F4" s="13"/>
      <c r="G4" s="14"/>
      <c r="H4" s="187"/>
      <c r="I4" s="345"/>
      <c r="J4" s="16" t="s">
        <v>5</v>
      </c>
      <c r="K4" s="320">
        <v>0</v>
      </c>
      <c r="L4" s="18">
        <v>0</v>
      </c>
    </row>
    <row r="5" spans="1:12" ht="15" customHeight="1" x14ac:dyDescent="0.25">
      <c r="B5" s="11"/>
      <c r="C5" s="12"/>
      <c r="D5" s="19"/>
      <c r="E5" s="20"/>
      <c r="F5" s="13"/>
      <c r="G5" s="21"/>
      <c r="H5" s="22"/>
      <c r="I5" s="18"/>
      <c r="J5" s="422" t="s">
        <v>6</v>
      </c>
      <c r="K5" s="318">
        <v>0</v>
      </c>
      <c r="L5" s="18">
        <v>0</v>
      </c>
    </row>
    <row r="6" spans="1:12" ht="15" customHeight="1" x14ac:dyDescent="0.25">
      <c r="B6" s="11"/>
      <c r="C6" s="12"/>
      <c r="D6" s="19"/>
      <c r="E6" s="20"/>
      <c r="F6" s="13"/>
      <c r="G6" s="14"/>
      <c r="H6" s="22"/>
      <c r="I6" s="18"/>
      <c r="J6" s="423"/>
      <c r="K6" s="332">
        <v>0</v>
      </c>
      <c r="L6" s="18">
        <v>0</v>
      </c>
    </row>
    <row r="7" spans="1:12" x14ac:dyDescent="0.25">
      <c r="B7" s="11"/>
      <c r="C7" s="12"/>
      <c r="D7" s="19"/>
      <c r="E7" s="20"/>
      <c r="F7" s="13"/>
      <c r="G7" s="14"/>
      <c r="H7" s="22"/>
      <c r="I7" s="345"/>
      <c r="J7" s="23" t="s">
        <v>7</v>
      </c>
      <c r="K7" s="318">
        <v>0</v>
      </c>
      <c r="L7" s="18">
        <v>0</v>
      </c>
    </row>
    <row r="8" spans="1:12" x14ac:dyDescent="0.25">
      <c r="B8" s="11"/>
      <c r="C8" s="12"/>
      <c r="D8" s="19"/>
      <c r="E8" s="20"/>
      <c r="F8" s="13"/>
      <c r="G8" s="14"/>
      <c r="H8" s="22"/>
      <c r="I8" s="345"/>
      <c r="J8" s="23" t="s">
        <v>747</v>
      </c>
      <c r="K8" s="347">
        <v>0</v>
      </c>
      <c r="L8" s="18">
        <v>0</v>
      </c>
    </row>
    <row r="9" spans="1:12" x14ac:dyDescent="0.25">
      <c r="B9" s="11"/>
      <c r="C9" s="12"/>
      <c r="D9" s="19"/>
      <c r="E9" s="20"/>
      <c r="F9" s="13"/>
      <c r="G9" s="14"/>
      <c r="H9" s="22"/>
      <c r="I9" s="345"/>
      <c r="J9" s="23" t="s">
        <v>748</v>
      </c>
      <c r="K9" s="383">
        <v>0</v>
      </c>
      <c r="L9" s="18">
        <v>0</v>
      </c>
    </row>
    <row r="10" spans="1:12" x14ac:dyDescent="0.25">
      <c r="A10" s="27"/>
      <c r="B10" s="11"/>
      <c r="C10" s="12"/>
      <c r="D10" s="26"/>
      <c r="E10" s="20"/>
      <c r="F10" s="13"/>
      <c r="G10" s="14"/>
      <c r="H10" s="22"/>
      <c r="I10" s="345"/>
      <c r="J10" s="23" t="s">
        <v>749</v>
      </c>
      <c r="K10" s="347">
        <v>0</v>
      </c>
      <c r="L10" s="18">
        <v>0</v>
      </c>
    </row>
    <row r="11" spans="1:12" x14ac:dyDescent="0.25">
      <c r="B11" s="11"/>
      <c r="C11" s="12"/>
      <c r="D11" s="26"/>
      <c r="E11" s="20"/>
      <c r="F11" s="13"/>
      <c r="G11" s="14"/>
      <c r="H11" s="22"/>
      <c r="I11" s="345"/>
      <c r="J11" s="23" t="s">
        <v>750</v>
      </c>
      <c r="K11" s="347">
        <v>0</v>
      </c>
      <c r="L11" s="18">
        <v>0</v>
      </c>
    </row>
    <row r="12" spans="1:12" x14ac:dyDescent="0.25">
      <c r="A12" s="28"/>
      <c r="B12" s="11"/>
      <c r="C12" s="12"/>
      <c r="D12" s="19"/>
      <c r="E12" s="20"/>
      <c r="F12" s="13"/>
      <c r="G12" s="14"/>
      <c r="H12" s="22"/>
      <c r="I12" s="345"/>
      <c r="J12" s="23" t="s">
        <v>117</v>
      </c>
      <c r="K12" s="347">
        <v>0</v>
      </c>
      <c r="L12" s="18">
        <v>0</v>
      </c>
    </row>
    <row r="13" spans="1:12" x14ac:dyDescent="0.25">
      <c r="A13" s="28"/>
      <c r="B13" s="11"/>
      <c r="C13" s="12"/>
      <c r="D13" s="40"/>
      <c r="E13" s="20"/>
      <c r="F13" s="13"/>
      <c r="G13" s="14"/>
      <c r="H13" s="22"/>
      <c r="I13" s="345"/>
      <c r="J13" s="30" t="s">
        <v>375</v>
      </c>
      <c r="K13" s="347">
        <v>0</v>
      </c>
      <c r="L13" s="18">
        <v>0</v>
      </c>
    </row>
    <row r="14" spans="1:12" x14ac:dyDescent="0.25">
      <c r="B14" s="11"/>
      <c r="C14" s="12"/>
      <c r="D14" s="19"/>
      <c r="E14" s="20"/>
      <c r="F14" s="13"/>
      <c r="G14" s="14"/>
      <c r="H14" s="22"/>
      <c r="I14" s="345"/>
      <c r="J14" s="31"/>
      <c r="K14" s="347">
        <v>0</v>
      </c>
      <c r="L14" s="18">
        <v>0</v>
      </c>
    </row>
    <row r="15" spans="1:12" x14ac:dyDescent="0.25">
      <c r="A15" s="28"/>
      <c r="B15" s="11"/>
      <c r="C15" s="12"/>
      <c r="D15" s="19"/>
      <c r="E15" s="20"/>
      <c r="F15" s="13"/>
      <c r="G15" s="14"/>
      <c r="H15" s="22"/>
      <c r="I15" s="345"/>
      <c r="J15" s="23" t="s">
        <v>225</v>
      </c>
      <c r="K15" s="347">
        <v>0</v>
      </c>
      <c r="L15" s="18">
        <v>0</v>
      </c>
    </row>
    <row r="16" spans="1:12" x14ac:dyDescent="0.25">
      <c r="A16" s="28"/>
      <c r="B16" s="11"/>
      <c r="C16" s="12"/>
      <c r="D16" s="19"/>
      <c r="E16" s="20"/>
      <c r="F16" s="13"/>
      <c r="G16" s="14"/>
      <c r="H16" s="22"/>
      <c r="I16" s="345"/>
      <c r="J16" s="34"/>
      <c r="K16" s="347">
        <v>0</v>
      </c>
      <c r="L16" s="18">
        <v>0</v>
      </c>
    </row>
    <row r="17" spans="1:12" x14ac:dyDescent="0.25">
      <c r="A17" s="28"/>
      <c r="B17" s="11"/>
      <c r="C17" s="12"/>
      <c r="D17" s="19"/>
      <c r="E17" s="20"/>
      <c r="F17" s="13"/>
      <c r="G17" s="14"/>
      <c r="H17" s="22"/>
      <c r="I17" s="345"/>
      <c r="J17" s="35" t="s">
        <v>374</v>
      </c>
      <c r="K17" s="347">
        <v>754</v>
      </c>
      <c r="L17" s="18">
        <v>0</v>
      </c>
    </row>
    <row r="18" spans="1:12" x14ac:dyDescent="0.25">
      <c r="B18" s="11"/>
      <c r="C18" s="12"/>
      <c r="D18" s="19"/>
      <c r="E18" s="20"/>
      <c r="F18" s="230"/>
      <c r="G18" s="14"/>
      <c r="H18" s="22"/>
      <c r="I18" s="373"/>
      <c r="J18" s="36">
        <v>42678</v>
      </c>
      <c r="K18" s="318">
        <v>0</v>
      </c>
      <c r="L18" s="18">
        <v>0</v>
      </c>
    </row>
    <row r="19" spans="1:12" x14ac:dyDescent="0.25">
      <c r="A19" s="28"/>
      <c r="B19" s="11"/>
      <c r="C19" s="12"/>
      <c r="D19" s="19"/>
      <c r="E19" s="20"/>
      <c r="F19" s="13"/>
      <c r="G19" s="14"/>
      <c r="H19" s="22"/>
      <c r="I19" s="345"/>
      <c r="J19" s="344"/>
      <c r="K19" s="347">
        <v>0</v>
      </c>
      <c r="L19" s="18">
        <v>19967</v>
      </c>
    </row>
    <row r="20" spans="1:12" x14ac:dyDescent="0.25">
      <c r="B20" s="11"/>
      <c r="C20" s="12"/>
      <c r="D20" s="19"/>
      <c r="E20" s="20"/>
      <c r="F20" s="13"/>
      <c r="G20" s="14"/>
      <c r="H20" s="22"/>
      <c r="I20" s="18"/>
      <c r="J20" s="343"/>
      <c r="K20" s="292">
        <v>0</v>
      </c>
      <c r="L20" s="18">
        <v>0</v>
      </c>
    </row>
    <row r="21" spans="1:12" x14ac:dyDescent="0.25">
      <c r="B21" s="11"/>
      <c r="C21" s="12"/>
      <c r="D21" s="40"/>
      <c r="E21" s="20"/>
      <c r="F21" s="13"/>
      <c r="G21" s="14"/>
      <c r="H21" s="22"/>
      <c r="I21" s="18"/>
      <c r="J21" s="342"/>
      <c r="K21" s="318">
        <v>0</v>
      </c>
      <c r="L21" s="18">
        <v>0</v>
      </c>
    </row>
    <row r="22" spans="1:12" x14ac:dyDescent="0.25">
      <c r="B22" s="11"/>
      <c r="C22" s="12"/>
      <c r="D22" s="40"/>
      <c r="E22" s="20"/>
      <c r="F22" s="13"/>
      <c r="G22" s="21"/>
      <c r="H22" s="22"/>
      <c r="I22" s="345"/>
      <c r="J22" s="23"/>
      <c r="K22" s="318">
        <v>0</v>
      </c>
      <c r="L22" s="18">
        <v>0</v>
      </c>
    </row>
    <row r="23" spans="1:12" x14ac:dyDescent="0.25">
      <c r="A23" s="28"/>
      <c r="B23" s="11"/>
      <c r="C23" s="12"/>
      <c r="D23" s="40"/>
      <c r="E23" s="20"/>
      <c r="F23" s="13"/>
      <c r="G23" s="14"/>
      <c r="H23" s="22"/>
      <c r="I23" s="345"/>
      <c r="J23" s="23" t="s">
        <v>414</v>
      </c>
      <c r="K23" s="347">
        <v>0</v>
      </c>
      <c r="L23" s="18">
        <v>0</v>
      </c>
    </row>
    <row r="24" spans="1:12" x14ac:dyDescent="0.25">
      <c r="A24" s="28"/>
      <c r="B24" s="11"/>
      <c r="C24" s="12"/>
      <c r="D24" s="40"/>
      <c r="E24" s="20"/>
      <c r="F24" s="13"/>
      <c r="G24" s="14"/>
      <c r="H24" s="22"/>
      <c r="I24" s="345"/>
      <c r="J24" s="34"/>
      <c r="K24" s="318"/>
      <c r="L24" s="18">
        <v>0</v>
      </c>
    </row>
    <row r="25" spans="1:12" x14ac:dyDescent="0.25">
      <c r="B25" s="11"/>
      <c r="C25" s="12"/>
      <c r="D25" s="19"/>
      <c r="E25" s="20"/>
      <c r="F25" s="13"/>
      <c r="G25" s="14"/>
      <c r="H25" s="22"/>
      <c r="I25" s="345"/>
      <c r="J25" s="23"/>
      <c r="K25" s="318"/>
      <c r="L25" s="18">
        <v>0</v>
      </c>
    </row>
    <row r="26" spans="1:12" x14ac:dyDescent="0.25">
      <c r="B26" s="11"/>
      <c r="C26" s="12"/>
      <c r="D26" s="19"/>
      <c r="E26" s="20"/>
      <c r="F26" s="13"/>
      <c r="G26" s="14"/>
      <c r="H26" s="22"/>
      <c r="I26" s="345"/>
      <c r="J26" s="23"/>
      <c r="K26" s="318"/>
      <c r="L26" s="18">
        <v>0</v>
      </c>
    </row>
    <row r="27" spans="1:12" x14ac:dyDescent="0.25">
      <c r="B27" s="11"/>
      <c r="C27" s="12"/>
      <c r="D27" s="19"/>
      <c r="E27" s="20"/>
      <c r="F27" s="13"/>
      <c r="G27" s="14"/>
      <c r="H27" s="22"/>
      <c r="I27" s="345"/>
      <c r="J27" s="23"/>
      <c r="K27" s="24"/>
      <c r="L27" s="18">
        <v>0</v>
      </c>
    </row>
    <row r="28" spans="1:12" x14ac:dyDescent="0.25">
      <c r="B28" s="11"/>
      <c r="C28" s="12"/>
      <c r="D28" s="19"/>
      <c r="E28" s="20"/>
      <c r="F28" s="13"/>
      <c r="G28" s="14"/>
      <c r="H28" s="22"/>
      <c r="I28" s="345"/>
      <c r="J28" s="23"/>
      <c r="K28" s="24"/>
      <c r="L28" s="18">
        <v>0</v>
      </c>
    </row>
    <row r="29" spans="1:12" x14ac:dyDescent="0.25">
      <c r="B29" s="11"/>
      <c r="C29" s="12"/>
      <c r="D29" s="19"/>
      <c r="E29" s="20"/>
      <c r="F29" s="13"/>
      <c r="G29" s="14"/>
      <c r="H29" s="22"/>
      <c r="I29" s="345"/>
      <c r="J29" s="23"/>
      <c r="K29" s="24"/>
      <c r="L29" s="18"/>
    </row>
    <row r="30" spans="1:12" x14ac:dyDescent="0.25">
      <c r="B30" s="11"/>
      <c r="C30" s="12"/>
      <c r="D30" s="19"/>
      <c r="E30" s="20"/>
      <c r="F30" s="13"/>
      <c r="G30" s="14"/>
      <c r="H30" s="22"/>
      <c r="I30" s="345"/>
      <c r="J30" s="23"/>
      <c r="K30" s="24"/>
      <c r="L30" s="18"/>
    </row>
    <row r="31" spans="1:12" x14ac:dyDescent="0.25">
      <c r="B31" s="11"/>
      <c r="C31" s="12"/>
      <c r="D31" s="19"/>
      <c r="E31" s="20"/>
      <c r="F31" s="13"/>
      <c r="G31" s="14"/>
      <c r="H31" s="22"/>
      <c r="I31" s="345"/>
      <c r="J31" s="23"/>
      <c r="K31" s="24"/>
      <c r="L31" s="18"/>
    </row>
    <row r="32" spans="1:12" x14ac:dyDescent="0.25">
      <c r="B32" s="11"/>
      <c r="C32" s="12"/>
      <c r="D32" s="42"/>
      <c r="E32" s="20"/>
      <c r="F32" s="13"/>
      <c r="G32" s="14"/>
      <c r="H32" s="22"/>
      <c r="I32" s="345"/>
      <c r="J32" s="23"/>
      <c r="K32" s="24"/>
      <c r="L32" s="18"/>
    </row>
    <row r="33" spans="1:12" x14ac:dyDescent="0.25">
      <c r="B33" s="11"/>
      <c r="C33" s="12"/>
      <c r="D33" s="19"/>
      <c r="E33" s="20"/>
      <c r="F33" s="13"/>
      <c r="G33" s="14"/>
      <c r="H33" s="22"/>
      <c r="I33" s="34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34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0</v>
      </c>
      <c r="D37" s="46"/>
      <c r="E37" s="62" t="s">
        <v>11</v>
      </c>
      <c r="F37" s="63">
        <f>SUM(F4:F36)</f>
        <v>0</v>
      </c>
      <c r="H37" s="1" t="s">
        <v>11</v>
      </c>
      <c r="I37" s="64">
        <f>SUM(I4:I36)</f>
        <v>0</v>
      </c>
      <c r="J37" s="64"/>
      <c r="K37" s="64">
        <f t="shared" ref="K37" si="0">SUM(K4:K36)</f>
        <v>754</v>
      </c>
      <c r="L37" s="2">
        <f>SUM(L4:L36)</f>
        <v>19967</v>
      </c>
    </row>
    <row r="38" spans="1:12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</row>
    <row r="39" spans="1:12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754</v>
      </c>
      <c r="K39" s="403"/>
      <c r="L39" s="68"/>
    </row>
    <row r="40" spans="1:12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-754</v>
      </c>
      <c r="H40" s="1"/>
      <c r="I40" s="70"/>
      <c r="J40" s="1"/>
      <c r="K40" s="1"/>
      <c r="L40" s="2"/>
    </row>
    <row r="41" spans="1:1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</row>
    <row r="42" spans="1:12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275"/>
      <c r="K42" s="276">
        <v>138025.20000000001</v>
      </c>
      <c r="L42" s="2"/>
    </row>
    <row r="43" spans="1:12" ht="15.75" thickTop="1" x14ac:dyDescent="0.25">
      <c r="B43" s="1"/>
      <c r="C43" s="2"/>
      <c r="E43" s="1" t="s">
        <v>16</v>
      </c>
      <c r="F43" s="64">
        <f>SUM(F40:F42)</f>
        <v>-754</v>
      </c>
      <c r="H43" s="1"/>
      <c r="I43" s="1"/>
      <c r="J43" s="1"/>
      <c r="K43" s="64">
        <f>K42+F45</f>
        <v>137271.20000000001</v>
      </c>
      <c r="L43" s="2"/>
    </row>
    <row r="44" spans="1:12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v>0</v>
      </c>
      <c r="L44" s="2"/>
    </row>
    <row r="45" spans="1:12" ht="20.25" thickTop="1" thickBot="1" x14ac:dyDescent="0.35">
      <c r="B45" s="1"/>
      <c r="C45" s="2"/>
      <c r="E45" s="60" t="s">
        <v>18</v>
      </c>
      <c r="F45" s="78">
        <f>F44+F43</f>
        <v>-754</v>
      </c>
      <c r="H45" s="1"/>
      <c r="I45" s="406" t="s">
        <v>175</v>
      </c>
      <c r="J45" s="407"/>
      <c r="K45" s="79">
        <f>K43+K44</f>
        <v>137271.20000000001</v>
      </c>
      <c r="L45" s="2"/>
    </row>
    <row r="46" spans="1:1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</row>
  </sheetData>
  <mergeCells count="10">
    <mergeCell ref="A40:B40"/>
    <mergeCell ref="D40:E40"/>
    <mergeCell ref="I45:J45"/>
    <mergeCell ref="J5:J6"/>
    <mergeCell ref="A38:B38"/>
    <mergeCell ref="H39:I39"/>
    <mergeCell ref="J39:K39"/>
    <mergeCell ref="C1:J1"/>
    <mergeCell ref="E3:F3"/>
    <mergeCell ref="I3:K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0"/>
  <sheetViews>
    <sheetView tabSelected="1" workbookViewId="0">
      <selection activeCell="J26" sqref="J26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</cols>
  <sheetData>
    <row r="1" spans="1:8" ht="19.5" customHeight="1" x14ac:dyDescent="0.25"/>
    <row r="2" spans="1:8" ht="19.5" customHeight="1" thickBot="1" x14ac:dyDescent="0.35">
      <c r="B2" s="176"/>
      <c r="C2" s="177"/>
      <c r="D2" s="260" t="s">
        <v>21</v>
      </c>
      <c r="E2" s="179"/>
      <c r="F2" s="180"/>
      <c r="G2" s="181"/>
    </row>
    <row r="3" spans="1: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</row>
    <row r="4" spans="1:8" ht="15" x14ac:dyDescent="0.25">
      <c r="A4" s="14"/>
      <c r="B4" s="92">
        <v>42706</v>
      </c>
      <c r="C4" s="93" t="s">
        <v>796</v>
      </c>
      <c r="D4" s="132">
        <v>173023.1</v>
      </c>
      <c r="E4" s="95"/>
      <c r="F4" s="132"/>
      <c r="G4" s="158">
        <f t="shared" ref="G4:G42" si="0">D4-F4</f>
        <v>173023.1</v>
      </c>
      <c r="H4" s="146"/>
    </row>
    <row r="5" spans="1:8" ht="15" x14ac:dyDescent="0.25">
      <c r="A5" s="14"/>
      <c r="B5" s="96">
        <v>42706</v>
      </c>
      <c r="C5" s="93" t="s">
        <v>797</v>
      </c>
      <c r="D5" s="132">
        <v>38478.5</v>
      </c>
      <c r="E5" s="95"/>
      <c r="F5" s="132"/>
      <c r="G5" s="97">
        <f t="shared" si="0"/>
        <v>38478.5</v>
      </c>
      <c r="H5" s="146"/>
    </row>
    <row r="6" spans="1:8" ht="15" x14ac:dyDescent="0.25">
      <c r="A6" s="14"/>
      <c r="B6" s="96">
        <v>42707</v>
      </c>
      <c r="C6" s="93" t="s">
        <v>798</v>
      </c>
      <c r="D6" s="132">
        <v>38125.9</v>
      </c>
      <c r="E6" s="95"/>
      <c r="F6" s="132"/>
      <c r="G6" s="99">
        <f t="shared" si="0"/>
        <v>38125.9</v>
      </c>
      <c r="H6" s="38"/>
    </row>
    <row r="7" spans="1:8" ht="15" x14ac:dyDescent="0.25">
      <c r="A7" s="14"/>
      <c r="B7" s="96">
        <v>42707</v>
      </c>
      <c r="C7" s="93" t="s">
        <v>799</v>
      </c>
      <c r="D7" s="132">
        <v>37658.5</v>
      </c>
      <c r="E7" s="95"/>
      <c r="F7" s="132"/>
      <c r="G7" s="97">
        <f t="shared" si="0"/>
        <v>37658.5</v>
      </c>
      <c r="H7" s="38"/>
    </row>
    <row r="8" spans="1:8" ht="15" x14ac:dyDescent="0.25">
      <c r="A8" s="14"/>
      <c r="B8" s="96">
        <v>42707</v>
      </c>
      <c r="C8" s="93" t="s">
        <v>800</v>
      </c>
      <c r="D8" s="132">
        <v>52076.1</v>
      </c>
      <c r="E8" s="95"/>
      <c r="F8" s="132"/>
      <c r="G8" s="97">
        <f t="shared" si="0"/>
        <v>52076.1</v>
      </c>
      <c r="H8" s="38"/>
    </row>
    <row r="9" spans="1:8" x14ac:dyDescent="0.25">
      <c r="A9" s="286"/>
      <c r="B9" s="96">
        <v>42708</v>
      </c>
      <c r="C9" s="353" t="s">
        <v>801</v>
      </c>
      <c r="D9" s="292">
        <v>39052.519999999997</v>
      </c>
      <c r="E9" s="95"/>
      <c r="F9" s="292"/>
      <c r="G9" s="99">
        <f t="shared" si="0"/>
        <v>39052.519999999997</v>
      </c>
      <c r="H9" s="38"/>
    </row>
    <row r="10" spans="1:8" x14ac:dyDescent="0.25">
      <c r="A10" s="14"/>
      <c r="B10" s="96">
        <v>42710</v>
      </c>
      <c r="C10" s="353" t="s">
        <v>802</v>
      </c>
      <c r="D10" s="292">
        <v>17569.8</v>
      </c>
      <c r="E10" s="95"/>
      <c r="F10" s="132"/>
      <c r="G10" s="99">
        <f t="shared" si="0"/>
        <v>17569.8</v>
      </c>
      <c r="H10" s="38"/>
    </row>
    <row r="11" spans="1:8" x14ac:dyDescent="0.25">
      <c r="A11" s="14"/>
      <c r="B11" s="96">
        <v>42711</v>
      </c>
      <c r="C11" s="353" t="s">
        <v>803</v>
      </c>
      <c r="D11" s="292">
        <v>128541.58</v>
      </c>
      <c r="E11" s="95"/>
      <c r="F11" s="235"/>
      <c r="G11" s="99">
        <f t="shared" si="0"/>
        <v>128541.58</v>
      </c>
      <c r="H11" s="38"/>
    </row>
    <row r="12" spans="1:8" x14ac:dyDescent="0.25">
      <c r="A12" s="14"/>
      <c r="B12" s="96">
        <v>42711</v>
      </c>
      <c r="C12" s="353" t="s">
        <v>804</v>
      </c>
      <c r="D12" s="292">
        <v>11778.6</v>
      </c>
      <c r="E12" s="95"/>
      <c r="F12" s="132"/>
      <c r="G12" s="99">
        <f t="shared" si="0"/>
        <v>11778.6</v>
      </c>
      <c r="H12" s="38"/>
    </row>
    <row r="13" spans="1:8" x14ac:dyDescent="0.25">
      <c r="A13" s="14"/>
      <c r="B13" s="96">
        <v>42712</v>
      </c>
      <c r="C13" s="353" t="s">
        <v>805</v>
      </c>
      <c r="D13" s="292">
        <v>136064.4</v>
      </c>
      <c r="E13" s="95"/>
      <c r="F13" s="292"/>
      <c r="G13" s="99">
        <f t="shared" si="0"/>
        <v>136064.4</v>
      </c>
      <c r="H13" s="38"/>
    </row>
    <row r="14" spans="1:8" x14ac:dyDescent="0.25">
      <c r="A14" s="264"/>
      <c r="B14" s="96">
        <v>42713</v>
      </c>
      <c r="C14" s="353" t="s">
        <v>806</v>
      </c>
      <c r="D14" s="292">
        <v>9601.1</v>
      </c>
      <c r="E14" s="95"/>
      <c r="F14" s="292"/>
      <c r="G14" s="99">
        <f t="shared" si="0"/>
        <v>9601.1</v>
      </c>
      <c r="H14" s="38"/>
    </row>
    <row r="15" spans="1:8" x14ac:dyDescent="0.25">
      <c r="A15" s="14"/>
      <c r="B15" s="96">
        <v>42713</v>
      </c>
      <c r="C15" s="353" t="s">
        <v>807</v>
      </c>
      <c r="D15" s="292">
        <v>36128.379999999997</v>
      </c>
      <c r="E15" s="95"/>
      <c r="F15" s="292"/>
      <c r="G15" s="99">
        <f t="shared" si="0"/>
        <v>36128.379999999997</v>
      </c>
      <c r="H15" s="38"/>
    </row>
    <row r="16" spans="1:8" x14ac:dyDescent="0.25">
      <c r="A16" s="14"/>
      <c r="B16" s="96">
        <v>42713</v>
      </c>
      <c r="C16" s="328" t="s">
        <v>808</v>
      </c>
      <c r="D16" s="332">
        <v>73100.539999999994</v>
      </c>
      <c r="E16" s="95"/>
      <c r="F16" s="292"/>
      <c r="G16" s="99">
        <f t="shared" si="0"/>
        <v>73100.539999999994</v>
      </c>
      <c r="H16" s="38"/>
    </row>
    <row r="17" spans="1:8" x14ac:dyDescent="0.25">
      <c r="A17" s="14"/>
      <c r="B17" s="96">
        <v>42714</v>
      </c>
      <c r="C17" s="353" t="s">
        <v>809</v>
      </c>
      <c r="D17" s="292">
        <v>34975.46</v>
      </c>
      <c r="E17" s="95"/>
      <c r="F17" s="292"/>
      <c r="G17" s="99">
        <f t="shared" si="0"/>
        <v>34975.46</v>
      </c>
      <c r="H17" s="38"/>
    </row>
    <row r="18" spans="1:8" ht="15" x14ac:dyDescent="0.25">
      <c r="A18" s="14"/>
      <c r="B18" s="96">
        <v>42714</v>
      </c>
      <c r="C18" s="93" t="s">
        <v>810</v>
      </c>
      <c r="D18" s="132">
        <v>35681.89</v>
      </c>
      <c r="E18" s="95"/>
      <c r="F18" s="132"/>
      <c r="G18" s="99">
        <f t="shared" si="0"/>
        <v>35681.89</v>
      </c>
      <c r="H18" s="38"/>
    </row>
    <row r="19" spans="1:8" ht="15" x14ac:dyDescent="0.25">
      <c r="A19" s="14"/>
      <c r="B19" s="96">
        <v>42714</v>
      </c>
      <c r="C19" s="93" t="s">
        <v>811</v>
      </c>
      <c r="D19" s="132">
        <v>39177.19</v>
      </c>
      <c r="E19" s="95"/>
      <c r="F19" s="132"/>
      <c r="G19" s="99">
        <f t="shared" si="0"/>
        <v>39177.19</v>
      </c>
      <c r="H19" s="38"/>
    </row>
    <row r="20" spans="1:8" ht="15" x14ac:dyDescent="0.25">
      <c r="A20" s="14"/>
      <c r="B20" s="96">
        <v>42714</v>
      </c>
      <c r="C20" s="93" t="s">
        <v>812</v>
      </c>
      <c r="D20" s="132">
        <v>36202.589999999997</v>
      </c>
      <c r="E20" s="95"/>
      <c r="F20" s="132"/>
      <c r="G20" s="99">
        <f t="shared" si="0"/>
        <v>36202.589999999997</v>
      </c>
      <c r="H20" s="38"/>
    </row>
    <row r="21" spans="1:8" ht="16.5" customHeight="1" x14ac:dyDescent="0.25">
      <c r="A21" s="14"/>
      <c r="B21" s="96">
        <v>42714</v>
      </c>
      <c r="C21" s="93" t="s">
        <v>813</v>
      </c>
      <c r="D21" s="132">
        <v>34990.620000000003</v>
      </c>
      <c r="E21" s="95"/>
      <c r="F21" s="132"/>
      <c r="G21" s="99">
        <f t="shared" si="0"/>
        <v>34990.620000000003</v>
      </c>
      <c r="H21" s="38"/>
    </row>
    <row r="22" spans="1:8" ht="15" x14ac:dyDescent="0.25">
      <c r="A22" s="264"/>
      <c r="B22" s="96">
        <v>42714</v>
      </c>
      <c r="C22" s="93" t="s">
        <v>814</v>
      </c>
      <c r="D22" s="132">
        <v>38421.1</v>
      </c>
      <c r="E22" s="95"/>
      <c r="F22" s="132"/>
      <c r="G22" s="99">
        <f t="shared" si="0"/>
        <v>38421.1</v>
      </c>
      <c r="H22" s="38"/>
    </row>
    <row r="23" spans="1:8" ht="15" x14ac:dyDescent="0.25">
      <c r="A23" s="14"/>
      <c r="B23" s="96">
        <v>42714</v>
      </c>
      <c r="C23" s="93" t="s">
        <v>815</v>
      </c>
      <c r="D23" s="132">
        <v>34476.120000000003</v>
      </c>
      <c r="E23" s="95"/>
      <c r="F23" s="132"/>
      <c r="G23" s="99">
        <f t="shared" si="0"/>
        <v>34476.120000000003</v>
      </c>
      <c r="H23" s="38"/>
    </row>
    <row r="24" spans="1:8" x14ac:dyDescent="0.25">
      <c r="A24" s="14"/>
      <c r="B24" s="96">
        <v>42715</v>
      </c>
      <c r="C24" s="352">
        <v>17678</v>
      </c>
      <c r="D24" s="235">
        <v>10168.799999999999</v>
      </c>
      <c r="E24" s="95"/>
      <c r="F24" s="235"/>
      <c r="G24" s="99">
        <f t="shared" si="0"/>
        <v>10168.799999999999</v>
      </c>
      <c r="H24" s="38"/>
    </row>
    <row r="25" spans="1:8" ht="15" x14ac:dyDescent="0.25">
      <c r="A25" s="14"/>
      <c r="B25" s="96"/>
      <c r="C25" s="93"/>
      <c r="D25" s="132"/>
      <c r="E25" s="95"/>
      <c r="F25" s="132"/>
      <c r="G25" s="99">
        <f t="shared" si="0"/>
        <v>0</v>
      </c>
      <c r="H25" s="38"/>
    </row>
    <row r="26" spans="1:8" ht="15" x14ac:dyDescent="0.25">
      <c r="A26" s="14"/>
      <c r="B26" s="96"/>
      <c r="C26" s="93"/>
      <c r="D26" s="132"/>
      <c r="E26" s="95"/>
      <c r="F26" s="132"/>
      <c r="G26" s="99">
        <f t="shared" si="0"/>
        <v>0</v>
      </c>
      <c r="H26" s="38"/>
    </row>
    <row r="27" spans="1:8" ht="15" x14ac:dyDescent="0.25">
      <c r="A27" s="14"/>
      <c r="B27" s="96"/>
      <c r="C27" s="93"/>
      <c r="D27" s="132"/>
      <c r="E27" s="95"/>
      <c r="F27" s="132"/>
      <c r="G27" s="99">
        <f t="shared" si="0"/>
        <v>0</v>
      </c>
      <c r="H27" s="38"/>
    </row>
    <row r="28" spans="1:8" ht="15" x14ac:dyDescent="0.25">
      <c r="A28" s="14"/>
      <c r="B28" s="96"/>
      <c r="C28" s="93"/>
      <c r="D28" s="132"/>
      <c r="E28" s="95"/>
      <c r="F28" s="132"/>
      <c r="G28" s="99">
        <f t="shared" si="0"/>
        <v>0</v>
      </c>
      <c r="H28" s="38"/>
    </row>
    <row r="29" spans="1:8" ht="15" x14ac:dyDescent="0.25">
      <c r="A29" s="14"/>
      <c r="B29" s="96"/>
      <c r="C29" s="93"/>
      <c r="D29" s="132"/>
      <c r="E29" s="95"/>
      <c r="F29" s="132"/>
      <c r="G29" s="99">
        <f t="shared" si="0"/>
        <v>0</v>
      </c>
      <c r="H29" s="38"/>
    </row>
    <row r="30" spans="1:8" ht="15" x14ac:dyDescent="0.25">
      <c r="A30" s="14"/>
      <c r="B30" s="96"/>
      <c r="C30" s="93"/>
      <c r="D30" s="132"/>
      <c r="E30" s="95"/>
      <c r="F30" s="132"/>
      <c r="G30" s="99">
        <f t="shared" si="0"/>
        <v>0</v>
      </c>
      <c r="H30" s="38"/>
    </row>
    <row r="31" spans="1:8" x14ac:dyDescent="0.25">
      <c r="A31" s="14"/>
      <c r="B31" s="96"/>
      <c r="C31" s="352"/>
      <c r="D31" s="235"/>
      <c r="E31" s="95"/>
      <c r="F31" s="235"/>
      <c r="G31" s="99">
        <f t="shared" si="0"/>
        <v>0</v>
      </c>
      <c r="H31" s="38"/>
    </row>
    <row r="32" spans="1:8" ht="15" x14ac:dyDescent="0.25">
      <c r="A32" s="14"/>
      <c r="B32" s="96"/>
      <c r="C32" s="93"/>
      <c r="D32" s="132"/>
      <c r="E32" s="95"/>
      <c r="F32" s="132"/>
      <c r="G32" s="99">
        <f t="shared" si="0"/>
        <v>0</v>
      </c>
      <c r="H32" s="38"/>
    </row>
    <row r="33" spans="1:8" ht="15" x14ac:dyDescent="0.25">
      <c r="A33" s="14"/>
      <c r="B33" s="96"/>
      <c r="C33" s="93"/>
      <c r="D33" s="132"/>
      <c r="E33" s="95"/>
      <c r="F33" s="132"/>
      <c r="G33" s="99">
        <f t="shared" si="0"/>
        <v>0</v>
      </c>
      <c r="H33" s="38"/>
    </row>
    <row r="34" spans="1:8" ht="15" x14ac:dyDescent="0.25">
      <c r="A34" s="14"/>
      <c r="B34" s="96"/>
      <c r="C34" s="93"/>
      <c r="D34" s="132"/>
      <c r="E34" s="95"/>
      <c r="F34" s="132"/>
      <c r="G34" s="99">
        <f t="shared" si="0"/>
        <v>0</v>
      </c>
      <c r="H34" s="38"/>
    </row>
    <row r="35" spans="1:8" ht="16.5" customHeight="1" x14ac:dyDescent="0.25">
      <c r="B35" s="96"/>
      <c r="C35" s="233"/>
      <c r="D35" s="234"/>
      <c r="E35" s="95"/>
      <c r="F35" s="234"/>
      <c r="G35" s="99">
        <f t="shared" si="0"/>
        <v>0</v>
      </c>
    </row>
    <row r="36" spans="1:8" x14ac:dyDescent="0.25">
      <c r="B36" s="96"/>
      <c r="C36" s="353"/>
      <c r="D36" s="292"/>
      <c r="E36" s="95"/>
      <c r="F36" s="292"/>
      <c r="G36" s="99">
        <f t="shared" si="0"/>
        <v>0</v>
      </c>
      <c r="H36"/>
    </row>
    <row r="37" spans="1:8" x14ac:dyDescent="0.25">
      <c r="A37" s="159"/>
      <c r="B37" s="96"/>
      <c r="C37" s="353"/>
      <c r="D37" s="292"/>
      <c r="E37" s="95"/>
      <c r="F37" s="292"/>
      <c r="G37" s="99">
        <f t="shared" si="0"/>
        <v>0</v>
      </c>
      <c r="H37"/>
    </row>
    <row r="38" spans="1:8" x14ac:dyDescent="0.25">
      <c r="B38" s="96"/>
      <c r="C38" s="353"/>
      <c r="D38" s="292"/>
      <c r="E38" s="95"/>
      <c r="F38" s="131"/>
      <c r="G38" s="327">
        <f t="shared" si="0"/>
        <v>0</v>
      </c>
      <c r="H38"/>
    </row>
    <row r="39" spans="1:8" ht="19.5" customHeight="1" x14ac:dyDescent="0.25">
      <c r="B39" s="96"/>
      <c r="C39" s="353"/>
      <c r="D39" s="292"/>
      <c r="E39" s="95"/>
      <c r="F39" s="292"/>
      <c r="G39" s="327">
        <f t="shared" si="0"/>
        <v>0</v>
      </c>
      <c r="H39"/>
    </row>
    <row r="40" spans="1:8" ht="16.5" customHeight="1" x14ac:dyDescent="0.25">
      <c r="B40" s="96"/>
      <c r="C40" s="353"/>
      <c r="D40" s="292"/>
      <c r="E40" s="290"/>
      <c r="F40" s="131"/>
      <c r="G40" s="327">
        <f t="shared" si="0"/>
        <v>0</v>
      </c>
      <c r="H40"/>
    </row>
    <row r="41" spans="1:8" x14ac:dyDescent="0.25">
      <c r="B41" s="96"/>
      <c r="C41" s="353"/>
      <c r="D41" s="292"/>
      <c r="E41" s="290"/>
      <c r="F41" s="131"/>
      <c r="G41" s="327">
        <f t="shared" si="0"/>
        <v>0</v>
      </c>
      <c r="H41"/>
    </row>
    <row r="42" spans="1:8" ht="14.25" customHeight="1" x14ac:dyDescent="0.25">
      <c r="B42" s="96"/>
      <c r="C42" s="328"/>
      <c r="D42" s="332"/>
      <c r="E42" s="290"/>
      <c r="F42" s="131"/>
      <c r="G42" s="384">
        <f t="shared" si="0"/>
        <v>0</v>
      </c>
      <c r="H42"/>
    </row>
    <row r="43" spans="1:8" x14ac:dyDescent="0.25">
      <c r="B43" s="96"/>
      <c r="C43" s="389"/>
      <c r="D43" s="234"/>
      <c r="E43" s="385"/>
      <c r="F43" s="131"/>
      <c r="G43" s="384">
        <f>D43-F43</f>
        <v>0</v>
      </c>
      <c r="H43"/>
    </row>
    <row r="44" spans="1:8" x14ac:dyDescent="0.25">
      <c r="B44" s="96"/>
      <c r="C44" s="353"/>
      <c r="D44" s="292"/>
      <c r="E44" s="387"/>
      <c r="F44" s="388"/>
      <c r="G44" s="384">
        <f t="shared" ref="G44:G61" si="1">D44-F44</f>
        <v>0</v>
      </c>
      <c r="H44"/>
    </row>
    <row r="45" spans="1:8" x14ac:dyDescent="0.25">
      <c r="B45" s="96"/>
      <c r="C45" s="390"/>
      <c r="D45" s="386"/>
      <c r="E45" s="329"/>
      <c r="F45" s="131"/>
      <c r="G45" s="384">
        <f t="shared" si="1"/>
        <v>0</v>
      </c>
      <c r="H45"/>
    </row>
    <row r="46" spans="1:8" ht="19.5" customHeight="1" x14ac:dyDescent="0.25">
      <c r="B46" s="96"/>
      <c r="C46" s="328"/>
      <c r="D46" s="332"/>
      <c r="E46" s="329"/>
      <c r="F46" s="131"/>
      <c r="G46" s="384">
        <f t="shared" si="1"/>
        <v>0</v>
      </c>
      <c r="H46"/>
    </row>
    <row r="47" spans="1:8" ht="16.5" customHeight="1" x14ac:dyDescent="0.25">
      <c r="B47" s="96"/>
      <c r="C47" s="328"/>
      <c r="D47" s="394"/>
      <c r="E47" s="329"/>
      <c r="F47" s="131"/>
      <c r="G47" s="384">
        <f t="shared" si="1"/>
        <v>0</v>
      </c>
      <c r="H47"/>
    </row>
    <row r="48" spans="1:8" x14ac:dyDescent="0.25">
      <c r="B48" s="96"/>
      <c r="C48" s="391"/>
      <c r="D48" s="394"/>
      <c r="E48" s="192"/>
      <c r="F48" s="385"/>
      <c r="G48" s="384">
        <f t="shared" si="1"/>
        <v>0</v>
      </c>
      <c r="H48"/>
    </row>
    <row r="49" spans="2:8" x14ac:dyDescent="0.25">
      <c r="B49" s="96"/>
      <c r="C49" s="391"/>
      <c r="D49" s="394"/>
      <c r="E49" s="192"/>
      <c r="F49" s="385"/>
      <c r="G49" s="384">
        <f t="shared" si="1"/>
        <v>0</v>
      </c>
      <c r="H49"/>
    </row>
    <row r="50" spans="2:8" x14ac:dyDescent="0.25">
      <c r="B50" s="96"/>
      <c r="C50" s="391"/>
      <c r="D50" s="394"/>
      <c r="E50" s="192"/>
      <c r="F50" s="192"/>
      <c r="G50" s="384">
        <f t="shared" si="1"/>
        <v>0</v>
      </c>
      <c r="H50"/>
    </row>
    <row r="51" spans="2:8" x14ac:dyDescent="0.25">
      <c r="B51" s="96"/>
      <c r="C51" s="391"/>
      <c r="D51" s="394"/>
      <c r="E51" s="192"/>
      <c r="F51" s="192"/>
      <c r="G51" s="384">
        <f t="shared" si="1"/>
        <v>0</v>
      </c>
      <c r="H51"/>
    </row>
    <row r="52" spans="2:8" x14ac:dyDescent="0.25">
      <c r="B52" s="96"/>
      <c r="C52" s="391"/>
      <c r="D52" s="394"/>
      <c r="E52" s="192"/>
      <c r="F52" s="192"/>
      <c r="G52" s="384">
        <f t="shared" si="1"/>
        <v>0</v>
      </c>
      <c r="H52"/>
    </row>
    <row r="53" spans="2:8" x14ac:dyDescent="0.25">
      <c r="B53" s="96"/>
      <c r="C53" s="391"/>
      <c r="D53" s="394"/>
      <c r="E53" s="192"/>
      <c r="F53" s="192"/>
      <c r="G53" s="384">
        <f t="shared" si="1"/>
        <v>0</v>
      </c>
      <c r="H53"/>
    </row>
    <row r="54" spans="2:8" x14ac:dyDescent="0.25">
      <c r="B54" s="330"/>
      <c r="C54" s="391"/>
      <c r="D54" s="394"/>
      <c r="E54" s="192"/>
      <c r="F54" s="192"/>
      <c r="G54" s="384">
        <f t="shared" si="1"/>
        <v>0</v>
      </c>
      <c r="H54"/>
    </row>
    <row r="55" spans="2:8" x14ac:dyDescent="0.25">
      <c r="B55" s="330"/>
      <c r="C55" s="328"/>
      <c r="D55" s="394"/>
      <c r="E55" s="329"/>
      <c r="F55" s="131"/>
      <c r="G55" s="292">
        <f t="shared" si="1"/>
        <v>0</v>
      </c>
      <c r="H55"/>
    </row>
    <row r="56" spans="2:8" x14ac:dyDescent="0.25">
      <c r="B56" s="330"/>
      <c r="C56" s="328"/>
      <c r="D56" s="394"/>
      <c r="E56" s="329"/>
      <c r="F56" s="131"/>
      <c r="G56" s="292">
        <f t="shared" si="1"/>
        <v>0</v>
      </c>
      <c r="H56"/>
    </row>
    <row r="57" spans="2:8" x14ac:dyDescent="0.25">
      <c r="B57" s="330"/>
      <c r="C57" s="328"/>
      <c r="D57" s="394"/>
      <c r="E57" s="329"/>
      <c r="F57" s="131"/>
      <c r="G57" s="292">
        <f t="shared" si="1"/>
        <v>0</v>
      </c>
      <c r="H57"/>
    </row>
    <row r="58" spans="2:8" x14ac:dyDescent="0.25">
      <c r="B58" s="330"/>
      <c r="C58" s="392"/>
      <c r="D58" s="394"/>
      <c r="E58" s="329"/>
      <c r="F58" s="131"/>
      <c r="G58" s="292">
        <f t="shared" si="1"/>
        <v>0</v>
      </c>
    </row>
    <row r="59" spans="2:8" x14ac:dyDescent="0.25">
      <c r="B59" s="330"/>
      <c r="C59" s="393"/>
      <c r="D59" s="394"/>
      <c r="E59" s="329"/>
      <c r="F59" s="131"/>
      <c r="G59" s="292">
        <f t="shared" si="1"/>
        <v>0</v>
      </c>
    </row>
    <row r="60" spans="2:8" x14ac:dyDescent="0.25">
      <c r="B60" s="330"/>
      <c r="C60" s="393"/>
      <c r="D60" s="394"/>
      <c r="E60" s="329"/>
      <c r="F60" s="131"/>
      <c r="G60" s="292">
        <f t="shared" si="1"/>
        <v>0</v>
      </c>
    </row>
    <row r="61" spans="2:8" thickBot="1" x14ac:dyDescent="0.3">
      <c r="B61"/>
      <c r="C61" s="104"/>
      <c r="D61" s="262"/>
      <c r="E61" s="104"/>
      <c r="F61" s="106"/>
      <c r="G61" s="292">
        <f t="shared" si="1"/>
        <v>0</v>
      </c>
    </row>
    <row r="62" spans="2:8" ht="16.5" thickTop="1" x14ac:dyDescent="0.25">
      <c r="B62"/>
      <c r="C62"/>
      <c r="D62" s="263">
        <f>SUM(D4:D61)</f>
        <v>1055292.79</v>
      </c>
      <c r="E62" s="108"/>
      <c r="F62" s="109">
        <f>SUM(F4:F61)</f>
        <v>0</v>
      </c>
      <c r="G62" s="109">
        <f>SUM(G4:G61)</f>
        <v>1055292.79</v>
      </c>
    </row>
    <row r="63" spans="2:8" ht="15" x14ac:dyDescent="0.25">
      <c r="C63" s="159"/>
      <c r="E63"/>
    </row>
    <row r="64" spans="2:8" ht="15" x14ac:dyDescent="0.25">
      <c r="C64" s="159"/>
      <c r="E64"/>
    </row>
    <row r="65" spans="2:8" ht="15" x14ac:dyDescent="0.25">
      <c r="B65"/>
      <c r="C65" s="159"/>
      <c r="E65"/>
      <c r="F65"/>
      <c r="G65"/>
      <c r="H65"/>
    </row>
    <row r="66" spans="2:8" ht="15" x14ac:dyDescent="0.25">
      <c r="B66"/>
      <c r="C66" s="159"/>
      <c r="E66"/>
      <c r="F66"/>
      <c r="G66"/>
      <c r="H66"/>
    </row>
    <row r="67" spans="2:8" ht="15" x14ac:dyDescent="0.25">
      <c r="B67"/>
      <c r="C67" s="159"/>
      <c r="E67"/>
      <c r="F67"/>
      <c r="G67"/>
      <c r="H67"/>
    </row>
    <row r="68" spans="2:8" ht="15" x14ac:dyDescent="0.25">
      <c r="B68"/>
      <c r="C68" s="159"/>
      <c r="E68"/>
      <c r="F68"/>
      <c r="G68"/>
      <c r="H68"/>
    </row>
    <row r="69" spans="2:8" ht="15" x14ac:dyDescent="0.25">
      <c r="B69"/>
      <c r="C69" s="379"/>
      <c r="E69"/>
      <c r="F69"/>
      <c r="G69"/>
      <c r="H69"/>
    </row>
    <row r="70" spans="2:8" ht="15" x14ac:dyDescent="0.25">
      <c r="B70"/>
      <c r="C70" s="379"/>
      <c r="E70"/>
      <c r="F70"/>
      <c r="G70"/>
      <c r="H70"/>
    </row>
    <row r="71" spans="2:8" x14ac:dyDescent="0.25">
      <c r="B71"/>
      <c r="C71" s="380"/>
      <c r="F71"/>
      <c r="G71"/>
      <c r="H71"/>
    </row>
    <row r="72" spans="2:8" x14ac:dyDescent="0.25">
      <c r="B72"/>
      <c r="C72" s="381"/>
      <c r="F72"/>
      <c r="G72"/>
      <c r="H72"/>
    </row>
    <row r="74" spans="2:8" ht="15" x14ac:dyDescent="0.25">
      <c r="B74"/>
      <c r="C74" s="159"/>
      <c r="E74"/>
      <c r="F74"/>
      <c r="G74"/>
      <c r="H74"/>
    </row>
    <row r="75" spans="2:8" ht="15" x14ac:dyDescent="0.25">
      <c r="B75"/>
      <c r="C75" s="159"/>
      <c r="E75"/>
      <c r="F75"/>
      <c r="G75"/>
      <c r="H75"/>
    </row>
    <row r="76" spans="2:8" ht="15" x14ac:dyDescent="0.25">
      <c r="B76"/>
      <c r="C76" s="159">
        <v>42675</v>
      </c>
      <c r="D76" s="3">
        <v>19397</v>
      </c>
      <c r="E76" t="s">
        <v>751</v>
      </c>
      <c r="F76"/>
      <c r="G76"/>
      <c r="H76"/>
    </row>
    <row r="77" spans="2:8" ht="15" x14ac:dyDescent="0.25">
      <c r="B77"/>
      <c r="C77" s="379">
        <v>42682</v>
      </c>
      <c r="D77" s="3">
        <v>35190</v>
      </c>
      <c r="E77" t="s">
        <v>760</v>
      </c>
      <c r="F77"/>
      <c r="G77"/>
      <c r="H77"/>
    </row>
    <row r="78" spans="2:8" ht="15" x14ac:dyDescent="0.25">
      <c r="B78"/>
      <c r="C78" s="379">
        <v>42685</v>
      </c>
      <c r="D78" s="3">
        <v>11731</v>
      </c>
      <c r="E78" t="s">
        <v>784</v>
      </c>
      <c r="F78"/>
      <c r="G78"/>
      <c r="H78"/>
    </row>
    <row r="79" spans="2:8" x14ac:dyDescent="0.25">
      <c r="B79"/>
      <c r="C79" s="380"/>
      <c r="F79"/>
      <c r="G79"/>
      <c r="H79"/>
    </row>
    <row r="80" spans="2:8" x14ac:dyDescent="0.25">
      <c r="B80"/>
      <c r="C80" s="381"/>
      <c r="F80"/>
      <c r="G80"/>
      <c r="H8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408" t="s">
        <v>75</v>
      </c>
      <c r="D1" s="408"/>
      <c r="E1" s="408"/>
      <c r="F1" s="408"/>
      <c r="G1" s="408"/>
      <c r="H1" s="408"/>
      <c r="I1" s="408"/>
      <c r="J1" s="408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409" t="s">
        <v>2</v>
      </c>
      <c r="F3" s="410"/>
      <c r="I3" s="411" t="s">
        <v>3</v>
      </c>
      <c r="J3" s="412"/>
      <c r="K3" s="413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414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415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416"/>
      <c r="B38" s="416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90522.3</v>
      </c>
      <c r="K39" s="403"/>
      <c r="L39" s="68"/>
    </row>
    <row r="40" spans="1:12" ht="15.75" customHeight="1" x14ac:dyDescent="0.25">
      <c r="A40" s="404"/>
      <c r="B40" s="404"/>
      <c r="C40" s="50"/>
      <c r="D40" s="405" t="s">
        <v>13</v>
      </c>
      <c r="E40" s="405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406" t="s">
        <v>175</v>
      </c>
      <c r="J45" s="407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99"/>
      <c r="I51" s="399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417">
        <v>1</v>
      </c>
      <c r="K1" s="86" t="s">
        <v>28</v>
      </c>
      <c r="L1" s="86"/>
      <c r="M1" s="110"/>
      <c r="N1" s="148">
        <v>42411</v>
      </c>
      <c r="O1" s="112"/>
      <c r="R1" s="417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418"/>
      <c r="K2" s="113"/>
      <c r="L2" s="113"/>
      <c r="M2" s="114"/>
      <c r="N2" s="115"/>
      <c r="O2" s="112"/>
      <c r="R2" s="418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417">
        <v>1</v>
      </c>
      <c r="K29" s="86" t="s">
        <v>28</v>
      </c>
      <c r="L29" s="86"/>
      <c r="M29" s="110"/>
      <c r="N29" s="191">
        <v>42413</v>
      </c>
      <c r="O29" s="112"/>
      <c r="R29" s="417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418"/>
      <c r="K30" s="113"/>
      <c r="L30" s="113"/>
      <c r="M30" s="114"/>
      <c r="N30" s="115"/>
      <c r="O30" s="112"/>
      <c r="R30" s="418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417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418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408" t="s">
        <v>104</v>
      </c>
      <c r="D1" s="408"/>
      <c r="E1" s="408"/>
      <c r="F1" s="408"/>
      <c r="G1" s="408"/>
      <c r="H1" s="408"/>
      <c r="I1" s="408"/>
      <c r="J1" s="408"/>
      <c r="Q1" s="408" t="s">
        <v>104</v>
      </c>
      <c r="R1" s="408"/>
      <c r="S1" s="408"/>
      <c r="T1" s="408"/>
      <c r="U1" s="408"/>
      <c r="V1" s="408"/>
      <c r="W1" s="408"/>
      <c r="X1" s="408"/>
      <c r="AE1" s="408" t="s">
        <v>104</v>
      </c>
      <c r="AF1" s="408"/>
      <c r="AG1" s="408"/>
      <c r="AH1" s="408"/>
      <c r="AI1" s="408"/>
      <c r="AJ1" s="408"/>
      <c r="AK1" s="408"/>
      <c r="AL1" s="408"/>
      <c r="AS1" s="408" t="s">
        <v>104</v>
      </c>
      <c r="AT1" s="408"/>
      <c r="AU1" s="408"/>
      <c r="AV1" s="408"/>
      <c r="AW1" s="408"/>
      <c r="AX1" s="408"/>
      <c r="AY1" s="408"/>
      <c r="AZ1" s="408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409" t="s">
        <v>2</v>
      </c>
      <c r="F3" s="410"/>
      <c r="I3" s="411" t="s">
        <v>3</v>
      </c>
      <c r="J3" s="412"/>
      <c r="K3" s="413"/>
      <c r="L3" s="10" t="s">
        <v>4</v>
      </c>
      <c r="O3" s="6" t="s">
        <v>1</v>
      </c>
      <c r="P3" s="7"/>
      <c r="Q3" s="8">
        <v>221672.33</v>
      </c>
      <c r="R3" s="9"/>
      <c r="S3" s="409" t="s">
        <v>2</v>
      </c>
      <c r="T3" s="410"/>
      <c r="W3" s="411" t="s">
        <v>3</v>
      </c>
      <c r="X3" s="412"/>
      <c r="Y3" s="413"/>
      <c r="Z3" s="10" t="s">
        <v>4</v>
      </c>
      <c r="AC3" s="6" t="s">
        <v>1</v>
      </c>
      <c r="AD3" s="7"/>
      <c r="AE3" s="8">
        <v>221672.33</v>
      </c>
      <c r="AF3" s="9"/>
      <c r="AG3" s="409" t="s">
        <v>2</v>
      </c>
      <c r="AH3" s="410"/>
      <c r="AK3" s="411" t="s">
        <v>3</v>
      </c>
      <c r="AL3" s="412"/>
      <c r="AM3" s="413"/>
      <c r="AN3" s="10" t="s">
        <v>4</v>
      </c>
      <c r="AQ3" s="6" t="s">
        <v>1</v>
      </c>
      <c r="AR3" s="7"/>
      <c r="AS3" s="8">
        <v>221672.33</v>
      </c>
      <c r="AT3" s="9"/>
      <c r="AU3" s="409" t="s">
        <v>2</v>
      </c>
      <c r="AV3" s="410"/>
      <c r="AY3" s="411" t="s">
        <v>3</v>
      </c>
      <c r="AZ3" s="412"/>
      <c r="BA3" s="413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414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414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414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415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415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415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416"/>
      <c r="B38" s="416"/>
      <c r="C38" s="50"/>
      <c r="I38" s="64"/>
      <c r="K38" s="64"/>
      <c r="O38" s="416"/>
      <c r="P38" s="416"/>
      <c r="Q38" s="50"/>
      <c r="W38" s="64"/>
      <c r="Y38" s="64"/>
      <c r="AC38" s="416"/>
      <c r="AD38" s="416"/>
      <c r="AE38" s="50"/>
      <c r="AK38" s="64"/>
      <c r="AM38" s="64"/>
      <c r="AO38" s="226"/>
      <c r="AQ38" s="416"/>
      <c r="AR38" s="416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400" t="s">
        <v>12</v>
      </c>
      <c r="I39" s="401"/>
      <c r="J39" s="402">
        <f>I37+K37</f>
        <v>65084.910000000011</v>
      </c>
      <c r="K39" s="403"/>
      <c r="L39" s="68"/>
      <c r="O39" s="65"/>
      <c r="P39" s="66"/>
      <c r="Q39" s="50"/>
      <c r="R39" s="67"/>
      <c r="S39" s="66"/>
      <c r="T39" s="66"/>
      <c r="V39" s="400" t="s">
        <v>12</v>
      </c>
      <c r="W39" s="401"/>
      <c r="X39" s="402">
        <f>W37+Y37</f>
        <v>38278.289999999994</v>
      </c>
      <c r="Y39" s="403"/>
      <c r="Z39" s="68"/>
      <c r="AC39" s="65"/>
      <c r="AD39" s="66"/>
      <c r="AE39" s="50"/>
      <c r="AF39" s="67"/>
      <c r="AG39" s="66"/>
      <c r="AH39" s="66"/>
      <c r="AJ39" s="400" t="s">
        <v>12</v>
      </c>
      <c r="AK39" s="401"/>
      <c r="AL39" s="402">
        <f>AK37+AM37</f>
        <v>33544.74</v>
      </c>
      <c r="AM39" s="403"/>
      <c r="AN39" s="68"/>
      <c r="AO39"/>
      <c r="AQ39" s="65"/>
      <c r="AR39" s="66"/>
      <c r="AS39" s="50"/>
      <c r="AT39" s="67"/>
      <c r="AU39" s="66"/>
      <c r="AV39" s="66"/>
      <c r="AX39" s="400" t="s">
        <v>12</v>
      </c>
      <c r="AY39" s="401"/>
      <c r="AZ39" s="402">
        <f>AY37+BA37</f>
        <v>26449.62</v>
      </c>
      <c r="BA39" s="403"/>
      <c r="BB39" s="68"/>
      <c r="BC39"/>
      <c r="BE39" s="41"/>
    </row>
    <row r="40" spans="1:58" ht="15.75" x14ac:dyDescent="0.25">
      <c r="D40" s="405" t="s">
        <v>13</v>
      </c>
      <c r="E40" s="405"/>
      <c r="F40" s="69">
        <f>F37-J39</f>
        <v>1784726.9800000004</v>
      </c>
      <c r="I40" s="70"/>
      <c r="O40" s="404"/>
      <c r="P40" s="404"/>
      <c r="Q40" s="50"/>
      <c r="R40" s="405" t="s">
        <v>13</v>
      </c>
      <c r="S40" s="405"/>
      <c r="T40" s="69">
        <f>T37-X39-Q37</f>
        <v>76120.420000000158</v>
      </c>
      <c r="W40" s="70"/>
      <c r="AC40" s="404"/>
      <c r="AD40" s="404"/>
      <c r="AE40" s="50"/>
      <c r="AF40" s="405" t="s">
        <v>13</v>
      </c>
      <c r="AG40" s="405"/>
      <c r="AH40" s="69">
        <f>AH37-AL39-AE37</f>
        <v>93416.140000000014</v>
      </c>
      <c r="AK40" s="70"/>
      <c r="AO40"/>
      <c r="AQ40" s="404"/>
      <c r="AR40" s="404"/>
      <c r="AS40" s="50"/>
      <c r="AT40" s="405" t="s">
        <v>13</v>
      </c>
      <c r="AU40" s="405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406" t="s">
        <v>175</v>
      </c>
      <c r="J45" s="407"/>
      <c r="K45" s="79">
        <f>K43+K44</f>
        <v>-44705.699999999662</v>
      </c>
      <c r="S45" s="60" t="s">
        <v>18</v>
      </c>
      <c r="T45" s="78">
        <f>T44+T43</f>
        <v>119618.84000000016</v>
      </c>
      <c r="W45" s="406" t="s">
        <v>19</v>
      </c>
      <c r="X45" s="407"/>
      <c r="Y45" s="79">
        <f>Y43+Y44</f>
        <v>188739.73000000013</v>
      </c>
      <c r="AG45" s="60" t="s">
        <v>18</v>
      </c>
      <c r="AH45" s="78">
        <f>AH44+AH43</f>
        <v>-110732.08</v>
      </c>
      <c r="AK45" s="406" t="s">
        <v>19</v>
      </c>
      <c r="AL45" s="407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406" t="s">
        <v>19</v>
      </c>
      <c r="AZ45" s="407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99"/>
      <c r="I51" s="399"/>
      <c r="J51" s="80"/>
      <c r="K51" s="81"/>
      <c r="L51"/>
      <c r="P51"/>
      <c r="Q51"/>
      <c r="S51"/>
      <c r="T51"/>
      <c r="V51" s="399"/>
      <c r="W51" s="399"/>
      <c r="X51" s="80"/>
      <c r="Y51" s="81"/>
      <c r="Z51"/>
      <c r="AD51"/>
      <c r="AE51"/>
      <c r="AG51"/>
      <c r="AH51"/>
      <c r="AJ51" s="399"/>
      <c r="AK51" s="399"/>
      <c r="AL51" s="80"/>
      <c r="AM51" s="81"/>
      <c r="AN51"/>
      <c r="AO51"/>
      <c r="AR51"/>
      <c r="AS51"/>
      <c r="AU51"/>
      <c r="AV51"/>
      <c r="AX51" s="399"/>
      <c r="AY51" s="399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H51:I51"/>
    <mergeCell ref="H39:I39"/>
    <mergeCell ref="J39:K39"/>
    <mergeCell ref="D40:E40"/>
    <mergeCell ref="I45:J45"/>
    <mergeCell ref="C1:J1"/>
    <mergeCell ref="E3:F3"/>
    <mergeCell ref="I3:K3"/>
    <mergeCell ref="J20:J21"/>
    <mergeCell ref="A38:B38"/>
    <mergeCell ref="AJ51:AK51"/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20:AL21"/>
    <mergeCell ref="AC38:AD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417">
        <v>1</v>
      </c>
      <c r="K1" s="86" t="s">
        <v>28</v>
      </c>
      <c r="L1" s="86"/>
      <c r="M1" s="110"/>
      <c r="N1" s="148">
        <v>42433</v>
      </c>
      <c r="O1" s="112"/>
      <c r="T1" s="33"/>
      <c r="U1" s="417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418"/>
      <c r="K2" s="113"/>
      <c r="L2" s="113"/>
      <c r="M2" s="114"/>
      <c r="N2" s="115"/>
      <c r="O2" s="112"/>
      <c r="T2" s="33"/>
      <c r="U2" s="418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417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418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419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419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417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418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419"/>
      <c r="K50" s="203"/>
      <c r="L50" s="203"/>
      <c r="M50" s="204"/>
      <c r="N50" s="205"/>
      <c r="O50" s="206"/>
      <c r="P50" s="147"/>
      <c r="Q50" s="147"/>
    </row>
    <row r="51" spans="2:17" x14ac:dyDescent="0.25">
      <c r="J51" s="419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408" t="s">
        <v>151</v>
      </c>
      <c r="D1" s="408"/>
      <c r="E1" s="408"/>
      <c r="F1" s="408"/>
      <c r="G1" s="408"/>
      <c r="H1" s="408"/>
      <c r="I1" s="408"/>
      <c r="J1" s="408"/>
      <c r="S1" s="408" t="s">
        <v>151</v>
      </c>
      <c r="T1" s="408"/>
      <c r="U1" s="408"/>
      <c r="V1" s="408"/>
      <c r="W1" s="408"/>
      <c r="X1" s="408"/>
      <c r="Y1" s="408"/>
      <c r="Z1" s="408"/>
      <c r="AI1" s="408" t="s">
        <v>151</v>
      </c>
      <c r="AJ1" s="408"/>
      <c r="AK1" s="408"/>
      <c r="AL1" s="408"/>
      <c r="AM1" s="408"/>
      <c r="AN1" s="408"/>
      <c r="AO1" s="408"/>
      <c r="AP1" s="408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409" t="s">
        <v>2</v>
      </c>
      <c r="F3" s="410"/>
      <c r="I3" s="411" t="s">
        <v>3</v>
      </c>
      <c r="J3" s="412"/>
      <c r="K3" s="413"/>
      <c r="L3" s="10" t="s">
        <v>4</v>
      </c>
      <c r="Q3" s="6" t="s">
        <v>1</v>
      </c>
      <c r="R3" s="7"/>
      <c r="S3" s="8">
        <v>234143.62</v>
      </c>
      <c r="T3" s="9"/>
      <c r="U3" s="409" t="s">
        <v>2</v>
      </c>
      <c r="V3" s="410"/>
      <c r="Y3" s="411" t="s">
        <v>3</v>
      </c>
      <c r="Z3" s="412"/>
      <c r="AA3" s="413"/>
      <c r="AB3" s="10" t="s">
        <v>4</v>
      </c>
      <c r="AG3" s="6" t="s">
        <v>1</v>
      </c>
      <c r="AH3" s="7"/>
      <c r="AI3" s="8">
        <v>234143.62</v>
      </c>
      <c r="AJ3" s="9"/>
      <c r="AK3" s="409" t="s">
        <v>2</v>
      </c>
      <c r="AL3" s="410"/>
      <c r="AO3" s="411" t="s">
        <v>3</v>
      </c>
      <c r="AP3" s="412"/>
      <c r="AQ3" s="413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414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414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414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415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415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415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416"/>
      <c r="B38" s="416"/>
      <c r="C38" s="50"/>
      <c r="I38" s="64"/>
      <c r="K38" s="64"/>
      <c r="Q38" s="416"/>
      <c r="R38" s="416"/>
      <c r="S38" s="50"/>
      <c r="Y38" s="64"/>
      <c r="AA38" s="64"/>
      <c r="AG38" s="416"/>
      <c r="AH38" s="416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85763.770000000019</v>
      </c>
      <c r="K39" s="403"/>
      <c r="L39" s="68"/>
      <c r="Q39" s="65"/>
      <c r="R39" s="66"/>
      <c r="S39" s="50"/>
      <c r="T39" s="67"/>
      <c r="U39" s="66"/>
      <c r="V39" s="66"/>
      <c r="X39" s="400" t="s">
        <v>12</v>
      </c>
      <c r="Y39" s="401"/>
      <c r="Z39" s="402">
        <f>Y37+AA37</f>
        <v>57075.30000000001</v>
      </c>
      <c r="AA39" s="403"/>
      <c r="AB39" s="68"/>
      <c r="AG39" s="65"/>
      <c r="AH39" s="66"/>
      <c r="AI39" s="50"/>
      <c r="AJ39" s="67"/>
      <c r="AK39" s="66"/>
      <c r="AL39" s="66"/>
      <c r="AN39" s="400" t="s">
        <v>12</v>
      </c>
      <c r="AO39" s="401"/>
      <c r="AP39" s="402">
        <f>AO37+AQ37</f>
        <v>41568.540000000008</v>
      </c>
      <c r="AQ39" s="403"/>
      <c r="AR39" s="68"/>
    </row>
    <row r="40" spans="1:44" ht="15.75" customHeight="1" x14ac:dyDescent="0.25">
      <c r="A40" s="404"/>
      <c r="B40" s="404"/>
      <c r="C40" s="50"/>
      <c r="D40" s="405" t="s">
        <v>13</v>
      </c>
      <c r="E40" s="405"/>
      <c r="F40" s="69">
        <f>F37-J39</f>
        <v>1770663.78</v>
      </c>
      <c r="I40" s="70"/>
      <c r="Q40" s="404"/>
      <c r="R40" s="404"/>
      <c r="S40" s="50"/>
      <c r="T40" s="405" t="s">
        <v>13</v>
      </c>
      <c r="U40" s="405"/>
      <c r="V40" s="69">
        <f>V37-Z39</f>
        <v>1150783.25</v>
      </c>
      <c r="Y40" s="70"/>
      <c r="AG40" s="404"/>
      <c r="AH40" s="404"/>
      <c r="AI40" s="50"/>
      <c r="AJ40" s="405" t="s">
        <v>13</v>
      </c>
      <c r="AK40" s="405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406" t="s">
        <v>175</v>
      </c>
      <c r="J45" s="407"/>
      <c r="K45" s="79">
        <f>K43+K44</f>
        <v>-80966.779999999912</v>
      </c>
      <c r="U45" s="60" t="s">
        <v>18</v>
      </c>
      <c r="V45" s="78">
        <f>V44+V43</f>
        <v>-162128.47999999998</v>
      </c>
      <c r="Y45" s="406" t="s">
        <v>175</v>
      </c>
      <c r="Z45" s="407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406" t="s">
        <v>175</v>
      </c>
      <c r="AP45" s="407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99"/>
      <c r="I51" s="399"/>
      <c r="J51" s="80"/>
      <c r="K51" s="81"/>
      <c r="L51"/>
      <c r="R51"/>
      <c r="S51"/>
      <c r="U51"/>
      <c r="V51"/>
      <c r="X51" s="399"/>
      <c r="Y51" s="399"/>
      <c r="Z51" s="80"/>
      <c r="AA51" s="81"/>
      <c r="AB51"/>
      <c r="AH51"/>
      <c r="AI51"/>
      <c r="AK51"/>
      <c r="AL51"/>
      <c r="AN51" s="399"/>
      <c r="AO51" s="399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X51:Y51"/>
    <mergeCell ref="X39:Y39"/>
    <mergeCell ref="Z39:AA39"/>
    <mergeCell ref="Q40:R40"/>
    <mergeCell ref="T40:U40"/>
    <mergeCell ref="Y45:Z45"/>
    <mergeCell ref="S1:Z1"/>
    <mergeCell ref="U3:V3"/>
    <mergeCell ref="Y3:AA3"/>
    <mergeCell ref="Z20:Z21"/>
    <mergeCell ref="Q38:R38"/>
    <mergeCell ref="AI1:AP1"/>
    <mergeCell ref="AK3:AL3"/>
    <mergeCell ref="AO3:AQ3"/>
    <mergeCell ref="AO45:AP45"/>
    <mergeCell ref="AN51:AO51"/>
    <mergeCell ref="AG40:AH40"/>
    <mergeCell ref="AJ40:AK40"/>
    <mergeCell ref="AP20:AP21"/>
    <mergeCell ref="AG38:AH38"/>
    <mergeCell ref="AN39:AO39"/>
    <mergeCell ref="AP39:AQ39"/>
    <mergeCell ref="C1:J1"/>
    <mergeCell ref="E3:F3"/>
    <mergeCell ref="I3:K3"/>
    <mergeCell ref="J20:J21"/>
    <mergeCell ref="A38:B38"/>
    <mergeCell ref="H51:I51"/>
    <mergeCell ref="H39:I39"/>
    <mergeCell ref="J39:K39"/>
    <mergeCell ref="A40:B40"/>
    <mergeCell ref="D40:E40"/>
    <mergeCell ref="I45:J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417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418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417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418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J6" sqref="J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408" t="s">
        <v>224</v>
      </c>
      <c r="D1" s="408"/>
      <c r="E1" s="408"/>
      <c r="F1" s="408"/>
      <c r="G1" s="408"/>
      <c r="H1" s="408"/>
      <c r="I1" s="408"/>
      <c r="J1" s="408"/>
      <c r="K1" s="300" t="s">
        <v>293</v>
      </c>
      <c r="L1" s="2"/>
      <c r="P1" s="1"/>
      <c r="Q1" s="408" t="s">
        <v>224</v>
      </c>
      <c r="R1" s="408"/>
      <c r="S1" s="408"/>
      <c r="T1" s="408"/>
      <c r="U1" s="408"/>
      <c r="V1" s="408"/>
      <c r="W1" s="408"/>
      <c r="X1" s="408"/>
      <c r="Y1" s="300" t="s">
        <v>273</v>
      </c>
      <c r="Z1" s="2"/>
      <c r="AD1" s="1"/>
      <c r="AE1" s="408" t="s">
        <v>224</v>
      </c>
      <c r="AF1" s="408"/>
      <c r="AG1" s="408"/>
      <c r="AH1" s="408"/>
      <c r="AI1" s="408"/>
      <c r="AJ1" s="408"/>
      <c r="AK1" s="408"/>
      <c r="AL1" s="408"/>
      <c r="AM1" s="300" t="s">
        <v>257</v>
      </c>
      <c r="AN1" s="2"/>
      <c r="AS1" s="408" t="s">
        <v>224</v>
      </c>
      <c r="AT1" s="408"/>
      <c r="AU1" s="408"/>
      <c r="AV1" s="408"/>
      <c r="AW1" s="408"/>
      <c r="AX1" s="408"/>
      <c r="AY1" s="408"/>
      <c r="AZ1" s="408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409" t="s">
        <v>2</v>
      </c>
      <c r="F3" s="410"/>
      <c r="H3" s="1"/>
      <c r="I3" s="411" t="s">
        <v>3</v>
      </c>
      <c r="J3" s="412"/>
      <c r="K3" s="413"/>
      <c r="L3" s="10" t="s">
        <v>4</v>
      </c>
      <c r="O3" s="6" t="s">
        <v>1</v>
      </c>
      <c r="P3" s="7"/>
      <c r="Q3" s="8">
        <v>322065.74</v>
      </c>
      <c r="R3" s="9"/>
      <c r="S3" s="409" t="s">
        <v>2</v>
      </c>
      <c r="T3" s="410"/>
      <c r="V3" s="1"/>
      <c r="W3" s="411" t="s">
        <v>3</v>
      </c>
      <c r="X3" s="412"/>
      <c r="Y3" s="413"/>
      <c r="Z3" s="10" t="s">
        <v>4</v>
      </c>
      <c r="AC3" s="6" t="s">
        <v>1</v>
      </c>
      <c r="AD3" s="7"/>
      <c r="AE3" s="8">
        <v>322065.74</v>
      </c>
      <c r="AF3" s="9"/>
      <c r="AG3" s="409" t="s">
        <v>2</v>
      </c>
      <c r="AH3" s="410"/>
      <c r="AJ3" s="1"/>
      <c r="AK3" s="411" t="s">
        <v>3</v>
      </c>
      <c r="AL3" s="412"/>
      <c r="AM3" s="413"/>
      <c r="AN3" s="10" t="s">
        <v>4</v>
      </c>
      <c r="AQ3" s="6" t="s">
        <v>1</v>
      </c>
      <c r="AR3" s="7"/>
      <c r="AS3" s="8">
        <v>322065.74</v>
      </c>
      <c r="AT3" s="9"/>
      <c r="AU3" s="409" t="s">
        <v>2</v>
      </c>
      <c r="AV3" s="410"/>
      <c r="AY3" s="411" t="s">
        <v>3</v>
      </c>
      <c r="AZ3" s="412"/>
      <c r="BA3" s="413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414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414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414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414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415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415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415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415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58762.19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416"/>
      <c r="B38" s="416"/>
      <c r="C38" s="50"/>
      <c r="E38" s="1"/>
      <c r="F38" s="1"/>
      <c r="H38" s="1"/>
      <c r="I38" s="64"/>
      <c r="J38" s="1"/>
      <c r="K38" s="64"/>
      <c r="L38" s="2"/>
      <c r="M38" s="3"/>
      <c r="O38" s="416"/>
      <c r="P38" s="416"/>
      <c r="Q38" s="50"/>
      <c r="S38" s="1"/>
      <c r="T38" s="1"/>
      <c r="V38" s="1"/>
      <c r="W38" s="64"/>
      <c r="X38" s="1"/>
      <c r="Y38" s="64"/>
      <c r="Z38" s="2"/>
      <c r="AA38" s="216"/>
      <c r="AC38" s="416"/>
      <c r="AD38" s="416"/>
      <c r="AE38" s="50"/>
      <c r="AG38" s="1"/>
      <c r="AH38" s="1"/>
      <c r="AJ38" s="1"/>
      <c r="AK38" s="64"/>
      <c r="AL38" s="1"/>
      <c r="AM38" s="64"/>
      <c r="AN38" s="2"/>
      <c r="AO38" s="3"/>
      <c r="AQ38" s="416"/>
      <c r="AR38" s="416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400" t="s">
        <v>12</v>
      </c>
      <c r="I39" s="401"/>
      <c r="J39" s="402">
        <f>I37+K37</f>
        <v>59090.19</v>
      </c>
      <c r="K39" s="403"/>
      <c r="L39" s="68"/>
      <c r="M39" s="3"/>
      <c r="O39" s="65"/>
      <c r="P39" s="66"/>
      <c r="Q39" s="50"/>
      <c r="R39" s="67"/>
      <c r="S39" s="66"/>
      <c r="T39" s="66"/>
      <c r="V39" s="400" t="s">
        <v>12</v>
      </c>
      <c r="W39" s="401"/>
      <c r="X39" s="402">
        <f>W37+Y37</f>
        <v>33423.78</v>
      </c>
      <c r="Y39" s="403"/>
      <c r="Z39" s="68"/>
      <c r="AA39" s="216"/>
      <c r="AC39" s="65"/>
      <c r="AD39" s="66"/>
      <c r="AE39" s="50"/>
      <c r="AF39" s="67"/>
      <c r="AG39" s="66"/>
      <c r="AH39" s="66"/>
      <c r="AJ39" s="400" t="s">
        <v>12</v>
      </c>
      <c r="AK39" s="401"/>
      <c r="AL39" s="402">
        <f>AK37+AM37</f>
        <v>26236.28</v>
      </c>
      <c r="AM39" s="403"/>
      <c r="AN39" s="68"/>
      <c r="AO39" s="3"/>
      <c r="AQ39" s="65"/>
      <c r="AR39" s="66"/>
      <c r="AS39" s="50"/>
      <c r="AT39" s="67"/>
      <c r="AU39" s="66"/>
      <c r="AV39" s="66"/>
      <c r="AX39" s="400" t="s">
        <v>12</v>
      </c>
      <c r="AY39" s="401"/>
      <c r="AZ39" s="402">
        <f>AY37+BA37</f>
        <v>8053.5</v>
      </c>
      <c r="BA39" s="403"/>
      <c r="BB39" s="68"/>
    </row>
    <row r="40" spans="1:54" customFormat="1" x14ac:dyDescent="0.25">
      <c r="A40" s="404"/>
      <c r="B40" s="404"/>
      <c r="C40" s="50"/>
      <c r="D40" s="405" t="s">
        <v>13</v>
      </c>
      <c r="E40" s="405"/>
      <c r="F40" s="69">
        <f>F37-J39</f>
        <v>1566024.0399999998</v>
      </c>
      <c r="H40" s="1"/>
      <c r="I40" s="70"/>
      <c r="J40" s="1"/>
      <c r="K40" s="1"/>
      <c r="L40" s="2"/>
      <c r="M40" s="3"/>
      <c r="O40" s="404"/>
      <c r="P40" s="404"/>
      <c r="Q40" s="50"/>
      <c r="R40" s="405" t="s">
        <v>13</v>
      </c>
      <c r="S40" s="405"/>
      <c r="T40" s="69">
        <f>T37-X39</f>
        <v>1282076.93</v>
      </c>
      <c r="V40" s="1"/>
      <c r="W40" s="70"/>
      <c r="X40" s="1"/>
      <c r="Y40" s="1"/>
      <c r="Z40" s="2"/>
      <c r="AA40" s="216"/>
      <c r="AC40" s="404"/>
      <c r="AD40" s="404"/>
      <c r="AE40" s="50"/>
      <c r="AF40" s="405" t="s">
        <v>13</v>
      </c>
      <c r="AG40" s="405"/>
      <c r="AH40" s="69">
        <f>AH37-AL39</f>
        <v>845123.02</v>
      </c>
      <c r="AJ40" s="1"/>
      <c r="AK40" s="70"/>
      <c r="AL40" s="1"/>
      <c r="AM40" s="1"/>
      <c r="AN40" s="2"/>
      <c r="AO40" s="3"/>
      <c r="AQ40" s="404"/>
      <c r="AR40" s="404"/>
      <c r="AS40" s="50"/>
      <c r="AT40" s="405" t="s">
        <v>13</v>
      </c>
      <c r="AU40" s="405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-167946.66000000015</v>
      </c>
      <c r="H43" s="1"/>
      <c r="I43" s="1"/>
      <c r="J43" s="1"/>
      <c r="K43" s="64">
        <f>F45+K42</f>
        <v>232829.23999999987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-156541.66000000015</v>
      </c>
      <c r="H45" s="1"/>
      <c r="I45" s="406" t="s">
        <v>175</v>
      </c>
      <c r="J45" s="407"/>
      <c r="K45" s="79">
        <f>K43+K44</f>
        <v>-89236.500000000116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406" t="s">
        <v>285</v>
      </c>
      <c r="X45" s="407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406" t="s">
        <v>175</v>
      </c>
      <c r="AL45" s="407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406" t="s">
        <v>175</v>
      </c>
      <c r="AZ45" s="407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99"/>
      <c r="AY51" s="399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20:AL21"/>
    <mergeCell ref="AC38:AD38"/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J U L I O    2016 </vt:lpstr>
      <vt:lpstr>REMISIONES  J U L I O  2016</vt:lpstr>
      <vt:lpstr>A G O S T O   2016  </vt:lpstr>
      <vt:lpstr>REMISIONES  AGOSTO  2016  </vt:lpstr>
      <vt:lpstr>Septiembre 2016     </vt:lpstr>
      <vt:lpstr>Remisiones Septiembre 2016</vt:lpstr>
      <vt:lpstr>Octubre 2016   </vt:lpstr>
      <vt:lpstr>Remisiones Octubre 2016   </vt:lpstr>
      <vt:lpstr>NOVIEMBRE 2016   </vt:lpstr>
      <vt:lpstr>REMISIONES NOVIEMBRE 2016  </vt:lpstr>
      <vt:lpstr>DICIEMBRE   2016   </vt:lpstr>
      <vt:lpstr>REMISIONES DICIEMBRE 2016 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2016-11-30T14:30:31Z</cp:lastPrinted>
  <dcterms:created xsi:type="dcterms:W3CDTF">2016-01-06T15:01:35Z</dcterms:created>
  <dcterms:modified xsi:type="dcterms:W3CDTF">2016-12-14T18:47:06Z</dcterms:modified>
</cp:coreProperties>
</file>