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360" yWindow="390" windowWidth="23475" windowHeight="9690" firstSheet="48" activeTab="51"/>
  </bookViews>
  <sheets>
    <sheet name="SEMANA 1  " sheetId="1" r:id="rId1"/>
    <sheet name="SEMANA 2" sheetId="2" r:id="rId2"/>
    <sheet name="SEMANA 3" sheetId="3" r:id="rId3"/>
    <sheet name="SEMANA 4" sheetId="4" r:id="rId4"/>
    <sheet name="SEMANA 5" sheetId="5" r:id="rId5"/>
    <sheet name="SEMANA 6" sheetId="6" r:id="rId6"/>
    <sheet name="SEMANA 7" sheetId="7" r:id="rId7"/>
    <sheet name="SEMANA 8" sheetId="8" r:id="rId8"/>
    <sheet name="SEMANA 9" sheetId="9" r:id="rId9"/>
    <sheet name="SEMANA 10" sheetId="10" r:id="rId10"/>
    <sheet name="SEMANA 11" sheetId="11" r:id="rId11"/>
    <sheet name="SEMANA 12" sheetId="12" r:id="rId12"/>
    <sheet name="SEMANA 13" sheetId="13" r:id="rId13"/>
    <sheet name="SEMANA 14" sheetId="14" r:id="rId14"/>
    <sheet name="SEMANA 15" sheetId="15" r:id="rId15"/>
    <sheet name="SEMANA 16" sheetId="16" r:id="rId16"/>
    <sheet name="SEMANA 17" sheetId="17" r:id="rId17"/>
    <sheet name="SEMANA 18" sheetId="18" r:id="rId18"/>
    <sheet name="SEMANA 19" sheetId="19" r:id="rId19"/>
    <sheet name="SEMANA 20" sheetId="20" r:id="rId20"/>
    <sheet name="SEMANA 21" sheetId="21" r:id="rId21"/>
    <sheet name="SEMANA 22" sheetId="22" r:id="rId22"/>
    <sheet name="SEMANA 23" sheetId="23" r:id="rId23"/>
    <sheet name="SEMANA 24" sheetId="24" r:id="rId24"/>
    <sheet name="SEMANA 25" sheetId="25" r:id="rId25"/>
    <sheet name="SEMANA 26" sheetId="26" r:id="rId26"/>
    <sheet name="SEMANA 27" sheetId="27" r:id="rId27"/>
    <sheet name="SEMANA 28" sheetId="28" r:id="rId28"/>
    <sheet name="SEMANA 29" sheetId="29" r:id="rId29"/>
    <sheet name="SEMANA 30" sheetId="30" r:id="rId30"/>
    <sheet name="SEMANA 31" sheetId="31" r:id="rId31"/>
    <sheet name="SEMANA 32" sheetId="32" r:id="rId32"/>
    <sheet name="SEMANA 33" sheetId="33" r:id="rId33"/>
    <sheet name="SEMANA 34" sheetId="34" r:id="rId34"/>
    <sheet name="SEMANA 35" sheetId="35" r:id="rId35"/>
    <sheet name="SEMANA 36" sheetId="36" r:id="rId36"/>
    <sheet name="SEMANA 37" sheetId="37" r:id="rId37"/>
    <sheet name="SEMANA 38" sheetId="38" r:id="rId38"/>
    <sheet name="SEMANA 39" sheetId="39" r:id="rId39"/>
    <sheet name="SEMANA 40" sheetId="40" r:id="rId40"/>
    <sheet name="SEMANA 41" sheetId="41" r:id="rId41"/>
    <sheet name="SEMANA 42" sheetId="42" r:id="rId42"/>
    <sheet name="SEMANA 43  " sheetId="43" r:id="rId43"/>
    <sheet name="SEMANA 44" sheetId="44" r:id="rId44"/>
    <sheet name="SEMANA 45" sheetId="45" r:id="rId45"/>
    <sheet name="SEMANA 46" sheetId="46" r:id="rId46"/>
    <sheet name="SEMANA 47" sheetId="47" r:id="rId47"/>
    <sheet name="SEMANA 48  " sheetId="48" r:id="rId48"/>
    <sheet name="SEMANA 49" sheetId="49" r:id="rId49"/>
    <sheet name="SEMANA 50" sheetId="50" r:id="rId50"/>
    <sheet name="SEMANA 51" sheetId="51" r:id="rId51"/>
    <sheet name="Hoja8" sheetId="52" r:id="rId52"/>
    <sheet name="Hoja9" sheetId="53" r:id="rId53"/>
    <sheet name="Hoja10" sheetId="54" r:id="rId54"/>
    <sheet name="PAGOS EQUINOX" sheetId="55" r:id="rId55"/>
    <sheet name="Hoja12" sheetId="56" r:id="rId56"/>
  </sheets>
  <calcPr calcId="152511"/>
</workbook>
</file>

<file path=xl/calcChain.xml><?xml version="1.0" encoding="utf-8"?>
<calcChain xmlns="http://schemas.openxmlformats.org/spreadsheetml/2006/main">
  <c r="E43" i="52" l="1"/>
  <c r="E42" i="52"/>
  <c r="E41" i="52"/>
  <c r="E38" i="52"/>
  <c r="E37" i="52"/>
  <c r="E36" i="52"/>
  <c r="E34" i="52"/>
  <c r="E28" i="52"/>
  <c r="E27" i="52"/>
  <c r="E26" i="52"/>
  <c r="E25" i="52"/>
  <c r="E24" i="52"/>
  <c r="E22" i="52"/>
  <c r="E19" i="52"/>
  <c r="E17" i="52"/>
  <c r="E16" i="52"/>
  <c r="E15" i="52"/>
  <c r="E14" i="52"/>
  <c r="E11" i="52"/>
  <c r="E9" i="52"/>
  <c r="E8" i="52"/>
  <c r="E7" i="52"/>
  <c r="E5" i="52"/>
  <c r="I52" i="52"/>
  <c r="K51" i="52"/>
  <c r="K50" i="52"/>
  <c r="K52" i="52" s="1"/>
  <c r="F50" i="52"/>
  <c r="E49" i="52"/>
  <c r="I34" i="52"/>
  <c r="K33" i="52"/>
  <c r="K32" i="52"/>
  <c r="K31" i="52"/>
  <c r="K30" i="52"/>
  <c r="K29" i="52"/>
  <c r="K28" i="52"/>
  <c r="I17" i="52"/>
  <c r="K16" i="52"/>
  <c r="K15" i="52"/>
  <c r="K14" i="52"/>
  <c r="K13" i="52"/>
  <c r="K12" i="52"/>
  <c r="K11" i="52"/>
  <c r="K10" i="52"/>
  <c r="K9" i="52"/>
  <c r="K8" i="52"/>
  <c r="K7" i="52"/>
  <c r="K6" i="52"/>
  <c r="K34" i="52" l="1"/>
  <c r="E51" i="52"/>
  <c r="D53" i="52" s="1"/>
  <c r="F54" i="52" s="1"/>
  <c r="F57" i="52" s="1"/>
  <c r="K17" i="52"/>
  <c r="E54" i="51"/>
  <c r="E52" i="51"/>
  <c r="E51" i="51"/>
  <c r="K56" i="51"/>
  <c r="E48" i="51"/>
  <c r="E46" i="51"/>
  <c r="E44" i="51"/>
  <c r="E43" i="51"/>
  <c r="E41" i="51"/>
  <c r="E35" i="51"/>
  <c r="E33" i="51"/>
  <c r="E32" i="51"/>
  <c r="E31" i="51"/>
  <c r="E30" i="51"/>
  <c r="E29" i="51"/>
  <c r="E27" i="51"/>
  <c r="E16" i="51"/>
  <c r="E14" i="51"/>
  <c r="E12" i="51"/>
  <c r="E11" i="51"/>
  <c r="E10" i="51"/>
  <c r="E9" i="51"/>
  <c r="E8" i="51"/>
  <c r="E7" i="51"/>
  <c r="I57" i="51"/>
  <c r="K55" i="51"/>
  <c r="F55" i="51"/>
  <c r="I34" i="51"/>
  <c r="K33" i="51"/>
  <c r="K32" i="51"/>
  <c r="K31" i="51"/>
  <c r="K30" i="51"/>
  <c r="K29" i="51"/>
  <c r="K28" i="51"/>
  <c r="I17" i="51"/>
  <c r="K16" i="51"/>
  <c r="K15" i="51"/>
  <c r="K14" i="51"/>
  <c r="K13" i="51"/>
  <c r="K12" i="51"/>
  <c r="K11" i="51"/>
  <c r="K10" i="51"/>
  <c r="K9" i="51"/>
  <c r="K8" i="51"/>
  <c r="K17" i="51" s="1"/>
  <c r="K7" i="51"/>
  <c r="K6" i="51"/>
  <c r="I5" i="55"/>
  <c r="G6" i="55"/>
  <c r="G7" i="55"/>
  <c r="G8" i="55" s="1"/>
  <c r="G9" i="55" s="1"/>
  <c r="G10" i="55" s="1"/>
  <c r="G11" i="55" s="1"/>
  <c r="G12" i="55" s="1"/>
  <c r="G13" i="55" s="1"/>
  <c r="G14" i="55" s="1"/>
  <c r="G15" i="55" s="1"/>
  <c r="G16" i="55" s="1"/>
  <c r="G17" i="55" s="1"/>
  <c r="G18" i="55" s="1"/>
  <c r="G19" i="55" s="1"/>
  <c r="G20" i="55" s="1"/>
  <c r="G21" i="55" s="1"/>
  <c r="G22" i="55" s="1"/>
  <c r="G23" i="55" s="1"/>
  <c r="G24" i="55" s="1"/>
  <c r="G25" i="55" s="1"/>
  <c r="G26" i="55" s="1"/>
  <c r="G27" i="55" s="1"/>
  <c r="G28" i="55" s="1"/>
  <c r="G29" i="55" s="1"/>
  <c r="G30" i="55" s="1"/>
  <c r="G31" i="55" s="1"/>
  <c r="G32" i="55" s="1"/>
  <c r="G33" i="55" s="1"/>
  <c r="G34" i="55" s="1"/>
  <c r="G35" i="55" s="1"/>
  <c r="G36" i="55" s="1"/>
  <c r="G37" i="55" s="1"/>
  <c r="G38" i="55" s="1"/>
  <c r="G39" i="55" s="1"/>
  <c r="G40" i="55" s="1"/>
  <c r="G41" i="55" s="1"/>
  <c r="G5" i="55"/>
  <c r="G4" i="55"/>
  <c r="I2" i="55"/>
  <c r="K57" i="51" l="1"/>
  <c r="E56" i="51"/>
  <c r="D58" i="51" s="1"/>
  <c r="F59" i="51" s="1"/>
  <c r="F62" i="51" s="1"/>
  <c r="K34" i="51"/>
  <c r="F49" i="50"/>
  <c r="E48" i="50"/>
  <c r="E46" i="50"/>
  <c r="E40" i="50"/>
  <c r="E39" i="50"/>
  <c r="E38" i="50"/>
  <c r="E37" i="50"/>
  <c r="E36" i="50"/>
  <c r="E34" i="50"/>
  <c r="E35" i="50"/>
  <c r="E50" i="50" s="1"/>
  <c r="D52" i="50" s="1"/>
  <c r="F53" i="50" s="1"/>
  <c r="F56" i="50" s="1"/>
  <c r="E32" i="50"/>
  <c r="E31" i="50"/>
  <c r="E30" i="50"/>
  <c r="E28" i="50"/>
  <c r="E26" i="50"/>
  <c r="E25" i="50"/>
  <c r="E23" i="50"/>
  <c r="E22" i="50"/>
  <c r="E21" i="50"/>
  <c r="E18" i="50"/>
  <c r="E14" i="50"/>
  <c r="E13" i="50"/>
  <c r="E7" i="50"/>
  <c r="E5" i="50"/>
  <c r="I51" i="50"/>
  <c r="K50" i="50"/>
  <c r="I50" i="50"/>
  <c r="K49" i="50"/>
  <c r="K51" i="50" s="1"/>
  <c r="I34" i="50"/>
  <c r="K33" i="50"/>
  <c r="K32" i="50"/>
  <c r="K31" i="50"/>
  <c r="K30" i="50"/>
  <c r="K29" i="50"/>
  <c r="K28" i="50"/>
  <c r="I17" i="50"/>
  <c r="K16" i="50"/>
  <c r="K15" i="50"/>
  <c r="K14" i="50"/>
  <c r="K13" i="50"/>
  <c r="K12" i="50"/>
  <c r="K11" i="50"/>
  <c r="K10" i="50"/>
  <c r="K9" i="50"/>
  <c r="K8" i="50"/>
  <c r="K7" i="50"/>
  <c r="K6" i="50"/>
  <c r="K17" i="50" l="1"/>
  <c r="K34" i="50"/>
  <c r="E35" i="49"/>
  <c r="E44" i="49"/>
  <c r="E39" i="49"/>
  <c r="E38" i="49"/>
  <c r="E37" i="49"/>
  <c r="E36" i="49"/>
  <c r="E34" i="49"/>
  <c r="E33" i="49"/>
  <c r="E27" i="49"/>
  <c r="E22" i="49"/>
  <c r="E21" i="49"/>
  <c r="E17" i="49"/>
  <c r="E13" i="49"/>
  <c r="E7" i="49"/>
  <c r="E6" i="49"/>
  <c r="E3" i="49"/>
  <c r="E48" i="49" s="1"/>
  <c r="D50" i="49" s="1"/>
  <c r="F51" i="49" s="1"/>
  <c r="F54" i="49" s="1"/>
  <c r="I48" i="49"/>
  <c r="I49" i="49" s="1"/>
  <c r="K47" i="49"/>
  <c r="F47" i="49"/>
  <c r="I34" i="49"/>
  <c r="K33" i="49"/>
  <c r="K32" i="49"/>
  <c r="K31" i="49"/>
  <c r="K30" i="49"/>
  <c r="K29" i="49"/>
  <c r="K28" i="49"/>
  <c r="I17" i="49"/>
  <c r="K16" i="49"/>
  <c r="K15" i="49"/>
  <c r="K14" i="49"/>
  <c r="K13" i="49"/>
  <c r="K12" i="49"/>
  <c r="K11" i="49"/>
  <c r="K10" i="49"/>
  <c r="K9" i="49"/>
  <c r="K8" i="49"/>
  <c r="K7" i="49"/>
  <c r="K6" i="49"/>
  <c r="K17" i="49" l="1"/>
  <c r="K34" i="49"/>
  <c r="K48" i="49"/>
  <c r="K49" i="49" s="1"/>
  <c r="E44" i="48"/>
  <c r="E43" i="48"/>
  <c r="E42" i="48"/>
  <c r="E40" i="48"/>
  <c r="E36" i="48"/>
  <c r="E33" i="48"/>
  <c r="E32" i="48"/>
  <c r="E31" i="48"/>
  <c r="E27" i="48"/>
  <c r="E25" i="48"/>
  <c r="E19" i="48"/>
  <c r="E16" i="48"/>
  <c r="E15" i="48"/>
  <c r="E14" i="48"/>
  <c r="E5" i="48"/>
  <c r="E4" i="48"/>
  <c r="I48" i="48"/>
  <c r="I49" i="48" s="1"/>
  <c r="K47" i="48"/>
  <c r="F47" i="48"/>
  <c r="I34" i="48"/>
  <c r="K33" i="48"/>
  <c r="K32" i="48"/>
  <c r="K31" i="48"/>
  <c r="K30" i="48"/>
  <c r="K29" i="48"/>
  <c r="K28" i="48"/>
  <c r="I17" i="48"/>
  <c r="K16" i="48"/>
  <c r="K15" i="48"/>
  <c r="K14" i="48"/>
  <c r="K13" i="48"/>
  <c r="K12" i="48"/>
  <c r="K11" i="48"/>
  <c r="K10" i="48"/>
  <c r="K9" i="48"/>
  <c r="K8" i="48"/>
  <c r="K7" i="48"/>
  <c r="K6" i="48"/>
  <c r="E48" i="48"/>
  <c r="D50" i="48" s="1"/>
  <c r="F51" i="48" s="1"/>
  <c r="F54" i="48" s="1"/>
  <c r="K17" i="48" l="1"/>
  <c r="K34" i="48"/>
  <c r="K48" i="48"/>
  <c r="K49" i="48" s="1"/>
  <c r="E38" i="47"/>
  <c r="E37" i="47"/>
  <c r="E33" i="47"/>
  <c r="E31" i="47"/>
  <c r="E30" i="47"/>
  <c r="E24" i="47"/>
  <c r="E23" i="47"/>
  <c r="E19" i="47"/>
  <c r="E18" i="47"/>
  <c r="E16" i="47"/>
  <c r="E15" i="47"/>
  <c r="E13" i="47"/>
  <c r="E5" i="47" l="1"/>
  <c r="E4" i="47"/>
  <c r="E48" i="47" s="1"/>
  <c r="D50" i="47" s="1"/>
  <c r="F51" i="47" s="1"/>
  <c r="F54" i="47" s="1"/>
  <c r="I48" i="47"/>
  <c r="I49" i="47" s="1"/>
  <c r="K47" i="47"/>
  <c r="F47" i="47"/>
  <c r="I34" i="47"/>
  <c r="K33" i="47"/>
  <c r="K32" i="47"/>
  <c r="K31" i="47"/>
  <c r="K30" i="47"/>
  <c r="K29" i="47"/>
  <c r="K28" i="47"/>
  <c r="I17" i="47"/>
  <c r="K16" i="47"/>
  <c r="K15" i="47"/>
  <c r="K14" i="47"/>
  <c r="K13" i="47"/>
  <c r="K12" i="47"/>
  <c r="K11" i="47"/>
  <c r="K10" i="47"/>
  <c r="K9" i="47"/>
  <c r="K8" i="47"/>
  <c r="K7" i="47"/>
  <c r="K6" i="47"/>
  <c r="K17" i="47" l="1"/>
  <c r="K34" i="47"/>
  <c r="K48" i="47"/>
  <c r="K49" i="47" s="1"/>
  <c r="E35" i="46"/>
  <c r="E46" i="46"/>
  <c r="E45" i="46"/>
  <c r="E44" i="46"/>
  <c r="E39" i="46"/>
  <c r="E38" i="46"/>
  <c r="E36" i="46"/>
  <c r="E28" i="46"/>
  <c r="E27" i="46"/>
  <c r="E26" i="46"/>
  <c r="E21" i="46"/>
  <c r="E20" i="46"/>
  <c r="E18" i="46"/>
  <c r="E14" i="46"/>
  <c r="E13" i="46"/>
  <c r="E10" i="46"/>
  <c r="E8" i="46"/>
  <c r="E48" i="46" s="1"/>
  <c r="D50" i="46" s="1"/>
  <c r="F51" i="46" s="1"/>
  <c r="F54" i="46" s="1"/>
  <c r="E5" i="46"/>
  <c r="E3" i="46"/>
  <c r="I48" i="46"/>
  <c r="I49" i="46" s="1"/>
  <c r="K47" i="46"/>
  <c r="F47" i="46"/>
  <c r="I34" i="46"/>
  <c r="K33" i="46"/>
  <c r="K32" i="46"/>
  <c r="K31" i="46"/>
  <c r="K30" i="46"/>
  <c r="K29" i="46"/>
  <c r="K28" i="46"/>
  <c r="K34" i="46" s="1"/>
  <c r="I17" i="46"/>
  <c r="K16" i="46"/>
  <c r="K15" i="46"/>
  <c r="K14" i="46"/>
  <c r="K13" i="46"/>
  <c r="K12" i="46"/>
  <c r="K11" i="46"/>
  <c r="K10" i="46"/>
  <c r="K9" i="46"/>
  <c r="K8" i="46"/>
  <c r="K7" i="46"/>
  <c r="K6" i="46"/>
  <c r="K17" i="46" l="1"/>
  <c r="K48" i="46"/>
  <c r="K49" i="46" s="1"/>
  <c r="C44" i="55"/>
  <c r="E34" i="45" l="1"/>
  <c r="E28" i="45"/>
  <c r="E27" i="45"/>
  <c r="E26" i="45"/>
  <c r="E25" i="45"/>
  <c r="E21" i="45"/>
  <c r="E17" i="45"/>
  <c r="E39" i="45" s="1"/>
  <c r="D41" i="45" s="1"/>
  <c r="F42" i="45" s="1"/>
  <c r="F45" i="45" s="1"/>
  <c r="E10" i="45"/>
  <c r="E8" i="45"/>
  <c r="I39" i="45"/>
  <c r="I40" i="45" s="1"/>
  <c r="K38" i="45"/>
  <c r="K39" i="45" s="1"/>
  <c r="F38" i="45"/>
  <c r="I34" i="45"/>
  <c r="K33" i="45"/>
  <c r="K32" i="45"/>
  <c r="K31" i="45"/>
  <c r="K30" i="45"/>
  <c r="K29" i="45"/>
  <c r="K28" i="45"/>
  <c r="I17" i="45"/>
  <c r="K16" i="45"/>
  <c r="K15" i="45"/>
  <c r="K14" i="45"/>
  <c r="K13" i="45"/>
  <c r="K12" i="45"/>
  <c r="K11" i="45"/>
  <c r="K10" i="45"/>
  <c r="K9" i="45"/>
  <c r="K8" i="45"/>
  <c r="K7" i="45"/>
  <c r="K6" i="45"/>
  <c r="K17" i="45" l="1"/>
  <c r="K34" i="45"/>
  <c r="K40" i="45"/>
  <c r="E3" i="44"/>
  <c r="E54" i="44" s="1"/>
  <c r="D56" i="44" s="1"/>
  <c r="F57" i="44" s="1"/>
  <c r="F60" i="44" s="1"/>
  <c r="E50" i="44"/>
  <c r="E49" i="44"/>
  <c r="E46" i="44"/>
  <c r="E40" i="44"/>
  <c r="E39" i="44"/>
  <c r="I34" i="44"/>
  <c r="E38" i="44"/>
  <c r="E36" i="44"/>
  <c r="E30" i="44"/>
  <c r="E26" i="44"/>
  <c r="E15" i="44"/>
  <c r="E11" i="44"/>
  <c r="I54" i="44"/>
  <c r="I55" i="44" s="1"/>
  <c r="K53" i="44"/>
  <c r="K54" i="44" s="1"/>
  <c r="F53" i="44"/>
  <c r="K47" i="44"/>
  <c r="K55" i="44" s="1"/>
  <c r="K33" i="44"/>
  <c r="K32" i="44"/>
  <c r="K31" i="44"/>
  <c r="K30" i="44"/>
  <c r="K29" i="44"/>
  <c r="K28" i="44"/>
  <c r="I17" i="44"/>
  <c r="K16" i="44"/>
  <c r="K15" i="44"/>
  <c r="K14" i="44"/>
  <c r="K13" i="44"/>
  <c r="K12" i="44"/>
  <c r="K11" i="44"/>
  <c r="K10" i="44"/>
  <c r="K9" i="44"/>
  <c r="K8" i="44"/>
  <c r="K7" i="44"/>
  <c r="K6" i="44"/>
  <c r="K17" i="44" l="1"/>
  <c r="K34" i="44"/>
  <c r="E50" i="43"/>
  <c r="E49" i="43"/>
  <c r="E44" i="43"/>
  <c r="E40" i="43"/>
  <c r="E37" i="43"/>
  <c r="E36" i="43"/>
  <c r="E34" i="43"/>
  <c r="E33" i="43"/>
  <c r="E32" i="43"/>
  <c r="E29" i="43"/>
  <c r="E25" i="43"/>
  <c r="E17" i="43"/>
  <c r="E14" i="43"/>
  <c r="E13" i="43"/>
  <c r="E11" i="43"/>
  <c r="E6" i="43"/>
  <c r="E54" i="43" s="1"/>
  <c r="D56" i="43" s="1"/>
  <c r="F57" i="43" s="1"/>
  <c r="F60" i="43" s="1"/>
  <c r="I54" i="43"/>
  <c r="I55" i="43" s="1"/>
  <c r="K53" i="43"/>
  <c r="K54" i="43" s="1"/>
  <c r="F53" i="43"/>
  <c r="K47" i="43"/>
  <c r="K55" i="43" s="1"/>
  <c r="K33" i="43"/>
  <c r="K32" i="43"/>
  <c r="K31" i="43"/>
  <c r="K30" i="43"/>
  <c r="K29" i="43"/>
  <c r="K28" i="43"/>
  <c r="I17" i="43"/>
  <c r="K16" i="43"/>
  <c r="K15" i="43"/>
  <c r="K14" i="43"/>
  <c r="K13" i="43"/>
  <c r="K12" i="43"/>
  <c r="K11" i="43"/>
  <c r="K10" i="43"/>
  <c r="K9" i="43"/>
  <c r="K8" i="43"/>
  <c r="K7" i="43"/>
  <c r="K6" i="43"/>
  <c r="K17" i="43" l="1"/>
  <c r="E46" i="42"/>
  <c r="E42" i="42"/>
  <c r="E41" i="42"/>
  <c r="E40" i="42"/>
  <c r="E39" i="42"/>
  <c r="E36" i="42"/>
  <c r="E34" i="42"/>
  <c r="E20" i="42"/>
  <c r="E19" i="42"/>
  <c r="E17" i="42"/>
  <c r="E12" i="42"/>
  <c r="E11" i="42"/>
  <c r="E10" i="42"/>
  <c r="E48" i="42" s="1"/>
  <c r="D50" i="42" s="1"/>
  <c r="F51" i="42" s="1"/>
  <c r="F54" i="42" s="1"/>
  <c r="I48" i="42"/>
  <c r="I49" i="42" s="1"/>
  <c r="K47" i="42"/>
  <c r="K48" i="42" s="1"/>
  <c r="F47" i="42"/>
  <c r="K41" i="42"/>
  <c r="K49" i="42" s="1"/>
  <c r="K33" i="42"/>
  <c r="K32" i="42"/>
  <c r="K31" i="42"/>
  <c r="K30" i="42"/>
  <c r="K29" i="42"/>
  <c r="K28" i="42"/>
  <c r="I17" i="42"/>
  <c r="K16" i="42"/>
  <c r="K15" i="42"/>
  <c r="K14" i="42"/>
  <c r="K13" i="42"/>
  <c r="K12" i="42"/>
  <c r="K11" i="42"/>
  <c r="K10" i="42"/>
  <c r="K9" i="42"/>
  <c r="K8" i="42"/>
  <c r="K7" i="42"/>
  <c r="K6" i="42"/>
  <c r="K17" i="42" l="1"/>
  <c r="E47" i="41"/>
  <c r="K50" i="41"/>
  <c r="K51" i="41"/>
  <c r="K52" i="41"/>
  <c r="E45" i="41"/>
  <c r="E41" i="41"/>
  <c r="E39" i="41"/>
  <c r="E37" i="41"/>
  <c r="E36" i="41"/>
  <c r="E35" i="41"/>
  <c r="E34" i="41"/>
  <c r="E30" i="41"/>
  <c r="E21" i="41"/>
  <c r="E20" i="41"/>
  <c r="E19" i="41"/>
  <c r="E18" i="41"/>
  <c r="E17" i="41"/>
  <c r="E12" i="41"/>
  <c r="E10" i="41"/>
  <c r="E54" i="41" s="1"/>
  <c r="D56" i="41" s="1"/>
  <c r="F57" i="41" s="1"/>
  <c r="F60" i="41" s="1"/>
  <c r="E4" i="41"/>
  <c r="I54" i="41"/>
  <c r="I55" i="41" s="1"/>
  <c r="K53" i="41"/>
  <c r="K54" i="41" s="1"/>
  <c r="F53" i="41"/>
  <c r="K49" i="41"/>
  <c r="K41" i="41"/>
  <c r="K33" i="41"/>
  <c r="K32" i="41"/>
  <c r="K31" i="41"/>
  <c r="K30" i="41"/>
  <c r="K29" i="41"/>
  <c r="K28" i="41"/>
  <c r="I17" i="41"/>
  <c r="K16" i="41"/>
  <c r="K15" i="41"/>
  <c r="K14" i="41"/>
  <c r="K13" i="41"/>
  <c r="K12" i="41"/>
  <c r="K11" i="41"/>
  <c r="K10" i="41"/>
  <c r="K9" i="41"/>
  <c r="K8" i="41"/>
  <c r="K7" i="41"/>
  <c r="K6" i="41"/>
  <c r="K55" i="41" l="1"/>
  <c r="K17" i="41"/>
  <c r="E51" i="40"/>
  <c r="E50" i="40"/>
  <c r="E47" i="40"/>
  <c r="E46" i="40"/>
  <c r="K52" i="40"/>
  <c r="E45" i="40"/>
  <c r="E44" i="40"/>
  <c r="E42" i="40"/>
  <c r="E41" i="40"/>
  <c r="E40" i="40"/>
  <c r="E35" i="40"/>
  <c r="E34" i="40"/>
  <c r="E19" i="40"/>
  <c r="E18" i="40"/>
  <c r="E17" i="40"/>
  <c r="E15" i="40"/>
  <c r="E14" i="40"/>
  <c r="E8" i="40"/>
  <c r="E54" i="40" s="1"/>
  <c r="D56" i="40" s="1"/>
  <c r="F57" i="40" s="1"/>
  <c r="F60" i="40" s="1"/>
  <c r="I54" i="40"/>
  <c r="I55" i="40" s="1"/>
  <c r="K53" i="40"/>
  <c r="K54" i="40" s="1"/>
  <c r="F53" i="40"/>
  <c r="K51" i="40"/>
  <c r="K49" i="40"/>
  <c r="K41" i="40"/>
  <c r="K33" i="40"/>
  <c r="K32" i="40"/>
  <c r="K31" i="40"/>
  <c r="K30" i="40"/>
  <c r="K29" i="40"/>
  <c r="K28" i="40"/>
  <c r="I17" i="40"/>
  <c r="K16" i="40"/>
  <c r="K15" i="40"/>
  <c r="K14" i="40"/>
  <c r="K13" i="40"/>
  <c r="K12" i="40"/>
  <c r="K11" i="40"/>
  <c r="K10" i="40"/>
  <c r="K9" i="40"/>
  <c r="K8" i="40"/>
  <c r="K7" i="40"/>
  <c r="K6" i="40"/>
  <c r="K17" i="40" s="1"/>
  <c r="K55" i="40" l="1"/>
  <c r="E35" i="39"/>
  <c r="E28" i="39"/>
  <c r="E27" i="39"/>
  <c r="E25" i="39"/>
  <c r="E24" i="39"/>
  <c r="E23" i="39"/>
  <c r="E22" i="39"/>
  <c r="E17" i="39"/>
  <c r="E16" i="39"/>
  <c r="E15" i="39"/>
  <c r="E39" i="39" s="1"/>
  <c r="D41" i="39" s="1"/>
  <c r="F42" i="39" s="1"/>
  <c r="F45" i="39" s="1"/>
  <c r="E5" i="39"/>
  <c r="I39" i="39"/>
  <c r="I40" i="39" s="1"/>
  <c r="K38" i="39"/>
  <c r="K39" i="39" s="1"/>
  <c r="F38" i="39"/>
  <c r="K36" i="39"/>
  <c r="K35" i="39"/>
  <c r="K34" i="39"/>
  <c r="K40" i="39" s="1"/>
  <c r="K33" i="39"/>
  <c r="K32" i="39"/>
  <c r="K31" i="39"/>
  <c r="K30" i="39"/>
  <c r="K29" i="39"/>
  <c r="K28" i="39"/>
  <c r="I17" i="39"/>
  <c r="K16" i="39"/>
  <c r="K15" i="39"/>
  <c r="K14" i="39"/>
  <c r="K13" i="39"/>
  <c r="K12" i="39"/>
  <c r="K11" i="39"/>
  <c r="K10" i="39"/>
  <c r="K9" i="39"/>
  <c r="K8" i="39"/>
  <c r="K7" i="39"/>
  <c r="K6" i="39"/>
  <c r="K17" i="39" l="1"/>
  <c r="E50" i="38"/>
  <c r="E49" i="38"/>
  <c r="E48" i="38"/>
  <c r="K28" i="38"/>
  <c r="K29" i="38"/>
  <c r="K30" i="38"/>
  <c r="K31" i="38"/>
  <c r="K32" i="38"/>
  <c r="K33" i="38"/>
  <c r="K36" i="38"/>
  <c r="K37" i="38"/>
  <c r="K38" i="38"/>
  <c r="K39" i="38"/>
  <c r="K40" i="38"/>
  <c r="E40" i="38"/>
  <c r="E39" i="38"/>
  <c r="E35" i="38"/>
  <c r="E34" i="38"/>
  <c r="E33" i="38"/>
  <c r="E30" i="38"/>
  <c r="E29" i="38"/>
  <c r="E26" i="38"/>
  <c r="E22" i="38"/>
  <c r="E21" i="38"/>
  <c r="E15" i="38"/>
  <c r="E12" i="38"/>
  <c r="E8" i="38"/>
  <c r="E7" i="38"/>
  <c r="E5" i="38"/>
  <c r="E3" i="38"/>
  <c r="E55" i="38" s="1"/>
  <c r="D57" i="38" s="1"/>
  <c r="F58" i="38" s="1"/>
  <c r="F61" i="38" s="1"/>
  <c r="I55" i="38"/>
  <c r="I56" i="38" s="1"/>
  <c r="K54" i="38"/>
  <c r="K55" i="38" s="1"/>
  <c r="F54" i="38"/>
  <c r="K35" i="38"/>
  <c r="K34" i="38"/>
  <c r="I17" i="38"/>
  <c r="K16" i="38"/>
  <c r="K15" i="38"/>
  <c r="K14" i="38"/>
  <c r="K13" i="38"/>
  <c r="K12" i="38"/>
  <c r="K11" i="38"/>
  <c r="K10" i="38"/>
  <c r="K9" i="38"/>
  <c r="K8" i="38"/>
  <c r="K7" i="38"/>
  <c r="K6" i="38"/>
  <c r="K17" i="38" l="1"/>
  <c r="K56" i="38"/>
  <c r="E23" i="37"/>
  <c r="E43" i="37"/>
  <c r="E39" i="37"/>
  <c r="E38" i="37"/>
  <c r="E37" i="37"/>
  <c r="E35" i="37"/>
  <c r="E32" i="37"/>
  <c r="E31" i="37"/>
  <c r="E29" i="37"/>
  <c r="E25" i="37"/>
  <c r="E24" i="37"/>
  <c r="E18" i="37"/>
  <c r="E17" i="37"/>
  <c r="E16" i="37"/>
  <c r="E15" i="37"/>
  <c r="E14" i="37"/>
  <c r="E13" i="37"/>
  <c r="E11" i="37"/>
  <c r="E8" i="37"/>
  <c r="E7" i="37"/>
  <c r="E4" i="37"/>
  <c r="E3" i="37"/>
  <c r="E47" i="37" s="1"/>
  <c r="D49" i="37" s="1"/>
  <c r="F50" i="37" s="1"/>
  <c r="F53" i="37" s="1"/>
  <c r="I47" i="37"/>
  <c r="I48" i="37" s="1"/>
  <c r="K46" i="37"/>
  <c r="K47" i="37" s="1"/>
  <c r="F46" i="37"/>
  <c r="K40" i="37"/>
  <c r="K35" i="37"/>
  <c r="K34" i="37"/>
  <c r="I17" i="37"/>
  <c r="K16" i="37"/>
  <c r="K15" i="37"/>
  <c r="K14" i="37"/>
  <c r="K13" i="37"/>
  <c r="K12" i="37"/>
  <c r="K11" i="37"/>
  <c r="K10" i="37"/>
  <c r="K9" i="37"/>
  <c r="K8" i="37"/>
  <c r="K7" i="37"/>
  <c r="K6" i="37"/>
  <c r="K17" i="37" l="1"/>
  <c r="K48" i="37"/>
  <c r="E33" i="36"/>
  <c r="E31" i="36"/>
  <c r="E30" i="36"/>
  <c r="E28" i="36"/>
  <c r="E26" i="36"/>
  <c r="E25" i="36"/>
  <c r="E23" i="36"/>
  <c r="E22" i="36"/>
  <c r="E21" i="36"/>
  <c r="E18" i="36"/>
  <c r="E13" i="36"/>
  <c r="E12" i="36"/>
  <c r="E11" i="36"/>
  <c r="E9" i="36"/>
  <c r="E8" i="36"/>
  <c r="E7" i="36"/>
  <c r="I39" i="36"/>
  <c r="I40" i="36" s="1"/>
  <c r="K38" i="36"/>
  <c r="K39" i="36" s="1"/>
  <c r="F38" i="36"/>
  <c r="K36" i="36"/>
  <c r="K35" i="36"/>
  <c r="K34" i="36"/>
  <c r="I17" i="36"/>
  <c r="K16" i="36"/>
  <c r="K15" i="36"/>
  <c r="K14" i="36"/>
  <c r="K13" i="36"/>
  <c r="K12" i="36"/>
  <c r="K11" i="36"/>
  <c r="K10" i="36"/>
  <c r="K9" i="36"/>
  <c r="K8" i="36"/>
  <c r="K7" i="36"/>
  <c r="E39" i="36"/>
  <c r="D41" i="36" s="1"/>
  <c r="F42" i="36" s="1"/>
  <c r="F45" i="36" s="1"/>
  <c r="K6" i="36"/>
  <c r="K40" i="36" l="1"/>
  <c r="K17" i="36"/>
  <c r="E39" i="35"/>
  <c r="E38" i="35"/>
  <c r="E36" i="35"/>
  <c r="E35" i="35"/>
  <c r="E34" i="35"/>
  <c r="E33" i="35"/>
  <c r="E32" i="35"/>
  <c r="E26" i="35"/>
  <c r="E22" i="35"/>
  <c r="E20" i="35"/>
  <c r="E9" i="35"/>
  <c r="E8" i="35"/>
  <c r="E7" i="35"/>
  <c r="I44" i="35"/>
  <c r="I45" i="35" s="1"/>
  <c r="K43" i="35"/>
  <c r="K44" i="35" s="1"/>
  <c r="F43" i="35"/>
  <c r="K41" i="35"/>
  <c r="K40" i="35"/>
  <c r="K39" i="35"/>
  <c r="K38" i="35"/>
  <c r="K37" i="35"/>
  <c r="K36" i="35"/>
  <c r="K35" i="35"/>
  <c r="K34" i="35"/>
  <c r="I17" i="35"/>
  <c r="K16" i="35"/>
  <c r="K15" i="35"/>
  <c r="K14" i="35"/>
  <c r="K13" i="35"/>
  <c r="K12" i="35"/>
  <c r="K11" i="35"/>
  <c r="K10" i="35"/>
  <c r="K9" i="35"/>
  <c r="K8" i="35"/>
  <c r="K7" i="35"/>
  <c r="K6" i="35"/>
  <c r="E44" i="35"/>
  <c r="D46" i="35" s="1"/>
  <c r="F47" i="35" s="1"/>
  <c r="F50" i="35" s="1"/>
  <c r="K17" i="35" l="1"/>
  <c r="K45" i="35"/>
  <c r="E7" i="34"/>
  <c r="I17" i="34"/>
  <c r="E50" i="34"/>
  <c r="E49" i="34"/>
  <c r="E45" i="34"/>
  <c r="E44" i="34"/>
  <c r="E43" i="34"/>
  <c r="E40" i="34"/>
  <c r="E39" i="34"/>
  <c r="E37" i="34"/>
  <c r="E36" i="34"/>
  <c r="E35" i="34"/>
  <c r="E34" i="34"/>
  <c r="E33" i="34"/>
  <c r="E26" i="34"/>
  <c r="E25" i="34"/>
  <c r="E24" i="34"/>
  <c r="E23" i="34"/>
  <c r="E19" i="34"/>
  <c r="E16" i="34"/>
  <c r="E9" i="34"/>
  <c r="E5" i="34"/>
  <c r="E4" i="34"/>
  <c r="I53" i="34"/>
  <c r="I54" i="34" s="1"/>
  <c r="K52" i="34"/>
  <c r="K53" i="34" s="1"/>
  <c r="F52" i="34"/>
  <c r="K41" i="34"/>
  <c r="K40" i="34"/>
  <c r="K39" i="34"/>
  <c r="K38" i="34"/>
  <c r="K37" i="34"/>
  <c r="K36" i="34"/>
  <c r="K35" i="34"/>
  <c r="K34" i="34"/>
  <c r="K16" i="34"/>
  <c r="K15" i="34"/>
  <c r="K14" i="34"/>
  <c r="K13" i="34"/>
  <c r="K12" i="34"/>
  <c r="K11" i="34"/>
  <c r="K10" i="34"/>
  <c r="K9" i="34"/>
  <c r="K8" i="34"/>
  <c r="K7" i="34"/>
  <c r="K6" i="34"/>
  <c r="K17" i="34" s="1"/>
  <c r="E53" i="34"/>
  <c r="D55" i="34" s="1"/>
  <c r="F56" i="34" s="1"/>
  <c r="F59" i="34" s="1"/>
  <c r="K54" i="34" l="1"/>
  <c r="E44" i="33"/>
  <c r="E43" i="33"/>
  <c r="E40" i="33"/>
  <c r="E35" i="33"/>
  <c r="E34" i="33"/>
  <c r="E32" i="33"/>
  <c r="E31" i="33"/>
  <c r="E30" i="33"/>
  <c r="E28" i="33"/>
  <c r="E25" i="33"/>
  <c r="E20" i="33"/>
  <c r="E19" i="33"/>
  <c r="E15" i="33"/>
  <c r="E13" i="33"/>
  <c r="E46" i="33" s="1"/>
  <c r="D48" i="33" s="1"/>
  <c r="F49" i="33" s="1"/>
  <c r="F52" i="33" s="1"/>
  <c r="E8" i="33"/>
  <c r="E3" i="33"/>
  <c r="I46" i="33"/>
  <c r="I47" i="33" s="1"/>
  <c r="K45" i="33"/>
  <c r="K46" i="33" s="1"/>
  <c r="F45" i="33"/>
  <c r="K43" i="33"/>
  <c r="K42" i="33"/>
  <c r="K41" i="33"/>
  <c r="K40" i="33"/>
  <c r="K39" i="33"/>
  <c r="K38" i="33"/>
  <c r="K37" i="33"/>
  <c r="K36" i="33"/>
  <c r="K35" i="33"/>
  <c r="K34" i="33"/>
  <c r="K16" i="33"/>
  <c r="K15" i="33"/>
  <c r="K14" i="33"/>
  <c r="K13" i="33"/>
  <c r="K12" i="33"/>
  <c r="K11" i="33"/>
  <c r="K10" i="33"/>
  <c r="K9" i="33"/>
  <c r="K8" i="33"/>
  <c r="K7" i="33"/>
  <c r="K6" i="33"/>
  <c r="K17" i="33" l="1"/>
  <c r="K47" i="33"/>
  <c r="E40" i="32"/>
  <c r="E39" i="32"/>
  <c r="E38" i="32"/>
  <c r="E35" i="32"/>
  <c r="E34" i="32"/>
  <c r="E33" i="32"/>
  <c r="E31" i="32"/>
  <c r="E30" i="32"/>
  <c r="E26" i="32"/>
  <c r="E21" i="32"/>
  <c r="E20" i="32"/>
  <c r="E19" i="32"/>
  <c r="E18" i="32"/>
  <c r="E12" i="32"/>
  <c r="E11" i="32"/>
  <c r="E10" i="32"/>
  <c r="E9" i="32"/>
  <c r="E7" i="32"/>
  <c r="I46" i="32"/>
  <c r="I47" i="32" s="1"/>
  <c r="K45" i="32"/>
  <c r="K46" i="32" s="1"/>
  <c r="F45" i="32"/>
  <c r="K43" i="32"/>
  <c r="K42" i="32"/>
  <c r="K41" i="32"/>
  <c r="K40" i="32"/>
  <c r="K39" i="32"/>
  <c r="K38" i="32"/>
  <c r="K37" i="32"/>
  <c r="K36" i="32"/>
  <c r="K35" i="32"/>
  <c r="K34" i="32"/>
  <c r="K16" i="32"/>
  <c r="K15" i="32"/>
  <c r="K14" i="32"/>
  <c r="K13" i="32"/>
  <c r="K12" i="32"/>
  <c r="K11" i="32"/>
  <c r="K10" i="32"/>
  <c r="K9" i="32"/>
  <c r="K8" i="32"/>
  <c r="E46" i="32"/>
  <c r="D48" i="32" s="1"/>
  <c r="F49" i="32" s="1"/>
  <c r="F52" i="32" s="1"/>
  <c r="K7" i="32"/>
  <c r="K6" i="32"/>
  <c r="K17" i="32" l="1"/>
  <c r="K47" i="32"/>
  <c r="E44" i="31"/>
  <c r="E41" i="31"/>
  <c r="E40" i="31"/>
  <c r="E39" i="31"/>
  <c r="E37" i="31"/>
  <c r="E36" i="31"/>
  <c r="E35" i="31"/>
  <c r="E34" i="31"/>
  <c r="E33" i="31"/>
  <c r="E32" i="31"/>
  <c r="E31" i="31"/>
  <c r="E30" i="31"/>
  <c r="E28" i="31"/>
  <c r="E27" i="31"/>
  <c r="E24" i="31"/>
  <c r="E19" i="31"/>
  <c r="E18" i="31"/>
  <c r="E17" i="31"/>
  <c r="E16" i="31"/>
  <c r="E10" i="31"/>
  <c r="E9" i="31"/>
  <c r="E46" i="31" s="1"/>
  <c r="D48" i="31" s="1"/>
  <c r="F49" i="31" s="1"/>
  <c r="F52" i="31" s="1"/>
  <c r="E8" i="31"/>
  <c r="I46" i="31"/>
  <c r="I47" i="31" s="1"/>
  <c r="K45" i="31"/>
  <c r="K46" i="31" s="1"/>
  <c r="F45" i="31"/>
  <c r="K43" i="31"/>
  <c r="K42" i="31"/>
  <c r="K41" i="31"/>
  <c r="K40" i="31"/>
  <c r="K39" i="31"/>
  <c r="K38" i="31"/>
  <c r="K37" i="31"/>
  <c r="K36" i="31"/>
  <c r="K35" i="31"/>
  <c r="K34" i="31"/>
  <c r="K16" i="31"/>
  <c r="K15" i="31"/>
  <c r="K14" i="31"/>
  <c r="K13" i="31"/>
  <c r="K12" i="31"/>
  <c r="K11" i="31"/>
  <c r="K10" i="31"/>
  <c r="K9" i="31"/>
  <c r="K8" i="31"/>
  <c r="K7" i="31"/>
  <c r="K6" i="31"/>
  <c r="K17" i="31" l="1"/>
  <c r="K47" i="31"/>
  <c r="E43" i="30"/>
  <c r="E42" i="30"/>
  <c r="E41" i="30"/>
  <c r="E40" i="30"/>
  <c r="E37" i="30"/>
  <c r="E36" i="30"/>
  <c r="E35" i="30"/>
  <c r="E34" i="30"/>
  <c r="E31" i="30"/>
  <c r="E29" i="30"/>
  <c r="E28" i="30"/>
  <c r="E22" i="30"/>
  <c r="E19" i="30"/>
  <c r="E18" i="30"/>
  <c r="E10" i="30"/>
  <c r="E9" i="30"/>
  <c r="E8" i="30"/>
  <c r="E50" i="30" s="1"/>
  <c r="D52" i="30" s="1"/>
  <c r="F53" i="30" s="1"/>
  <c r="F56" i="30" s="1"/>
  <c r="E6" i="30"/>
  <c r="E3" i="30"/>
  <c r="I50" i="30"/>
  <c r="I51" i="30" s="1"/>
  <c r="K49" i="30"/>
  <c r="K50" i="30" s="1"/>
  <c r="F49" i="30"/>
  <c r="K43" i="30"/>
  <c r="K42" i="30"/>
  <c r="K41" i="30"/>
  <c r="K40" i="30"/>
  <c r="K39" i="30"/>
  <c r="K38" i="30"/>
  <c r="K37" i="30"/>
  <c r="K36" i="30"/>
  <c r="K35" i="30"/>
  <c r="K34" i="30"/>
  <c r="K16" i="30"/>
  <c r="K15" i="30"/>
  <c r="K14" i="30"/>
  <c r="K13" i="30"/>
  <c r="K12" i="30"/>
  <c r="K11" i="30"/>
  <c r="K10" i="30"/>
  <c r="K9" i="30"/>
  <c r="K8" i="30"/>
  <c r="K7" i="30"/>
  <c r="K6" i="30"/>
  <c r="K51" i="30" l="1"/>
  <c r="K17" i="30"/>
  <c r="E27" i="29"/>
  <c r="E51" i="29"/>
  <c r="E49" i="29"/>
  <c r="E46" i="29"/>
  <c r="E44" i="29"/>
  <c r="K57" i="29"/>
  <c r="F59" i="29"/>
  <c r="K59" i="29"/>
  <c r="I60" i="29"/>
  <c r="K60" i="29"/>
  <c r="I61" i="29"/>
  <c r="E41" i="29"/>
  <c r="E40" i="29"/>
  <c r="E39" i="29"/>
  <c r="E34" i="29"/>
  <c r="E29" i="29"/>
  <c r="E26" i="29"/>
  <c r="E25" i="29"/>
  <c r="E24" i="29"/>
  <c r="E22" i="29"/>
  <c r="E14" i="29"/>
  <c r="E13" i="29"/>
  <c r="E12" i="29"/>
  <c r="E10" i="29"/>
  <c r="E5" i="29"/>
  <c r="E3" i="29"/>
  <c r="E60" i="29" s="1"/>
  <c r="D62" i="29" s="1"/>
  <c r="K43" i="29" l="1"/>
  <c r="K42" i="29"/>
  <c r="K41" i="29"/>
  <c r="K40" i="29"/>
  <c r="K39" i="29"/>
  <c r="K38" i="29"/>
  <c r="K37" i="29"/>
  <c r="K36" i="29"/>
  <c r="K35" i="29"/>
  <c r="K34" i="29"/>
  <c r="K16" i="29"/>
  <c r="K15" i="29"/>
  <c r="K14" i="29"/>
  <c r="K13" i="29"/>
  <c r="K12" i="29"/>
  <c r="K11" i="29"/>
  <c r="K10" i="29"/>
  <c r="K9" i="29"/>
  <c r="K8" i="29"/>
  <c r="K7" i="29"/>
  <c r="K6" i="29"/>
  <c r="F63" i="29"/>
  <c r="F66" i="29" s="1"/>
  <c r="K61" i="29" l="1"/>
  <c r="K17" i="29"/>
  <c r="F45" i="28"/>
  <c r="E44" i="28"/>
  <c r="E18" i="28"/>
  <c r="E4" i="28" l="1"/>
  <c r="E43" i="28"/>
  <c r="E42" i="28"/>
  <c r="E41" i="28"/>
  <c r="E35" i="28"/>
  <c r="E32" i="28"/>
  <c r="E30" i="28"/>
  <c r="E27" i="28"/>
  <c r="E24" i="28"/>
  <c r="E20" i="28"/>
  <c r="E17" i="28"/>
  <c r="E14" i="28"/>
  <c r="E13" i="28"/>
  <c r="E11" i="28"/>
  <c r="E8" i="28"/>
  <c r="E6" i="28"/>
  <c r="E5" i="28"/>
  <c r="E3" i="28"/>
  <c r="I46" i="28"/>
  <c r="I47" i="28" s="1"/>
  <c r="K45" i="28"/>
  <c r="K46" i="28" s="1"/>
  <c r="K43" i="28"/>
  <c r="K42" i="28"/>
  <c r="K41" i="28"/>
  <c r="K40" i="28"/>
  <c r="K39" i="28"/>
  <c r="K38" i="28"/>
  <c r="K37" i="28"/>
  <c r="K36" i="28"/>
  <c r="K35" i="28"/>
  <c r="K34" i="28"/>
  <c r="K33" i="28"/>
  <c r="K16" i="28"/>
  <c r="K15" i="28"/>
  <c r="K14" i="28"/>
  <c r="K13" i="28"/>
  <c r="K12" i="28"/>
  <c r="K11" i="28"/>
  <c r="K10" i="28"/>
  <c r="K9" i="28"/>
  <c r="E46" i="28"/>
  <c r="D48" i="28" s="1"/>
  <c r="F49" i="28" s="1"/>
  <c r="F52" i="28" s="1"/>
  <c r="K8" i="28"/>
  <c r="K7" i="28"/>
  <c r="K6" i="28"/>
  <c r="K17" i="28" l="1"/>
  <c r="K47" i="28"/>
  <c r="E42" i="27"/>
  <c r="E37" i="27"/>
  <c r="E36" i="27"/>
  <c r="E35" i="27"/>
  <c r="E34" i="27"/>
  <c r="E33" i="27"/>
  <c r="E31" i="27"/>
  <c r="E30" i="27"/>
  <c r="E29" i="27"/>
  <c r="E26" i="27"/>
  <c r="E25" i="27"/>
  <c r="E22" i="27"/>
  <c r="E21" i="27"/>
  <c r="E20" i="27"/>
  <c r="E19" i="27"/>
  <c r="E18" i="27"/>
  <c r="E17" i="27"/>
  <c r="E15" i="27"/>
  <c r="E11" i="27"/>
  <c r="E10" i="27"/>
  <c r="E9" i="27"/>
  <c r="E49" i="27" s="1"/>
  <c r="D51" i="27" s="1"/>
  <c r="F52" i="27" s="1"/>
  <c r="F55" i="27" s="1"/>
  <c r="I49" i="27"/>
  <c r="I50" i="27" s="1"/>
  <c r="K48" i="27"/>
  <c r="K49" i="27" s="1"/>
  <c r="F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16" i="27"/>
  <c r="K15" i="27"/>
  <c r="K14" i="27"/>
  <c r="K13" i="27"/>
  <c r="K12" i="27"/>
  <c r="K11" i="27"/>
  <c r="K10" i="27"/>
  <c r="K9" i="27"/>
  <c r="K8" i="27"/>
  <c r="K7" i="27"/>
  <c r="K6" i="27"/>
  <c r="K50" i="27" l="1"/>
  <c r="K17" i="27"/>
  <c r="E41" i="26"/>
  <c r="E40" i="26"/>
  <c r="E39" i="26"/>
  <c r="E38" i="26"/>
  <c r="E37" i="26"/>
  <c r="E35" i="26"/>
  <c r="E34" i="26"/>
  <c r="E32" i="26"/>
  <c r="E31" i="26"/>
  <c r="E30" i="26"/>
  <c r="E29" i="26"/>
  <c r="E28" i="26"/>
  <c r="E21" i="26"/>
  <c r="E15" i="26"/>
  <c r="E14" i="26"/>
  <c r="E12" i="26"/>
  <c r="E8" i="26"/>
  <c r="E7" i="26"/>
  <c r="E6" i="26"/>
  <c r="E5" i="26"/>
  <c r="E4" i="26"/>
  <c r="E3" i="26"/>
  <c r="I48" i="26"/>
  <c r="I49" i="26" s="1"/>
  <c r="K47" i="26"/>
  <c r="K48" i="26" s="1"/>
  <c r="F47" i="26"/>
  <c r="K46" i="26"/>
  <c r="K45" i="26"/>
  <c r="K44" i="26"/>
  <c r="K43" i="26"/>
  <c r="K42" i="26"/>
  <c r="K41" i="26"/>
  <c r="K40" i="26"/>
  <c r="K39" i="26"/>
  <c r="K38" i="26"/>
  <c r="K37" i="26"/>
  <c r="K36" i="26"/>
  <c r="K35" i="26"/>
  <c r="K34" i="26"/>
  <c r="K33" i="26"/>
  <c r="K32" i="26"/>
  <c r="K31" i="26"/>
  <c r="K49" i="26" s="1"/>
  <c r="K16" i="26"/>
  <c r="K15" i="26"/>
  <c r="K14" i="26"/>
  <c r="K13" i="26"/>
  <c r="K12" i="26"/>
  <c r="K11" i="26"/>
  <c r="K10" i="26"/>
  <c r="K9" i="26"/>
  <c r="K8" i="26"/>
  <c r="K7" i="26"/>
  <c r="K6" i="26"/>
  <c r="E48" i="26"/>
  <c r="D50" i="26" s="1"/>
  <c r="F51" i="26" s="1"/>
  <c r="F54" i="26" s="1"/>
  <c r="K17" i="26" l="1"/>
  <c r="E35" i="25"/>
  <c r="E33" i="25"/>
  <c r="E29" i="25"/>
  <c r="E44" i="25" l="1"/>
  <c r="E41" i="25"/>
  <c r="E40" i="25"/>
  <c r="E38" i="25"/>
  <c r="E37" i="25"/>
  <c r="E34" i="25"/>
  <c r="E32" i="25"/>
  <c r="E31" i="25"/>
  <c r="E26" i="25"/>
  <c r="E25" i="25"/>
  <c r="E21" i="25"/>
  <c r="E20" i="25"/>
  <c r="E18" i="25"/>
  <c r="E17" i="25"/>
  <c r="E16" i="25"/>
  <c r="E14" i="25"/>
  <c r="E13" i="25"/>
  <c r="E12" i="25"/>
  <c r="E11" i="25"/>
  <c r="E9" i="25"/>
  <c r="E8" i="25"/>
  <c r="E6" i="25"/>
  <c r="E5" i="25"/>
  <c r="E48" i="25" s="1"/>
  <c r="D50" i="25" s="1"/>
  <c r="F51" i="25" s="1"/>
  <c r="F54" i="25" s="1"/>
  <c r="E4" i="25"/>
  <c r="I48" i="25"/>
  <c r="I49" i="25" s="1"/>
  <c r="K47" i="25"/>
  <c r="K48" i="25" s="1"/>
  <c r="F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49" i="25" s="1"/>
  <c r="I17" i="25"/>
  <c r="K16" i="25"/>
  <c r="K15" i="25"/>
  <c r="K14" i="25"/>
  <c r="K13" i="25"/>
  <c r="K12" i="25"/>
  <c r="K11" i="25"/>
  <c r="K10" i="25"/>
  <c r="K9" i="25"/>
  <c r="K8" i="25"/>
  <c r="K7" i="25"/>
  <c r="K6" i="25"/>
  <c r="K17" i="25" s="1"/>
  <c r="F58" i="24" l="1"/>
  <c r="E57" i="24"/>
  <c r="E56" i="24"/>
  <c r="E55" i="24"/>
  <c r="E53" i="24"/>
  <c r="E52" i="24"/>
  <c r="E49" i="24"/>
  <c r="E43" i="24"/>
  <c r="E42" i="24"/>
  <c r="E41" i="24"/>
  <c r="E40" i="24"/>
  <c r="E37" i="24"/>
  <c r="E35" i="24"/>
  <c r="E32" i="24"/>
  <c r="E31" i="24"/>
  <c r="E28" i="24"/>
  <c r="E27" i="24"/>
  <c r="E25" i="24"/>
  <c r="E21" i="24"/>
  <c r="E20" i="24"/>
  <c r="E16" i="24"/>
  <c r="E15" i="24"/>
  <c r="E14" i="24"/>
  <c r="E13" i="24"/>
  <c r="E5" i="24"/>
  <c r="E4" i="24"/>
  <c r="I59" i="24"/>
  <c r="I60" i="24" s="1"/>
  <c r="K58" i="24"/>
  <c r="K59" i="24" s="1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I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E59" i="24"/>
  <c r="D61" i="24" s="1"/>
  <c r="F62" i="24" s="1"/>
  <c r="F65" i="24" s="1"/>
  <c r="K60" i="24" l="1"/>
  <c r="K18" i="24"/>
  <c r="E51" i="23"/>
  <c r="E50" i="23"/>
  <c r="E49" i="23"/>
  <c r="E48" i="23"/>
  <c r="E47" i="23"/>
  <c r="E46" i="23"/>
  <c r="E45" i="23"/>
  <c r="E44" i="23"/>
  <c r="E43" i="23"/>
  <c r="E42" i="23"/>
  <c r="E39" i="23"/>
  <c r="E34" i="23"/>
  <c r="E31" i="23"/>
  <c r="E29" i="23"/>
  <c r="E28" i="23"/>
  <c r="E27" i="23"/>
  <c r="E24" i="23"/>
  <c r="E23" i="23"/>
  <c r="E21" i="23"/>
  <c r="E18" i="23"/>
  <c r="E15" i="23"/>
  <c r="E11" i="23"/>
  <c r="E8" i="23"/>
  <c r="E5" i="23"/>
  <c r="E4" i="23"/>
  <c r="E54" i="23" s="1"/>
  <c r="D56" i="23" s="1"/>
  <c r="F57" i="23" s="1"/>
  <c r="F60" i="23" s="1"/>
  <c r="I54" i="23"/>
  <c r="I55" i="23" s="1"/>
  <c r="K53" i="23"/>
  <c r="K54" i="23" s="1"/>
  <c r="F53" i="23"/>
  <c r="K48" i="23"/>
  <c r="K47" i="23"/>
  <c r="K46" i="23"/>
  <c r="K45" i="23"/>
  <c r="K44" i="23"/>
  <c r="K43" i="23"/>
  <c r="K42" i="23"/>
  <c r="K41" i="23"/>
  <c r="K40" i="23"/>
  <c r="K39" i="23"/>
  <c r="K38" i="23"/>
  <c r="K37" i="23"/>
  <c r="K36" i="23"/>
  <c r="K35" i="23"/>
  <c r="K34" i="23"/>
  <c r="K33" i="23"/>
  <c r="K32" i="23"/>
  <c r="K55" i="23" s="1"/>
  <c r="I18" i="23"/>
  <c r="K17" i="23"/>
  <c r="K16" i="23"/>
  <c r="K15" i="23"/>
  <c r="K14" i="23"/>
  <c r="K13" i="23"/>
  <c r="K12" i="23"/>
  <c r="K11" i="23"/>
  <c r="K10" i="23"/>
  <c r="K9" i="23"/>
  <c r="K8" i="23"/>
  <c r="K7" i="23"/>
  <c r="K6" i="23"/>
  <c r="K18" i="23" l="1"/>
  <c r="E58" i="22"/>
  <c r="E52" i="22"/>
  <c r="E51" i="22"/>
  <c r="E50" i="22"/>
  <c r="E44" i="22"/>
  <c r="E41" i="22"/>
  <c r="E40" i="22"/>
  <c r="E39" i="22"/>
  <c r="E37" i="22"/>
  <c r="E36" i="22"/>
  <c r="E35" i="22"/>
  <c r="E34" i="22"/>
  <c r="E33" i="22"/>
  <c r="E30" i="22"/>
  <c r="E29" i="22"/>
  <c r="E28" i="22"/>
  <c r="E23" i="22"/>
  <c r="E20" i="22"/>
  <c r="E19" i="22"/>
  <c r="E16" i="22"/>
  <c r="E15" i="22"/>
  <c r="E14" i="22"/>
  <c r="E60" i="22" s="1"/>
  <c r="D62" i="22" s="1"/>
  <c r="F63" i="22" s="1"/>
  <c r="F66" i="22" s="1"/>
  <c r="E6" i="22"/>
  <c r="E4" i="22"/>
  <c r="E3" i="22"/>
  <c r="I60" i="22"/>
  <c r="I61" i="22" s="1"/>
  <c r="K59" i="22"/>
  <c r="K60" i="22" s="1"/>
  <c r="F5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I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18" i="22" s="1"/>
  <c r="K61" i="22" l="1"/>
  <c r="E48" i="21"/>
  <c r="E44" i="21"/>
  <c r="E43" i="21"/>
  <c r="E42" i="21"/>
  <c r="E41" i="21"/>
  <c r="E38" i="21"/>
  <c r="E34" i="21"/>
  <c r="E33" i="21"/>
  <c r="E32" i="21"/>
  <c r="E26" i="21"/>
  <c r="E25" i="21"/>
  <c r="E22" i="21"/>
  <c r="E19" i="21"/>
  <c r="E11" i="21"/>
  <c r="E8" i="21"/>
  <c r="E7" i="21"/>
  <c r="E6" i="21"/>
  <c r="E4" i="21"/>
  <c r="E52" i="21" s="1"/>
  <c r="D54" i="21" s="1"/>
  <c r="F55" i="21" s="1"/>
  <c r="F58" i="21" s="1"/>
  <c r="E3" i="21"/>
  <c r="I52" i="21"/>
  <c r="I53" i="21" s="1"/>
  <c r="K51" i="21"/>
  <c r="K52" i="21" s="1"/>
  <c r="F51" i="21"/>
  <c r="K48" i="21"/>
  <c r="K47" i="21"/>
  <c r="K46" i="21"/>
  <c r="K45" i="21"/>
  <c r="K44" i="21"/>
  <c r="K43" i="21"/>
  <c r="K42" i="21"/>
  <c r="K41" i="21"/>
  <c r="K40" i="21"/>
  <c r="K39" i="21"/>
  <c r="K38" i="21"/>
  <c r="K37" i="21"/>
  <c r="K36" i="21"/>
  <c r="K35" i="21"/>
  <c r="K34" i="21"/>
  <c r="K33" i="21"/>
  <c r="K32" i="21"/>
  <c r="I18" i="21"/>
  <c r="K17" i="21"/>
  <c r="K16" i="21"/>
  <c r="K15" i="21"/>
  <c r="K14" i="21"/>
  <c r="K13" i="21"/>
  <c r="K12" i="21"/>
  <c r="K11" i="21"/>
  <c r="K10" i="21"/>
  <c r="K9" i="21"/>
  <c r="K8" i="21"/>
  <c r="K7" i="21"/>
  <c r="K6" i="21"/>
  <c r="K53" i="21" l="1"/>
  <c r="K18" i="21"/>
  <c r="E45" i="20"/>
  <c r="E43" i="20"/>
  <c r="E42" i="20"/>
  <c r="K42" i="20"/>
  <c r="K43" i="20"/>
  <c r="K44" i="20"/>
  <c r="K45" i="20"/>
  <c r="K46" i="20"/>
  <c r="K47" i="20"/>
  <c r="K48" i="20"/>
  <c r="K49" i="20"/>
  <c r="K50" i="20"/>
  <c r="E37" i="20"/>
  <c r="K32" i="20"/>
  <c r="K33" i="20"/>
  <c r="K34" i="20"/>
  <c r="K35" i="20"/>
  <c r="K36" i="20"/>
  <c r="K37" i="20"/>
  <c r="K38" i="20"/>
  <c r="K39" i="20"/>
  <c r="K40" i="20"/>
  <c r="K41" i="20"/>
  <c r="E36" i="20"/>
  <c r="E35" i="20"/>
  <c r="E33" i="20"/>
  <c r="E32" i="20"/>
  <c r="E30" i="20"/>
  <c r="E28" i="20"/>
  <c r="E25" i="20"/>
  <c r="E9" i="20"/>
  <c r="E8" i="20"/>
  <c r="E7" i="20"/>
  <c r="E5" i="20"/>
  <c r="E3" i="20"/>
  <c r="I51" i="20" l="1"/>
  <c r="I52" i="20" s="1"/>
  <c r="K51" i="20"/>
  <c r="K52" i="20" s="1"/>
  <c r="F50" i="20"/>
  <c r="I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E51" i="20"/>
  <c r="D53" i="20" s="1"/>
  <c r="F54" i="20" s="1"/>
  <c r="F57" i="20" s="1"/>
  <c r="K18" i="20" l="1"/>
  <c r="E6" i="19"/>
  <c r="E42" i="19"/>
  <c r="E41" i="19"/>
  <c r="E38" i="19"/>
  <c r="E35" i="19"/>
  <c r="E34" i="19"/>
  <c r="E29" i="19"/>
  <c r="E28" i="19"/>
  <c r="E26" i="19"/>
  <c r="E25" i="19"/>
  <c r="E24" i="19"/>
  <c r="E23" i="19"/>
  <c r="E17" i="19"/>
  <c r="E14" i="19"/>
  <c r="E13" i="19"/>
  <c r="E12" i="19"/>
  <c r="E10" i="19"/>
  <c r="E8" i="19"/>
  <c r="E5" i="19"/>
  <c r="E45" i="19" s="1"/>
  <c r="D47" i="19" s="1"/>
  <c r="F48" i="19" s="1"/>
  <c r="F51" i="19" s="1"/>
  <c r="I45" i="19"/>
  <c r="K44" i="19"/>
  <c r="K45" i="19" s="1"/>
  <c r="F44" i="19"/>
  <c r="I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18" i="19" s="1"/>
  <c r="E17" i="18" l="1"/>
  <c r="E53" i="18"/>
  <c r="E52" i="18"/>
  <c r="E51" i="18"/>
  <c r="E49" i="18"/>
  <c r="E48" i="18"/>
  <c r="E46" i="18"/>
  <c r="E43" i="18"/>
  <c r="E42" i="18"/>
  <c r="E40" i="18"/>
  <c r="E36" i="18"/>
  <c r="E34" i="18"/>
  <c r="E33" i="18"/>
  <c r="E32" i="18"/>
  <c r="E31" i="18"/>
  <c r="E29" i="18"/>
  <c r="E27" i="18"/>
  <c r="E20" i="18"/>
  <c r="E19" i="18"/>
  <c r="E18" i="18"/>
  <c r="E13" i="18"/>
  <c r="E10" i="18"/>
  <c r="E6" i="18"/>
  <c r="E3" i="18"/>
  <c r="E60" i="18" s="1"/>
  <c r="D62" i="18" s="1"/>
  <c r="F63" i="18" s="1"/>
  <c r="F66" i="18" s="1"/>
  <c r="I60" i="18"/>
  <c r="K59" i="18"/>
  <c r="K60" i="18" s="1"/>
  <c r="F59" i="18"/>
  <c r="I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18" i="18" s="1"/>
  <c r="E27" i="17" l="1"/>
  <c r="E25" i="17"/>
  <c r="E24" i="17"/>
  <c r="E22" i="17"/>
  <c r="E18" i="17"/>
  <c r="E13" i="17"/>
  <c r="E11" i="17"/>
  <c r="E10" i="17"/>
  <c r="E9" i="17"/>
  <c r="E8" i="17"/>
  <c r="E7" i="17"/>
  <c r="E34" i="17" s="1"/>
  <c r="D36" i="17" s="1"/>
  <c r="F37" i="17" s="1"/>
  <c r="F40" i="17" s="1"/>
  <c r="E5" i="17"/>
  <c r="E4" i="17"/>
  <c r="E3" i="17"/>
  <c r="I34" i="17"/>
  <c r="K33" i="17"/>
  <c r="K34" i="17" s="1"/>
  <c r="F33" i="17"/>
  <c r="I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19" i="17" s="1"/>
  <c r="E43" i="16" l="1"/>
  <c r="E41" i="16"/>
  <c r="E40" i="16"/>
  <c r="E39" i="16"/>
  <c r="E38" i="16"/>
  <c r="E30" i="16"/>
  <c r="E29" i="16"/>
  <c r="E28" i="16"/>
  <c r="E27" i="16"/>
  <c r="E26" i="16"/>
  <c r="E25" i="16"/>
  <c r="E24" i="16"/>
  <c r="E22" i="16"/>
  <c r="E21" i="16"/>
  <c r="E17" i="16"/>
  <c r="E13" i="16"/>
  <c r="E11" i="16"/>
  <c r="E7" i="16"/>
  <c r="E6" i="16"/>
  <c r="E5" i="16" l="1"/>
  <c r="E4" i="16"/>
  <c r="I47" i="16"/>
  <c r="K46" i="16"/>
  <c r="K47" i="16" s="1"/>
  <c r="F46" i="16"/>
  <c r="I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E47" i="16"/>
  <c r="D49" i="16" s="1"/>
  <c r="F50" i="16" s="1"/>
  <c r="F53" i="16" s="1"/>
  <c r="K19" i="16" l="1"/>
  <c r="E36" i="15"/>
  <c r="E33" i="15"/>
  <c r="E32" i="15"/>
  <c r="E31" i="15"/>
  <c r="E29" i="15"/>
  <c r="E28" i="15"/>
  <c r="E27" i="15"/>
  <c r="E26" i="15"/>
  <c r="E25" i="15"/>
  <c r="E24" i="15"/>
  <c r="E21" i="15"/>
  <c r="E19" i="15"/>
  <c r="E12" i="15"/>
  <c r="E11" i="15"/>
  <c r="E8" i="15"/>
  <c r="E3" i="15"/>
  <c r="I42" i="15"/>
  <c r="K41" i="15"/>
  <c r="K42" i="15" s="1"/>
  <c r="F41" i="15"/>
  <c r="I19" i="15"/>
  <c r="K18" i="15"/>
  <c r="K17" i="15"/>
  <c r="K16" i="15"/>
  <c r="K15" i="15"/>
  <c r="K14" i="15"/>
  <c r="K13" i="15"/>
  <c r="K12" i="15"/>
  <c r="K11" i="15"/>
  <c r="K10" i="15"/>
  <c r="K9" i="15"/>
  <c r="K8" i="15"/>
  <c r="K7" i="15"/>
  <c r="K6" i="15"/>
  <c r="E42" i="15"/>
  <c r="D44" i="15" s="1"/>
  <c r="F45" i="15" s="1"/>
  <c r="F48" i="15" s="1"/>
  <c r="K19" i="15" l="1"/>
  <c r="E45" i="14"/>
  <c r="E44" i="14"/>
  <c r="E41" i="14"/>
  <c r="E37" i="14"/>
  <c r="E34" i="14"/>
  <c r="E33" i="14"/>
  <c r="E32" i="14"/>
  <c r="E28" i="14"/>
  <c r="E24" i="14"/>
  <c r="E20" i="14"/>
  <c r="E19" i="14"/>
  <c r="E18" i="14"/>
  <c r="E14" i="14"/>
  <c r="E8" i="14"/>
  <c r="E3" i="14"/>
  <c r="E48" i="14" s="1"/>
  <c r="D50" i="14" s="1"/>
  <c r="F51" i="14" s="1"/>
  <c r="F54" i="14" s="1"/>
  <c r="I48" i="14"/>
  <c r="K47" i="14"/>
  <c r="F47" i="14"/>
  <c r="K48" i="14"/>
  <c r="I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19" i="14" l="1"/>
  <c r="E49" i="13"/>
  <c r="E47" i="13"/>
  <c r="E46" i="13"/>
  <c r="E45" i="13"/>
  <c r="E44" i="13"/>
  <c r="E43" i="13"/>
  <c r="E39" i="13"/>
  <c r="E32" i="13"/>
  <c r="E31" i="13"/>
  <c r="E28" i="13"/>
  <c r="E24" i="13"/>
  <c r="E23" i="13"/>
  <c r="E18" i="13"/>
  <c r="E17" i="13"/>
  <c r="E15" i="13"/>
  <c r="E13" i="13"/>
  <c r="E12" i="13"/>
  <c r="E11" i="13"/>
  <c r="E9" i="13"/>
  <c r="E52" i="13" s="1"/>
  <c r="D54" i="13" s="1"/>
  <c r="F55" i="13" s="1"/>
  <c r="F58" i="13" s="1"/>
  <c r="E5" i="13"/>
  <c r="E4" i="13"/>
  <c r="E3" i="13"/>
  <c r="I52" i="13"/>
  <c r="K51" i="13"/>
  <c r="F51" i="13"/>
  <c r="K50" i="13"/>
  <c r="K52" i="13" s="1"/>
  <c r="I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19" i="13" l="1"/>
  <c r="E27" i="12"/>
  <c r="E30" i="12"/>
  <c r="E28" i="12"/>
  <c r="E26" i="12"/>
  <c r="E25" i="12"/>
  <c r="E24" i="12"/>
  <c r="E23" i="12"/>
  <c r="E21" i="12"/>
  <c r="E20" i="12"/>
  <c r="E19" i="12"/>
  <c r="E17" i="12"/>
  <c r="E16" i="12"/>
  <c r="E14" i="12"/>
  <c r="E13" i="12"/>
  <c r="E11" i="12"/>
  <c r="E8" i="12"/>
  <c r="E6" i="12"/>
  <c r="E5" i="12"/>
  <c r="E4" i="12"/>
  <c r="E36" i="12" s="1"/>
  <c r="D38" i="12" s="1"/>
  <c r="F39" i="12" s="1"/>
  <c r="F42" i="12" s="1"/>
  <c r="I36" i="12"/>
  <c r="K35" i="12"/>
  <c r="F35" i="12"/>
  <c r="K34" i="12"/>
  <c r="K36" i="12" s="1"/>
  <c r="I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19" i="12" s="1"/>
  <c r="E53" i="11" l="1"/>
  <c r="E52" i="11"/>
  <c r="E50" i="11"/>
  <c r="E49" i="11"/>
  <c r="E47" i="11"/>
  <c r="E39" i="11"/>
  <c r="E38" i="11"/>
  <c r="E37" i="11"/>
  <c r="E36" i="11"/>
  <c r="E34" i="11"/>
  <c r="E33" i="11"/>
  <c r="E31" i="11"/>
  <c r="E27" i="11"/>
  <c r="E26" i="11"/>
  <c r="E25" i="11"/>
  <c r="E24" i="11"/>
  <c r="E23" i="11"/>
  <c r="E19" i="11"/>
  <c r="E17" i="11"/>
  <c r="E15" i="11"/>
  <c r="E13" i="11"/>
  <c r="E5" i="11"/>
  <c r="E4" i="11"/>
  <c r="E3" i="11"/>
  <c r="E56" i="11" s="1"/>
  <c r="D58" i="11" s="1"/>
  <c r="F59" i="11" s="1"/>
  <c r="F62" i="11" s="1"/>
  <c r="I56" i="11"/>
  <c r="K55" i="11"/>
  <c r="K34" i="11"/>
  <c r="K56" i="11" s="1"/>
  <c r="F55" i="11"/>
  <c r="I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19" i="11" l="1"/>
  <c r="E47" i="10"/>
  <c r="E46" i="10"/>
  <c r="E45" i="10"/>
  <c r="E44" i="10"/>
  <c r="E43" i="10"/>
  <c r="E42" i="10"/>
  <c r="E41" i="10"/>
  <c r="E39" i="10"/>
  <c r="E36" i="10"/>
  <c r="E34" i="10"/>
  <c r="E33" i="10"/>
  <c r="E32" i="10"/>
  <c r="E30" i="10"/>
  <c r="E29" i="10"/>
  <c r="E26" i="10"/>
  <c r="F22" i="10"/>
  <c r="E25" i="10"/>
  <c r="E24" i="10"/>
  <c r="E22" i="10"/>
  <c r="E18" i="10"/>
  <c r="E20" i="10"/>
  <c r="E19" i="10"/>
  <c r="E17" i="10"/>
  <c r="E16" i="10"/>
  <c r="E15" i="10"/>
  <c r="E13" i="10"/>
  <c r="E6" i="10"/>
  <c r="E4" i="10"/>
  <c r="I52" i="10"/>
  <c r="K51" i="10"/>
  <c r="F51" i="10"/>
  <c r="K34" i="10"/>
  <c r="I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E52" i="10"/>
  <c r="D54" i="10" s="1"/>
  <c r="F55" i="10" s="1"/>
  <c r="F58" i="10" s="1"/>
  <c r="K19" i="10" l="1"/>
  <c r="K52" i="10"/>
  <c r="E39" i="9"/>
  <c r="E36" i="9"/>
  <c r="E35" i="9"/>
  <c r="E34" i="9"/>
  <c r="E33" i="9"/>
  <c r="E32" i="9"/>
  <c r="E30" i="9"/>
  <c r="E29" i="9"/>
  <c r="E28" i="9"/>
  <c r="E27" i="9"/>
  <c r="E25" i="9"/>
  <c r="E23" i="9"/>
  <c r="E22" i="9"/>
  <c r="E19" i="9"/>
  <c r="E18" i="9"/>
  <c r="E16" i="9"/>
  <c r="E15" i="9"/>
  <c r="E13" i="9"/>
  <c r="E12" i="9"/>
  <c r="E11" i="9"/>
  <c r="E10" i="9"/>
  <c r="E8" i="9"/>
  <c r="E7" i="9"/>
  <c r="E5" i="9"/>
  <c r="E3" i="9"/>
  <c r="E43" i="9" s="1"/>
  <c r="D45" i="9" s="1"/>
  <c r="F46" i="9" s="1"/>
  <c r="F49" i="9" s="1"/>
  <c r="I43" i="9"/>
  <c r="K42" i="9"/>
  <c r="F42" i="9"/>
  <c r="K34" i="9"/>
  <c r="K43" i="9" s="1"/>
  <c r="I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19" i="9" l="1"/>
  <c r="E46" i="8"/>
  <c r="E44" i="8"/>
  <c r="E42" i="8"/>
  <c r="E41" i="8"/>
  <c r="E39" i="8"/>
  <c r="E38" i="8"/>
  <c r="E35" i="8"/>
  <c r="I19" i="8"/>
  <c r="E34" i="8"/>
  <c r="E32" i="8"/>
  <c r="E30" i="8"/>
  <c r="E29" i="8"/>
  <c r="E28" i="8"/>
  <c r="E27" i="8"/>
  <c r="E26" i="8"/>
  <c r="E25" i="8"/>
  <c r="E23" i="8"/>
  <c r="E20" i="8"/>
  <c r="E19" i="8"/>
  <c r="E18" i="8"/>
  <c r="E17" i="8"/>
  <c r="E14" i="8"/>
  <c r="E11" i="8"/>
  <c r="E10" i="8"/>
  <c r="E9" i="8"/>
  <c r="E4" i="8"/>
  <c r="I51" i="8"/>
  <c r="K50" i="8"/>
  <c r="F50" i="8"/>
  <c r="K46" i="8"/>
  <c r="K34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E51" i="8"/>
  <c r="D53" i="8" s="1"/>
  <c r="F54" i="8" s="1"/>
  <c r="F57" i="8" s="1"/>
  <c r="K51" i="8" l="1"/>
  <c r="K19" i="8"/>
  <c r="E45" i="7"/>
  <c r="E44" i="7"/>
  <c r="E43" i="7"/>
  <c r="E42" i="7"/>
  <c r="E39" i="7"/>
  <c r="E37" i="7"/>
  <c r="E36" i="7"/>
  <c r="E35" i="7"/>
  <c r="E32" i="7"/>
  <c r="E31" i="7"/>
  <c r="E30" i="7"/>
  <c r="E29" i="7"/>
  <c r="E27" i="7"/>
  <c r="E26" i="7"/>
  <c r="E24" i="7"/>
  <c r="E23" i="7"/>
  <c r="E21" i="7"/>
  <c r="E19" i="7"/>
  <c r="E18" i="7"/>
  <c r="E17" i="7"/>
  <c r="E15" i="7"/>
  <c r="E10" i="7"/>
  <c r="E7" i="7"/>
  <c r="E5" i="7"/>
  <c r="E4" i="7"/>
  <c r="I51" i="7"/>
  <c r="K50" i="7"/>
  <c r="F50" i="7"/>
  <c r="K46" i="7"/>
  <c r="K34" i="7"/>
  <c r="I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E51" i="7"/>
  <c r="D53" i="7" s="1"/>
  <c r="F54" i="7" s="1"/>
  <c r="F57" i="7" s="1"/>
  <c r="K19" i="7" l="1"/>
  <c r="K51" i="7"/>
  <c r="E35" i="6"/>
  <c r="E34" i="6"/>
  <c r="E32" i="6"/>
  <c r="E29" i="6" l="1"/>
  <c r="E28" i="6"/>
  <c r="E23" i="6"/>
  <c r="E22" i="6"/>
  <c r="E21" i="6"/>
  <c r="E20" i="6"/>
  <c r="E19" i="6"/>
  <c r="E18" i="6"/>
  <c r="E16" i="6"/>
  <c r="E15" i="6"/>
  <c r="E10" i="6"/>
  <c r="E7" i="6"/>
  <c r="E38" i="6" s="1"/>
  <c r="D40" i="6" s="1"/>
  <c r="F41" i="6" s="1"/>
  <c r="F44" i="6" s="1"/>
  <c r="E5" i="6"/>
  <c r="I38" i="6"/>
  <c r="K37" i="6"/>
  <c r="F37" i="6"/>
  <c r="K36" i="6"/>
  <c r="K35" i="6"/>
  <c r="K34" i="6"/>
  <c r="K38" i="6" s="1"/>
  <c r="I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19" i="6" l="1"/>
  <c r="E46" i="5"/>
  <c r="E45" i="5"/>
  <c r="E43" i="5"/>
  <c r="E42" i="5"/>
  <c r="E41" i="5"/>
  <c r="E40" i="5"/>
  <c r="E39" i="5"/>
  <c r="E37" i="5"/>
  <c r="E31" i="5"/>
  <c r="E27" i="5" l="1"/>
  <c r="E26" i="5"/>
  <c r="E25" i="5"/>
  <c r="E20" i="5"/>
  <c r="E19" i="5"/>
  <c r="E18" i="5"/>
  <c r="E17" i="5"/>
  <c r="E16" i="5"/>
  <c r="E15" i="5"/>
  <c r="E14" i="5"/>
  <c r="E12" i="5"/>
  <c r="E11" i="5"/>
  <c r="E10" i="5"/>
  <c r="E9" i="5"/>
  <c r="E8" i="5"/>
  <c r="E55" i="5" s="1"/>
  <c r="D57" i="5" s="1"/>
  <c r="F58" i="5" s="1"/>
  <c r="F61" i="5" s="1"/>
  <c r="E7" i="5"/>
  <c r="E6" i="5"/>
  <c r="E5" i="5"/>
  <c r="I55" i="5"/>
  <c r="K54" i="5"/>
  <c r="F54" i="5"/>
  <c r="K43" i="5"/>
  <c r="K42" i="5"/>
  <c r="K41" i="5"/>
  <c r="K40" i="5"/>
  <c r="K39" i="5"/>
  <c r="K38" i="5"/>
  <c r="K37" i="5"/>
  <c r="K36" i="5"/>
  <c r="K35" i="5"/>
  <c r="K34" i="5"/>
  <c r="K55" i="5" s="1"/>
  <c r="I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19" i="5" l="1"/>
  <c r="E53" i="4"/>
  <c r="E51" i="4"/>
  <c r="E49" i="4"/>
  <c r="E48" i="4"/>
  <c r="E47" i="4"/>
  <c r="E46" i="4"/>
  <c r="E45" i="4"/>
  <c r="E44" i="4"/>
  <c r="E42" i="4"/>
  <c r="E39" i="4"/>
  <c r="E38" i="4"/>
  <c r="E34" i="4"/>
  <c r="E33" i="4"/>
  <c r="E32" i="4"/>
  <c r="E30" i="4"/>
  <c r="E26" i="4"/>
  <c r="E25" i="4"/>
  <c r="E22" i="4"/>
  <c r="E18" i="4"/>
  <c r="E19" i="4"/>
  <c r="E20" i="4"/>
  <c r="E15" i="4"/>
  <c r="E12" i="4"/>
  <c r="E11" i="4"/>
  <c r="E10" i="4"/>
  <c r="E9" i="4"/>
  <c r="E8" i="4"/>
  <c r="E6" i="4"/>
  <c r="E5" i="4"/>
  <c r="E4" i="4"/>
  <c r="E3" i="4"/>
  <c r="I55" i="4"/>
  <c r="K54" i="4"/>
  <c r="F54" i="4"/>
  <c r="K43" i="4"/>
  <c r="K42" i="4"/>
  <c r="K41" i="4"/>
  <c r="K40" i="4"/>
  <c r="K39" i="4"/>
  <c r="K38" i="4"/>
  <c r="K37" i="4"/>
  <c r="K36" i="4"/>
  <c r="K35" i="4"/>
  <c r="K34" i="4"/>
  <c r="I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E55" i="4"/>
  <c r="D57" i="4" s="1"/>
  <c r="F58" i="4" s="1"/>
  <c r="F61" i="4" s="1"/>
  <c r="K19" i="4" l="1"/>
  <c r="K55" i="4"/>
  <c r="E43" i="3"/>
  <c r="E42" i="3"/>
  <c r="E41" i="3"/>
  <c r="E40" i="3"/>
  <c r="E39" i="3"/>
  <c r="E37" i="3"/>
  <c r="E36" i="3"/>
  <c r="E35" i="3"/>
  <c r="I46" i="3"/>
  <c r="E34" i="3"/>
  <c r="E33" i="3"/>
  <c r="E30" i="3"/>
  <c r="E29" i="3"/>
  <c r="E28" i="3"/>
  <c r="E27" i="3"/>
  <c r="E26" i="3"/>
  <c r="E23" i="3"/>
  <c r="E21" i="3"/>
  <c r="E19" i="3"/>
  <c r="E16" i="3"/>
  <c r="E15" i="3"/>
  <c r="E14" i="3"/>
  <c r="I19" i="3"/>
  <c r="E13" i="3"/>
  <c r="E12" i="3"/>
  <c r="E46" i="3" s="1"/>
  <c r="D48" i="3" s="1"/>
  <c r="F49" i="3" s="1"/>
  <c r="F52" i="3" s="1"/>
  <c r="E7" i="3"/>
  <c r="E3" i="3"/>
  <c r="K45" i="3"/>
  <c r="K44" i="3"/>
  <c r="K43" i="3"/>
  <c r="K42" i="3"/>
  <c r="K41" i="3"/>
  <c r="F45" i="3"/>
  <c r="K40" i="3"/>
  <c r="K39" i="3"/>
  <c r="K38" i="3"/>
  <c r="K37" i="3"/>
  <c r="K36" i="3"/>
  <c r="K35" i="3"/>
  <c r="K34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19" i="3" s="1"/>
  <c r="K46" i="3" l="1"/>
  <c r="E50" i="2"/>
  <c r="E49" i="2"/>
  <c r="E48" i="2"/>
  <c r="E47" i="2"/>
  <c r="E46" i="2"/>
  <c r="E45" i="2"/>
  <c r="E44" i="2"/>
  <c r="E41" i="2"/>
  <c r="F41" i="2"/>
  <c r="E40" i="2"/>
  <c r="E35" i="2"/>
  <c r="E34" i="2"/>
  <c r="E31" i="2"/>
  <c r="E30" i="2"/>
  <c r="E29" i="2"/>
  <c r="E28" i="2"/>
  <c r="E27" i="2"/>
  <c r="E24" i="2"/>
  <c r="E22" i="2"/>
  <c r="E21" i="2"/>
  <c r="E16" i="2"/>
  <c r="E15" i="2"/>
  <c r="E14" i="2"/>
  <c r="E13" i="2"/>
  <c r="E11" i="2"/>
  <c r="E9" i="2"/>
  <c r="E7" i="2"/>
  <c r="E52" i="2" s="1"/>
  <c r="D54" i="2" s="1"/>
  <c r="F55" i="2" s="1"/>
  <c r="F58" i="2" s="1"/>
  <c r="E6" i="2"/>
  <c r="E3" i="2"/>
  <c r="K51" i="2"/>
  <c r="F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19" i="2" l="1"/>
  <c r="K52" i="2"/>
  <c r="E52" i="1"/>
  <c r="E49" i="1"/>
  <c r="E48" i="1"/>
  <c r="E46" i="1"/>
  <c r="E45" i="1"/>
  <c r="E44" i="1"/>
  <c r="E43" i="1"/>
  <c r="E40" i="1"/>
  <c r="E39" i="1"/>
  <c r="E38" i="1"/>
  <c r="E35" i="1"/>
  <c r="E34" i="1"/>
  <c r="E32" i="1"/>
  <c r="E31" i="1"/>
  <c r="E27" i="1"/>
  <c r="E26" i="1"/>
  <c r="E25" i="1"/>
  <c r="E24" i="1"/>
  <c r="E21" i="1"/>
  <c r="E20" i="1"/>
  <c r="E19" i="1"/>
  <c r="E13" i="1"/>
  <c r="E9" i="1"/>
  <c r="E8" i="1"/>
  <c r="E7" i="1"/>
  <c r="E56" i="1" s="1"/>
  <c r="D58" i="1" s="1"/>
  <c r="F59" i="1" s="1"/>
  <c r="F62" i="1" s="1"/>
  <c r="E5" i="1"/>
  <c r="E4" i="1"/>
  <c r="K55" i="1"/>
  <c r="F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6" i="1" l="1"/>
  <c r="K19" i="1"/>
</calcChain>
</file>

<file path=xl/sharedStrings.xml><?xml version="1.0" encoding="utf-8"?>
<sst xmlns="http://schemas.openxmlformats.org/spreadsheetml/2006/main" count="3269" uniqueCount="368">
  <si>
    <t>FELIX SANCHEZ</t>
  </si>
  <si>
    <t>RICARDO SANCHEZ</t>
  </si>
  <si>
    <t>FECHA</t>
  </si>
  <si>
    <t>REMISION</t>
  </si>
  <si>
    <t>CLIENTE</t>
  </si>
  <si>
    <t>KILOS</t>
  </si>
  <si>
    <t>LA UNION</t>
  </si>
  <si>
    <t>CARNICERIA BARBIE</t>
  </si>
  <si>
    <t>CARNICERIA HUGOS</t>
  </si>
  <si>
    <t>JULIO</t>
  </si>
  <si>
    <t>CARNES SELECTAS</t>
  </si>
  <si>
    <t>JAVIER</t>
  </si>
  <si>
    <t>RAUL</t>
  </si>
  <si>
    <t>CARNES DIAZ</t>
  </si>
  <si>
    <t>PACO DIAZ</t>
  </si>
  <si>
    <t>COMISION</t>
  </si>
  <si>
    <t>SUELDO</t>
  </si>
  <si>
    <t xml:space="preserve">ANTICIPO DE </t>
  </si>
  <si>
    <t>PAGO</t>
  </si>
  <si>
    <t>del 04     al    9  ENERO  2016</t>
  </si>
  <si>
    <t xml:space="preserve">CARNICERIA SANTA ANA </t>
  </si>
  <si>
    <t>89 B</t>
  </si>
  <si>
    <t>90 B</t>
  </si>
  <si>
    <t>91 B</t>
  </si>
  <si>
    <t>92 B</t>
  </si>
  <si>
    <t>93 B</t>
  </si>
  <si>
    <t>96 B</t>
  </si>
  <si>
    <t>101 B</t>
  </si>
  <si>
    <t>102 B</t>
  </si>
  <si>
    <t>103 B</t>
  </si>
  <si>
    <t>127 B</t>
  </si>
  <si>
    <t>del   11    al   16  ENERO  2016</t>
  </si>
  <si>
    <t>0088 B</t>
  </si>
  <si>
    <t>0094 B</t>
  </si>
  <si>
    <t>00346 B</t>
  </si>
  <si>
    <t>00348 B</t>
  </si>
  <si>
    <t>00349 B</t>
  </si>
  <si>
    <t>00350 B</t>
  </si>
  <si>
    <t>CANICERIA BARBIE</t>
  </si>
  <si>
    <t>00351 B</t>
  </si>
  <si>
    <t>00408 B</t>
  </si>
  <si>
    <t>00352 B</t>
  </si>
  <si>
    <t>00512 B</t>
  </si>
  <si>
    <t>00513 B</t>
  </si>
  <si>
    <t>00514 B</t>
  </si>
  <si>
    <t>00515 B</t>
  </si>
  <si>
    <t>00516 B</t>
  </si>
  <si>
    <t>00517 B</t>
  </si>
  <si>
    <t>00519 b</t>
  </si>
  <si>
    <t>00636 B</t>
  </si>
  <si>
    <t>00637 B</t>
  </si>
  <si>
    <t>00642 B</t>
  </si>
  <si>
    <t>00643 B</t>
  </si>
  <si>
    <t>00644 B</t>
  </si>
  <si>
    <t>.00645 B</t>
  </si>
  <si>
    <t>00646 B</t>
  </si>
  <si>
    <t>00647 B</t>
  </si>
  <si>
    <t>00784 B</t>
  </si>
  <si>
    <t>00785 B</t>
  </si>
  <si>
    <t>00786 B</t>
  </si>
  <si>
    <t>00787 B</t>
  </si>
  <si>
    <t>00789 B</t>
  </si>
  <si>
    <t>00790 B</t>
  </si>
  <si>
    <t>00914 B</t>
  </si>
  <si>
    <t>00917 B</t>
  </si>
  <si>
    <t>00928 B</t>
  </si>
  <si>
    <t>00927 B</t>
  </si>
  <si>
    <t>00929 B</t>
  </si>
  <si>
    <t>00931 B</t>
  </si>
  <si>
    <t>00932 B</t>
  </si>
  <si>
    <t>00933 B</t>
  </si>
  <si>
    <t>1004 B</t>
  </si>
  <si>
    <t>1070 B</t>
  </si>
  <si>
    <t>1071 B</t>
  </si>
  <si>
    <t>1072 B</t>
  </si>
  <si>
    <t>1074 B</t>
  </si>
  <si>
    <t>1075 B</t>
  </si>
  <si>
    <t>1076 B</t>
  </si>
  <si>
    <t>1077 B</t>
  </si>
  <si>
    <t>1139 B</t>
  </si>
  <si>
    <t>1188 B</t>
  </si>
  <si>
    <t>del   18    al   23 ENERO  2016</t>
  </si>
  <si>
    <t>1302B</t>
  </si>
  <si>
    <t>1303 B</t>
  </si>
  <si>
    <t>1304 B</t>
  </si>
  <si>
    <t>1305 B</t>
  </si>
  <si>
    <t>1306 B</t>
  </si>
  <si>
    <t>1307 B</t>
  </si>
  <si>
    <t>1308 B</t>
  </si>
  <si>
    <t>1310 B</t>
  </si>
  <si>
    <t>1416 B</t>
  </si>
  <si>
    <t>1463 B</t>
  </si>
  <si>
    <t>1464 B</t>
  </si>
  <si>
    <t>1465 B</t>
  </si>
  <si>
    <t>1468 B</t>
  </si>
  <si>
    <t>1469 B</t>
  </si>
  <si>
    <t>1470 B</t>
  </si>
  <si>
    <t>1598 B</t>
  </si>
  <si>
    <t>1599 B</t>
  </si>
  <si>
    <t>1601 B</t>
  </si>
  <si>
    <t>1602 B</t>
  </si>
  <si>
    <t>1603 B</t>
  </si>
  <si>
    <t>1725 B</t>
  </si>
  <si>
    <t>1726 B</t>
  </si>
  <si>
    <t>1727 B</t>
  </si>
  <si>
    <t>CARNCERIA HUGOS</t>
  </si>
  <si>
    <t>1728 B</t>
  </si>
  <si>
    <t>1729 B</t>
  </si>
  <si>
    <t>1730 B</t>
  </si>
  <si>
    <t>1733 B</t>
  </si>
  <si>
    <t>1763 B</t>
  </si>
  <si>
    <t>1909 B</t>
  </si>
  <si>
    <t>1910 B</t>
  </si>
  <si>
    <t>1911 B</t>
  </si>
  <si>
    <t>1913 B</t>
  </si>
  <si>
    <t>1914 B</t>
  </si>
  <si>
    <t>1916 B</t>
  </si>
  <si>
    <t>1917 B</t>
  </si>
  <si>
    <t>1918 B</t>
  </si>
  <si>
    <t>2053 B</t>
  </si>
  <si>
    <t>2055 B</t>
  </si>
  <si>
    <t>2056 B</t>
  </si>
  <si>
    <t>2058 B</t>
  </si>
  <si>
    <t>2063 B</t>
  </si>
  <si>
    <t>del   25    al   30 ENERO  2016</t>
  </si>
  <si>
    <t>518 B</t>
  </si>
  <si>
    <t>1912 B</t>
  </si>
  <si>
    <t>1915 B</t>
  </si>
  <si>
    <t>2051 B</t>
  </si>
  <si>
    <t>2052 B</t>
  </si>
  <si>
    <t>2211 B</t>
  </si>
  <si>
    <t>2295 B</t>
  </si>
  <si>
    <t>2296 B</t>
  </si>
  <si>
    <t>2297 B</t>
  </si>
  <si>
    <t>2298 B</t>
  </si>
  <si>
    <t>2299 B</t>
  </si>
  <si>
    <t>2300 B</t>
  </si>
  <si>
    <t>2301 B</t>
  </si>
  <si>
    <t>2458 B</t>
  </si>
  <si>
    <t>2459 B</t>
  </si>
  <si>
    <t>2462 B</t>
  </si>
  <si>
    <t>2463 B</t>
  </si>
  <si>
    <t>2466 B</t>
  </si>
  <si>
    <t>2460 B</t>
  </si>
  <si>
    <t>2464 B</t>
  </si>
  <si>
    <t>2527 B</t>
  </si>
  <si>
    <t>2598 B</t>
  </si>
  <si>
    <t>2599 B</t>
  </si>
  <si>
    <t>2600 B</t>
  </si>
  <si>
    <t>2601 B</t>
  </si>
  <si>
    <t>2602 B</t>
  </si>
  <si>
    <t>2603 B</t>
  </si>
  <si>
    <t>2732 B</t>
  </si>
  <si>
    <t>LOMA VERDE</t>
  </si>
  <si>
    <t>2733 B</t>
  </si>
  <si>
    <t>2734 B</t>
  </si>
  <si>
    <t>2735 B</t>
  </si>
  <si>
    <t>2736 B</t>
  </si>
  <si>
    <t>2737 B</t>
  </si>
  <si>
    <t>2738 B</t>
  </si>
  <si>
    <t>2739 B</t>
  </si>
  <si>
    <t>2740 B</t>
  </si>
  <si>
    <t>2741 B</t>
  </si>
  <si>
    <t>2763 B</t>
  </si>
  <si>
    <t>SESOS BOTE</t>
  </si>
  <si>
    <t>2869 B</t>
  </si>
  <si>
    <t>2870 B</t>
  </si>
  <si>
    <t>2871 B</t>
  </si>
  <si>
    <t>2872 B</t>
  </si>
  <si>
    <t>2873 B</t>
  </si>
  <si>
    <t>2874 B</t>
  </si>
  <si>
    <t>2879 B</t>
  </si>
  <si>
    <t>3015 B</t>
  </si>
  <si>
    <t>3016 B</t>
  </si>
  <si>
    <t>3017 B</t>
  </si>
  <si>
    <t>3018 B</t>
  </si>
  <si>
    <t>3019 B</t>
  </si>
  <si>
    <t>3020 B</t>
  </si>
  <si>
    <t>del   01    al   07 FEBRERO   2016</t>
  </si>
  <si>
    <t>3013 B</t>
  </si>
  <si>
    <t>3014 B</t>
  </si>
  <si>
    <t>3235 B</t>
  </si>
  <si>
    <t>3237 B</t>
  </si>
  <si>
    <t>3238 B</t>
  </si>
  <si>
    <t>3239 B</t>
  </si>
  <si>
    <t>3240 B</t>
  </si>
  <si>
    <t>3241 B</t>
  </si>
  <si>
    <t>3242 B</t>
  </si>
  <si>
    <t>3243 B</t>
  </si>
  <si>
    <t>CARNICERIA SANTA ANA</t>
  </si>
  <si>
    <t>3244 B</t>
  </si>
  <si>
    <t>3396 B</t>
  </si>
  <si>
    <t>CARNICERIA HUGO´S</t>
  </si>
  <si>
    <t>3397 B</t>
  </si>
  <si>
    <t>3398 B</t>
  </si>
  <si>
    <t>3399 B</t>
  </si>
  <si>
    <t>3400 B</t>
  </si>
  <si>
    <t>3401 B</t>
  </si>
  <si>
    <t>3405 B</t>
  </si>
  <si>
    <t>3518 B</t>
  </si>
  <si>
    <t>3519 B</t>
  </si>
  <si>
    <t>3520 B</t>
  </si>
  <si>
    <t>3521 B</t>
  </si>
  <si>
    <t>3522 B</t>
  </si>
  <si>
    <t>3523 B</t>
  </si>
  <si>
    <t>3524 B</t>
  </si>
  <si>
    <t>3525 B</t>
  </si>
  <si>
    <t>3526 B</t>
  </si>
  <si>
    <t>3527 B</t>
  </si>
  <si>
    <t>3629 B</t>
  </si>
  <si>
    <t>3631 B</t>
  </si>
  <si>
    <t>3634 B</t>
  </si>
  <si>
    <t>3635 B</t>
  </si>
  <si>
    <t>3672 B</t>
  </si>
  <si>
    <t>3779 B</t>
  </si>
  <si>
    <t>3782 B</t>
  </si>
  <si>
    <t>3783 B</t>
  </si>
  <si>
    <t>3784 B</t>
  </si>
  <si>
    <t>3785 B</t>
  </si>
  <si>
    <t>3786 B</t>
  </si>
  <si>
    <t>3787 B</t>
  </si>
  <si>
    <t>3788 B</t>
  </si>
  <si>
    <t>3790 B</t>
  </si>
  <si>
    <t>3924 B</t>
  </si>
  <si>
    <t>3925 B</t>
  </si>
  <si>
    <t>3927 B</t>
  </si>
  <si>
    <t>3928 B</t>
  </si>
  <si>
    <t>3932 B</t>
  </si>
  <si>
    <t>3933 B</t>
  </si>
  <si>
    <t>3934 B</t>
  </si>
  <si>
    <t>4079 B</t>
  </si>
  <si>
    <t>del   08    al   13     FEBRERO   2016</t>
  </si>
  <si>
    <t>PACO DIA Z</t>
  </si>
  <si>
    <t xml:space="preserve"> </t>
  </si>
  <si>
    <t>del   15    al   20     FEBRERO   2016</t>
  </si>
  <si>
    <t>3630 B</t>
  </si>
  <si>
    <t>4521 B</t>
  </si>
  <si>
    <t>4523 B</t>
  </si>
  <si>
    <t>4524 B</t>
  </si>
  <si>
    <t>4778 B</t>
  </si>
  <si>
    <t>5000 B</t>
  </si>
  <si>
    <t>5001 B</t>
  </si>
  <si>
    <t>5003 B</t>
  </si>
  <si>
    <t>5004 B</t>
  </si>
  <si>
    <t>5006 B</t>
  </si>
  <si>
    <t>5007 B</t>
  </si>
  <si>
    <t>5009 B</t>
  </si>
  <si>
    <t>5022 B</t>
  </si>
  <si>
    <t>5023 B</t>
  </si>
  <si>
    <t>5153 B</t>
  </si>
  <si>
    <t>5154 B</t>
  </si>
  <si>
    <t>5155 B</t>
  </si>
  <si>
    <t>5156 B</t>
  </si>
  <si>
    <t>5157 B</t>
  </si>
  <si>
    <t>5253 B</t>
  </si>
  <si>
    <t>5256 B</t>
  </si>
  <si>
    <t>5257 B</t>
  </si>
  <si>
    <t>5258 B</t>
  </si>
  <si>
    <t>5378 B</t>
  </si>
  <si>
    <t>5379 B</t>
  </si>
  <si>
    <t>5380 B</t>
  </si>
  <si>
    <t>5382 B</t>
  </si>
  <si>
    <t>5383 b</t>
  </si>
  <si>
    <t>5384 B</t>
  </si>
  <si>
    <t>5385 B</t>
  </si>
  <si>
    <t>5429 B</t>
  </si>
  <si>
    <t>5518 B</t>
  </si>
  <si>
    <t>5521 B</t>
  </si>
  <si>
    <t>5522 B</t>
  </si>
  <si>
    <t>5523 B</t>
  </si>
  <si>
    <t>5524 B</t>
  </si>
  <si>
    <t>5525 B</t>
  </si>
  <si>
    <t>5526 B</t>
  </si>
  <si>
    <t>5655 B</t>
  </si>
  <si>
    <t>5656 B</t>
  </si>
  <si>
    <t>5657 B</t>
  </si>
  <si>
    <t>5658 B</t>
  </si>
  <si>
    <t>5659 B</t>
  </si>
  <si>
    <t>5660 B</t>
  </si>
  <si>
    <t>5661 B</t>
  </si>
  <si>
    <t>5662 B</t>
  </si>
  <si>
    <t>del   21    al   27     FEBRERO   2016</t>
  </si>
  <si>
    <t xml:space="preserve">CARNICERIA SANTA Ana </t>
  </si>
  <si>
    <t>del  29 FEBRERO    al   05 MARZO    2016</t>
  </si>
  <si>
    <t>del  07    al   13   MARZO    2016</t>
  </si>
  <si>
    <t>CHINOS TLAXCALA</t>
  </si>
  <si>
    <t>CHEMA</t>
  </si>
  <si>
    <t>del  14    al   20   MARZO    2016</t>
  </si>
  <si>
    <t>CARNES SELECTAs</t>
  </si>
  <si>
    <t>del  21    al   27  MARZO    2016</t>
  </si>
  <si>
    <t>del  28    al   03  ABRIL     2016</t>
  </si>
  <si>
    <t xml:space="preserve">RAUL </t>
  </si>
  <si>
    <t xml:space="preserve">JULIO </t>
  </si>
  <si>
    <t>del  04    al   09   ABRIL     2016</t>
  </si>
  <si>
    <t>LA SELECTA</t>
  </si>
  <si>
    <t>del  11    al   16   ABRIL     2016</t>
  </si>
  <si>
    <t>CARNES  SELECTAS</t>
  </si>
  <si>
    <t>del  18    al   23   ABRIL     2016</t>
  </si>
  <si>
    <t>JAVIR</t>
  </si>
  <si>
    <t>CARNICEERIA HUGO´S</t>
  </si>
  <si>
    <t>del  25    al  30  ABRIL      2016</t>
  </si>
  <si>
    <t>del  02    al  07 MAYO       2016</t>
  </si>
  <si>
    <t>CARNICERIA  BARBIE</t>
  </si>
  <si>
    <t>del  09    al  14 MAYO       2016</t>
  </si>
  <si>
    <t>CARNICERIA BARB IE</t>
  </si>
  <si>
    <t xml:space="preserve">CARNICERIA HUGOS </t>
  </si>
  <si>
    <t>del  16    al  21    MAYO       2016</t>
  </si>
  <si>
    <t>CARNES HUGO´S</t>
  </si>
  <si>
    <t>del  23    al  28    MAYO       2016</t>
  </si>
  <si>
    <t xml:space="preserve">CARNES DE PAQUETE </t>
  </si>
  <si>
    <t>del  30    al  04    JUNIO        2016</t>
  </si>
  <si>
    <t>ANTICIPO</t>
  </si>
  <si>
    <t>del  06    al  11   JUNIO        2016</t>
  </si>
  <si>
    <t>PACO TREVIÑO</t>
  </si>
  <si>
    <t>CARNICERIA SELECTAS</t>
  </si>
  <si>
    <t>del  13   al  18   JUNIO        2016</t>
  </si>
  <si>
    <t xml:space="preserve">LA UNION </t>
  </si>
  <si>
    <t>del  20   al  25   JUNIO        2016</t>
  </si>
  <si>
    <t>VENTA MOSTRADOR</t>
  </si>
  <si>
    <t>del  27   al     02    JULIO        2016</t>
  </si>
  <si>
    <t>JULIIO</t>
  </si>
  <si>
    <t>del  04   al     09    JULIO        2016</t>
  </si>
  <si>
    <t>del  11   al     16    JULIO        2016</t>
  </si>
  <si>
    <t>NO DIO ABONO EQUINOX</t>
  </si>
  <si>
    <t>del  18   al     23    JULIO        2016</t>
  </si>
  <si>
    <t>del  25   al     30    JULIO        2016</t>
  </si>
  <si>
    <t>del  01   al     06  AGOSTO         2016</t>
  </si>
  <si>
    <t xml:space="preserve">CASRNICERIA SANTA ANA </t>
  </si>
  <si>
    <t>del  08   al     13  AGOSTO         2016</t>
  </si>
  <si>
    <t>del  15   al    20 AGOSTO         2016</t>
  </si>
  <si>
    <t>del  22   al    27    AGOSTO         2016</t>
  </si>
  <si>
    <t>CARNICEREIA HUGOS</t>
  </si>
  <si>
    <t>del  29   al    03  SEPTIEMBRE          2016</t>
  </si>
  <si>
    <t>del  05   al    10  SEPTIEMBRE          2016</t>
  </si>
  <si>
    <t xml:space="preserve">CARNICERIA BARBIE </t>
  </si>
  <si>
    <t>del  12   al    17  SEPTIEMBRE          2016</t>
  </si>
  <si>
    <t>del  19   al    24  SEPTIEMBRE          2016</t>
  </si>
  <si>
    <t>del  26   al   01  OCTUBRE          2016</t>
  </si>
  <si>
    <t>VENTA DE MOSTRADOR</t>
  </si>
  <si>
    <t>del  03   al    08    OCTUBRE          2016</t>
  </si>
  <si>
    <t>CARNEZ SIZ</t>
  </si>
  <si>
    <t>CARNES DIAA</t>
  </si>
  <si>
    <t>del  10   al    15    OCTUBRE          2016</t>
  </si>
  <si>
    <t xml:space="preserve">CARNICEERIA SANTA ANA </t>
  </si>
  <si>
    <t xml:space="preserve">CARNCIERIA HUGOS </t>
  </si>
  <si>
    <t>JAVIER ROCHA</t>
  </si>
  <si>
    <t>del  17   al    22    OCTUBRE          2016</t>
  </si>
  <si>
    <t>SELECTAS</t>
  </si>
  <si>
    <t>del  24   al    29    OCTUBRE          2016</t>
  </si>
  <si>
    <t>del  31   al    05 NOVIEMBRE           2016</t>
  </si>
  <si>
    <t>CARNICERIA DIAZ</t>
  </si>
  <si>
    <t>CARNEZ DIAZ</t>
  </si>
  <si>
    <t>del  07   al    12 NOVIEMBRE           2016</t>
  </si>
  <si>
    <t>CARNICERIA SANTA Ana</t>
  </si>
  <si>
    <t>VENTA DE CAMIONETA EQUINOX  A FELIX SANCHEZ</t>
  </si>
  <si>
    <t>IMPORTE</t>
  </si>
  <si>
    <t>SALDO</t>
  </si>
  <si>
    <t>del  14   al    19    NOVIEMBRE           2016</t>
  </si>
  <si>
    <t>del  21   al    26    NOVIEMBRE           2016</t>
  </si>
  <si>
    <t xml:space="preserve">CARNICEIRA SANTA ANA </t>
  </si>
  <si>
    <t>del  28  al       03   DICIEMBRE            2016</t>
  </si>
  <si>
    <t>del  05  al       10   DICIEMBRE            2016</t>
  </si>
  <si>
    <t>del  12  al       17   DICIEMBRE            2016</t>
  </si>
  <si>
    <t>CARNICERIA Santa ANA</t>
  </si>
  <si>
    <t>EQUINOX</t>
  </si>
  <si>
    <t>del  19  al       24   DICIEMBRE            2016</t>
  </si>
  <si>
    <t>del  26    al       31   DICIEMBRE            2016</t>
  </si>
  <si>
    <t xml:space="preserve">VALE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</si>
</sst>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C0A]d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44" fontId="0" fillId="0" borderId="0" xfId="1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4" fontId="2" fillId="2" borderId="0" xfId="1" applyFont="1" applyFill="1"/>
    <xf numFmtId="0" fontId="0" fillId="2" borderId="0" xfId="0" applyFill="1"/>
    <xf numFmtId="164" fontId="2" fillId="0" borderId="5" xfId="0" applyNumberFormat="1" applyFont="1" applyFill="1" applyBorder="1"/>
    <xf numFmtId="0" fontId="3" fillId="0" borderId="5" xfId="0" applyFont="1" applyFill="1" applyBorder="1" applyAlignment="1">
      <alignment horizontal="center"/>
    </xf>
    <xf numFmtId="0" fontId="2" fillId="0" borderId="5" xfId="0" applyFont="1" applyFill="1" applyBorder="1"/>
    <xf numFmtId="2" fontId="2" fillId="0" borderId="5" xfId="0" applyNumberFormat="1" applyFont="1" applyFill="1" applyBorder="1"/>
    <xf numFmtId="44" fontId="0" fillId="0" borderId="0" xfId="1" applyFont="1" applyFill="1"/>
    <xf numFmtId="164" fontId="2" fillId="0" borderId="6" xfId="0" applyNumberFormat="1" applyFont="1" applyFill="1" applyBorder="1"/>
    <xf numFmtId="0" fontId="3" fillId="0" borderId="6" xfId="0" applyFont="1" applyFill="1" applyBorder="1" applyAlignment="1">
      <alignment horizontal="center"/>
    </xf>
    <xf numFmtId="0" fontId="2" fillId="0" borderId="6" xfId="0" applyFont="1" applyFill="1" applyBorder="1"/>
    <xf numFmtId="2" fontId="2" fillId="0" borderId="6" xfId="0" applyNumberFormat="1" applyFont="1" applyFill="1" applyBorder="1"/>
    <xf numFmtId="16" fontId="0" fillId="0" borderId="0" xfId="0" applyNumberFormat="1"/>
    <xf numFmtId="0" fontId="2" fillId="0" borderId="6" xfId="0" applyFont="1" applyFill="1" applyBorder="1" applyAlignment="1">
      <alignment horizontal="center"/>
    </xf>
    <xf numFmtId="14" fontId="0" fillId="0" borderId="0" xfId="0" applyNumberFormat="1"/>
    <xf numFmtId="164" fontId="0" fillId="0" borderId="7" xfId="0" applyNumberFormat="1" applyBorder="1"/>
    <xf numFmtId="0" fontId="0" fillId="0" borderId="7" xfId="0" applyBorder="1" applyAlignment="1">
      <alignment horizontal="center"/>
    </xf>
    <xf numFmtId="0" fontId="0" fillId="0" borderId="7" xfId="0" applyBorder="1"/>
    <xf numFmtId="44" fontId="0" fillId="0" borderId="8" xfId="1" applyFont="1" applyBorder="1"/>
    <xf numFmtId="44" fontId="2" fillId="0" borderId="9" xfId="1" applyFont="1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4" fillId="0" borderId="10" xfId="0" applyFont="1" applyFill="1" applyBorder="1" applyAlignment="1">
      <alignment horizontal="right"/>
    </xf>
    <xf numFmtId="2" fontId="4" fillId="0" borderId="9" xfId="0" applyNumberFormat="1" applyFont="1" applyBorder="1"/>
    <xf numFmtId="44" fontId="0" fillId="0" borderId="0" xfId="0" applyNumberFormat="1"/>
    <xf numFmtId="0" fontId="0" fillId="0" borderId="0" xfId="0" applyBorder="1"/>
    <xf numFmtId="2" fontId="0" fillId="0" borderId="0" xfId="0" applyNumberFormat="1" applyBorder="1"/>
    <xf numFmtId="164" fontId="4" fillId="0" borderId="0" xfId="0" applyNumberFormat="1" applyFont="1"/>
    <xf numFmtId="0" fontId="2" fillId="0" borderId="0" xfId="0" applyFont="1" applyAlignment="1">
      <alignment horizontal="center"/>
    </xf>
    <xf numFmtId="44" fontId="5" fillId="2" borderId="0" xfId="1" applyFont="1" applyFill="1"/>
    <xf numFmtId="0" fontId="0" fillId="0" borderId="0" xfId="0" applyAlignment="1">
      <alignment horizontal="center"/>
    </xf>
    <xf numFmtId="44" fontId="4" fillId="0" borderId="11" xfId="1" applyFont="1" applyBorder="1"/>
    <xf numFmtId="0" fontId="0" fillId="0" borderId="11" xfId="0" applyBorder="1"/>
    <xf numFmtId="0" fontId="0" fillId="0" borderId="0" xfId="0" applyFill="1"/>
    <xf numFmtId="44" fontId="2" fillId="0" borderId="0" xfId="1" applyFont="1" applyFill="1"/>
    <xf numFmtId="0" fontId="3" fillId="0" borderId="0" xfId="0" applyFont="1" applyAlignment="1">
      <alignment horizontal="right"/>
    </xf>
    <xf numFmtId="44" fontId="6" fillId="2" borderId="0" xfId="1" applyFont="1" applyFill="1"/>
    <xf numFmtId="16" fontId="3" fillId="0" borderId="6" xfId="0" applyNumberFormat="1" applyFont="1" applyFill="1" applyBorder="1" applyAlignment="1">
      <alignment horizontal="center"/>
    </xf>
    <xf numFmtId="1" fontId="3" fillId="0" borderId="6" xfId="0" applyNumberFormat="1" applyFont="1" applyFill="1" applyBorder="1" applyAlignment="1">
      <alignment horizontal="center"/>
    </xf>
    <xf numFmtId="44" fontId="0" fillId="2" borderId="0" xfId="1" applyFont="1" applyFill="1"/>
    <xf numFmtId="44" fontId="0" fillId="4" borderId="0" xfId="1" applyFont="1" applyFill="1"/>
    <xf numFmtId="0" fontId="3" fillId="0" borderId="0" xfId="0" applyFont="1" applyAlignment="1">
      <alignment horizontal="center"/>
    </xf>
    <xf numFmtId="164" fontId="2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2" fontId="2" fillId="0" borderId="0" xfId="0" applyNumberFormat="1" applyFont="1" applyFill="1" applyBorder="1"/>
    <xf numFmtId="44" fontId="0" fillId="0" borderId="0" xfId="1" applyFont="1" applyFill="1" applyBorder="1"/>
    <xf numFmtId="44" fontId="0" fillId="0" borderId="0" xfId="1" applyFont="1" applyBorder="1"/>
    <xf numFmtId="0" fontId="2" fillId="0" borderId="6" xfId="0" applyFont="1" applyFill="1" applyBorder="1" applyAlignment="1">
      <alignment horizontal="right"/>
    </xf>
    <xf numFmtId="16" fontId="2" fillId="0" borderId="0" xfId="0" applyNumberFormat="1" applyFont="1"/>
    <xf numFmtId="2" fontId="2" fillId="0" borderId="6" xfId="0" applyNumberFormat="1" applyFont="1" applyFill="1" applyBorder="1" applyAlignment="1">
      <alignment horizontal="right"/>
    </xf>
    <xf numFmtId="164" fontId="2" fillId="0" borderId="7" xfId="0" applyNumberFormat="1" applyFont="1" applyFill="1" applyBorder="1"/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/>
    <xf numFmtId="2" fontId="2" fillId="0" borderId="8" xfId="0" applyNumberFormat="1" applyFont="1" applyFill="1" applyBorder="1"/>
    <xf numFmtId="16" fontId="3" fillId="5" borderId="0" xfId="0" applyNumberFormat="1" applyFont="1" applyFill="1" applyAlignment="1">
      <alignment horizontal="center"/>
    </xf>
    <xf numFmtId="16" fontId="3" fillId="0" borderId="0" xfId="0" applyNumberFormat="1" applyFont="1" applyFill="1" applyAlignment="1">
      <alignment horizontal="center"/>
    </xf>
    <xf numFmtId="164" fontId="2" fillId="6" borderId="6" xfId="0" applyNumberFormat="1" applyFont="1" applyFill="1" applyBorder="1"/>
    <xf numFmtId="0" fontId="3" fillId="6" borderId="6" xfId="0" applyFont="1" applyFill="1" applyBorder="1" applyAlignment="1">
      <alignment horizontal="center"/>
    </xf>
    <xf numFmtId="0" fontId="2" fillId="6" borderId="6" xfId="0" applyFont="1" applyFill="1" applyBorder="1"/>
    <xf numFmtId="0" fontId="3" fillId="0" borderId="0" xfId="0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4" fontId="3" fillId="0" borderId="11" xfId="1" applyFont="1" applyBorder="1" applyAlignment="1">
      <alignment horizontal="center"/>
    </xf>
    <xf numFmtId="44" fontId="3" fillId="0" borderId="0" xfId="1" applyFont="1"/>
    <xf numFmtId="44" fontId="2" fillId="0" borderId="0" xfId="1" applyFont="1"/>
    <xf numFmtId="0" fontId="2" fillId="0" borderId="0" xfId="0" applyFont="1"/>
    <xf numFmtId="44" fontId="2" fillId="0" borderId="11" xfId="1" applyFont="1" applyBorder="1"/>
    <xf numFmtId="16" fontId="0" fillId="0" borderId="11" xfId="0" applyNumberFormat="1" applyBorder="1"/>
    <xf numFmtId="0" fontId="3" fillId="7" borderId="13" xfId="0" applyFont="1" applyFill="1" applyBorder="1" applyAlignment="1">
      <alignment horizontal="center"/>
    </xf>
    <xf numFmtId="44" fontId="4" fillId="7" borderId="13" xfId="1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44" fontId="4" fillId="7" borderId="14" xfId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4" fontId="5" fillId="3" borderId="2" xfId="1" applyFont="1" applyFill="1" applyBorder="1" applyAlignment="1">
      <alignment horizontal="center"/>
    </xf>
    <xf numFmtId="44" fontId="5" fillId="3" borderId="4" xfId="1" applyFont="1" applyFill="1" applyBorder="1" applyAlignment="1">
      <alignment horizontal="center"/>
    </xf>
    <xf numFmtId="44" fontId="4" fillId="0" borderId="11" xfId="1" applyFont="1" applyBorder="1" applyAlignment="1">
      <alignment horizontal="center"/>
    </xf>
    <xf numFmtId="44" fontId="5" fillId="0" borderId="12" xfId="1" applyFont="1" applyBorder="1" applyAlignment="1">
      <alignment horizontal="center"/>
    </xf>
    <xf numFmtId="44" fontId="5" fillId="0" borderId="0" xfId="1" applyFont="1" applyAlignment="1">
      <alignment horizontal="center"/>
    </xf>
    <xf numFmtId="44" fontId="3" fillId="0" borderId="11" xfId="1" applyFont="1" applyBorder="1" applyAlignment="1">
      <alignment horizontal="center"/>
    </xf>
    <xf numFmtId="44" fontId="9" fillId="0" borderId="12" xfId="1" applyFont="1" applyBorder="1" applyAlignment="1">
      <alignment horizontal="center"/>
    </xf>
    <xf numFmtId="44" fontId="9" fillId="0" borderId="1" xfId="1" applyFont="1" applyBorder="1" applyAlignment="1">
      <alignment horizontal="center"/>
    </xf>
    <xf numFmtId="44" fontId="5" fillId="0" borderId="1" xfId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31" workbookViewId="0">
      <selection activeCell="B58" sqref="B58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11" max="11" width="11.42578125" style="3"/>
  </cols>
  <sheetData>
    <row r="1" spans="2:11" ht="19.5" thickBot="1" x14ac:dyDescent="0.35">
      <c r="B1" s="84">
        <v>42382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7" t="s">
        <v>19</v>
      </c>
      <c r="G2" s="8"/>
      <c r="K2"/>
    </row>
    <row r="3" spans="2:11" ht="15.75" x14ac:dyDescent="0.25">
      <c r="B3" s="9">
        <v>42368</v>
      </c>
      <c r="C3" s="10">
        <v>23828</v>
      </c>
      <c r="D3" s="11" t="s">
        <v>11</v>
      </c>
      <c r="E3" s="12">
        <v>110.18</v>
      </c>
      <c r="F3" s="13">
        <v>5178.46</v>
      </c>
      <c r="K3"/>
    </row>
    <row r="4" spans="2:11" ht="15.75" x14ac:dyDescent="0.25">
      <c r="B4" s="14">
        <v>20089</v>
      </c>
      <c r="C4" s="15">
        <v>23921</v>
      </c>
      <c r="D4" s="16" t="s">
        <v>11</v>
      </c>
      <c r="E4" s="17">
        <f>51.9+138.8</f>
        <v>190.70000000000002</v>
      </c>
      <c r="F4" s="13">
        <v>8212.4</v>
      </c>
      <c r="K4"/>
    </row>
    <row r="5" spans="2:11" ht="15.75" x14ac:dyDescent="0.25">
      <c r="B5" s="14">
        <v>42373</v>
      </c>
      <c r="C5" s="15">
        <v>24352</v>
      </c>
      <c r="D5" s="16" t="s">
        <v>14</v>
      </c>
      <c r="E5" s="17">
        <f>65+336</f>
        <v>401</v>
      </c>
      <c r="F5" s="13">
        <v>13244</v>
      </c>
      <c r="K5"/>
    </row>
    <row r="6" spans="2:11" ht="15.75" x14ac:dyDescent="0.25">
      <c r="B6" s="14">
        <v>42373</v>
      </c>
      <c r="C6" s="15">
        <v>24353</v>
      </c>
      <c r="D6" s="16" t="s">
        <v>7</v>
      </c>
      <c r="E6" s="17">
        <v>736</v>
      </c>
      <c r="F6" s="13">
        <v>2502.4</v>
      </c>
      <c r="K6" s="3">
        <f t="shared" ref="K6:K18" si="0">J6*I6</f>
        <v>0</v>
      </c>
    </row>
    <row r="7" spans="2:11" ht="15.75" x14ac:dyDescent="0.25">
      <c r="B7" s="14">
        <v>42373</v>
      </c>
      <c r="C7" s="15">
        <v>24354</v>
      </c>
      <c r="D7" s="16" t="s">
        <v>11</v>
      </c>
      <c r="E7" s="17">
        <f>24.8+84.6</f>
        <v>109.39999999999999</v>
      </c>
      <c r="F7" s="13">
        <v>4042</v>
      </c>
      <c r="K7" s="3">
        <f t="shared" si="0"/>
        <v>0</v>
      </c>
    </row>
    <row r="8" spans="2:11" ht="15.75" x14ac:dyDescent="0.25">
      <c r="B8" s="14">
        <v>42373</v>
      </c>
      <c r="C8" s="15">
        <v>24355</v>
      </c>
      <c r="D8" s="16" t="s">
        <v>13</v>
      </c>
      <c r="E8" s="17">
        <f>36.6+43.8+13.6+73.2</f>
        <v>167.2</v>
      </c>
      <c r="F8" s="13">
        <v>5231.6000000000004</v>
      </c>
      <c r="K8" s="3">
        <f t="shared" si="0"/>
        <v>0</v>
      </c>
    </row>
    <row r="9" spans="2:11" ht="15.75" x14ac:dyDescent="0.25">
      <c r="B9" s="14">
        <v>42373</v>
      </c>
      <c r="C9" s="15">
        <v>24356</v>
      </c>
      <c r="D9" s="16" t="s">
        <v>20</v>
      </c>
      <c r="E9" s="17">
        <f>20.5+711</f>
        <v>731.5</v>
      </c>
      <c r="F9" s="13">
        <v>24584</v>
      </c>
      <c r="K9" s="3">
        <f t="shared" si="0"/>
        <v>0</v>
      </c>
    </row>
    <row r="10" spans="2:11" ht="15.75" x14ac:dyDescent="0.25">
      <c r="B10" s="14">
        <v>42373</v>
      </c>
      <c r="C10" s="15">
        <v>24358</v>
      </c>
      <c r="D10" s="16" t="s">
        <v>9</v>
      </c>
      <c r="E10" s="17">
        <v>736.2</v>
      </c>
      <c r="F10" s="13">
        <v>25030.799999999999</v>
      </c>
      <c r="K10" s="3">
        <f t="shared" si="0"/>
        <v>0</v>
      </c>
    </row>
    <row r="11" spans="2:11" ht="15.75" x14ac:dyDescent="0.25">
      <c r="B11" s="14">
        <v>42373</v>
      </c>
      <c r="C11" s="15">
        <v>24359</v>
      </c>
      <c r="D11" s="16" t="s">
        <v>7</v>
      </c>
      <c r="E11" s="17">
        <v>113.8</v>
      </c>
      <c r="F11" s="13">
        <v>4779.6000000000004</v>
      </c>
      <c r="K11" s="3">
        <f t="shared" si="0"/>
        <v>0</v>
      </c>
    </row>
    <row r="12" spans="2:11" ht="15.75" x14ac:dyDescent="0.25">
      <c r="B12" s="14">
        <v>42373</v>
      </c>
      <c r="C12" s="15">
        <v>24360</v>
      </c>
      <c r="D12" s="16" t="s">
        <v>20</v>
      </c>
      <c r="E12" s="17">
        <v>145.19999999999999</v>
      </c>
      <c r="F12" s="13">
        <v>6098.4</v>
      </c>
      <c r="K12" s="3">
        <f t="shared" si="0"/>
        <v>0</v>
      </c>
    </row>
    <row r="13" spans="2:11" ht="15.75" x14ac:dyDescent="0.25">
      <c r="B13" s="14">
        <v>42373</v>
      </c>
      <c r="C13" s="15">
        <v>24361</v>
      </c>
      <c r="D13" s="16" t="s">
        <v>10</v>
      </c>
      <c r="E13" s="17">
        <f>19.4+104.4</f>
        <v>123.80000000000001</v>
      </c>
      <c r="F13" s="13">
        <v>5314.2</v>
      </c>
      <c r="K13" s="3">
        <f t="shared" si="0"/>
        <v>0</v>
      </c>
    </row>
    <row r="14" spans="2:11" ht="15.75" x14ac:dyDescent="0.25">
      <c r="B14" s="14">
        <v>42373</v>
      </c>
      <c r="C14" s="15">
        <v>24362</v>
      </c>
      <c r="D14" s="16" t="s">
        <v>6</v>
      </c>
      <c r="E14" s="17">
        <v>26.4</v>
      </c>
      <c r="F14" s="13">
        <v>1161.5999999999999</v>
      </c>
      <c r="K14" s="3">
        <f t="shared" si="0"/>
        <v>0</v>
      </c>
    </row>
    <row r="15" spans="2:11" ht="15.75" x14ac:dyDescent="0.25">
      <c r="B15" s="14">
        <v>42374</v>
      </c>
      <c r="C15" s="15">
        <v>24512</v>
      </c>
      <c r="D15" s="16" t="s">
        <v>14</v>
      </c>
      <c r="E15" s="17">
        <v>264.8</v>
      </c>
      <c r="F15" s="13">
        <v>9003.2000000000007</v>
      </c>
      <c r="K15" s="3">
        <f t="shared" si="0"/>
        <v>0</v>
      </c>
    </row>
    <row r="16" spans="2:11" ht="15.75" x14ac:dyDescent="0.25">
      <c r="B16" s="14">
        <v>42374</v>
      </c>
      <c r="C16" s="15">
        <v>24513</v>
      </c>
      <c r="D16" s="16" t="s">
        <v>7</v>
      </c>
      <c r="E16" s="17">
        <v>70.2</v>
      </c>
      <c r="F16" s="13">
        <v>2386.8000000000002</v>
      </c>
      <c r="K16" s="3">
        <f t="shared" si="0"/>
        <v>0</v>
      </c>
    </row>
    <row r="17" spans="1:11" ht="15.75" x14ac:dyDescent="0.25">
      <c r="B17" s="14">
        <v>42374</v>
      </c>
      <c r="C17" s="15">
        <v>24515</v>
      </c>
      <c r="D17" s="16" t="s">
        <v>6</v>
      </c>
      <c r="E17" s="17">
        <v>163.19999999999999</v>
      </c>
      <c r="F17" s="13">
        <v>5208.8</v>
      </c>
      <c r="K17" s="3">
        <f t="shared" si="0"/>
        <v>0</v>
      </c>
    </row>
    <row r="18" spans="1:11" ht="15.75" x14ac:dyDescent="0.25">
      <c r="B18" s="14">
        <v>42374</v>
      </c>
      <c r="C18" s="15">
        <v>24516</v>
      </c>
      <c r="D18" s="16" t="s">
        <v>6</v>
      </c>
      <c r="E18" s="17">
        <v>57.6</v>
      </c>
      <c r="F18" s="13">
        <v>2419.25</v>
      </c>
      <c r="K18" s="3">
        <f t="shared" si="0"/>
        <v>0</v>
      </c>
    </row>
    <row r="19" spans="1:11" ht="15.75" x14ac:dyDescent="0.25">
      <c r="B19" s="14">
        <v>42374</v>
      </c>
      <c r="C19" s="15">
        <v>24518</v>
      </c>
      <c r="D19" s="16" t="s">
        <v>20</v>
      </c>
      <c r="E19" s="17">
        <f>662.3+54.48</f>
        <v>716.78</v>
      </c>
      <c r="F19" s="13">
        <v>25242.2</v>
      </c>
      <c r="K19" s="3">
        <f>SUM(K6:K18)</f>
        <v>0</v>
      </c>
    </row>
    <row r="20" spans="1:11" ht="15.75" x14ac:dyDescent="0.25">
      <c r="B20" s="14">
        <v>42374</v>
      </c>
      <c r="C20" s="15">
        <v>24519</v>
      </c>
      <c r="D20" s="16" t="s">
        <v>10</v>
      </c>
      <c r="E20" s="17">
        <f>324.2+279.7</f>
        <v>603.9</v>
      </c>
      <c r="F20" s="13">
        <v>22770.2</v>
      </c>
    </row>
    <row r="21" spans="1:11" ht="15.75" x14ac:dyDescent="0.25">
      <c r="B21" s="14">
        <v>42374</v>
      </c>
      <c r="C21" s="15">
        <v>24520</v>
      </c>
      <c r="D21" s="16" t="s">
        <v>13</v>
      </c>
      <c r="E21" s="17">
        <f>937.1+54.48+37.4</f>
        <v>1028.98</v>
      </c>
      <c r="F21" s="13">
        <v>29070.799999999999</v>
      </c>
    </row>
    <row r="22" spans="1:11" ht="15.75" x14ac:dyDescent="0.25">
      <c r="A22" s="18"/>
      <c r="B22" s="14">
        <v>42374</v>
      </c>
      <c r="C22" s="15">
        <v>24521</v>
      </c>
      <c r="D22" s="16" t="s">
        <v>12</v>
      </c>
      <c r="E22" s="17">
        <v>349</v>
      </c>
      <c r="F22" s="13">
        <v>9772</v>
      </c>
    </row>
    <row r="23" spans="1:11" ht="15.75" x14ac:dyDescent="0.25">
      <c r="B23" s="14">
        <v>42375</v>
      </c>
      <c r="C23" s="15">
        <v>24641</v>
      </c>
      <c r="D23" s="16" t="s">
        <v>8</v>
      </c>
      <c r="E23" s="17">
        <v>918.9</v>
      </c>
      <c r="F23" s="13">
        <v>24350.85</v>
      </c>
    </row>
    <row r="24" spans="1:11" x14ac:dyDescent="0.25">
      <c r="B24" s="14">
        <v>42375</v>
      </c>
      <c r="C24" s="19">
        <v>24642</v>
      </c>
      <c r="D24" s="16" t="s">
        <v>20</v>
      </c>
      <c r="E24" s="17">
        <f>27.24+27.24+737.6+134.2</f>
        <v>926.28</v>
      </c>
      <c r="F24" s="13">
        <v>36659.599999999999</v>
      </c>
    </row>
    <row r="25" spans="1:11" x14ac:dyDescent="0.25">
      <c r="B25" s="14">
        <v>42375</v>
      </c>
      <c r="C25" s="19">
        <v>24643</v>
      </c>
      <c r="D25" s="16" t="s">
        <v>10</v>
      </c>
      <c r="E25" s="17">
        <f>212.4+40.6+91.2</f>
        <v>344.2</v>
      </c>
      <c r="F25" s="13">
        <v>21281.4</v>
      </c>
    </row>
    <row r="26" spans="1:11" x14ac:dyDescent="0.25">
      <c r="B26" s="14">
        <v>42375</v>
      </c>
      <c r="C26" s="19">
        <v>24644</v>
      </c>
      <c r="D26" s="16" t="s">
        <v>11</v>
      </c>
      <c r="E26" s="17">
        <f>10.4+49.3+17.7</f>
        <v>77.399999999999991</v>
      </c>
      <c r="F26" s="13">
        <v>3201.8</v>
      </c>
    </row>
    <row r="27" spans="1:11" x14ac:dyDescent="0.25">
      <c r="B27" s="14">
        <v>42375</v>
      </c>
      <c r="C27" s="19">
        <v>24645</v>
      </c>
      <c r="D27" s="16" t="s">
        <v>9</v>
      </c>
      <c r="E27" s="17">
        <f>384.6+13.6+13.1</f>
        <v>411.30000000000007</v>
      </c>
      <c r="F27" s="13">
        <v>13855.2</v>
      </c>
    </row>
    <row r="28" spans="1:11" x14ac:dyDescent="0.25">
      <c r="B28" s="14">
        <v>42375</v>
      </c>
      <c r="C28" s="19">
        <v>24646</v>
      </c>
      <c r="D28" s="16" t="s">
        <v>14</v>
      </c>
      <c r="E28" s="17">
        <v>315.8</v>
      </c>
      <c r="F28" s="13">
        <v>10737.2</v>
      </c>
    </row>
    <row r="29" spans="1:11" x14ac:dyDescent="0.25">
      <c r="B29" s="14">
        <v>42375</v>
      </c>
      <c r="C29" s="19">
        <v>24647</v>
      </c>
      <c r="D29" s="16" t="s">
        <v>7</v>
      </c>
      <c r="E29" s="17">
        <v>73.400000000000006</v>
      </c>
      <c r="F29" s="13">
        <v>2495.6</v>
      </c>
    </row>
    <row r="30" spans="1:11" x14ac:dyDescent="0.25">
      <c r="B30" s="14">
        <v>42375</v>
      </c>
      <c r="C30" s="19">
        <v>24648</v>
      </c>
      <c r="D30" s="16" t="s">
        <v>6</v>
      </c>
      <c r="E30" s="17">
        <v>47</v>
      </c>
      <c r="F30" s="13">
        <v>1974</v>
      </c>
    </row>
    <row r="31" spans="1:11" x14ac:dyDescent="0.25">
      <c r="B31" s="14">
        <v>42376</v>
      </c>
      <c r="C31" s="19">
        <v>24796</v>
      </c>
      <c r="D31" s="16" t="s">
        <v>7</v>
      </c>
      <c r="E31" s="17">
        <f>32.5+27</f>
        <v>59.5</v>
      </c>
      <c r="F31" s="13">
        <v>2162.75</v>
      </c>
    </row>
    <row r="32" spans="1:11" x14ac:dyDescent="0.25">
      <c r="B32" s="14">
        <v>42376</v>
      </c>
      <c r="C32" s="19">
        <v>24797</v>
      </c>
      <c r="D32" s="16" t="s">
        <v>9</v>
      </c>
      <c r="E32" s="17">
        <f>155.8+376.8</f>
        <v>532.6</v>
      </c>
      <c r="F32" s="13">
        <v>17095.7</v>
      </c>
    </row>
    <row r="33" spans="1:11" ht="15.75" x14ac:dyDescent="0.25">
      <c r="B33" s="14">
        <v>42376</v>
      </c>
      <c r="C33" s="15">
        <v>24798</v>
      </c>
      <c r="D33" s="16" t="s">
        <v>6</v>
      </c>
      <c r="E33" s="17">
        <v>83.4</v>
      </c>
      <c r="F33" s="13">
        <v>2835.6</v>
      </c>
    </row>
    <row r="34" spans="1:11" x14ac:dyDescent="0.25">
      <c r="B34" s="14">
        <v>42376</v>
      </c>
      <c r="C34" s="19">
        <v>24799</v>
      </c>
      <c r="D34" s="16" t="s">
        <v>20</v>
      </c>
      <c r="E34" s="17">
        <f>118.4+248.8</f>
        <v>367.20000000000005</v>
      </c>
      <c r="F34" s="13">
        <v>10235.200000000001</v>
      </c>
      <c r="K34" s="3">
        <f t="shared" ref="K34:K40" si="1">J34*I34</f>
        <v>0</v>
      </c>
    </row>
    <row r="35" spans="1:11" x14ac:dyDescent="0.25">
      <c r="B35" s="14">
        <v>42376</v>
      </c>
      <c r="C35" s="19">
        <v>24800</v>
      </c>
      <c r="D35" s="16" t="s">
        <v>13</v>
      </c>
      <c r="E35" s="17">
        <f>970+83.8</f>
        <v>1053.8</v>
      </c>
      <c r="F35" s="13">
        <v>30146.400000000001</v>
      </c>
      <c r="K35" s="3">
        <f t="shared" si="1"/>
        <v>0</v>
      </c>
    </row>
    <row r="36" spans="1:11" x14ac:dyDescent="0.25">
      <c r="B36" s="14">
        <v>42376</v>
      </c>
      <c r="C36" s="19">
        <v>24801</v>
      </c>
      <c r="D36" s="16" t="s">
        <v>10</v>
      </c>
      <c r="E36" s="17">
        <v>55.2</v>
      </c>
      <c r="F36" s="13">
        <v>1518</v>
      </c>
      <c r="K36" s="3">
        <f t="shared" si="1"/>
        <v>0</v>
      </c>
    </row>
    <row r="37" spans="1:11" ht="15.75" x14ac:dyDescent="0.25">
      <c r="B37" s="14">
        <v>42376</v>
      </c>
      <c r="C37" s="15">
        <v>24802</v>
      </c>
      <c r="D37" s="16" t="s">
        <v>12</v>
      </c>
      <c r="E37" s="17">
        <v>112.8</v>
      </c>
      <c r="F37" s="13">
        <v>3102</v>
      </c>
      <c r="K37" s="3">
        <f t="shared" si="1"/>
        <v>0</v>
      </c>
    </row>
    <row r="38" spans="1:11" ht="15.75" x14ac:dyDescent="0.25">
      <c r="B38" s="14">
        <v>42377</v>
      </c>
      <c r="C38" s="15">
        <v>24930</v>
      </c>
      <c r="D38" s="16" t="s">
        <v>6</v>
      </c>
      <c r="E38" s="17">
        <f>86.6+47.4</f>
        <v>134</v>
      </c>
      <c r="F38" s="13">
        <v>4982.6000000000004</v>
      </c>
      <c r="K38" s="3">
        <f t="shared" si="1"/>
        <v>0</v>
      </c>
    </row>
    <row r="39" spans="1:11" ht="15.75" x14ac:dyDescent="0.25">
      <c r="B39" s="14">
        <v>42377</v>
      </c>
      <c r="C39" s="15">
        <v>24932</v>
      </c>
      <c r="D39" s="16" t="s">
        <v>10</v>
      </c>
      <c r="E39" s="17">
        <f>194.5+66.9+133.5</f>
        <v>394.9</v>
      </c>
      <c r="F39" s="13">
        <v>22126.9</v>
      </c>
      <c r="K39" s="3">
        <f t="shared" si="1"/>
        <v>0</v>
      </c>
    </row>
    <row r="40" spans="1:11" x14ac:dyDescent="0.25">
      <c r="B40" s="14">
        <v>42377</v>
      </c>
      <c r="C40" s="19">
        <v>24934</v>
      </c>
      <c r="D40" s="16" t="s">
        <v>7</v>
      </c>
      <c r="E40" s="17">
        <f>71.2+30.9</f>
        <v>102.1</v>
      </c>
      <c r="F40" s="13">
        <v>3270.55</v>
      </c>
      <c r="K40" s="3">
        <f t="shared" si="1"/>
        <v>0</v>
      </c>
    </row>
    <row r="41" spans="1:11" ht="15.75" x14ac:dyDescent="0.25">
      <c r="B41" s="14">
        <v>42377</v>
      </c>
      <c r="C41" s="15">
        <v>24937</v>
      </c>
      <c r="D41" s="16" t="s">
        <v>13</v>
      </c>
      <c r="E41" s="17">
        <v>938.9</v>
      </c>
      <c r="F41" s="13">
        <v>24880.85</v>
      </c>
      <c r="K41" s="3">
        <f>J41*I41</f>
        <v>0</v>
      </c>
    </row>
    <row r="42" spans="1:11" ht="15.75" x14ac:dyDescent="0.25">
      <c r="B42" s="14">
        <v>42377</v>
      </c>
      <c r="C42" s="15">
        <v>24938</v>
      </c>
      <c r="D42" s="16" t="s">
        <v>14</v>
      </c>
      <c r="E42" s="17">
        <v>217.4</v>
      </c>
      <c r="F42" s="13">
        <v>7391.6</v>
      </c>
      <c r="K42" s="3">
        <f t="shared" ref="K42:K55" si="2">J42*I42</f>
        <v>0</v>
      </c>
    </row>
    <row r="43" spans="1:11" x14ac:dyDescent="0.25">
      <c r="B43" s="14">
        <v>42377</v>
      </c>
      <c r="C43" s="19">
        <v>24939</v>
      </c>
      <c r="D43" s="16" t="s">
        <v>9</v>
      </c>
      <c r="E43" s="17">
        <f>365.1+13.61+67.3</f>
        <v>446.01000000000005</v>
      </c>
      <c r="F43" s="13">
        <v>14276.58</v>
      </c>
      <c r="K43" s="3">
        <f t="shared" si="2"/>
        <v>0</v>
      </c>
    </row>
    <row r="44" spans="1:11" ht="15.75" x14ac:dyDescent="0.25">
      <c r="A44" s="20"/>
      <c r="B44" s="14">
        <v>42377</v>
      </c>
      <c r="C44" s="15">
        <v>24943</v>
      </c>
      <c r="D44" s="16" t="s">
        <v>20</v>
      </c>
      <c r="E44" s="17">
        <f>600+57.5</f>
        <v>657.5</v>
      </c>
      <c r="F44" s="13">
        <v>21550</v>
      </c>
      <c r="K44" s="3">
        <f t="shared" si="2"/>
        <v>0</v>
      </c>
    </row>
    <row r="45" spans="1:11" ht="15.75" x14ac:dyDescent="0.25">
      <c r="B45" s="14">
        <v>42378</v>
      </c>
      <c r="C45" s="15" t="s">
        <v>21</v>
      </c>
      <c r="D45" s="16" t="s">
        <v>10</v>
      </c>
      <c r="E45" s="17">
        <f>207.4+21.6+108.6</f>
        <v>337.6</v>
      </c>
      <c r="F45" s="13">
        <v>18455</v>
      </c>
      <c r="K45" s="3">
        <f t="shared" si="2"/>
        <v>0</v>
      </c>
    </row>
    <row r="46" spans="1:11" ht="15.75" x14ac:dyDescent="0.25">
      <c r="B46" s="14">
        <v>42378</v>
      </c>
      <c r="C46" s="15" t="s">
        <v>22</v>
      </c>
      <c r="D46" s="16" t="s">
        <v>11</v>
      </c>
      <c r="E46" s="17">
        <f>9.7+54.6+139.2</f>
        <v>203.5</v>
      </c>
      <c r="F46" s="13">
        <v>8482.5</v>
      </c>
      <c r="K46" s="3">
        <f t="shared" si="2"/>
        <v>0</v>
      </c>
    </row>
    <row r="47" spans="1:11" ht="15.75" x14ac:dyDescent="0.25">
      <c r="B47" s="14">
        <v>42378</v>
      </c>
      <c r="C47" s="15" t="s">
        <v>23</v>
      </c>
      <c r="D47" s="16" t="s">
        <v>14</v>
      </c>
      <c r="E47" s="17">
        <v>267.60000000000002</v>
      </c>
      <c r="F47" s="13">
        <v>8984.6</v>
      </c>
      <c r="K47" s="3">
        <f t="shared" si="2"/>
        <v>0</v>
      </c>
    </row>
    <row r="48" spans="1:11" ht="15.75" x14ac:dyDescent="0.25">
      <c r="B48" s="14">
        <v>42378</v>
      </c>
      <c r="C48" s="15" t="s">
        <v>24</v>
      </c>
      <c r="D48" s="16" t="s">
        <v>6</v>
      </c>
      <c r="E48" s="17">
        <f>87.9+45.6+60.6+74.6</f>
        <v>268.7</v>
      </c>
      <c r="F48" s="13">
        <v>8059.9</v>
      </c>
      <c r="K48" s="3">
        <f t="shared" si="2"/>
        <v>0</v>
      </c>
    </row>
    <row r="49" spans="2:13" ht="15.75" x14ac:dyDescent="0.25">
      <c r="B49" s="14">
        <v>42378</v>
      </c>
      <c r="C49" s="15" t="s">
        <v>25</v>
      </c>
      <c r="D49" s="16" t="s">
        <v>20</v>
      </c>
      <c r="E49" s="17">
        <f>488.2+175.6</f>
        <v>663.8</v>
      </c>
      <c r="F49" s="13">
        <v>23729.9</v>
      </c>
      <c r="K49" s="3">
        <f t="shared" si="2"/>
        <v>0</v>
      </c>
    </row>
    <row r="50" spans="2:13" ht="15.75" x14ac:dyDescent="0.25">
      <c r="B50" s="14">
        <v>42378</v>
      </c>
      <c r="C50" s="15" t="s">
        <v>26</v>
      </c>
      <c r="D50" s="16" t="s">
        <v>11</v>
      </c>
      <c r="E50" s="17">
        <v>62.6</v>
      </c>
      <c r="F50" s="13">
        <v>2754.4</v>
      </c>
      <c r="K50" s="3">
        <f t="shared" si="2"/>
        <v>0</v>
      </c>
    </row>
    <row r="51" spans="2:13" ht="15.75" x14ac:dyDescent="0.25">
      <c r="B51" s="14">
        <v>42378</v>
      </c>
      <c r="C51" s="15" t="s">
        <v>27</v>
      </c>
      <c r="D51" s="16" t="s">
        <v>9</v>
      </c>
      <c r="E51" s="17">
        <v>419.6</v>
      </c>
      <c r="F51" s="13">
        <v>11748.8</v>
      </c>
      <c r="K51" s="3">
        <f t="shared" si="2"/>
        <v>0</v>
      </c>
    </row>
    <row r="52" spans="2:13" ht="15.75" x14ac:dyDescent="0.25">
      <c r="B52" s="14">
        <v>42378</v>
      </c>
      <c r="C52" s="15" t="s">
        <v>28</v>
      </c>
      <c r="D52" s="16" t="s">
        <v>10</v>
      </c>
      <c r="E52" s="17">
        <f>405.2+3</f>
        <v>408.2</v>
      </c>
      <c r="F52" s="13">
        <v>11900.6</v>
      </c>
      <c r="K52" s="3">
        <f t="shared" si="2"/>
        <v>0</v>
      </c>
    </row>
    <row r="53" spans="2:13" ht="15.75" x14ac:dyDescent="0.25">
      <c r="B53" s="14">
        <v>42378</v>
      </c>
      <c r="C53" s="15" t="s">
        <v>29</v>
      </c>
      <c r="D53" s="16" t="s">
        <v>13</v>
      </c>
      <c r="E53" s="17">
        <v>26.1</v>
      </c>
      <c r="F53" s="13">
        <v>1383.3</v>
      </c>
      <c r="K53" s="3">
        <f t="shared" si="2"/>
        <v>0</v>
      </c>
    </row>
    <row r="54" spans="2:13" ht="16.5" thickBot="1" x14ac:dyDescent="0.3">
      <c r="B54" s="14">
        <v>42378</v>
      </c>
      <c r="C54" s="15" t="s">
        <v>30</v>
      </c>
      <c r="D54" s="16" t="s">
        <v>6</v>
      </c>
      <c r="E54" s="17">
        <v>70</v>
      </c>
      <c r="F54" s="13">
        <v>4620</v>
      </c>
      <c r="K54" s="3">
        <f t="shared" si="2"/>
        <v>0</v>
      </c>
    </row>
    <row r="55" spans="2:13" ht="15.75" thickBot="1" x14ac:dyDescent="0.3">
      <c r="B55" s="21"/>
      <c r="C55" s="22"/>
      <c r="D55" s="23"/>
      <c r="E55" s="24">
        <v>0</v>
      </c>
      <c r="F55" s="25">
        <f>SUM(F3:F54)</f>
        <v>591502.0900000002</v>
      </c>
      <c r="K55" s="3">
        <f t="shared" si="2"/>
        <v>0</v>
      </c>
    </row>
    <row r="56" spans="2:13" ht="19.5" thickBot="1" x14ac:dyDescent="0.35">
      <c r="B56" s="26"/>
      <c r="C56" s="27"/>
      <c r="D56" s="28" t="s">
        <v>5</v>
      </c>
      <c r="E56" s="29">
        <f>SUM(E3:E55)</f>
        <v>17843.129999999997</v>
      </c>
      <c r="K56" s="30">
        <f>SUM(K34:K55)</f>
        <v>0</v>
      </c>
    </row>
    <row r="57" spans="2:13" x14ac:dyDescent="0.25">
      <c r="B57" s="26"/>
      <c r="C57" s="27"/>
      <c r="D57" s="31"/>
      <c r="E57" s="32"/>
      <c r="K57"/>
    </row>
    <row r="58" spans="2:13" ht="21.75" thickBot="1" x14ac:dyDescent="0.4">
      <c r="B58" s="33"/>
      <c r="C58" s="34" t="s">
        <v>15</v>
      </c>
      <c r="D58" s="35">
        <f>E56*0.2</f>
        <v>3568.6259999999997</v>
      </c>
      <c r="F58"/>
      <c r="K58"/>
    </row>
    <row r="59" spans="2:13" ht="21.75" thickBot="1" x14ac:dyDescent="0.4">
      <c r="C59" s="36" t="s">
        <v>16</v>
      </c>
      <c r="D59" s="37">
        <v>3000</v>
      </c>
      <c r="E59" s="38"/>
      <c r="F59" s="85">
        <f>D58+D59</f>
        <v>6568.6260000000002</v>
      </c>
      <c r="G59" s="86"/>
      <c r="I59" s="39"/>
      <c r="J59" s="39"/>
      <c r="K59" s="39"/>
      <c r="L59" s="39"/>
      <c r="M59" s="39"/>
    </row>
    <row r="60" spans="2:13" ht="15.75" thickTop="1" x14ac:dyDescent="0.25">
      <c r="I60" s="39"/>
      <c r="J60" s="39"/>
      <c r="K60" s="40"/>
      <c r="L60" s="40"/>
      <c r="M60" s="40"/>
    </row>
    <row r="61" spans="2:13" ht="19.5" thickBot="1" x14ac:dyDescent="0.35">
      <c r="E61" s="41" t="s">
        <v>17</v>
      </c>
      <c r="F61" s="87">
        <v>-3000</v>
      </c>
      <c r="G61" s="87"/>
      <c r="I61" s="39"/>
      <c r="J61" s="39"/>
      <c r="K61" s="40"/>
      <c r="L61" s="40"/>
      <c r="M61" s="40"/>
    </row>
    <row r="62" spans="2:13" ht="15.75" thickTop="1" x14ac:dyDescent="0.25">
      <c r="C62"/>
      <c r="F62" s="88">
        <f>F59+F61</f>
        <v>3568.6260000000002</v>
      </c>
      <c r="G62" s="88"/>
      <c r="I62" s="39"/>
      <c r="J62" s="39"/>
      <c r="K62" s="40"/>
      <c r="L62" s="40"/>
      <c r="M62" s="40"/>
    </row>
    <row r="63" spans="2:13" ht="18.75" x14ac:dyDescent="0.3">
      <c r="C63"/>
      <c r="E63" s="2" t="s">
        <v>18</v>
      </c>
      <c r="F63" s="89"/>
      <c r="G63" s="89"/>
      <c r="K63"/>
    </row>
  </sheetData>
  <mergeCells count="4">
    <mergeCell ref="B1:C1"/>
    <mergeCell ref="F59:G59"/>
    <mergeCell ref="F61:G61"/>
    <mergeCell ref="F62:G63"/>
  </mergeCells>
  <pageMargins left="0.70866141732283472" right="0.70866141732283472" top="0.35433070866141736" bottom="0.19685039370078741" header="0.31496062992125984" footer="0.31496062992125984"/>
  <pageSetup scale="7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59"/>
  <sheetViews>
    <sheetView topLeftCell="A34" workbookViewId="0">
      <selection activeCell="A34" sqref="A1:XFD104857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42446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284</v>
      </c>
      <c r="G2" s="8"/>
      <c r="K2"/>
    </row>
    <row r="3" spans="2:11" ht="15.75" x14ac:dyDescent="0.25">
      <c r="B3" s="9">
        <v>42430</v>
      </c>
      <c r="C3" s="10">
        <v>6904</v>
      </c>
      <c r="D3" s="11" t="s">
        <v>6</v>
      </c>
      <c r="E3" s="12">
        <v>82.2</v>
      </c>
      <c r="F3" s="13">
        <v>3346.85</v>
      </c>
      <c r="K3"/>
    </row>
    <row r="4" spans="2:11" ht="15.75" x14ac:dyDescent="0.25">
      <c r="B4" s="14">
        <v>42434</v>
      </c>
      <c r="C4" s="15">
        <v>7379</v>
      </c>
      <c r="D4" s="16" t="s">
        <v>9</v>
      </c>
      <c r="E4" s="17">
        <f>94.6+142.2</f>
        <v>236.79999999999998</v>
      </c>
      <c r="F4" s="13">
        <v>6063.5</v>
      </c>
      <c r="K4"/>
    </row>
    <row r="5" spans="2:11" ht="15.75" x14ac:dyDescent="0.25">
      <c r="B5" s="14">
        <v>42436</v>
      </c>
      <c r="C5" s="15">
        <v>7580</v>
      </c>
      <c r="D5" s="16" t="s">
        <v>192</v>
      </c>
      <c r="E5" s="17">
        <v>910.8</v>
      </c>
      <c r="F5" s="13">
        <v>25957.8</v>
      </c>
      <c r="K5"/>
    </row>
    <row r="6" spans="2:11" ht="15.75" x14ac:dyDescent="0.25">
      <c r="B6" s="14">
        <v>42436</v>
      </c>
      <c r="C6" s="15">
        <v>7581</v>
      </c>
      <c r="D6" s="16" t="s">
        <v>189</v>
      </c>
      <c r="E6" s="17">
        <f>296.2+173.6</f>
        <v>469.79999999999995</v>
      </c>
      <c r="F6" s="13">
        <v>15656.4</v>
      </c>
      <c r="G6" t="s">
        <v>233</v>
      </c>
      <c r="K6" s="3">
        <f t="shared" ref="K6:K18" si="0">J6*I6</f>
        <v>0</v>
      </c>
    </row>
    <row r="7" spans="2:11" ht="15.75" x14ac:dyDescent="0.25">
      <c r="B7" s="14">
        <v>42436</v>
      </c>
      <c r="C7" s="15">
        <v>7585</v>
      </c>
      <c r="D7" s="16" t="s">
        <v>6</v>
      </c>
      <c r="E7" s="17">
        <v>97.8</v>
      </c>
      <c r="F7" s="13">
        <v>2934</v>
      </c>
      <c r="K7" s="3">
        <f t="shared" si="0"/>
        <v>0</v>
      </c>
    </row>
    <row r="8" spans="2:11" ht="15.75" x14ac:dyDescent="0.25">
      <c r="B8" s="14">
        <v>42436</v>
      </c>
      <c r="C8" s="15">
        <v>7586</v>
      </c>
      <c r="D8" s="16" t="s">
        <v>14</v>
      </c>
      <c r="E8" s="17">
        <v>372.6</v>
      </c>
      <c r="F8" s="13">
        <v>11178</v>
      </c>
      <c r="K8" s="3">
        <f t="shared" si="0"/>
        <v>0</v>
      </c>
    </row>
    <row r="9" spans="2:11" ht="15.75" x14ac:dyDescent="0.25">
      <c r="B9" s="14">
        <v>42436</v>
      </c>
      <c r="C9" s="15">
        <v>7633</v>
      </c>
      <c r="D9" s="16" t="s">
        <v>0</v>
      </c>
      <c r="E9" s="17">
        <v>115.98</v>
      </c>
      <c r="F9" s="13">
        <v>2203.62</v>
      </c>
      <c r="K9" s="3">
        <f t="shared" si="0"/>
        <v>0</v>
      </c>
    </row>
    <row r="10" spans="2:11" ht="15.75" x14ac:dyDescent="0.25">
      <c r="B10" s="14">
        <v>42437</v>
      </c>
      <c r="C10" s="15">
        <v>7730</v>
      </c>
      <c r="D10" s="16" t="s">
        <v>153</v>
      </c>
      <c r="E10" s="17">
        <v>259.60000000000002</v>
      </c>
      <c r="F10" s="13">
        <v>8047.6</v>
      </c>
      <c r="K10" s="3">
        <f t="shared" si="0"/>
        <v>0</v>
      </c>
    </row>
    <row r="11" spans="2:11" ht="15.75" x14ac:dyDescent="0.25">
      <c r="B11" s="14">
        <v>42437</v>
      </c>
      <c r="C11" s="15">
        <v>7731</v>
      </c>
      <c r="D11" s="16" t="s">
        <v>14</v>
      </c>
      <c r="E11" s="17">
        <v>363.2</v>
      </c>
      <c r="F11" s="13">
        <v>10896</v>
      </c>
      <c r="K11" s="3">
        <f t="shared" si="0"/>
        <v>0</v>
      </c>
    </row>
    <row r="12" spans="2:11" ht="15.75" x14ac:dyDescent="0.25">
      <c r="B12" s="14">
        <v>42437</v>
      </c>
      <c r="C12" s="44">
        <v>7732</v>
      </c>
      <c r="D12" s="16" t="s">
        <v>192</v>
      </c>
      <c r="E12" s="17">
        <v>414.8</v>
      </c>
      <c r="F12" s="13">
        <v>12444</v>
      </c>
      <c r="K12" s="3">
        <f t="shared" si="0"/>
        <v>0</v>
      </c>
    </row>
    <row r="13" spans="2:11" ht="15.75" x14ac:dyDescent="0.25">
      <c r="B13" s="14">
        <v>42437</v>
      </c>
      <c r="C13" s="15">
        <v>7733</v>
      </c>
      <c r="D13" s="16" t="s">
        <v>11</v>
      </c>
      <c r="E13" s="17">
        <f>52.3+132.8</f>
        <v>185.10000000000002</v>
      </c>
      <c r="F13" s="13">
        <v>7428.1</v>
      </c>
      <c r="K13" s="3">
        <f t="shared" si="0"/>
        <v>0</v>
      </c>
    </row>
    <row r="14" spans="2:11" ht="15.75" x14ac:dyDescent="0.25">
      <c r="B14" s="14">
        <v>42437</v>
      </c>
      <c r="C14" s="15">
        <v>7734</v>
      </c>
      <c r="D14" s="16" t="s">
        <v>189</v>
      </c>
      <c r="E14" s="17">
        <v>341.6</v>
      </c>
      <c r="F14" s="13">
        <v>13322.4</v>
      </c>
      <c r="K14" s="3">
        <f t="shared" si="0"/>
        <v>0</v>
      </c>
    </row>
    <row r="15" spans="2:11" ht="15.75" x14ac:dyDescent="0.25">
      <c r="B15" s="14">
        <v>42437</v>
      </c>
      <c r="C15" s="15">
        <v>7735</v>
      </c>
      <c r="D15" s="16" t="s">
        <v>13</v>
      </c>
      <c r="E15" s="17">
        <f>920.8+25.6</f>
        <v>946.4</v>
      </c>
      <c r="F15" s="13">
        <v>26780.400000000001</v>
      </c>
      <c r="K15" s="3">
        <f t="shared" si="0"/>
        <v>0</v>
      </c>
    </row>
    <row r="16" spans="2:11" ht="15.75" x14ac:dyDescent="0.25">
      <c r="B16" s="14">
        <v>42437</v>
      </c>
      <c r="C16" s="15">
        <v>7736</v>
      </c>
      <c r="D16" s="16" t="s">
        <v>7</v>
      </c>
      <c r="E16" s="17">
        <f>36.8+85.6+1</f>
        <v>123.39999999999999</v>
      </c>
      <c r="F16" s="13">
        <v>3857</v>
      </c>
      <c r="K16" s="3">
        <f t="shared" si="0"/>
        <v>0</v>
      </c>
    </row>
    <row r="17" spans="1:11" ht="15.75" x14ac:dyDescent="0.25">
      <c r="B17" s="14">
        <v>42437</v>
      </c>
      <c r="C17" s="15">
        <v>7737</v>
      </c>
      <c r="D17" s="16" t="s">
        <v>6</v>
      </c>
      <c r="E17" s="17">
        <f>15.2+6.1+445.4+31.9</f>
        <v>498.59999999999997</v>
      </c>
      <c r="F17" s="13">
        <v>15655.9</v>
      </c>
      <c r="K17" s="3">
        <f t="shared" si="0"/>
        <v>0</v>
      </c>
    </row>
    <row r="18" spans="1:11" ht="15.75" x14ac:dyDescent="0.25">
      <c r="B18" s="14">
        <v>42437</v>
      </c>
      <c r="C18" s="15">
        <v>7738</v>
      </c>
      <c r="D18" s="16" t="s">
        <v>10</v>
      </c>
      <c r="E18" s="17">
        <f>36.7+3+32.7</f>
        <v>72.400000000000006</v>
      </c>
      <c r="F18" s="13">
        <v>3160.2</v>
      </c>
      <c r="K18" s="3">
        <f t="shared" si="0"/>
        <v>0</v>
      </c>
    </row>
    <row r="19" spans="1:11" ht="15.75" x14ac:dyDescent="0.25">
      <c r="B19" s="14">
        <v>42438</v>
      </c>
      <c r="C19" s="15">
        <v>7830</v>
      </c>
      <c r="D19" s="16" t="s">
        <v>11</v>
      </c>
      <c r="E19" s="17">
        <f>18.2+73.4+62.4</f>
        <v>154</v>
      </c>
      <c r="F19" s="13">
        <v>5091.2</v>
      </c>
      <c r="I19" s="3">
        <f t="shared" ref="I19" si="1">SUM(I6:I18)</f>
        <v>0</v>
      </c>
      <c r="J19" s="3"/>
      <c r="K19" s="3">
        <f>SUM(K6:K18)</f>
        <v>0</v>
      </c>
    </row>
    <row r="20" spans="1:11" ht="15.75" x14ac:dyDescent="0.25">
      <c r="B20" s="14">
        <v>42438</v>
      </c>
      <c r="C20" s="15">
        <v>7831</v>
      </c>
      <c r="D20" s="16" t="s">
        <v>7</v>
      </c>
      <c r="E20" s="17">
        <f>71.4</f>
        <v>71.400000000000006</v>
      </c>
      <c r="F20" s="13">
        <v>2213.4</v>
      </c>
    </row>
    <row r="21" spans="1:11" ht="15.75" x14ac:dyDescent="0.25">
      <c r="B21" s="14">
        <v>42438</v>
      </c>
      <c r="C21" s="15">
        <v>7832</v>
      </c>
      <c r="D21" s="16" t="s">
        <v>192</v>
      </c>
      <c r="E21" s="17">
        <v>97.8</v>
      </c>
      <c r="F21" s="13">
        <v>2934</v>
      </c>
    </row>
    <row r="22" spans="1:11" ht="15.75" x14ac:dyDescent="0.25">
      <c r="A22" s="18"/>
      <c r="B22" s="14">
        <v>42438</v>
      </c>
      <c r="C22" s="15">
        <v>7833</v>
      </c>
      <c r="D22" s="16" t="s">
        <v>14</v>
      </c>
      <c r="E22" s="17">
        <f>68.4+344</f>
        <v>412.4</v>
      </c>
      <c r="F22" s="13">
        <f>2086.2+10320</f>
        <v>12406.2</v>
      </c>
    </row>
    <row r="23" spans="1:11" ht="15.75" x14ac:dyDescent="0.25">
      <c r="B23" s="14">
        <v>42438</v>
      </c>
      <c r="C23" s="15">
        <v>7834</v>
      </c>
      <c r="D23" s="16" t="s">
        <v>189</v>
      </c>
      <c r="E23" s="17">
        <v>298.39999999999998</v>
      </c>
      <c r="F23" s="13">
        <v>9250.4</v>
      </c>
    </row>
    <row r="24" spans="1:11" x14ac:dyDescent="0.25">
      <c r="B24" s="14">
        <v>42438</v>
      </c>
      <c r="C24" s="19">
        <v>7839</v>
      </c>
      <c r="D24" s="16" t="s">
        <v>10</v>
      </c>
      <c r="E24" s="17">
        <f>246.7+38.5+128.6</f>
        <v>413.79999999999995</v>
      </c>
      <c r="F24" s="13">
        <v>23480</v>
      </c>
    </row>
    <row r="25" spans="1:11" x14ac:dyDescent="0.25">
      <c r="B25" s="14">
        <v>42438</v>
      </c>
      <c r="C25" s="19">
        <v>7840</v>
      </c>
      <c r="D25" s="16" t="s">
        <v>153</v>
      </c>
      <c r="E25" s="17">
        <f>64.7+6.2</f>
        <v>70.900000000000006</v>
      </c>
      <c r="F25" s="13">
        <v>1165.4000000000001</v>
      </c>
    </row>
    <row r="26" spans="1:11" x14ac:dyDescent="0.25">
      <c r="B26" s="14">
        <v>42438</v>
      </c>
      <c r="C26" s="19">
        <v>7841</v>
      </c>
      <c r="D26" s="16" t="s">
        <v>9</v>
      </c>
      <c r="E26" s="17">
        <f>53.6+0.5</f>
        <v>54.1</v>
      </c>
      <c r="F26" s="13">
        <v>1403.4</v>
      </c>
    </row>
    <row r="27" spans="1:11" x14ac:dyDescent="0.25">
      <c r="B27" s="14">
        <v>42438</v>
      </c>
      <c r="C27" s="19">
        <v>7842</v>
      </c>
      <c r="D27" s="16" t="s">
        <v>10</v>
      </c>
      <c r="E27" s="17">
        <v>83.8</v>
      </c>
      <c r="F27" s="13">
        <v>3854.8</v>
      </c>
    </row>
    <row r="28" spans="1:11" x14ac:dyDescent="0.25">
      <c r="B28" s="14">
        <v>42439</v>
      </c>
      <c r="C28" s="19">
        <v>8000</v>
      </c>
      <c r="D28" s="16" t="s">
        <v>285</v>
      </c>
      <c r="E28" s="17">
        <v>19.600000000000001</v>
      </c>
      <c r="F28" s="13">
        <v>842.8</v>
      </c>
    </row>
    <row r="29" spans="1:11" x14ac:dyDescent="0.25">
      <c r="B29" s="14">
        <v>42439</v>
      </c>
      <c r="C29" s="19">
        <v>8003</v>
      </c>
      <c r="D29" s="16" t="s">
        <v>286</v>
      </c>
      <c r="E29" s="17">
        <f>9.05+9.9+1.9+13.7</f>
        <v>34.549999999999997</v>
      </c>
      <c r="F29" s="13">
        <v>2379.1999999999998</v>
      </c>
    </row>
    <row r="30" spans="1:11" x14ac:dyDescent="0.25">
      <c r="B30" s="14">
        <v>42439</v>
      </c>
      <c r="C30" s="19">
        <v>8004</v>
      </c>
      <c r="D30" s="16" t="s">
        <v>11</v>
      </c>
      <c r="E30" s="17">
        <f>22+72.2+50</f>
        <v>144.19999999999999</v>
      </c>
      <c r="F30" s="13">
        <v>5378.2</v>
      </c>
    </row>
    <row r="31" spans="1:11" x14ac:dyDescent="0.25">
      <c r="B31" s="14">
        <v>42439</v>
      </c>
      <c r="C31" s="19">
        <v>8005</v>
      </c>
      <c r="D31" s="16" t="s">
        <v>189</v>
      </c>
      <c r="E31" s="17">
        <v>221.8</v>
      </c>
      <c r="F31" s="13">
        <v>6654</v>
      </c>
    </row>
    <row r="32" spans="1:11" x14ac:dyDescent="0.25">
      <c r="B32" s="14">
        <v>42439</v>
      </c>
      <c r="C32" s="19">
        <v>8006</v>
      </c>
      <c r="D32" s="16" t="s">
        <v>7</v>
      </c>
      <c r="E32" s="17">
        <f>1+27.24</f>
        <v>28.24</v>
      </c>
      <c r="F32" s="13">
        <v>1492.52</v>
      </c>
    </row>
    <row r="33" spans="2:11" ht="15.75" x14ac:dyDescent="0.25">
      <c r="B33" s="14">
        <v>42439</v>
      </c>
      <c r="C33" s="15">
        <v>8007</v>
      </c>
      <c r="D33" s="16" t="s">
        <v>192</v>
      </c>
      <c r="E33" s="17">
        <f>266.8+12.4</f>
        <v>279.2</v>
      </c>
      <c r="F33" s="13">
        <v>10665.6</v>
      </c>
    </row>
    <row r="34" spans="2:11" x14ac:dyDescent="0.25">
      <c r="B34" s="14">
        <v>42440</v>
      </c>
      <c r="C34" s="19">
        <v>8113</v>
      </c>
      <c r="D34" s="16" t="s">
        <v>13</v>
      </c>
      <c r="E34" s="17">
        <f>1012+106.8+90.8</f>
        <v>1209.5999999999999</v>
      </c>
      <c r="F34" s="13">
        <v>34101.199999999997</v>
      </c>
      <c r="K34" s="3">
        <f t="shared" ref="K34:K51" si="2">J34*I34</f>
        <v>0</v>
      </c>
    </row>
    <row r="35" spans="2:11" x14ac:dyDescent="0.25">
      <c r="B35" s="14">
        <v>42440</v>
      </c>
      <c r="C35" s="19">
        <v>8114</v>
      </c>
      <c r="D35" s="16" t="s">
        <v>153</v>
      </c>
      <c r="E35" s="17">
        <v>82</v>
      </c>
      <c r="F35" s="13">
        <v>2460</v>
      </c>
    </row>
    <row r="36" spans="2:11" x14ac:dyDescent="0.25">
      <c r="B36" s="14">
        <v>42440</v>
      </c>
      <c r="C36" s="19">
        <v>8116</v>
      </c>
      <c r="D36" s="16" t="s">
        <v>7</v>
      </c>
      <c r="E36" s="17">
        <f>12.8+78.4</f>
        <v>91.2</v>
      </c>
      <c r="F36" s="13">
        <v>2902.4</v>
      </c>
    </row>
    <row r="37" spans="2:11" x14ac:dyDescent="0.25">
      <c r="B37" s="14">
        <v>42440</v>
      </c>
      <c r="C37" s="19">
        <v>8119</v>
      </c>
      <c r="D37" s="16" t="s">
        <v>11</v>
      </c>
      <c r="E37" s="17">
        <v>78</v>
      </c>
      <c r="F37" s="13">
        <v>2418</v>
      </c>
    </row>
    <row r="38" spans="2:11" x14ac:dyDescent="0.25">
      <c r="B38" s="14">
        <v>42440</v>
      </c>
      <c r="C38" s="19">
        <v>8121</v>
      </c>
      <c r="D38" s="16" t="s">
        <v>189</v>
      </c>
      <c r="E38" s="17">
        <v>827</v>
      </c>
      <c r="F38" s="13">
        <v>24810</v>
      </c>
    </row>
    <row r="39" spans="2:11" x14ac:dyDescent="0.25">
      <c r="B39" s="14">
        <v>42440</v>
      </c>
      <c r="C39" s="19">
        <v>8122</v>
      </c>
      <c r="D39" s="16" t="s">
        <v>192</v>
      </c>
      <c r="E39" s="17">
        <f>77.2+79.2+80</f>
        <v>236.4</v>
      </c>
      <c r="F39" s="13">
        <v>7456</v>
      </c>
    </row>
    <row r="40" spans="2:11" x14ac:dyDescent="0.25">
      <c r="B40" s="14">
        <v>42440</v>
      </c>
      <c r="C40" s="19">
        <v>8123</v>
      </c>
      <c r="D40" s="16" t="s">
        <v>12</v>
      </c>
      <c r="E40" s="17">
        <v>997</v>
      </c>
      <c r="F40" s="13">
        <v>28913</v>
      </c>
    </row>
    <row r="41" spans="2:11" x14ac:dyDescent="0.25">
      <c r="B41" s="14">
        <v>42440</v>
      </c>
      <c r="C41" s="19">
        <v>8124</v>
      </c>
      <c r="D41" s="16" t="s">
        <v>10</v>
      </c>
      <c r="E41" s="17">
        <f>198.5+22.5+635.4+81.72+3+277.2</f>
        <v>1218.32</v>
      </c>
      <c r="F41" s="13">
        <v>52166.96</v>
      </c>
    </row>
    <row r="42" spans="2:11" x14ac:dyDescent="0.25">
      <c r="B42" s="14">
        <v>42440</v>
      </c>
      <c r="C42" s="19">
        <v>8126</v>
      </c>
      <c r="D42" s="16" t="s">
        <v>6</v>
      </c>
      <c r="E42" s="17">
        <f>34.4+88.8</f>
        <v>123.19999999999999</v>
      </c>
      <c r="F42" s="13">
        <v>3730.4</v>
      </c>
    </row>
    <row r="43" spans="2:11" x14ac:dyDescent="0.25">
      <c r="B43" s="14">
        <v>42441</v>
      </c>
      <c r="C43" s="19">
        <v>8257</v>
      </c>
      <c r="D43" s="16" t="s">
        <v>11</v>
      </c>
      <c r="E43" s="17">
        <f>20.4+39.8+105.2+69.8</f>
        <v>235.2</v>
      </c>
      <c r="F43" s="13">
        <v>8511.6</v>
      </c>
    </row>
    <row r="44" spans="2:11" x14ac:dyDescent="0.25">
      <c r="B44" s="14">
        <v>42441</v>
      </c>
      <c r="C44" s="19">
        <v>8258</v>
      </c>
      <c r="D44" s="16" t="s">
        <v>9</v>
      </c>
      <c r="E44" s="17">
        <f>201.2+90.4</f>
        <v>291.60000000000002</v>
      </c>
      <c r="F44" s="13">
        <v>7854.2</v>
      </c>
    </row>
    <row r="45" spans="2:11" x14ac:dyDescent="0.25">
      <c r="B45" s="14">
        <v>42441</v>
      </c>
      <c r="C45" s="19">
        <v>8259</v>
      </c>
      <c r="D45" s="16" t="s">
        <v>192</v>
      </c>
      <c r="E45" s="17">
        <f>50.7+141.3</f>
        <v>192</v>
      </c>
      <c r="F45" s="13">
        <v>5202.3</v>
      </c>
    </row>
    <row r="46" spans="2:11" x14ac:dyDescent="0.25">
      <c r="B46" s="14">
        <v>42441</v>
      </c>
      <c r="C46" s="19">
        <v>8260</v>
      </c>
      <c r="D46" s="16" t="s">
        <v>6</v>
      </c>
      <c r="E46" s="17">
        <f>12.7+37.9+73.2</f>
        <v>123.8</v>
      </c>
      <c r="F46" s="13">
        <v>2891.9</v>
      </c>
    </row>
    <row r="47" spans="2:11" x14ac:dyDescent="0.25">
      <c r="B47" s="14">
        <v>42441</v>
      </c>
      <c r="C47" s="19">
        <v>8261</v>
      </c>
      <c r="D47" s="16" t="s">
        <v>189</v>
      </c>
      <c r="E47" s="17">
        <f>36.2+122.4</f>
        <v>158.60000000000002</v>
      </c>
      <c r="F47" s="13">
        <v>4421</v>
      </c>
    </row>
    <row r="48" spans="2:11" x14ac:dyDescent="0.25">
      <c r="B48" s="14">
        <v>42441</v>
      </c>
      <c r="C48" s="19">
        <v>8262</v>
      </c>
      <c r="D48" s="16" t="s">
        <v>7</v>
      </c>
      <c r="E48" s="17">
        <v>37</v>
      </c>
      <c r="F48" s="13">
        <v>703</v>
      </c>
    </row>
    <row r="49" spans="2:13" x14ac:dyDescent="0.25">
      <c r="B49" s="14">
        <v>42441</v>
      </c>
      <c r="C49" s="19">
        <v>8263</v>
      </c>
      <c r="D49" s="16" t="s">
        <v>14</v>
      </c>
      <c r="E49" s="17">
        <v>513.6</v>
      </c>
      <c r="F49" s="13">
        <v>15408</v>
      </c>
    </row>
    <row r="50" spans="2:13" ht="15.75" thickBot="1" x14ac:dyDescent="0.3">
      <c r="B50" s="14"/>
      <c r="C50" s="19"/>
      <c r="D50" s="16"/>
      <c r="E50" s="17"/>
      <c r="F50" s="13"/>
    </row>
    <row r="51" spans="2:13" ht="15.75" thickBot="1" x14ac:dyDescent="0.3">
      <c r="B51" s="21"/>
      <c r="C51" s="22"/>
      <c r="D51" s="23"/>
      <c r="E51" s="24">
        <v>0</v>
      </c>
      <c r="F51" s="25">
        <f>SUM(F3:F50)</f>
        <v>462092.85000000009</v>
      </c>
      <c r="K51" s="3">
        <f t="shared" si="2"/>
        <v>0</v>
      </c>
    </row>
    <row r="52" spans="2:13" ht="19.5" thickBot="1" x14ac:dyDescent="0.35">
      <c r="B52" s="26"/>
      <c r="C52" s="27"/>
      <c r="D52" s="28" t="s">
        <v>5</v>
      </c>
      <c r="E52" s="29">
        <f>SUM(E3:E51)</f>
        <v>14289.79</v>
      </c>
      <c r="I52" s="30">
        <f>SUM(I34:I51)</f>
        <v>0</v>
      </c>
      <c r="J52" s="30"/>
      <c r="K52" s="30">
        <f>SUM(K34:K51)</f>
        <v>0</v>
      </c>
    </row>
    <row r="53" spans="2:13" x14ac:dyDescent="0.25">
      <c r="B53" s="26"/>
      <c r="C53" s="27"/>
      <c r="D53" s="31"/>
      <c r="E53" s="32"/>
      <c r="K53"/>
    </row>
    <row r="54" spans="2:13" ht="21.75" thickBot="1" x14ac:dyDescent="0.4">
      <c r="B54" s="33"/>
      <c r="C54" s="34" t="s">
        <v>15</v>
      </c>
      <c r="D54" s="35">
        <f>E52*0.2</f>
        <v>2857.9580000000005</v>
      </c>
      <c r="F54"/>
      <c r="K54"/>
    </row>
    <row r="55" spans="2:13" ht="21.75" thickBot="1" x14ac:dyDescent="0.4">
      <c r="C55" s="36" t="s">
        <v>16</v>
      </c>
      <c r="D55" s="37">
        <v>3000</v>
      </c>
      <c r="E55" s="38"/>
      <c r="F55" s="85">
        <f>D54+D55</f>
        <v>5857.9580000000005</v>
      </c>
      <c r="G55" s="86"/>
      <c r="I55" s="39"/>
      <c r="J55" s="39"/>
      <c r="K55" s="39"/>
      <c r="L55" s="39"/>
      <c r="M55" s="39"/>
    </row>
    <row r="56" spans="2:13" ht="15.75" thickTop="1" x14ac:dyDescent="0.25">
      <c r="I56" s="39"/>
      <c r="J56" s="39"/>
      <c r="K56" s="40"/>
      <c r="L56" s="40"/>
      <c r="M56" s="40"/>
    </row>
    <row r="57" spans="2:13" ht="19.5" thickBot="1" x14ac:dyDescent="0.35">
      <c r="E57" s="41" t="s">
        <v>17</v>
      </c>
      <c r="F57" s="87">
        <v>0</v>
      </c>
      <c r="G57" s="87"/>
      <c r="I57" s="39"/>
      <c r="J57" s="39"/>
      <c r="K57" s="40"/>
      <c r="L57" s="40"/>
      <c r="M57" s="40"/>
    </row>
    <row r="58" spans="2:13" ht="15.75" thickTop="1" x14ac:dyDescent="0.25">
      <c r="C58"/>
      <c r="F58" s="88">
        <f>F55+F57</f>
        <v>5857.9580000000005</v>
      </c>
      <c r="G58" s="88"/>
      <c r="I58" s="39"/>
      <c r="J58" s="39"/>
      <c r="K58" s="40"/>
      <c r="L58" s="40"/>
      <c r="M58" s="40"/>
    </row>
    <row r="59" spans="2:13" ht="18.75" x14ac:dyDescent="0.3">
      <c r="C59"/>
      <c r="E59" s="2" t="s">
        <v>18</v>
      </c>
      <c r="F59" s="89"/>
      <c r="G59" s="89"/>
      <c r="K59"/>
    </row>
  </sheetData>
  <mergeCells count="4">
    <mergeCell ref="B1:C1"/>
    <mergeCell ref="F55:G55"/>
    <mergeCell ref="F57:G57"/>
    <mergeCell ref="F58:G5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M63"/>
  <sheetViews>
    <sheetView topLeftCell="A49" workbookViewId="0">
      <selection activeCell="D73" sqref="D73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42453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287</v>
      </c>
      <c r="G2" s="8"/>
      <c r="K2"/>
    </row>
    <row r="3" spans="2:11" ht="15.75" x14ac:dyDescent="0.25">
      <c r="B3" s="9">
        <v>42443</v>
      </c>
      <c r="C3" s="10">
        <v>8501</v>
      </c>
      <c r="D3" s="11" t="s">
        <v>192</v>
      </c>
      <c r="E3" s="12">
        <f>1031+54</f>
        <v>1085</v>
      </c>
      <c r="F3" s="13">
        <v>31440.5</v>
      </c>
      <c r="K3"/>
    </row>
    <row r="4" spans="2:11" ht="15.75" x14ac:dyDescent="0.25">
      <c r="B4" s="14">
        <v>42443</v>
      </c>
      <c r="C4" s="15">
        <v>8502</v>
      </c>
      <c r="D4" s="16" t="s">
        <v>20</v>
      </c>
      <c r="E4" s="17">
        <f>363.7+186</f>
        <v>549.70000000000005</v>
      </c>
      <c r="F4" s="13">
        <v>18165</v>
      </c>
      <c r="K4"/>
    </row>
    <row r="5" spans="2:11" ht="15.75" x14ac:dyDescent="0.25">
      <c r="B5" s="14">
        <v>42443</v>
      </c>
      <c r="C5" s="15">
        <v>8503</v>
      </c>
      <c r="D5" s="16" t="s">
        <v>14</v>
      </c>
      <c r="E5" s="17">
        <f>316.7</f>
        <v>316.7</v>
      </c>
      <c r="F5" s="13">
        <v>9501</v>
      </c>
      <c r="K5"/>
    </row>
    <row r="6" spans="2:11" ht="15.75" x14ac:dyDescent="0.25">
      <c r="B6" s="14">
        <v>42443</v>
      </c>
      <c r="C6" s="15">
        <v>8504</v>
      </c>
      <c r="D6" s="16" t="s">
        <v>9</v>
      </c>
      <c r="E6" s="17">
        <v>382.5</v>
      </c>
      <c r="F6" s="13">
        <v>11475</v>
      </c>
      <c r="G6" t="s">
        <v>233</v>
      </c>
      <c r="I6">
        <v>12.3</v>
      </c>
      <c r="J6">
        <v>50</v>
      </c>
      <c r="K6" s="3">
        <f t="shared" ref="K6:K18" si="0">J6*I6</f>
        <v>615</v>
      </c>
    </row>
    <row r="7" spans="2:11" ht="15.75" x14ac:dyDescent="0.25">
      <c r="B7" s="14">
        <v>42443</v>
      </c>
      <c r="C7" s="15">
        <v>8505</v>
      </c>
      <c r="D7" s="16" t="s">
        <v>6</v>
      </c>
      <c r="E7" s="17">
        <v>72.900000000000006</v>
      </c>
      <c r="F7" s="13">
        <v>2187</v>
      </c>
      <c r="I7">
        <v>19.899999999999999</v>
      </c>
      <c r="J7">
        <v>16</v>
      </c>
      <c r="K7" s="3">
        <f t="shared" si="0"/>
        <v>318.39999999999998</v>
      </c>
    </row>
    <row r="8" spans="2:11" ht="15.75" x14ac:dyDescent="0.25">
      <c r="B8" s="14">
        <v>42443</v>
      </c>
      <c r="C8" s="15">
        <v>8507</v>
      </c>
      <c r="D8" s="16" t="s">
        <v>288</v>
      </c>
      <c r="E8" s="17">
        <v>119.6</v>
      </c>
      <c r="F8" s="13">
        <v>5501.6</v>
      </c>
      <c r="I8">
        <v>235.9</v>
      </c>
      <c r="J8">
        <v>30</v>
      </c>
      <c r="K8" s="3">
        <f t="shared" si="0"/>
        <v>7077</v>
      </c>
    </row>
    <row r="9" spans="2:11" ht="15.75" x14ac:dyDescent="0.25">
      <c r="B9" s="14">
        <v>42443</v>
      </c>
      <c r="C9" s="15">
        <v>8511</v>
      </c>
      <c r="D9" s="16" t="s">
        <v>14</v>
      </c>
      <c r="E9" s="17">
        <v>20.3</v>
      </c>
      <c r="F9" s="13">
        <v>1015</v>
      </c>
      <c r="I9">
        <v>149.30000000000001</v>
      </c>
      <c r="J9">
        <v>31</v>
      </c>
      <c r="K9" s="3">
        <f t="shared" si="0"/>
        <v>4628.3</v>
      </c>
    </row>
    <row r="10" spans="2:11" ht="15.75" x14ac:dyDescent="0.25">
      <c r="B10" s="14">
        <v>42444</v>
      </c>
      <c r="C10" s="15">
        <v>8654</v>
      </c>
      <c r="D10" s="16" t="s">
        <v>7</v>
      </c>
      <c r="E10" s="17">
        <v>238.4</v>
      </c>
      <c r="F10" s="13">
        <v>7152</v>
      </c>
      <c r="K10" s="3">
        <f t="shared" si="0"/>
        <v>0</v>
      </c>
    </row>
    <row r="11" spans="2:11" ht="15.75" x14ac:dyDescent="0.25">
      <c r="B11" s="14">
        <v>42444</v>
      </c>
      <c r="C11" s="15">
        <v>8655</v>
      </c>
      <c r="D11" s="16" t="s">
        <v>14</v>
      </c>
      <c r="E11" s="17">
        <v>341.4</v>
      </c>
      <c r="F11" s="13">
        <v>10242</v>
      </c>
      <c r="K11" s="3">
        <f t="shared" si="0"/>
        <v>0</v>
      </c>
    </row>
    <row r="12" spans="2:11" ht="15.75" x14ac:dyDescent="0.25">
      <c r="B12" s="14">
        <v>42444</v>
      </c>
      <c r="C12" s="44">
        <v>8659</v>
      </c>
      <c r="D12" s="16" t="s">
        <v>9</v>
      </c>
      <c r="E12" s="17">
        <v>387.4</v>
      </c>
      <c r="F12" s="13">
        <v>11622</v>
      </c>
      <c r="K12" s="3">
        <f t="shared" si="0"/>
        <v>0</v>
      </c>
    </row>
    <row r="13" spans="2:11" ht="15.75" x14ac:dyDescent="0.25">
      <c r="B13" s="14">
        <v>42444</v>
      </c>
      <c r="C13" s="15">
        <v>8657</v>
      </c>
      <c r="D13" s="16" t="s">
        <v>20</v>
      </c>
      <c r="E13" s="17">
        <f>415+286.4</f>
        <v>701.4</v>
      </c>
      <c r="F13" s="13">
        <v>23619.599999999999</v>
      </c>
      <c r="K13" s="3">
        <f t="shared" si="0"/>
        <v>0</v>
      </c>
    </row>
    <row r="14" spans="2:11" ht="15.75" x14ac:dyDescent="0.25">
      <c r="B14" s="14">
        <v>42444</v>
      </c>
      <c r="C14" s="15">
        <v>8660</v>
      </c>
      <c r="D14" s="16" t="s">
        <v>153</v>
      </c>
      <c r="E14" s="17">
        <v>93.4</v>
      </c>
      <c r="F14" s="13">
        <v>2802</v>
      </c>
      <c r="K14" s="3">
        <f t="shared" si="0"/>
        <v>0</v>
      </c>
    </row>
    <row r="15" spans="2:11" ht="15.75" x14ac:dyDescent="0.25">
      <c r="B15" s="14">
        <v>42444</v>
      </c>
      <c r="C15" s="15">
        <v>8661</v>
      </c>
      <c r="D15" s="16" t="s">
        <v>10</v>
      </c>
      <c r="E15" s="17">
        <f>23.7+133+69.8</f>
        <v>226.5</v>
      </c>
      <c r="F15" s="13">
        <v>7765</v>
      </c>
      <c r="K15" s="3">
        <f t="shared" si="0"/>
        <v>0</v>
      </c>
    </row>
    <row r="16" spans="2:11" ht="15.75" x14ac:dyDescent="0.25">
      <c r="B16" s="14">
        <v>42444</v>
      </c>
      <c r="C16" s="15">
        <v>8662</v>
      </c>
      <c r="D16" s="16" t="s">
        <v>192</v>
      </c>
      <c r="E16" s="17">
        <v>187.4</v>
      </c>
      <c r="F16" s="13">
        <v>5715.7</v>
      </c>
      <c r="K16" s="3">
        <f t="shared" si="0"/>
        <v>0</v>
      </c>
    </row>
    <row r="17" spans="1:11" ht="15.75" x14ac:dyDescent="0.25">
      <c r="B17" s="14">
        <v>42444</v>
      </c>
      <c r="C17" s="15">
        <v>8663</v>
      </c>
      <c r="D17" s="16" t="s">
        <v>11</v>
      </c>
      <c r="E17" s="17">
        <f>18+6+67.5</f>
        <v>91.5</v>
      </c>
      <c r="F17" s="13">
        <v>2905.5</v>
      </c>
      <c r="K17" s="3">
        <f t="shared" si="0"/>
        <v>0</v>
      </c>
    </row>
    <row r="18" spans="1:11" ht="15.75" x14ac:dyDescent="0.25">
      <c r="B18" s="14">
        <v>42444</v>
      </c>
      <c r="C18" s="15">
        <v>8664</v>
      </c>
      <c r="D18" s="16" t="s">
        <v>7</v>
      </c>
      <c r="E18" s="17">
        <v>28.8</v>
      </c>
      <c r="F18" s="13">
        <v>1324.8</v>
      </c>
      <c r="K18" s="3">
        <f t="shared" si="0"/>
        <v>0</v>
      </c>
    </row>
    <row r="19" spans="1:11" ht="15.75" x14ac:dyDescent="0.25">
      <c r="B19" s="14">
        <v>42445</v>
      </c>
      <c r="C19" s="15">
        <v>8771</v>
      </c>
      <c r="D19" s="16" t="s">
        <v>11</v>
      </c>
      <c r="E19" s="17">
        <f>34.9+65</f>
        <v>99.9</v>
      </c>
      <c r="F19" s="13">
        <v>4105.5</v>
      </c>
      <c r="I19" s="3">
        <f t="shared" ref="I19" si="1">SUM(I6:I18)</f>
        <v>417.40000000000003</v>
      </c>
      <c r="J19" s="3"/>
      <c r="K19" s="3">
        <f>SUM(K6:K18)</f>
        <v>12638.7</v>
      </c>
    </row>
    <row r="20" spans="1:11" ht="15.75" x14ac:dyDescent="0.25">
      <c r="B20" s="14">
        <v>42445</v>
      </c>
      <c r="C20" s="15">
        <v>8773</v>
      </c>
      <c r="D20" s="16" t="s">
        <v>7</v>
      </c>
      <c r="E20" s="17">
        <v>74.599999999999994</v>
      </c>
      <c r="F20" s="13">
        <v>2238</v>
      </c>
    </row>
    <row r="21" spans="1:11" ht="15.75" x14ac:dyDescent="0.25">
      <c r="B21" s="14">
        <v>42445</v>
      </c>
      <c r="C21" s="15">
        <v>8774</v>
      </c>
      <c r="D21" s="16" t="s">
        <v>153</v>
      </c>
      <c r="E21" s="17">
        <v>80.599999999999994</v>
      </c>
      <c r="F21" s="13">
        <v>2418</v>
      </c>
    </row>
    <row r="22" spans="1:11" ht="15.75" x14ac:dyDescent="0.25">
      <c r="A22" s="18"/>
      <c r="B22" s="14">
        <v>42445</v>
      </c>
      <c r="C22" s="15">
        <v>8775</v>
      </c>
      <c r="D22" s="16" t="s">
        <v>14</v>
      </c>
      <c r="E22" s="17">
        <v>338.2</v>
      </c>
      <c r="F22" s="13">
        <v>10146</v>
      </c>
    </row>
    <row r="23" spans="1:11" ht="15.75" x14ac:dyDescent="0.25">
      <c r="B23" s="14">
        <v>42445</v>
      </c>
      <c r="C23" s="15">
        <v>8776</v>
      </c>
      <c r="D23" s="16" t="s">
        <v>20</v>
      </c>
      <c r="E23" s="17">
        <f>123.4+366.6</f>
        <v>490</v>
      </c>
      <c r="F23" s="13">
        <v>14823.4</v>
      </c>
    </row>
    <row r="24" spans="1:11" x14ac:dyDescent="0.25">
      <c r="B24" s="14">
        <v>42445</v>
      </c>
      <c r="C24" s="19">
        <v>8779</v>
      </c>
      <c r="D24" s="16" t="s">
        <v>6</v>
      </c>
      <c r="E24" s="17">
        <f>12.3+19.9+235.9+149.3</f>
        <v>417.40000000000003</v>
      </c>
      <c r="F24" s="13">
        <v>12638.7</v>
      </c>
    </row>
    <row r="25" spans="1:11" x14ac:dyDescent="0.25">
      <c r="B25" s="14">
        <v>42446</v>
      </c>
      <c r="C25" s="19">
        <v>8900</v>
      </c>
      <c r="D25" s="16" t="s">
        <v>153</v>
      </c>
      <c r="E25" s="17">
        <f>17.4+61.2</f>
        <v>78.599999999999994</v>
      </c>
      <c r="F25" s="13">
        <v>2166.6</v>
      </c>
    </row>
    <row r="26" spans="1:11" x14ac:dyDescent="0.25">
      <c r="B26" s="14">
        <v>42446</v>
      </c>
      <c r="C26" s="19">
        <v>8902</v>
      </c>
      <c r="D26" s="16" t="s">
        <v>288</v>
      </c>
      <c r="E26" s="17">
        <f>12.8+59.2+27.24</f>
        <v>99.24</v>
      </c>
      <c r="F26" s="13">
        <v>4299.5200000000004</v>
      </c>
    </row>
    <row r="27" spans="1:11" x14ac:dyDescent="0.25">
      <c r="B27" s="14">
        <v>42446</v>
      </c>
      <c r="C27" s="19">
        <v>8903</v>
      </c>
      <c r="D27" s="16" t="s">
        <v>11</v>
      </c>
      <c r="E27" s="17">
        <f>29.8+60.2</f>
        <v>90</v>
      </c>
      <c r="F27" s="13">
        <v>3629.2</v>
      </c>
    </row>
    <row r="28" spans="1:11" x14ac:dyDescent="0.25">
      <c r="B28" s="14">
        <v>42446</v>
      </c>
      <c r="C28" s="19">
        <v>8904</v>
      </c>
      <c r="D28" s="16" t="s">
        <v>9</v>
      </c>
      <c r="E28" s="17">
        <v>246.9</v>
      </c>
      <c r="F28" s="13">
        <v>7407</v>
      </c>
    </row>
    <row r="29" spans="1:11" x14ac:dyDescent="0.25">
      <c r="B29" s="14">
        <v>42446</v>
      </c>
      <c r="C29" s="19">
        <v>8905</v>
      </c>
      <c r="D29" s="16" t="s">
        <v>6</v>
      </c>
      <c r="E29" s="17">
        <v>66.5</v>
      </c>
      <c r="F29" s="13">
        <v>1995</v>
      </c>
    </row>
    <row r="30" spans="1:11" x14ac:dyDescent="0.25">
      <c r="B30" s="14">
        <v>42446</v>
      </c>
      <c r="C30" s="19">
        <v>8906</v>
      </c>
      <c r="D30" s="16" t="s">
        <v>20</v>
      </c>
      <c r="E30" s="17">
        <v>242.9</v>
      </c>
      <c r="F30" s="13">
        <v>7287</v>
      </c>
    </row>
    <row r="31" spans="1:11" x14ac:dyDescent="0.25">
      <c r="B31" s="14">
        <v>42446</v>
      </c>
      <c r="C31" s="19">
        <v>8907</v>
      </c>
      <c r="D31" s="16" t="s">
        <v>14</v>
      </c>
      <c r="E31" s="17">
        <f>251.7+98.8</f>
        <v>350.5</v>
      </c>
      <c r="F31" s="13">
        <v>10613.8</v>
      </c>
    </row>
    <row r="32" spans="1:11" x14ac:dyDescent="0.25">
      <c r="B32" s="14">
        <v>42446</v>
      </c>
      <c r="C32" s="19">
        <v>8908</v>
      </c>
      <c r="D32" s="16" t="s">
        <v>192</v>
      </c>
      <c r="E32" s="17">
        <v>69.599999999999994</v>
      </c>
      <c r="F32" s="13">
        <v>2088</v>
      </c>
    </row>
    <row r="33" spans="2:11" ht="15.75" x14ac:dyDescent="0.25">
      <c r="B33" s="14">
        <v>42446</v>
      </c>
      <c r="C33" s="15">
        <v>8926</v>
      </c>
      <c r="D33" s="16" t="s">
        <v>6</v>
      </c>
      <c r="E33" s="17">
        <f>13.8+1</f>
        <v>14.8</v>
      </c>
      <c r="F33" s="13">
        <v>861.2</v>
      </c>
    </row>
    <row r="34" spans="2:11" x14ac:dyDescent="0.25">
      <c r="B34" s="14">
        <v>42446</v>
      </c>
      <c r="C34" s="19">
        <v>8928</v>
      </c>
      <c r="D34" s="16" t="s">
        <v>286</v>
      </c>
      <c r="E34" s="17">
        <f>14.2+4.45</f>
        <v>18.649999999999999</v>
      </c>
      <c r="F34" s="13">
        <v>1775.6</v>
      </c>
      <c r="K34" s="3">
        <f t="shared" ref="K34:K55" si="2">J34*I34</f>
        <v>0</v>
      </c>
    </row>
    <row r="35" spans="2:11" x14ac:dyDescent="0.25">
      <c r="B35" s="14">
        <v>42447</v>
      </c>
      <c r="C35" s="19">
        <v>9020</v>
      </c>
      <c r="D35" s="16" t="s">
        <v>9</v>
      </c>
      <c r="E35" s="17">
        <v>403.8</v>
      </c>
      <c r="F35" s="13">
        <v>12114</v>
      </c>
    </row>
    <row r="36" spans="2:11" x14ac:dyDescent="0.25">
      <c r="B36" s="14">
        <v>42447</v>
      </c>
      <c r="C36" s="19">
        <v>9021</v>
      </c>
      <c r="D36" s="16" t="s">
        <v>20</v>
      </c>
      <c r="E36" s="17">
        <f>408.4+162.8</f>
        <v>571.20000000000005</v>
      </c>
      <c r="F36" s="13">
        <v>18601.2</v>
      </c>
    </row>
    <row r="37" spans="2:11" x14ac:dyDescent="0.25">
      <c r="B37" s="14">
        <v>42447</v>
      </c>
      <c r="C37" s="19">
        <v>9022</v>
      </c>
      <c r="D37" s="16" t="s">
        <v>288</v>
      </c>
      <c r="E37" s="17">
        <f>39.2+630+93.4</f>
        <v>762.6</v>
      </c>
      <c r="F37" s="13">
        <v>23155.200000000001</v>
      </c>
    </row>
    <row r="38" spans="2:11" x14ac:dyDescent="0.25">
      <c r="B38" s="14">
        <v>42447</v>
      </c>
      <c r="C38" s="19">
        <v>9023</v>
      </c>
      <c r="D38" s="16" t="s">
        <v>13</v>
      </c>
      <c r="E38" s="17">
        <f>121.3+84.4+245.2</f>
        <v>450.9</v>
      </c>
      <c r="F38" s="13">
        <v>11264.3</v>
      </c>
    </row>
    <row r="39" spans="2:11" x14ac:dyDescent="0.25">
      <c r="B39" s="14">
        <v>42447</v>
      </c>
      <c r="C39" s="19">
        <v>9024</v>
      </c>
      <c r="D39" s="16" t="s">
        <v>7</v>
      </c>
      <c r="E39" s="17">
        <f>63.6</f>
        <v>63.6</v>
      </c>
      <c r="F39" s="13">
        <v>1971.6</v>
      </c>
    </row>
    <row r="40" spans="2:11" x14ac:dyDescent="0.25">
      <c r="B40" s="14">
        <v>42447</v>
      </c>
      <c r="C40" s="19">
        <v>9025</v>
      </c>
      <c r="D40" s="16" t="s">
        <v>153</v>
      </c>
      <c r="E40" s="17">
        <v>80</v>
      </c>
      <c r="F40" s="13">
        <v>2400</v>
      </c>
    </row>
    <row r="41" spans="2:11" x14ac:dyDescent="0.25">
      <c r="B41" s="14">
        <v>42447</v>
      </c>
      <c r="C41" s="19">
        <v>9029</v>
      </c>
      <c r="D41" s="16" t="s">
        <v>6</v>
      </c>
      <c r="E41" s="17">
        <v>81.8</v>
      </c>
      <c r="F41" s="13">
        <v>2454</v>
      </c>
    </row>
    <row r="42" spans="2:11" x14ac:dyDescent="0.25">
      <c r="B42" s="14">
        <v>42447</v>
      </c>
      <c r="C42" s="19">
        <v>9031</v>
      </c>
      <c r="D42" s="16" t="s">
        <v>288</v>
      </c>
      <c r="E42" s="17">
        <v>322.39999999999998</v>
      </c>
      <c r="F42" s="13">
        <v>14830.4</v>
      </c>
    </row>
    <row r="43" spans="2:11" x14ac:dyDescent="0.25">
      <c r="B43" s="14">
        <v>42447</v>
      </c>
      <c r="C43" s="19">
        <v>9032</v>
      </c>
      <c r="D43" s="16" t="s">
        <v>288</v>
      </c>
      <c r="E43" s="17">
        <v>3</v>
      </c>
      <c r="F43" s="13">
        <v>555</v>
      </c>
    </row>
    <row r="44" spans="2:11" x14ac:dyDescent="0.25">
      <c r="B44" s="14">
        <v>42447</v>
      </c>
      <c r="C44" s="19">
        <v>9035</v>
      </c>
      <c r="D44" s="16" t="s">
        <v>20</v>
      </c>
      <c r="E44" s="17">
        <v>54.8</v>
      </c>
      <c r="F44" s="13">
        <v>1041.2</v>
      </c>
    </row>
    <row r="45" spans="2:11" x14ac:dyDescent="0.25">
      <c r="B45" s="14">
        <v>42447</v>
      </c>
      <c r="C45" s="19">
        <v>9036</v>
      </c>
      <c r="D45" s="16" t="s">
        <v>7</v>
      </c>
      <c r="E45" s="17">
        <v>37.1</v>
      </c>
      <c r="F45" s="13">
        <v>1150.0999999999999</v>
      </c>
    </row>
    <row r="46" spans="2:11" x14ac:dyDescent="0.25">
      <c r="B46" s="14">
        <v>42447</v>
      </c>
      <c r="C46" s="19">
        <v>9038</v>
      </c>
      <c r="D46" s="16" t="s">
        <v>6</v>
      </c>
      <c r="E46" s="17">
        <v>14</v>
      </c>
      <c r="F46" s="13">
        <v>434</v>
      </c>
    </row>
    <row r="47" spans="2:11" x14ac:dyDescent="0.25">
      <c r="B47" s="14">
        <v>42447</v>
      </c>
      <c r="C47" s="19">
        <v>9043</v>
      </c>
      <c r="D47" s="16" t="s">
        <v>12</v>
      </c>
      <c r="E47" s="17">
        <f>27.24+13.5</f>
        <v>40.739999999999995</v>
      </c>
      <c r="F47" s="13">
        <v>3265.02</v>
      </c>
    </row>
    <row r="48" spans="2:11" x14ac:dyDescent="0.25">
      <c r="B48" s="14">
        <v>42447</v>
      </c>
      <c r="C48" s="19">
        <v>9044</v>
      </c>
      <c r="D48" s="16" t="s">
        <v>12</v>
      </c>
      <c r="E48" s="17">
        <v>10.9</v>
      </c>
      <c r="F48" s="13">
        <v>1580.5</v>
      </c>
    </row>
    <row r="49" spans="2:13" x14ac:dyDescent="0.25">
      <c r="B49" s="14">
        <v>42448</v>
      </c>
      <c r="C49" s="19">
        <v>9198</v>
      </c>
      <c r="D49" s="16" t="s">
        <v>7</v>
      </c>
      <c r="E49" s="17">
        <f>24.6+1+46.9+1</f>
        <v>73.5</v>
      </c>
      <c r="F49" s="13">
        <v>4305.5</v>
      </c>
    </row>
    <row r="50" spans="2:13" x14ac:dyDescent="0.25">
      <c r="B50" s="14">
        <v>42448</v>
      </c>
      <c r="C50" s="19">
        <v>9199</v>
      </c>
      <c r="D50" s="16" t="s">
        <v>14</v>
      </c>
      <c r="E50" s="17">
        <f>350.4</f>
        <v>350.4</v>
      </c>
      <c r="F50" s="13">
        <v>10512</v>
      </c>
    </row>
    <row r="51" spans="2:13" x14ac:dyDescent="0.25">
      <c r="B51" s="14">
        <v>42448</v>
      </c>
      <c r="C51" s="19">
        <v>9200</v>
      </c>
      <c r="D51" s="16" t="s">
        <v>192</v>
      </c>
      <c r="E51" s="17">
        <v>407.3</v>
      </c>
      <c r="F51" s="13">
        <v>12219</v>
      </c>
    </row>
    <row r="52" spans="2:13" x14ac:dyDescent="0.25">
      <c r="B52" s="14">
        <v>42448</v>
      </c>
      <c r="C52" s="19">
        <v>9201</v>
      </c>
      <c r="D52" s="16" t="s">
        <v>20</v>
      </c>
      <c r="E52" s="17">
        <f>428.9+216.6</f>
        <v>645.5</v>
      </c>
      <c r="F52" s="13">
        <v>21314.400000000001</v>
      </c>
    </row>
    <row r="53" spans="2:13" x14ac:dyDescent="0.25">
      <c r="B53" s="14">
        <v>42448</v>
      </c>
      <c r="C53" s="19">
        <v>9202</v>
      </c>
      <c r="D53" s="16" t="s">
        <v>11</v>
      </c>
      <c r="E53" s="17">
        <f>110.1+16.1+48.9+33.3+3+80.2</f>
        <v>291.59999999999997</v>
      </c>
      <c r="F53" s="13">
        <v>11304.3</v>
      </c>
    </row>
    <row r="54" spans="2:13" ht="15.75" thickBot="1" x14ac:dyDescent="0.3">
      <c r="B54" s="14">
        <v>42448</v>
      </c>
      <c r="C54" s="19">
        <v>9205</v>
      </c>
      <c r="D54" s="16" t="s">
        <v>153</v>
      </c>
      <c r="E54" s="17">
        <v>85.8</v>
      </c>
      <c r="F54" s="13">
        <v>2574</v>
      </c>
    </row>
    <row r="55" spans="2:13" ht="15.75" thickBot="1" x14ac:dyDescent="0.3">
      <c r="B55" s="21"/>
      <c r="C55" s="22"/>
      <c r="D55" s="23"/>
      <c r="E55" s="24">
        <v>0</v>
      </c>
      <c r="F55" s="25">
        <f>SUM(F3:F54)</f>
        <v>397971.94000000006</v>
      </c>
      <c r="K55" s="3">
        <f t="shared" si="2"/>
        <v>0</v>
      </c>
    </row>
    <row r="56" spans="2:13" ht="19.5" thickBot="1" x14ac:dyDescent="0.35">
      <c r="B56" s="26"/>
      <c r="C56" s="27"/>
      <c r="D56" s="28" t="s">
        <v>5</v>
      </c>
      <c r="E56" s="29">
        <f>SUM(E3:E55)</f>
        <v>12372.229999999996</v>
      </c>
      <c r="I56" s="30">
        <f>SUM(I34:I55)</f>
        <v>0</v>
      </c>
      <c r="J56" s="30"/>
      <c r="K56" s="30">
        <f>SUM(K34:K55)</f>
        <v>0</v>
      </c>
    </row>
    <row r="57" spans="2:13" x14ac:dyDescent="0.25">
      <c r="B57" s="26"/>
      <c r="C57" s="27"/>
      <c r="D57" s="31"/>
      <c r="E57" s="32"/>
      <c r="K57"/>
    </row>
    <row r="58" spans="2:13" ht="21.75" thickBot="1" x14ac:dyDescent="0.4">
      <c r="B58" s="33"/>
      <c r="C58" s="34" t="s">
        <v>15</v>
      </c>
      <c r="D58" s="35">
        <f>E56*0.2</f>
        <v>2474.4459999999995</v>
      </c>
      <c r="F58"/>
      <c r="K58"/>
    </row>
    <row r="59" spans="2:13" ht="21.75" thickBot="1" x14ac:dyDescent="0.4">
      <c r="C59" s="36" t="s">
        <v>16</v>
      </c>
      <c r="D59" s="37">
        <v>3000</v>
      </c>
      <c r="E59" s="38"/>
      <c r="F59" s="85">
        <f>D58+D59</f>
        <v>5474.4459999999999</v>
      </c>
      <c r="G59" s="86"/>
      <c r="I59" s="39"/>
      <c r="J59" s="39"/>
      <c r="K59" s="39"/>
      <c r="L59" s="39"/>
      <c r="M59" s="39"/>
    </row>
    <row r="60" spans="2:13" ht="15.75" thickTop="1" x14ac:dyDescent="0.25">
      <c r="I60" s="39"/>
      <c r="J60" s="39"/>
      <c r="K60" s="40"/>
      <c r="L60" s="40"/>
      <c r="M60" s="40"/>
    </row>
    <row r="61" spans="2:13" ht="19.5" thickBot="1" x14ac:dyDescent="0.35">
      <c r="E61" s="41" t="s">
        <v>17</v>
      </c>
      <c r="F61" s="87">
        <v>0</v>
      </c>
      <c r="G61" s="87"/>
      <c r="I61" s="39"/>
      <c r="J61" s="39"/>
      <c r="K61" s="40"/>
      <c r="L61" s="40"/>
      <c r="M61" s="40"/>
    </row>
    <row r="62" spans="2:13" ht="15.75" thickTop="1" x14ac:dyDescent="0.25">
      <c r="C62"/>
      <c r="F62" s="88">
        <f>F59+F61</f>
        <v>5474.4459999999999</v>
      </c>
      <c r="G62" s="88"/>
      <c r="I62" s="39"/>
      <c r="J62" s="39"/>
      <c r="K62" s="40"/>
      <c r="L62" s="40"/>
      <c r="M62" s="40"/>
    </row>
    <row r="63" spans="2:13" ht="18.75" x14ac:dyDescent="0.3">
      <c r="C63"/>
      <c r="E63" s="2" t="s">
        <v>18</v>
      </c>
      <c r="F63" s="89"/>
      <c r="G63" s="89"/>
      <c r="K63"/>
    </row>
  </sheetData>
  <sortState ref="B10:F11">
    <sortCondition ref="C10:C11"/>
  </sortState>
  <mergeCells count="4">
    <mergeCell ref="B1:C1"/>
    <mergeCell ref="F59:G59"/>
    <mergeCell ref="F61:G61"/>
    <mergeCell ref="F62:G63"/>
  </mergeCells>
  <pageMargins left="0.70866141732283472" right="0.70866141732283472" top="0.74803149606299213" bottom="0.74803149606299213" header="0.31496062992125984" footer="0.31496062992125984"/>
  <pageSetup scale="7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G19" sqref="G19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42459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289</v>
      </c>
      <c r="G2" s="8"/>
      <c r="K2"/>
    </row>
    <row r="3" spans="2:11" ht="15.75" x14ac:dyDescent="0.25">
      <c r="B3" s="9">
        <v>42448</v>
      </c>
      <c r="C3" s="10">
        <v>9204</v>
      </c>
      <c r="D3" s="11" t="s">
        <v>9</v>
      </c>
      <c r="E3" s="12">
        <v>191.4</v>
      </c>
      <c r="F3" s="13">
        <v>2933.4</v>
      </c>
      <c r="K3"/>
    </row>
    <row r="4" spans="2:11" ht="15.75" x14ac:dyDescent="0.25">
      <c r="B4" s="14">
        <v>42450</v>
      </c>
      <c r="C4" s="15">
        <v>9410</v>
      </c>
      <c r="D4" s="16" t="s">
        <v>14</v>
      </c>
      <c r="E4" s="17">
        <f>360+141.6</f>
        <v>501.6</v>
      </c>
      <c r="F4" s="13">
        <v>15189.6</v>
      </c>
      <c r="K4"/>
    </row>
    <row r="5" spans="2:11" ht="15.75" x14ac:dyDescent="0.25">
      <c r="B5" s="14">
        <v>42450</v>
      </c>
      <c r="C5" s="15">
        <v>9411</v>
      </c>
      <c r="D5" s="16" t="s">
        <v>189</v>
      </c>
      <c r="E5" s="17">
        <f>345+176.6</f>
        <v>521.6</v>
      </c>
      <c r="F5" s="13">
        <v>17237.400000000001</v>
      </c>
      <c r="K5"/>
    </row>
    <row r="6" spans="2:11" ht="15.75" x14ac:dyDescent="0.25">
      <c r="B6" s="14">
        <v>42450</v>
      </c>
      <c r="C6" s="15">
        <v>9412</v>
      </c>
      <c r="D6" s="16" t="s">
        <v>192</v>
      </c>
      <c r="E6" s="17">
        <f>918.1+64.1</f>
        <v>982.2</v>
      </c>
      <c r="F6" s="13">
        <v>28301.85</v>
      </c>
      <c r="G6" t="s">
        <v>233</v>
      </c>
      <c r="I6">
        <v>12.3</v>
      </c>
      <c r="J6">
        <v>50</v>
      </c>
      <c r="K6" s="3">
        <f t="shared" ref="K6:K18" si="0">J6*I6</f>
        <v>615</v>
      </c>
    </row>
    <row r="7" spans="2:11" ht="15.75" x14ac:dyDescent="0.25">
      <c r="B7" s="14">
        <v>42450</v>
      </c>
      <c r="C7" s="15">
        <v>9413</v>
      </c>
      <c r="D7" s="16" t="s">
        <v>11</v>
      </c>
      <c r="E7" s="17">
        <v>123.6</v>
      </c>
      <c r="F7" s="13">
        <v>4944</v>
      </c>
      <c r="I7">
        <v>19.899999999999999</v>
      </c>
      <c r="J7">
        <v>16</v>
      </c>
      <c r="K7" s="3">
        <f t="shared" si="0"/>
        <v>318.39999999999998</v>
      </c>
    </row>
    <row r="8" spans="2:11" ht="15.75" x14ac:dyDescent="0.25">
      <c r="B8" s="14">
        <v>42450</v>
      </c>
      <c r="C8" s="15">
        <v>9414</v>
      </c>
      <c r="D8" s="16" t="s">
        <v>9</v>
      </c>
      <c r="E8" s="17">
        <f>205.6+52.3</f>
        <v>257.89999999999998</v>
      </c>
      <c r="F8" s="13">
        <v>7367.3</v>
      </c>
      <c r="I8">
        <v>235.9</v>
      </c>
      <c r="J8">
        <v>30</v>
      </c>
      <c r="K8" s="3">
        <f t="shared" si="0"/>
        <v>7077</v>
      </c>
    </row>
    <row r="9" spans="2:11" ht="15.75" x14ac:dyDescent="0.25">
      <c r="B9" s="14">
        <v>42450</v>
      </c>
      <c r="C9" s="15">
        <v>9415</v>
      </c>
      <c r="D9" s="16" t="s">
        <v>7</v>
      </c>
      <c r="E9" s="17">
        <v>205.6</v>
      </c>
      <c r="F9" s="13">
        <v>6373.6</v>
      </c>
      <c r="I9">
        <v>149.30000000000001</v>
      </c>
      <c r="J9">
        <v>31</v>
      </c>
      <c r="K9" s="3">
        <f t="shared" si="0"/>
        <v>4628.3</v>
      </c>
    </row>
    <row r="10" spans="2:11" ht="15.75" x14ac:dyDescent="0.25">
      <c r="B10" s="14">
        <v>42451</v>
      </c>
      <c r="C10" s="15">
        <v>9555</v>
      </c>
      <c r="D10" s="16" t="s">
        <v>9</v>
      </c>
      <c r="E10" s="17">
        <v>341.9</v>
      </c>
      <c r="F10" s="13">
        <v>13334.1</v>
      </c>
      <c r="K10" s="3">
        <f t="shared" si="0"/>
        <v>0</v>
      </c>
    </row>
    <row r="11" spans="2:11" ht="15.75" x14ac:dyDescent="0.25">
      <c r="B11" s="14">
        <v>42451</v>
      </c>
      <c r="C11" s="15">
        <v>9563</v>
      </c>
      <c r="D11" s="16" t="s">
        <v>14</v>
      </c>
      <c r="E11" s="17">
        <f>362.9+19.6</f>
        <v>382.5</v>
      </c>
      <c r="F11" s="13">
        <v>11847.4</v>
      </c>
      <c r="K11" s="3">
        <f t="shared" si="0"/>
        <v>0</v>
      </c>
    </row>
    <row r="12" spans="2:11" ht="15.75" x14ac:dyDescent="0.25">
      <c r="B12" s="14">
        <v>42451</v>
      </c>
      <c r="C12" s="44">
        <v>9567</v>
      </c>
      <c r="D12" s="16" t="s">
        <v>153</v>
      </c>
      <c r="E12" s="17">
        <v>39.299999999999997</v>
      </c>
      <c r="F12" s="13">
        <v>1277.25</v>
      </c>
      <c r="K12" s="3">
        <f t="shared" si="0"/>
        <v>0</v>
      </c>
    </row>
    <row r="13" spans="2:11" ht="15.75" x14ac:dyDescent="0.25">
      <c r="B13" s="14">
        <v>42451</v>
      </c>
      <c r="C13" s="15">
        <v>9569</v>
      </c>
      <c r="D13" s="16" t="s">
        <v>11</v>
      </c>
      <c r="E13" s="17">
        <f>21.2+18.8</f>
        <v>40</v>
      </c>
      <c r="F13" s="13">
        <v>1348.8</v>
      </c>
      <c r="K13" s="3">
        <f t="shared" si="0"/>
        <v>0</v>
      </c>
    </row>
    <row r="14" spans="2:11" ht="15.75" x14ac:dyDescent="0.25">
      <c r="B14" s="14">
        <v>42451</v>
      </c>
      <c r="C14" s="15">
        <v>9570</v>
      </c>
      <c r="D14" s="16" t="s">
        <v>7</v>
      </c>
      <c r="E14" s="17">
        <f>239.5+18.5+72.8</f>
        <v>330.8</v>
      </c>
      <c r="F14" s="13">
        <v>10032.799999999999</v>
      </c>
      <c r="K14" s="3">
        <f t="shared" si="0"/>
        <v>0</v>
      </c>
    </row>
    <row r="15" spans="2:11" ht="15.75" x14ac:dyDescent="0.25">
      <c r="B15" s="14">
        <v>42451</v>
      </c>
      <c r="C15" s="15">
        <v>9573</v>
      </c>
      <c r="D15" s="16" t="s">
        <v>189</v>
      </c>
      <c r="E15" s="17">
        <v>371.5</v>
      </c>
      <c r="F15" s="13">
        <v>11516.5</v>
      </c>
      <c r="K15" s="3">
        <f t="shared" si="0"/>
        <v>0</v>
      </c>
    </row>
    <row r="16" spans="2:11" ht="15.75" x14ac:dyDescent="0.25">
      <c r="B16" s="14">
        <v>42451</v>
      </c>
      <c r="C16" s="15">
        <v>9574</v>
      </c>
      <c r="D16" s="16" t="s">
        <v>6</v>
      </c>
      <c r="E16" s="17">
        <f>437.4+25.2</f>
        <v>462.59999999999997</v>
      </c>
      <c r="F16" s="13">
        <v>14104.8</v>
      </c>
      <c r="K16" s="3">
        <f t="shared" si="0"/>
        <v>0</v>
      </c>
    </row>
    <row r="17" spans="1:11" ht="15.75" x14ac:dyDescent="0.25">
      <c r="B17" s="14">
        <v>42451</v>
      </c>
      <c r="C17" s="15">
        <v>9575</v>
      </c>
      <c r="D17" s="16" t="s">
        <v>192</v>
      </c>
      <c r="E17" s="17">
        <f>22.4+11.2</f>
        <v>33.599999999999994</v>
      </c>
      <c r="F17" s="13">
        <v>1814.4</v>
      </c>
      <c r="K17" s="3">
        <f t="shared" si="0"/>
        <v>0</v>
      </c>
    </row>
    <row r="18" spans="1:11" ht="15.75" x14ac:dyDescent="0.25">
      <c r="B18" s="14">
        <v>42452</v>
      </c>
      <c r="C18" s="15">
        <v>9735</v>
      </c>
      <c r="D18" s="16" t="s">
        <v>11</v>
      </c>
      <c r="E18" s="17">
        <v>27.8</v>
      </c>
      <c r="F18" s="13">
        <v>1112</v>
      </c>
      <c r="K18" s="3">
        <f t="shared" si="0"/>
        <v>0</v>
      </c>
    </row>
    <row r="19" spans="1:11" ht="15.75" x14ac:dyDescent="0.25">
      <c r="B19" s="14">
        <v>42452</v>
      </c>
      <c r="C19" s="15">
        <v>9736</v>
      </c>
      <c r="D19" s="16" t="s">
        <v>7</v>
      </c>
      <c r="E19" s="17">
        <f>32+6.7+56.6+6.14+28.8</f>
        <v>130.24</v>
      </c>
      <c r="F19" s="13">
        <v>8067</v>
      </c>
      <c r="I19" s="3">
        <f t="shared" ref="I19" si="1">SUM(I6:I18)</f>
        <v>417.40000000000003</v>
      </c>
      <c r="J19" s="3"/>
      <c r="K19" s="3">
        <f>SUM(K6:K18)</f>
        <v>12638.7</v>
      </c>
    </row>
    <row r="20" spans="1:11" ht="15.75" x14ac:dyDescent="0.25">
      <c r="B20" s="14">
        <v>42452</v>
      </c>
      <c r="C20" s="15">
        <v>9737</v>
      </c>
      <c r="D20" s="16" t="s">
        <v>189</v>
      </c>
      <c r="E20" s="17">
        <f>120+250.4</f>
        <v>370.4</v>
      </c>
      <c r="F20" s="13">
        <v>13485.6</v>
      </c>
    </row>
    <row r="21" spans="1:11" ht="15.75" x14ac:dyDescent="0.25">
      <c r="B21" s="14">
        <v>42452</v>
      </c>
      <c r="C21" s="15">
        <v>9738</v>
      </c>
      <c r="D21" s="16" t="s">
        <v>192</v>
      </c>
      <c r="E21" s="17">
        <f>35.5+28.8</f>
        <v>64.3</v>
      </c>
      <c r="F21" s="13">
        <v>2425.3000000000002</v>
      </c>
    </row>
    <row r="22" spans="1:11" ht="15.75" x14ac:dyDescent="0.25">
      <c r="A22" s="18"/>
      <c r="B22" s="14">
        <v>42452</v>
      </c>
      <c r="C22" s="15">
        <v>9739</v>
      </c>
      <c r="D22" s="16" t="s">
        <v>153</v>
      </c>
      <c r="E22" s="17">
        <v>308</v>
      </c>
      <c r="F22" s="13">
        <v>12012</v>
      </c>
    </row>
    <row r="23" spans="1:11" ht="15.75" x14ac:dyDescent="0.25">
      <c r="B23" s="14">
        <v>42453</v>
      </c>
      <c r="C23" s="15">
        <v>9796</v>
      </c>
      <c r="D23" s="16" t="s">
        <v>192</v>
      </c>
      <c r="E23" s="17">
        <f>926.2+23.7+33.6+150.4</f>
        <v>1133.9000000000001</v>
      </c>
      <c r="F23" s="13">
        <v>32923.599999999999</v>
      </c>
    </row>
    <row r="24" spans="1:11" x14ac:dyDescent="0.25">
      <c r="B24" s="14">
        <v>42453</v>
      </c>
      <c r="C24" s="19">
        <v>9797</v>
      </c>
      <c r="D24" s="16" t="s">
        <v>189</v>
      </c>
      <c r="E24" s="17">
        <f>918.1+194.6</f>
        <v>1112.7</v>
      </c>
      <c r="F24" s="13">
        <v>34673.35</v>
      </c>
    </row>
    <row r="25" spans="1:11" x14ac:dyDescent="0.25">
      <c r="B25" s="14">
        <v>42453</v>
      </c>
      <c r="C25" s="19">
        <v>9798</v>
      </c>
      <c r="D25" s="16" t="s">
        <v>10</v>
      </c>
      <c r="E25" s="17">
        <f>81.72+2+6+86.8</f>
        <v>176.51999999999998</v>
      </c>
      <c r="F25" s="13">
        <v>10565.36</v>
      </c>
    </row>
    <row r="26" spans="1:11" x14ac:dyDescent="0.25">
      <c r="B26" s="14">
        <v>42453</v>
      </c>
      <c r="C26" s="19">
        <v>9867</v>
      </c>
      <c r="D26" s="16" t="s">
        <v>0</v>
      </c>
      <c r="E26" s="17">
        <f>6+171+292.4</f>
        <v>469.4</v>
      </c>
      <c r="F26" s="13">
        <v>20352.2</v>
      </c>
    </row>
    <row r="27" spans="1:11" x14ac:dyDescent="0.25">
      <c r="B27" s="14">
        <v>42454</v>
      </c>
      <c r="C27" s="19">
        <v>9889</v>
      </c>
      <c r="D27" s="16" t="s">
        <v>10</v>
      </c>
      <c r="E27" s="17">
        <f>912.6+544.1+225.4+5+29.7+249.2</f>
        <v>1966.0000000000002</v>
      </c>
      <c r="F27" s="13">
        <v>88210.5</v>
      </c>
    </row>
    <row r="28" spans="1:11" x14ac:dyDescent="0.25">
      <c r="B28" s="14">
        <v>42454</v>
      </c>
      <c r="C28" s="19">
        <v>9890</v>
      </c>
      <c r="D28" s="16" t="s">
        <v>189</v>
      </c>
      <c r="E28" s="17">
        <f>189.1+775.7+5</f>
        <v>969.80000000000007</v>
      </c>
      <c r="F28" s="13">
        <v>37433</v>
      </c>
    </row>
    <row r="29" spans="1:11" x14ac:dyDescent="0.25">
      <c r="B29" s="14">
        <v>42454</v>
      </c>
      <c r="C29" s="19">
        <v>9891</v>
      </c>
      <c r="D29" s="16" t="s">
        <v>12</v>
      </c>
      <c r="E29" s="17">
        <v>935.3</v>
      </c>
      <c r="F29" s="13">
        <v>27591.35</v>
      </c>
    </row>
    <row r="30" spans="1:11" x14ac:dyDescent="0.25">
      <c r="B30" s="14">
        <v>42454</v>
      </c>
      <c r="C30" s="19">
        <v>9892</v>
      </c>
      <c r="D30" s="16" t="s">
        <v>9</v>
      </c>
      <c r="E30" s="17">
        <f>382.6+100.5</f>
        <v>483.1</v>
      </c>
      <c r="F30" s="13">
        <v>13770.1</v>
      </c>
    </row>
    <row r="31" spans="1:11" x14ac:dyDescent="0.25">
      <c r="B31" s="14">
        <v>42455</v>
      </c>
      <c r="C31" s="19">
        <v>9976</v>
      </c>
      <c r="D31" s="16" t="s">
        <v>189</v>
      </c>
      <c r="E31" s="17">
        <v>324</v>
      </c>
      <c r="F31" s="13">
        <v>12636</v>
      </c>
    </row>
    <row r="32" spans="1:11" x14ac:dyDescent="0.25">
      <c r="B32" s="14">
        <v>42455</v>
      </c>
      <c r="C32" s="19">
        <v>9978</v>
      </c>
      <c r="D32" s="16" t="s">
        <v>6</v>
      </c>
      <c r="E32" s="17">
        <v>18.899999999999999</v>
      </c>
      <c r="F32" s="13">
        <v>245.7</v>
      </c>
    </row>
    <row r="33" spans="2:13" ht="15.75" x14ac:dyDescent="0.25">
      <c r="B33" s="14">
        <v>42455</v>
      </c>
      <c r="C33" s="15">
        <v>9979</v>
      </c>
      <c r="D33" s="16" t="s">
        <v>192</v>
      </c>
      <c r="E33" s="17">
        <v>163</v>
      </c>
      <c r="F33" s="13">
        <v>6357</v>
      </c>
    </row>
    <row r="34" spans="2:13" ht="15.75" thickBot="1" x14ac:dyDescent="0.3">
      <c r="B34" s="14"/>
      <c r="C34" s="19"/>
      <c r="D34" s="16"/>
      <c r="E34" s="17"/>
      <c r="F34" s="13"/>
      <c r="K34" s="3">
        <f t="shared" ref="K34:K35" si="2">J34*I34</f>
        <v>0</v>
      </c>
    </row>
    <row r="35" spans="2:13" ht="15.75" thickBot="1" x14ac:dyDescent="0.3">
      <c r="B35" s="21"/>
      <c r="C35" s="22"/>
      <c r="D35" s="23"/>
      <c r="E35" s="24">
        <v>0</v>
      </c>
      <c r="F35" s="25">
        <f>SUM(F3:F34)</f>
        <v>469483.25999999995</v>
      </c>
      <c r="K35" s="3">
        <f t="shared" si="2"/>
        <v>0</v>
      </c>
    </row>
    <row r="36" spans="2:13" ht="19.5" thickBot="1" x14ac:dyDescent="0.35">
      <c r="B36" s="26"/>
      <c r="C36" s="27"/>
      <c r="D36" s="28" t="s">
        <v>5</v>
      </c>
      <c r="E36" s="29">
        <f>SUM(E3:E35)</f>
        <v>13439.46</v>
      </c>
      <c r="I36" s="30">
        <f>SUM(I34:I35)</f>
        <v>0</v>
      </c>
      <c r="J36" s="30"/>
      <c r="K36" s="30">
        <f>SUM(K34:K35)</f>
        <v>0</v>
      </c>
    </row>
    <row r="37" spans="2:13" x14ac:dyDescent="0.25">
      <c r="B37" s="26"/>
      <c r="C37" s="27"/>
      <c r="D37" s="31"/>
      <c r="E37" s="32"/>
      <c r="K37"/>
    </row>
    <row r="38" spans="2:13" ht="21.75" thickBot="1" x14ac:dyDescent="0.4">
      <c r="B38" s="33"/>
      <c r="C38" s="34" t="s">
        <v>15</v>
      </c>
      <c r="D38" s="35">
        <f>E36*0.2</f>
        <v>2687.8919999999998</v>
      </c>
      <c r="F38"/>
      <c r="K38"/>
    </row>
    <row r="39" spans="2:13" ht="21.75" thickBot="1" x14ac:dyDescent="0.4">
      <c r="C39" s="36" t="s">
        <v>16</v>
      </c>
      <c r="D39" s="37">
        <v>3000</v>
      </c>
      <c r="E39" s="38"/>
      <c r="F39" s="85">
        <f>D38+D39</f>
        <v>5687.8919999999998</v>
      </c>
      <c r="G39" s="86"/>
      <c r="I39" s="39"/>
      <c r="J39" s="39"/>
      <c r="K39" s="39"/>
      <c r="L39" s="39"/>
      <c r="M39" s="39"/>
    </row>
    <row r="40" spans="2:13" ht="15.75" thickTop="1" x14ac:dyDescent="0.25">
      <c r="I40" s="39"/>
      <c r="J40" s="39"/>
      <c r="K40" s="40"/>
      <c r="L40" s="40"/>
      <c r="M40" s="40"/>
    </row>
    <row r="41" spans="2:13" ht="19.5" thickBot="1" x14ac:dyDescent="0.35">
      <c r="E41" s="41" t="s">
        <v>17</v>
      </c>
      <c r="F41" s="87">
        <v>0</v>
      </c>
      <c r="G41" s="87"/>
      <c r="I41" s="39"/>
      <c r="J41" s="39"/>
      <c r="K41" s="40"/>
      <c r="L41" s="40"/>
      <c r="M41" s="40"/>
    </row>
    <row r="42" spans="2:13" ht="15.75" thickTop="1" x14ac:dyDescent="0.25">
      <c r="C42"/>
      <c r="F42" s="88">
        <f>F39+F41</f>
        <v>5687.8919999999998</v>
      </c>
      <c r="G42" s="88"/>
      <c r="I42" s="39"/>
      <c r="J42" s="39"/>
      <c r="K42" s="40"/>
      <c r="L42" s="40"/>
      <c r="M42" s="40"/>
    </row>
    <row r="43" spans="2:13" ht="18.75" x14ac:dyDescent="0.3">
      <c r="C43"/>
      <c r="E43" s="2" t="s">
        <v>18</v>
      </c>
      <c r="F43" s="89"/>
      <c r="G43" s="89"/>
      <c r="K43"/>
    </row>
  </sheetData>
  <mergeCells count="4">
    <mergeCell ref="B1:C1"/>
    <mergeCell ref="F39:G39"/>
    <mergeCell ref="F41:G41"/>
    <mergeCell ref="F42:G43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59"/>
  <sheetViews>
    <sheetView topLeftCell="A34" workbookViewId="0">
      <selection activeCell="A34" sqref="A1:XFD104857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42465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290</v>
      </c>
      <c r="G2" s="8"/>
      <c r="K2"/>
    </row>
    <row r="3" spans="2:11" ht="15.75" x14ac:dyDescent="0.25">
      <c r="B3" s="9">
        <v>42455</v>
      </c>
      <c r="C3" s="10">
        <v>9977</v>
      </c>
      <c r="D3" s="11" t="s">
        <v>13</v>
      </c>
      <c r="E3" s="12">
        <f>302.6+210.2</f>
        <v>512.79999999999995</v>
      </c>
      <c r="F3" s="13">
        <v>15686.6</v>
      </c>
      <c r="K3"/>
    </row>
    <row r="4" spans="2:11" ht="15.75" x14ac:dyDescent="0.25">
      <c r="B4" s="14">
        <v>42455</v>
      </c>
      <c r="C4" s="15">
        <v>10159</v>
      </c>
      <c r="D4" s="16" t="s">
        <v>14</v>
      </c>
      <c r="E4" s="17">
        <f>19.2+72.2+330.4</f>
        <v>421.79999999999995</v>
      </c>
      <c r="F4" s="13">
        <v>12899</v>
      </c>
      <c r="K4"/>
    </row>
    <row r="5" spans="2:11" ht="15.75" x14ac:dyDescent="0.25">
      <c r="B5" s="14">
        <v>42457</v>
      </c>
      <c r="C5" s="15">
        <v>10160</v>
      </c>
      <c r="D5" s="16" t="s">
        <v>20</v>
      </c>
      <c r="E5" s="17">
        <f>106.1+403.6</f>
        <v>509.70000000000005</v>
      </c>
      <c r="F5" s="13">
        <v>16245.9</v>
      </c>
      <c r="K5"/>
    </row>
    <row r="6" spans="2:11" ht="15.75" x14ac:dyDescent="0.25">
      <c r="B6" s="14">
        <v>42457</v>
      </c>
      <c r="C6" s="15">
        <v>10162</v>
      </c>
      <c r="D6" s="16" t="s">
        <v>6</v>
      </c>
      <c r="E6" s="17">
        <v>85.8</v>
      </c>
      <c r="F6" s="13">
        <v>2574</v>
      </c>
      <c r="G6" t="s">
        <v>233</v>
      </c>
      <c r="K6" s="3">
        <f t="shared" ref="K6:K18" si="0">J6*I6</f>
        <v>0</v>
      </c>
    </row>
    <row r="7" spans="2:11" ht="15.75" x14ac:dyDescent="0.25">
      <c r="B7" s="14">
        <v>42457</v>
      </c>
      <c r="C7" s="15">
        <v>10163</v>
      </c>
      <c r="D7" s="16" t="s">
        <v>11</v>
      </c>
      <c r="E7" s="17">
        <v>99.2</v>
      </c>
      <c r="F7" s="13">
        <v>3868.8</v>
      </c>
      <c r="K7" s="3">
        <f t="shared" si="0"/>
        <v>0</v>
      </c>
    </row>
    <row r="8" spans="2:11" ht="15.75" x14ac:dyDescent="0.25">
      <c r="B8" s="14">
        <v>42458</v>
      </c>
      <c r="C8" s="15">
        <v>10273</v>
      </c>
      <c r="D8" s="16" t="s">
        <v>192</v>
      </c>
      <c r="E8" s="17">
        <v>99.4</v>
      </c>
      <c r="F8" s="13">
        <v>2982</v>
      </c>
      <c r="K8" s="3">
        <f t="shared" si="0"/>
        <v>0</v>
      </c>
    </row>
    <row r="9" spans="2:11" ht="15.75" x14ac:dyDescent="0.25">
      <c r="B9" s="14">
        <v>42458</v>
      </c>
      <c r="C9" s="15">
        <v>10274</v>
      </c>
      <c r="D9" s="16" t="s">
        <v>14</v>
      </c>
      <c r="E9" s="17">
        <f>28.9+261.1</f>
        <v>290</v>
      </c>
      <c r="F9" s="13">
        <v>9249.1</v>
      </c>
      <c r="K9" s="3">
        <f t="shared" si="0"/>
        <v>0</v>
      </c>
    </row>
    <row r="10" spans="2:11" ht="15.75" x14ac:dyDescent="0.25">
      <c r="B10" s="14">
        <v>42458</v>
      </c>
      <c r="C10" s="15">
        <v>10275</v>
      </c>
      <c r="D10" s="16" t="s">
        <v>9</v>
      </c>
      <c r="E10" s="17">
        <v>268.2</v>
      </c>
      <c r="F10" s="13">
        <v>7777.8</v>
      </c>
      <c r="K10" s="3">
        <f t="shared" si="0"/>
        <v>0</v>
      </c>
    </row>
    <row r="11" spans="2:11" ht="15.75" x14ac:dyDescent="0.25">
      <c r="B11" s="14">
        <v>42458</v>
      </c>
      <c r="C11" s="15">
        <v>10276</v>
      </c>
      <c r="D11" s="16" t="s">
        <v>11</v>
      </c>
      <c r="E11" s="17">
        <f>39.5+12.4</f>
        <v>51.9</v>
      </c>
      <c r="F11" s="13">
        <v>2536.1999999999998</v>
      </c>
      <c r="K11" s="3">
        <f t="shared" si="0"/>
        <v>0</v>
      </c>
    </row>
    <row r="12" spans="2:11" ht="15.75" x14ac:dyDescent="0.25">
      <c r="B12" s="14">
        <v>42458</v>
      </c>
      <c r="C12" s="44">
        <v>10277</v>
      </c>
      <c r="D12" s="16" t="s">
        <v>6</v>
      </c>
      <c r="E12" s="17">
        <f>39.1+36.3</f>
        <v>75.400000000000006</v>
      </c>
      <c r="F12" s="13">
        <v>2851.3</v>
      </c>
      <c r="K12" s="3">
        <f t="shared" si="0"/>
        <v>0</v>
      </c>
    </row>
    <row r="13" spans="2:11" ht="15.75" x14ac:dyDescent="0.25">
      <c r="B13" s="14">
        <v>42458</v>
      </c>
      <c r="C13" s="15">
        <v>10278</v>
      </c>
      <c r="D13" s="16" t="s">
        <v>20</v>
      </c>
      <c r="E13" s="17">
        <f>338.1+219.8</f>
        <v>557.90000000000009</v>
      </c>
      <c r="F13" s="13">
        <v>18715.2</v>
      </c>
      <c r="K13" s="3">
        <f t="shared" si="0"/>
        <v>0</v>
      </c>
    </row>
    <row r="14" spans="2:11" ht="15.75" x14ac:dyDescent="0.25">
      <c r="B14" s="14">
        <v>42458</v>
      </c>
      <c r="C14" s="15">
        <v>10279</v>
      </c>
      <c r="D14" s="16" t="s">
        <v>7</v>
      </c>
      <c r="E14" s="17">
        <v>247.9</v>
      </c>
      <c r="F14" s="13">
        <v>7684.9</v>
      </c>
      <c r="K14" s="3">
        <f t="shared" si="0"/>
        <v>0</v>
      </c>
    </row>
    <row r="15" spans="2:11" ht="15.75" x14ac:dyDescent="0.25">
      <c r="B15" s="14">
        <v>42459</v>
      </c>
      <c r="C15" s="15">
        <v>10386</v>
      </c>
      <c r="D15" s="16" t="s">
        <v>13</v>
      </c>
      <c r="E15" s="17">
        <f>1011+47.6+40.8+229.2</f>
        <v>1328.6</v>
      </c>
      <c r="F15" s="13">
        <v>37638.800000000003</v>
      </c>
      <c r="K15" s="3">
        <f t="shared" si="0"/>
        <v>0</v>
      </c>
    </row>
    <row r="16" spans="2:11" ht="15.75" x14ac:dyDescent="0.25">
      <c r="B16" s="14">
        <v>42459</v>
      </c>
      <c r="C16" s="15">
        <v>10387</v>
      </c>
      <c r="D16" s="16" t="s">
        <v>192</v>
      </c>
      <c r="E16" s="17">
        <v>992</v>
      </c>
      <c r="F16" s="13">
        <v>27776</v>
      </c>
      <c r="K16" s="3">
        <f t="shared" si="0"/>
        <v>0</v>
      </c>
    </row>
    <row r="17" spans="1:11" ht="15.75" x14ac:dyDescent="0.25">
      <c r="B17" s="14">
        <v>42459</v>
      </c>
      <c r="C17" s="15">
        <v>10388</v>
      </c>
      <c r="D17" s="16" t="s">
        <v>20</v>
      </c>
      <c r="E17" s="17">
        <f>395.3+284.9+114.4</f>
        <v>794.6</v>
      </c>
      <c r="F17" s="13">
        <v>26287.7</v>
      </c>
      <c r="K17" s="3">
        <f t="shared" si="0"/>
        <v>0</v>
      </c>
    </row>
    <row r="18" spans="1:11" ht="15.75" x14ac:dyDescent="0.25">
      <c r="B18" s="14">
        <v>42459</v>
      </c>
      <c r="C18" s="15">
        <v>10389</v>
      </c>
      <c r="D18" s="16" t="s">
        <v>6</v>
      </c>
      <c r="E18" s="17">
        <f>83.4+371.2+42.9+1+13.94</f>
        <v>512.44000000000005</v>
      </c>
      <c r="F18" s="13">
        <v>15495.66</v>
      </c>
      <c r="K18" s="3">
        <f t="shared" si="0"/>
        <v>0</v>
      </c>
    </row>
    <row r="19" spans="1:11" ht="15.75" x14ac:dyDescent="0.25">
      <c r="B19" s="14">
        <v>42459</v>
      </c>
      <c r="C19" s="15">
        <v>10390</v>
      </c>
      <c r="D19" s="16" t="s">
        <v>14</v>
      </c>
      <c r="E19" s="17">
        <v>313.39999999999998</v>
      </c>
      <c r="F19" s="13">
        <v>9402</v>
      </c>
      <c r="I19" s="3">
        <f t="shared" ref="I19" si="1">SUM(I6:I18)</f>
        <v>0</v>
      </c>
      <c r="J19" s="3"/>
      <c r="K19" s="3">
        <f>SUM(K6:K18)</f>
        <v>0</v>
      </c>
    </row>
    <row r="20" spans="1:11" ht="15.75" x14ac:dyDescent="0.25">
      <c r="B20" s="14">
        <v>42459</v>
      </c>
      <c r="C20" s="15">
        <v>10391</v>
      </c>
      <c r="D20" s="16" t="s">
        <v>10</v>
      </c>
      <c r="E20" s="17">
        <v>258.60000000000002</v>
      </c>
      <c r="F20" s="13">
        <v>7758</v>
      </c>
    </row>
    <row r="21" spans="1:11" ht="15.75" x14ac:dyDescent="0.25">
      <c r="B21" s="14">
        <v>42459</v>
      </c>
      <c r="C21" s="15">
        <v>10392</v>
      </c>
      <c r="D21" s="16" t="s">
        <v>7</v>
      </c>
      <c r="E21" s="17">
        <v>80.900000000000006</v>
      </c>
      <c r="F21" s="13">
        <v>2424</v>
      </c>
    </row>
    <row r="22" spans="1:11" ht="15.75" x14ac:dyDescent="0.25">
      <c r="A22" s="18"/>
      <c r="B22" s="14">
        <v>42459</v>
      </c>
      <c r="C22" s="15">
        <v>10393</v>
      </c>
      <c r="D22" s="16" t="s">
        <v>11</v>
      </c>
      <c r="E22" s="17">
        <v>60.8</v>
      </c>
      <c r="F22" s="13">
        <v>2371.1999999999998</v>
      </c>
    </row>
    <row r="23" spans="1:11" ht="15.75" x14ac:dyDescent="0.25">
      <c r="B23" s="14">
        <v>42460</v>
      </c>
      <c r="C23" s="15">
        <v>10537</v>
      </c>
      <c r="D23" s="16" t="s">
        <v>6</v>
      </c>
      <c r="E23" s="17">
        <f>15.6+72.8</f>
        <v>88.399999999999991</v>
      </c>
      <c r="F23" s="13">
        <v>2948.4</v>
      </c>
    </row>
    <row r="24" spans="1:11" x14ac:dyDescent="0.25">
      <c r="B24" s="14">
        <v>42460</v>
      </c>
      <c r="C24" s="19">
        <v>10538</v>
      </c>
      <c r="D24" s="16" t="s">
        <v>13</v>
      </c>
      <c r="E24" s="17">
        <f>62.4+123.8+27.22</f>
        <v>213.42</v>
      </c>
      <c r="F24" s="13">
        <v>4805.84</v>
      </c>
    </row>
    <row r="25" spans="1:11" x14ac:dyDescent="0.25">
      <c r="B25" s="14">
        <v>42460</v>
      </c>
      <c r="C25" s="19">
        <v>10539</v>
      </c>
      <c r="D25" s="16" t="s">
        <v>9</v>
      </c>
      <c r="E25" s="17">
        <v>323.89999999999998</v>
      </c>
      <c r="F25" s="13">
        <v>10040.9</v>
      </c>
    </row>
    <row r="26" spans="1:11" x14ac:dyDescent="0.25">
      <c r="B26" s="14">
        <v>42460</v>
      </c>
      <c r="C26" s="19">
        <v>10540</v>
      </c>
      <c r="D26" s="16" t="s">
        <v>11</v>
      </c>
      <c r="E26" s="17">
        <v>86</v>
      </c>
      <c r="F26" s="13">
        <v>3440</v>
      </c>
    </row>
    <row r="27" spans="1:11" x14ac:dyDescent="0.25">
      <c r="B27" s="14">
        <v>42460</v>
      </c>
      <c r="C27" s="19">
        <v>10541</v>
      </c>
      <c r="D27" s="16" t="s">
        <v>20</v>
      </c>
      <c r="E27" s="17">
        <v>494.5</v>
      </c>
      <c r="F27" s="13">
        <v>14835</v>
      </c>
    </row>
    <row r="28" spans="1:11" x14ac:dyDescent="0.25">
      <c r="B28" s="14">
        <v>42461</v>
      </c>
      <c r="C28" s="19">
        <v>10681</v>
      </c>
      <c r="D28" s="16" t="s">
        <v>10</v>
      </c>
      <c r="E28" s="17">
        <f>55.8+443.4+4+54.48</f>
        <v>557.67999999999995</v>
      </c>
      <c r="F28" s="13">
        <v>17167.52</v>
      </c>
    </row>
    <row r="29" spans="1:11" x14ac:dyDescent="0.25">
      <c r="B29" s="14">
        <v>42461</v>
      </c>
      <c r="C29" s="19">
        <v>10682</v>
      </c>
      <c r="D29" s="16" t="s">
        <v>20</v>
      </c>
      <c r="E29" s="17">
        <v>29.9</v>
      </c>
      <c r="F29" s="13">
        <v>1913.6</v>
      </c>
    </row>
    <row r="30" spans="1:11" x14ac:dyDescent="0.25">
      <c r="B30" s="14">
        <v>42461</v>
      </c>
      <c r="C30" s="19">
        <v>10683</v>
      </c>
      <c r="D30" s="16" t="s">
        <v>14</v>
      </c>
      <c r="E30" s="17">
        <v>187.8</v>
      </c>
      <c r="F30" s="13">
        <v>13146</v>
      </c>
    </row>
    <row r="31" spans="1:11" x14ac:dyDescent="0.25">
      <c r="B31" s="14">
        <v>42461</v>
      </c>
      <c r="C31" s="19">
        <v>10692</v>
      </c>
      <c r="D31" s="16" t="s">
        <v>20</v>
      </c>
      <c r="E31" s="17">
        <f>111+447.8</f>
        <v>558.79999999999995</v>
      </c>
      <c r="F31" s="13">
        <v>17763</v>
      </c>
    </row>
    <row r="32" spans="1:11" x14ac:dyDescent="0.25">
      <c r="B32" s="14">
        <v>42461</v>
      </c>
      <c r="C32" s="19">
        <v>10693</v>
      </c>
      <c r="D32" s="16" t="s">
        <v>6</v>
      </c>
      <c r="E32" s="17">
        <f>24.9+234.6</f>
        <v>259.5</v>
      </c>
      <c r="F32" s="13">
        <v>7671</v>
      </c>
    </row>
    <row r="33" spans="2:6" customFormat="1" x14ac:dyDescent="0.25">
      <c r="B33" s="14">
        <v>42461</v>
      </c>
      <c r="C33" s="19">
        <v>10694</v>
      </c>
      <c r="D33" s="16" t="s">
        <v>7</v>
      </c>
      <c r="E33" s="17">
        <v>90.6</v>
      </c>
      <c r="F33" s="13">
        <v>2718</v>
      </c>
    </row>
    <row r="34" spans="2:6" customFormat="1" x14ac:dyDescent="0.25">
      <c r="B34" s="14">
        <v>42461</v>
      </c>
      <c r="C34" s="19">
        <v>10695</v>
      </c>
      <c r="D34" s="16" t="s">
        <v>192</v>
      </c>
      <c r="E34" s="17">
        <v>185.9</v>
      </c>
      <c r="F34" s="13">
        <v>5577</v>
      </c>
    </row>
    <row r="35" spans="2:6" customFormat="1" x14ac:dyDescent="0.25">
      <c r="B35" s="14">
        <v>42461</v>
      </c>
      <c r="C35" s="19">
        <v>10696</v>
      </c>
      <c r="D35" s="16" t="s">
        <v>9</v>
      </c>
      <c r="E35" s="17">
        <v>422.5</v>
      </c>
      <c r="F35" s="13">
        <v>13097.5</v>
      </c>
    </row>
    <row r="36" spans="2:6" customFormat="1" x14ac:dyDescent="0.25">
      <c r="B36" s="14">
        <v>42461</v>
      </c>
      <c r="C36" s="19">
        <v>10697</v>
      </c>
      <c r="D36" s="16" t="s">
        <v>7</v>
      </c>
      <c r="E36" s="17">
        <v>51.2</v>
      </c>
      <c r="F36" s="13">
        <v>972.8</v>
      </c>
    </row>
    <row r="37" spans="2:6" customFormat="1" x14ac:dyDescent="0.25">
      <c r="B37" s="14">
        <v>42461</v>
      </c>
      <c r="C37" s="19">
        <v>10698</v>
      </c>
      <c r="D37" s="16" t="s">
        <v>9</v>
      </c>
      <c r="E37" s="17">
        <v>116.6</v>
      </c>
      <c r="F37" s="13">
        <v>3381.4</v>
      </c>
    </row>
    <row r="38" spans="2:6" customFormat="1" x14ac:dyDescent="0.25">
      <c r="B38" s="14">
        <v>42461</v>
      </c>
      <c r="C38" s="19">
        <v>10699</v>
      </c>
      <c r="D38" s="16" t="s">
        <v>20</v>
      </c>
      <c r="E38" s="17">
        <v>43.3</v>
      </c>
      <c r="F38" s="13">
        <v>822.7</v>
      </c>
    </row>
    <row r="39" spans="2:6" customFormat="1" x14ac:dyDescent="0.25">
      <c r="B39" s="14">
        <v>42461</v>
      </c>
      <c r="C39" s="19">
        <v>10700</v>
      </c>
      <c r="D39" s="16" t="s">
        <v>10</v>
      </c>
      <c r="E39" s="17">
        <f>251.6+281.6</f>
        <v>533.20000000000005</v>
      </c>
      <c r="F39" s="13">
        <v>20021.599999999999</v>
      </c>
    </row>
    <row r="40" spans="2:6" customFormat="1" x14ac:dyDescent="0.25">
      <c r="B40" s="14">
        <v>42461</v>
      </c>
      <c r="C40" s="19">
        <v>10701</v>
      </c>
      <c r="D40" s="16" t="s">
        <v>9</v>
      </c>
      <c r="E40" s="17">
        <v>30.1</v>
      </c>
      <c r="F40" s="13">
        <v>571.9</v>
      </c>
    </row>
    <row r="41" spans="2:6" customFormat="1" ht="15.75" x14ac:dyDescent="0.25">
      <c r="B41" s="14">
        <v>42462</v>
      </c>
      <c r="C41" s="15">
        <v>10851</v>
      </c>
      <c r="D41" s="16" t="s">
        <v>20</v>
      </c>
      <c r="E41" s="17">
        <v>854.1</v>
      </c>
      <c r="F41" s="13">
        <v>25623</v>
      </c>
    </row>
    <row r="42" spans="2:6" customFormat="1" ht="15.75" x14ac:dyDescent="0.25">
      <c r="B42" s="14">
        <v>42462</v>
      </c>
      <c r="C42" s="15">
        <v>10852</v>
      </c>
      <c r="D42" s="16" t="s">
        <v>9</v>
      </c>
      <c r="E42" s="17">
        <v>836.7</v>
      </c>
      <c r="F42" s="13">
        <v>25101</v>
      </c>
    </row>
    <row r="43" spans="2:6" customFormat="1" ht="15.75" x14ac:dyDescent="0.25">
      <c r="B43" s="14">
        <v>42462</v>
      </c>
      <c r="C43" s="15">
        <v>10853</v>
      </c>
      <c r="D43" s="16" t="s">
        <v>13</v>
      </c>
      <c r="E43" s="17">
        <f>46.3+391.4</f>
        <v>437.7</v>
      </c>
      <c r="F43" s="13">
        <v>12621.7</v>
      </c>
    </row>
    <row r="44" spans="2:6" customFormat="1" ht="15.75" x14ac:dyDescent="0.25">
      <c r="B44" s="14">
        <v>42462</v>
      </c>
      <c r="C44" s="15">
        <v>10854</v>
      </c>
      <c r="D44" s="16" t="s">
        <v>192</v>
      </c>
      <c r="E44" s="17">
        <f>59.2+86.1</f>
        <v>145.30000000000001</v>
      </c>
      <c r="F44" s="13">
        <v>2330.1999999999998</v>
      </c>
    </row>
    <row r="45" spans="2:6" customFormat="1" ht="15.75" x14ac:dyDescent="0.25">
      <c r="B45" s="14">
        <v>42462</v>
      </c>
      <c r="C45" s="15">
        <v>10855</v>
      </c>
      <c r="D45" s="16" t="s">
        <v>7</v>
      </c>
      <c r="E45" s="17">
        <f>27.24+15.7+2</f>
        <v>44.94</v>
      </c>
      <c r="F45" s="13">
        <v>1866.86</v>
      </c>
    </row>
    <row r="46" spans="2:6" customFormat="1" ht="15.75" x14ac:dyDescent="0.25">
      <c r="B46" s="14">
        <v>42462</v>
      </c>
      <c r="C46" s="15">
        <v>10856</v>
      </c>
      <c r="D46" s="16" t="s">
        <v>6</v>
      </c>
      <c r="E46" s="17">
        <f>1+15.9+100.2</f>
        <v>117.1</v>
      </c>
      <c r="F46" s="13">
        <v>3493.1</v>
      </c>
    </row>
    <row r="47" spans="2:6" customFormat="1" ht="15.75" x14ac:dyDescent="0.25">
      <c r="B47" s="14">
        <v>42462</v>
      </c>
      <c r="C47" s="15">
        <v>10857</v>
      </c>
      <c r="D47" s="16" t="s">
        <v>14</v>
      </c>
      <c r="E47" s="17">
        <f>365+13</f>
        <v>378</v>
      </c>
      <c r="F47" s="13">
        <v>11535</v>
      </c>
    </row>
    <row r="48" spans="2:6" customFormat="1" ht="15.75" x14ac:dyDescent="0.25">
      <c r="B48" s="14">
        <v>42462</v>
      </c>
      <c r="C48" s="15">
        <v>10858</v>
      </c>
      <c r="D48" s="16" t="s">
        <v>11</v>
      </c>
      <c r="E48" s="17">
        <v>11.9</v>
      </c>
      <c r="F48" s="13">
        <v>249.9</v>
      </c>
    </row>
    <row r="49" spans="2:13" ht="15.75" x14ac:dyDescent="0.25">
      <c r="B49" s="14">
        <v>42462</v>
      </c>
      <c r="C49" s="15">
        <v>10890</v>
      </c>
      <c r="D49" s="16" t="s">
        <v>291</v>
      </c>
      <c r="E49" s="17">
        <f>155.6+153.4+97.2</f>
        <v>406.2</v>
      </c>
      <c r="F49" s="13">
        <v>15545.8</v>
      </c>
    </row>
    <row r="50" spans="2:13" ht="15.75" thickBot="1" x14ac:dyDescent="0.3">
      <c r="B50" s="14">
        <v>42462</v>
      </c>
      <c r="C50" s="19">
        <v>10892</v>
      </c>
      <c r="D50" s="16" t="s">
        <v>292</v>
      </c>
      <c r="E50" s="17">
        <v>104.2</v>
      </c>
      <c r="F50" s="13">
        <v>1979.8</v>
      </c>
      <c r="K50" s="3">
        <f t="shared" ref="K50:K51" si="2">J50*I50</f>
        <v>0</v>
      </c>
    </row>
    <row r="51" spans="2:13" ht="15.75" thickBot="1" x14ac:dyDescent="0.3">
      <c r="B51" s="21" t="s">
        <v>233</v>
      </c>
      <c r="C51" s="22"/>
      <c r="D51" s="23"/>
      <c r="E51" s="24">
        <v>0</v>
      </c>
      <c r="F51" s="25">
        <f>SUM(F3:F50)</f>
        <v>473464.68</v>
      </c>
      <c r="K51" s="3">
        <f t="shared" si="2"/>
        <v>0</v>
      </c>
    </row>
    <row r="52" spans="2:13" ht="19.5" thickBot="1" x14ac:dyDescent="0.35">
      <c r="B52" s="26"/>
      <c r="C52" s="27"/>
      <c r="D52" s="28" t="s">
        <v>5</v>
      </c>
      <c r="E52" s="29">
        <f>SUM(E3:E51)</f>
        <v>15170.780000000004</v>
      </c>
      <c r="I52" s="30">
        <f>SUM(I50:I51)</f>
        <v>0</v>
      </c>
      <c r="J52" s="30"/>
      <c r="K52" s="30">
        <f>SUM(K50:K51)</f>
        <v>0</v>
      </c>
    </row>
    <row r="53" spans="2:13" x14ac:dyDescent="0.25">
      <c r="B53" s="26"/>
      <c r="C53" s="27"/>
      <c r="D53" s="31"/>
      <c r="E53" s="32"/>
      <c r="K53"/>
    </row>
    <row r="54" spans="2:13" ht="21.75" thickBot="1" x14ac:dyDescent="0.4">
      <c r="B54" s="33"/>
      <c r="C54" s="34" t="s">
        <v>15</v>
      </c>
      <c r="D54" s="35">
        <f>E52*0.2</f>
        <v>3034.1560000000009</v>
      </c>
      <c r="F54"/>
      <c r="K54"/>
    </row>
    <row r="55" spans="2:13" ht="21.75" thickBot="1" x14ac:dyDescent="0.4">
      <c r="C55" s="36" t="s">
        <v>16</v>
      </c>
      <c r="D55" s="37">
        <v>3000</v>
      </c>
      <c r="E55" s="38"/>
      <c r="F55" s="85">
        <f>D54+D55</f>
        <v>6034.1560000000009</v>
      </c>
      <c r="G55" s="86"/>
      <c r="I55" s="39"/>
      <c r="J55" s="39"/>
      <c r="K55" s="39"/>
      <c r="L55" s="39"/>
      <c r="M55" s="39"/>
    </row>
    <row r="56" spans="2:13" ht="15.75" thickTop="1" x14ac:dyDescent="0.25">
      <c r="I56" s="39"/>
      <c r="J56" s="39"/>
      <c r="K56" s="40"/>
      <c r="L56" s="40"/>
      <c r="M56" s="40"/>
    </row>
    <row r="57" spans="2:13" ht="19.5" thickBot="1" x14ac:dyDescent="0.35">
      <c r="E57" s="41" t="s">
        <v>17</v>
      </c>
      <c r="F57" s="87">
        <v>0</v>
      </c>
      <c r="G57" s="87"/>
      <c r="I57" s="39"/>
      <c r="J57" s="39"/>
      <c r="K57" s="40"/>
      <c r="L57" s="40"/>
      <c r="M57" s="40"/>
    </row>
    <row r="58" spans="2:13" ht="15.75" thickTop="1" x14ac:dyDescent="0.25">
      <c r="C58"/>
      <c r="F58" s="88">
        <f>F55+F57</f>
        <v>6034.1560000000009</v>
      </c>
      <c r="G58" s="88"/>
      <c r="I58" s="39"/>
      <c r="J58" s="39"/>
      <c r="K58" s="40"/>
      <c r="L58" s="40"/>
      <c r="M58" s="40"/>
    </row>
    <row r="59" spans="2:13" ht="18.75" x14ac:dyDescent="0.3">
      <c r="C59"/>
      <c r="E59" s="2" t="s">
        <v>18</v>
      </c>
      <c r="F59" s="89"/>
      <c r="G59" s="89"/>
      <c r="K59"/>
    </row>
  </sheetData>
  <mergeCells count="4">
    <mergeCell ref="B1:C1"/>
    <mergeCell ref="F55:G55"/>
    <mergeCell ref="F57:G57"/>
    <mergeCell ref="F58:G59"/>
  </mergeCells>
  <pageMargins left="0.70866141732283472" right="0.70866141732283472" top="0.35433070866141736" bottom="0.15748031496062992" header="0.31496062992125984" footer="0.31496062992125984"/>
  <pageSetup scale="8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M55"/>
  <sheetViews>
    <sheetView topLeftCell="A34" workbookViewId="0">
      <selection activeCell="A34" sqref="A1:XFD104857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42473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293</v>
      </c>
      <c r="G2" s="8"/>
      <c r="K2"/>
    </row>
    <row r="3" spans="2:11" ht="15.75" x14ac:dyDescent="0.25">
      <c r="B3" s="9">
        <v>42464</v>
      </c>
      <c r="C3" s="10">
        <v>11101</v>
      </c>
      <c r="D3" s="11" t="s">
        <v>9</v>
      </c>
      <c r="E3" s="12">
        <f>141.9+441.6</f>
        <v>583.5</v>
      </c>
      <c r="F3" s="13">
        <v>18782.099999999999</v>
      </c>
      <c r="K3"/>
    </row>
    <row r="4" spans="2:11" ht="15.75" x14ac:dyDescent="0.25">
      <c r="B4" s="14">
        <v>42464</v>
      </c>
      <c r="C4" s="15">
        <v>11102</v>
      </c>
      <c r="D4" s="16" t="s">
        <v>14</v>
      </c>
      <c r="E4" s="17">
        <v>284</v>
      </c>
      <c r="F4" s="13">
        <v>8520</v>
      </c>
      <c r="K4"/>
    </row>
    <row r="5" spans="2:11" ht="15.75" x14ac:dyDescent="0.25">
      <c r="B5" s="14">
        <v>42464</v>
      </c>
      <c r="C5" s="15">
        <v>11103</v>
      </c>
      <c r="D5" s="16" t="s">
        <v>10</v>
      </c>
      <c r="E5" s="17">
        <v>293.3</v>
      </c>
      <c r="F5" s="13">
        <v>8799</v>
      </c>
      <c r="K5"/>
    </row>
    <row r="6" spans="2:11" ht="15.75" x14ac:dyDescent="0.25">
      <c r="B6" s="14">
        <v>42464</v>
      </c>
      <c r="C6" s="15">
        <v>11104</v>
      </c>
      <c r="D6" s="16" t="s">
        <v>153</v>
      </c>
      <c r="E6" s="17">
        <v>95.7</v>
      </c>
      <c r="F6" s="13">
        <v>2871</v>
      </c>
      <c r="G6" t="s">
        <v>233</v>
      </c>
      <c r="K6" s="3">
        <f t="shared" ref="K6:K18" si="0">J6*I6</f>
        <v>0</v>
      </c>
    </row>
    <row r="7" spans="2:11" ht="15.75" x14ac:dyDescent="0.25">
      <c r="B7" s="14">
        <v>42464</v>
      </c>
      <c r="C7" s="15">
        <v>11105</v>
      </c>
      <c r="D7" s="16" t="s">
        <v>20</v>
      </c>
      <c r="E7" s="17">
        <v>867.4</v>
      </c>
      <c r="F7" s="13">
        <v>26022</v>
      </c>
      <c r="K7" s="3">
        <f t="shared" si="0"/>
        <v>0</v>
      </c>
    </row>
    <row r="8" spans="2:11" ht="15.75" x14ac:dyDescent="0.25">
      <c r="B8" s="14">
        <v>42465</v>
      </c>
      <c r="C8" s="15">
        <v>11246</v>
      </c>
      <c r="D8" s="16" t="s">
        <v>192</v>
      </c>
      <c r="E8" s="17">
        <f>85+964.4+33</f>
        <v>1082.4000000000001</v>
      </c>
      <c r="F8" s="13">
        <v>31144.6</v>
      </c>
      <c r="K8" s="3">
        <f t="shared" si="0"/>
        <v>0</v>
      </c>
    </row>
    <row r="9" spans="2:11" ht="15.75" x14ac:dyDescent="0.25">
      <c r="B9" s="14">
        <v>42465</v>
      </c>
      <c r="C9" s="15">
        <v>11247</v>
      </c>
      <c r="D9" s="16" t="s">
        <v>9</v>
      </c>
      <c r="E9" s="17">
        <v>313.3</v>
      </c>
      <c r="F9" s="13">
        <v>9399</v>
      </c>
      <c r="K9" s="3">
        <f t="shared" si="0"/>
        <v>0</v>
      </c>
    </row>
    <row r="10" spans="2:11" ht="15.75" x14ac:dyDescent="0.25">
      <c r="B10" s="14">
        <v>42465</v>
      </c>
      <c r="C10" s="15">
        <v>11248</v>
      </c>
      <c r="D10" s="16" t="s">
        <v>20</v>
      </c>
      <c r="E10" s="17">
        <v>329.3</v>
      </c>
      <c r="F10" s="13">
        <v>9879</v>
      </c>
      <c r="K10" s="3">
        <f t="shared" si="0"/>
        <v>0</v>
      </c>
    </row>
    <row r="11" spans="2:11" ht="15.75" x14ac:dyDescent="0.25">
      <c r="B11" s="14">
        <v>42465</v>
      </c>
      <c r="C11" s="15">
        <v>11249</v>
      </c>
      <c r="D11" s="16" t="s">
        <v>14</v>
      </c>
      <c r="E11" s="17">
        <v>310.60000000000002</v>
      </c>
      <c r="F11" s="13">
        <v>9318</v>
      </c>
      <c r="K11" s="3">
        <f t="shared" si="0"/>
        <v>0</v>
      </c>
    </row>
    <row r="12" spans="2:11" ht="15.75" x14ac:dyDescent="0.25">
      <c r="B12" s="14">
        <v>42465</v>
      </c>
      <c r="C12" s="44">
        <v>11260</v>
      </c>
      <c r="D12" s="16" t="s">
        <v>7</v>
      </c>
      <c r="E12" s="17">
        <v>81</v>
      </c>
      <c r="F12" s="13">
        <v>2430</v>
      </c>
      <c r="K12" s="3">
        <f t="shared" si="0"/>
        <v>0</v>
      </c>
    </row>
    <row r="13" spans="2:11" ht="15.75" x14ac:dyDescent="0.25">
      <c r="B13" s="14">
        <v>42465</v>
      </c>
      <c r="C13" s="15">
        <v>11261</v>
      </c>
      <c r="D13" s="16" t="s">
        <v>14</v>
      </c>
      <c r="E13" s="17">
        <v>42.8</v>
      </c>
      <c r="F13" s="13">
        <v>2140</v>
      </c>
      <c r="K13" s="3">
        <f t="shared" si="0"/>
        <v>0</v>
      </c>
    </row>
    <row r="14" spans="2:11" ht="15.75" x14ac:dyDescent="0.25">
      <c r="B14" s="14">
        <v>42465</v>
      </c>
      <c r="C14" s="15">
        <v>11262</v>
      </c>
      <c r="D14" s="16" t="s">
        <v>11</v>
      </c>
      <c r="E14" s="17">
        <f>16.7+148+55.5</f>
        <v>220.2</v>
      </c>
      <c r="F14" s="13">
        <v>8509.2000000000007</v>
      </c>
      <c r="K14" s="3">
        <f t="shared" si="0"/>
        <v>0</v>
      </c>
    </row>
    <row r="15" spans="2:11" ht="15.75" x14ac:dyDescent="0.25">
      <c r="B15" s="14">
        <v>42465</v>
      </c>
      <c r="C15" s="15">
        <v>11269</v>
      </c>
      <c r="D15" s="16" t="s">
        <v>11</v>
      </c>
      <c r="E15" s="17">
        <v>1</v>
      </c>
      <c r="F15" s="13">
        <v>185</v>
      </c>
      <c r="K15" s="3">
        <f t="shared" si="0"/>
        <v>0</v>
      </c>
    </row>
    <row r="16" spans="2:11" ht="15.75" x14ac:dyDescent="0.25">
      <c r="B16" s="14">
        <v>42466</v>
      </c>
      <c r="C16" s="15">
        <v>11374</v>
      </c>
      <c r="D16" s="16" t="s">
        <v>192</v>
      </c>
      <c r="E16" s="17">
        <v>85.8</v>
      </c>
      <c r="F16" s="13">
        <v>2574</v>
      </c>
      <c r="K16" s="3">
        <f t="shared" si="0"/>
        <v>0</v>
      </c>
    </row>
    <row r="17" spans="1:11" ht="15.75" x14ac:dyDescent="0.25">
      <c r="B17" s="14">
        <v>42466</v>
      </c>
      <c r="C17" s="15">
        <v>11375</v>
      </c>
      <c r="D17" s="16" t="s">
        <v>153</v>
      </c>
      <c r="E17" s="17">
        <v>394.8</v>
      </c>
      <c r="F17" s="13">
        <v>11844</v>
      </c>
      <c r="K17" s="3">
        <f t="shared" si="0"/>
        <v>0</v>
      </c>
    </row>
    <row r="18" spans="1:11" ht="15.75" x14ac:dyDescent="0.25">
      <c r="B18" s="14">
        <v>42466</v>
      </c>
      <c r="C18" s="15">
        <v>11376</v>
      </c>
      <c r="D18" s="16" t="s">
        <v>9</v>
      </c>
      <c r="E18" s="17">
        <f>154.4+423.9</f>
        <v>578.29999999999995</v>
      </c>
      <c r="F18" s="13">
        <v>17503.400000000001</v>
      </c>
      <c r="K18" s="3">
        <f t="shared" si="0"/>
        <v>0</v>
      </c>
    </row>
    <row r="19" spans="1:11" ht="15.75" x14ac:dyDescent="0.25">
      <c r="B19" s="14">
        <v>42466</v>
      </c>
      <c r="C19" s="15">
        <v>11377</v>
      </c>
      <c r="D19" s="16" t="s">
        <v>20</v>
      </c>
      <c r="E19" s="17">
        <f>56+391.9</f>
        <v>447.9</v>
      </c>
      <c r="F19" s="13">
        <v>14165</v>
      </c>
      <c r="I19" s="3">
        <f t="shared" ref="I19" si="1">SUM(I6:I18)</f>
        <v>0</v>
      </c>
      <c r="J19" s="3"/>
      <c r="K19" s="3">
        <f>SUM(K6:K18)</f>
        <v>0</v>
      </c>
    </row>
    <row r="20" spans="1:11" ht="15.75" x14ac:dyDescent="0.25">
      <c r="B20" s="14">
        <v>42466</v>
      </c>
      <c r="C20" s="15">
        <v>11378</v>
      </c>
      <c r="D20" s="16" t="s">
        <v>6</v>
      </c>
      <c r="E20" s="17">
        <f>291+287.5+82.7</f>
        <v>661.2</v>
      </c>
      <c r="F20" s="13">
        <v>20123.5</v>
      </c>
    </row>
    <row r="21" spans="1:11" ht="15.75" x14ac:dyDescent="0.25">
      <c r="B21" s="14">
        <v>42466</v>
      </c>
      <c r="C21" s="15">
        <v>11379</v>
      </c>
      <c r="D21" s="16" t="s">
        <v>13</v>
      </c>
      <c r="E21" s="17">
        <v>306.2</v>
      </c>
      <c r="F21" s="13">
        <v>11941.8</v>
      </c>
    </row>
    <row r="22" spans="1:11" ht="15.75" x14ac:dyDescent="0.25">
      <c r="A22" s="18"/>
      <c r="B22" s="14">
        <v>42466</v>
      </c>
      <c r="C22" s="15">
        <v>11437</v>
      </c>
      <c r="D22" s="16" t="s">
        <v>192</v>
      </c>
      <c r="E22" s="17">
        <v>104.2</v>
      </c>
      <c r="F22" s="13">
        <v>3178.1</v>
      </c>
    </row>
    <row r="23" spans="1:11" ht="15.75" x14ac:dyDescent="0.25">
      <c r="B23" s="14">
        <v>42467</v>
      </c>
      <c r="C23" s="15">
        <v>11515</v>
      </c>
      <c r="D23" s="16" t="s">
        <v>13</v>
      </c>
      <c r="E23" s="17">
        <v>68.8</v>
      </c>
      <c r="F23" s="13">
        <v>1444.8</v>
      </c>
    </row>
    <row r="24" spans="1:11" x14ac:dyDescent="0.25">
      <c r="B24" s="14">
        <v>42467</v>
      </c>
      <c r="C24" s="19">
        <v>11520</v>
      </c>
      <c r="D24" s="16" t="s">
        <v>7</v>
      </c>
      <c r="E24" s="17">
        <f>12.8+61.9</f>
        <v>74.7</v>
      </c>
      <c r="F24" s="13">
        <v>2205.85</v>
      </c>
    </row>
    <row r="25" spans="1:11" x14ac:dyDescent="0.25">
      <c r="B25" s="14">
        <v>42467</v>
      </c>
      <c r="C25" s="19">
        <v>11521</v>
      </c>
      <c r="D25" s="16" t="s">
        <v>11</v>
      </c>
      <c r="E25" s="17">
        <v>68</v>
      </c>
      <c r="F25" s="13">
        <v>2142</v>
      </c>
    </row>
    <row r="26" spans="1:11" x14ac:dyDescent="0.25">
      <c r="B26" s="14">
        <v>42467</v>
      </c>
      <c r="C26" s="19">
        <v>11522</v>
      </c>
      <c r="D26" s="16" t="s">
        <v>294</v>
      </c>
      <c r="E26" s="17">
        <v>214.3</v>
      </c>
      <c r="F26" s="13">
        <v>6750.45</v>
      </c>
    </row>
    <row r="27" spans="1:11" x14ac:dyDescent="0.25">
      <c r="B27" s="14">
        <v>42467</v>
      </c>
      <c r="C27" s="19">
        <v>11523</v>
      </c>
      <c r="D27" s="16" t="s">
        <v>11</v>
      </c>
      <c r="E27" s="17">
        <v>52.8</v>
      </c>
      <c r="F27" s="13">
        <v>2059.1999999999998</v>
      </c>
    </row>
    <row r="28" spans="1:11" x14ac:dyDescent="0.25">
      <c r="B28" s="14">
        <v>42467</v>
      </c>
      <c r="C28" s="19">
        <v>11524</v>
      </c>
      <c r="D28" s="16" t="s">
        <v>9</v>
      </c>
      <c r="E28" s="17">
        <f>35.4+202.2</f>
        <v>237.6</v>
      </c>
      <c r="F28" s="13">
        <v>6738.6</v>
      </c>
    </row>
    <row r="29" spans="1:11" x14ac:dyDescent="0.25">
      <c r="B29" s="14">
        <v>42467</v>
      </c>
      <c r="C29" s="19">
        <v>11525</v>
      </c>
      <c r="D29" s="16" t="s">
        <v>192</v>
      </c>
      <c r="E29" s="17">
        <v>55.7</v>
      </c>
      <c r="F29" s="13">
        <v>1671</v>
      </c>
    </row>
    <row r="30" spans="1:11" x14ac:dyDescent="0.25">
      <c r="B30" s="14">
        <v>42467</v>
      </c>
      <c r="C30" s="19">
        <v>11526</v>
      </c>
      <c r="D30" s="16" t="s">
        <v>20</v>
      </c>
      <c r="E30" s="17">
        <v>404.1</v>
      </c>
      <c r="F30" s="13">
        <v>12325.05</v>
      </c>
    </row>
    <row r="31" spans="1:11" x14ac:dyDescent="0.25">
      <c r="B31" s="14">
        <v>42467</v>
      </c>
      <c r="C31" s="19">
        <v>11527</v>
      </c>
      <c r="D31" s="16" t="s">
        <v>13</v>
      </c>
      <c r="E31" s="17">
        <v>145.5</v>
      </c>
      <c r="F31" s="13">
        <v>4437.75</v>
      </c>
    </row>
    <row r="32" spans="1:11" x14ac:dyDescent="0.25">
      <c r="B32" s="14">
        <v>42468</v>
      </c>
      <c r="C32" s="19">
        <v>11675</v>
      </c>
      <c r="D32" s="16" t="s">
        <v>192</v>
      </c>
      <c r="E32" s="17">
        <f>390.2+35.4</f>
        <v>425.59999999999997</v>
      </c>
      <c r="F32" s="13">
        <v>12609.1</v>
      </c>
    </row>
    <row r="33" spans="2:11" x14ac:dyDescent="0.25">
      <c r="B33" s="14">
        <v>42468</v>
      </c>
      <c r="C33" s="19">
        <v>11676</v>
      </c>
      <c r="D33" s="16" t="s">
        <v>14</v>
      </c>
      <c r="E33" s="17">
        <f>370.8+71.6</f>
        <v>442.4</v>
      </c>
      <c r="F33" s="13">
        <v>14889.4</v>
      </c>
      <c r="K33"/>
    </row>
    <row r="34" spans="2:11" x14ac:dyDescent="0.25">
      <c r="B34" s="14">
        <v>42468</v>
      </c>
      <c r="C34" s="19">
        <v>11677</v>
      </c>
      <c r="D34" s="16" t="s">
        <v>10</v>
      </c>
      <c r="E34" s="17">
        <f>356.9+193.6+27.24+520+4</f>
        <v>1101.74</v>
      </c>
      <c r="F34" s="13">
        <v>37589.61</v>
      </c>
      <c r="K34"/>
    </row>
    <row r="35" spans="2:11" x14ac:dyDescent="0.25">
      <c r="B35" s="14">
        <v>42468</v>
      </c>
      <c r="C35" s="19">
        <v>11678</v>
      </c>
      <c r="D35" s="16" t="s">
        <v>9</v>
      </c>
      <c r="E35" s="17">
        <v>444.8</v>
      </c>
      <c r="F35" s="13">
        <v>13566.4</v>
      </c>
      <c r="K35"/>
    </row>
    <row r="36" spans="2:11" x14ac:dyDescent="0.25">
      <c r="B36" s="14">
        <v>42468</v>
      </c>
      <c r="C36" s="19">
        <v>11679</v>
      </c>
      <c r="D36" s="16" t="s">
        <v>20</v>
      </c>
      <c r="E36" s="17">
        <v>438.2</v>
      </c>
      <c r="F36" s="13">
        <v>13365.1</v>
      </c>
      <c r="K36"/>
    </row>
    <row r="37" spans="2:11" x14ac:dyDescent="0.25">
      <c r="B37" s="14">
        <v>42468</v>
      </c>
      <c r="C37" s="19">
        <v>11680</v>
      </c>
      <c r="D37" s="16" t="s">
        <v>7</v>
      </c>
      <c r="E37" s="17">
        <f>8.8+1+1</f>
        <v>10.8</v>
      </c>
      <c r="F37" s="13">
        <v>1001</v>
      </c>
      <c r="K37"/>
    </row>
    <row r="38" spans="2:11" x14ac:dyDescent="0.25">
      <c r="B38" s="14">
        <v>42468</v>
      </c>
      <c r="C38" s="19">
        <v>11681</v>
      </c>
      <c r="D38" s="16" t="s">
        <v>13</v>
      </c>
      <c r="E38" s="17">
        <v>321.39999999999998</v>
      </c>
      <c r="F38" s="13">
        <v>12534.6</v>
      </c>
      <c r="K38"/>
    </row>
    <row r="39" spans="2:11" x14ac:dyDescent="0.25">
      <c r="B39" s="14">
        <v>42469</v>
      </c>
      <c r="C39" s="19">
        <v>11822</v>
      </c>
      <c r="D39" s="16" t="s">
        <v>14</v>
      </c>
      <c r="E39" s="17">
        <v>521.4</v>
      </c>
      <c r="F39" s="13">
        <v>15902.7</v>
      </c>
      <c r="K39"/>
    </row>
    <row r="40" spans="2:11" x14ac:dyDescent="0.25">
      <c r="B40" s="14">
        <v>42469</v>
      </c>
      <c r="C40" s="19">
        <v>11823</v>
      </c>
      <c r="D40" s="16" t="s">
        <v>192</v>
      </c>
      <c r="E40" s="17">
        <v>76.400000000000006</v>
      </c>
      <c r="F40" s="13">
        <v>2330.1999999999998</v>
      </c>
      <c r="K40"/>
    </row>
    <row r="41" spans="2:11" ht="15.75" x14ac:dyDescent="0.25">
      <c r="B41" s="14">
        <v>42469</v>
      </c>
      <c r="C41" s="15">
        <v>11824</v>
      </c>
      <c r="D41" s="16" t="s">
        <v>6</v>
      </c>
      <c r="E41" s="17">
        <f>11.9+3.4</f>
        <v>15.3</v>
      </c>
      <c r="F41" s="13">
        <v>238</v>
      </c>
      <c r="K41"/>
    </row>
    <row r="42" spans="2:11" ht="15.75" x14ac:dyDescent="0.25">
      <c r="B42" s="14">
        <v>42469</v>
      </c>
      <c r="C42" s="15">
        <v>11825</v>
      </c>
      <c r="D42" s="16" t="s">
        <v>10</v>
      </c>
      <c r="E42" s="17">
        <v>16.3</v>
      </c>
      <c r="F42" s="13">
        <v>342.3</v>
      </c>
      <c r="K42"/>
    </row>
    <row r="43" spans="2:11" ht="15.75" x14ac:dyDescent="0.25">
      <c r="B43" s="14">
        <v>42469</v>
      </c>
      <c r="C43" s="15">
        <v>11826</v>
      </c>
      <c r="D43" s="16" t="s">
        <v>20</v>
      </c>
      <c r="E43" s="17">
        <v>386.3</v>
      </c>
      <c r="F43" s="13">
        <v>11782.15</v>
      </c>
      <c r="K43"/>
    </row>
    <row r="44" spans="2:11" ht="15.75" x14ac:dyDescent="0.25">
      <c r="B44" s="14">
        <v>42469</v>
      </c>
      <c r="C44" s="15">
        <v>11828</v>
      </c>
      <c r="D44" s="16" t="s">
        <v>13</v>
      </c>
      <c r="E44" s="17">
        <f>62.3+90.2+13.6</f>
        <v>166.1</v>
      </c>
      <c r="F44" s="13">
        <v>4451.6000000000004</v>
      </c>
      <c r="K44"/>
    </row>
    <row r="45" spans="2:11" ht="15.75" x14ac:dyDescent="0.25">
      <c r="B45" s="14">
        <v>42469</v>
      </c>
      <c r="C45" s="15">
        <v>11829</v>
      </c>
      <c r="D45" s="16" t="s">
        <v>7</v>
      </c>
      <c r="E45" s="17">
        <f>43.6+48.3</f>
        <v>91.9</v>
      </c>
      <c r="F45" s="13">
        <v>4256.8999999999996</v>
      </c>
      <c r="K45"/>
    </row>
    <row r="46" spans="2:11" ht="16.5" thickBot="1" x14ac:dyDescent="0.3">
      <c r="B46" s="14">
        <v>42469</v>
      </c>
      <c r="C46" s="15">
        <v>11830</v>
      </c>
      <c r="D46" s="16" t="s">
        <v>153</v>
      </c>
      <c r="E46" s="17">
        <v>372.4</v>
      </c>
      <c r="F46" s="13">
        <v>14523.6</v>
      </c>
      <c r="K46"/>
    </row>
    <row r="47" spans="2:11" ht="15.75" thickBot="1" x14ac:dyDescent="0.3">
      <c r="B47" s="21" t="s">
        <v>233</v>
      </c>
      <c r="C47" s="22"/>
      <c r="D47" s="23"/>
      <c r="E47" s="24">
        <v>0</v>
      </c>
      <c r="F47" s="25">
        <f>SUM(F3:F46)</f>
        <v>418486.06</v>
      </c>
      <c r="K47" s="3">
        <f t="shared" ref="K47" si="2">J47*I47</f>
        <v>0</v>
      </c>
    </row>
    <row r="48" spans="2:11" ht="19.5" thickBot="1" x14ac:dyDescent="0.35">
      <c r="B48" s="26"/>
      <c r="C48" s="27"/>
      <c r="D48" s="28" t="s">
        <v>5</v>
      </c>
      <c r="E48" s="29">
        <f>SUM(E3:E47)</f>
        <v>13235.439999999997</v>
      </c>
      <c r="I48" s="30">
        <f>SUM(I47:I47)</f>
        <v>0</v>
      </c>
      <c r="J48" s="30"/>
      <c r="K48" s="30">
        <f>SUM(K47:K47)</f>
        <v>0</v>
      </c>
    </row>
    <row r="49" spans="2:13" x14ac:dyDescent="0.25">
      <c r="B49" s="26"/>
      <c r="C49" s="27"/>
      <c r="D49" s="31"/>
      <c r="E49" s="32"/>
      <c r="K49"/>
    </row>
    <row r="50" spans="2:13" ht="21.75" thickBot="1" x14ac:dyDescent="0.4">
      <c r="B50" s="33"/>
      <c r="C50" s="34" t="s">
        <v>15</v>
      </c>
      <c r="D50" s="35">
        <f>E48*0.2</f>
        <v>2647.0879999999997</v>
      </c>
      <c r="F50"/>
      <c r="K50"/>
    </row>
    <row r="51" spans="2:13" ht="21.75" thickBot="1" x14ac:dyDescent="0.4">
      <c r="C51" s="36" t="s">
        <v>16</v>
      </c>
      <c r="D51" s="37">
        <v>3000</v>
      </c>
      <c r="E51" s="38"/>
      <c r="F51" s="85">
        <f>D50+D51</f>
        <v>5647.0879999999997</v>
      </c>
      <c r="G51" s="86"/>
      <c r="I51" s="39"/>
      <c r="J51" s="39"/>
      <c r="K51" s="39"/>
      <c r="L51" s="39"/>
      <c r="M51" s="39"/>
    </row>
    <row r="52" spans="2:13" ht="15.75" thickTop="1" x14ac:dyDescent="0.25">
      <c r="I52" s="39"/>
      <c r="J52" s="39"/>
      <c r="K52" s="40"/>
      <c r="L52" s="40"/>
      <c r="M52" s="40"/>
    </row>
    <row r="53" spans="2:13" ht="19.5" thickBot="1" x14ac:dyDescent="0.35">
      <c r="E53" s="41" t="s">
        <v>17</v>
      </c>
      <c r="F53" s="87">
        <v>0</v>
      </c>
      <c r="G53" s="87"/>
      <c r="I53" s="39"/>
      <c r="J53" s="39"/>
      <c r="K53" s="40"/>
      <c r="L53" s="40"/>
      <c r="M53" s="40"/>
    </row>
    <row r="54" spans="2:13" ht="15.75" thickTop="1" x14ac:dyDescent="0.25">
      <c r="C54"/>
      <c r="F54" s="88">
        <f>F51+F53</f>
        <v>5647.0879999999997</v>
      </c>
      <c r="G54" s="88"/>
      <c r="I54" s="39"/>
      <c r="J54" s="39"/>
      <c r="K54" s="40"/>
      <c r="L54" s="40"/>
      <c r="M54" s="40"/>
    </row>
    <row r="55" spans="2:13" ht="18.75" x14ac:dyDescent="0.3">
      <c r="C55"/>
      <c r="E55" s="2" t="s">
        <v>18</v>
      </c>
      <c r="F55" s="89"/>
      <c r="G55" s="89"/>
      <c r="K55"/>
    </row>
  </sheetData>
  <mergeCells count="4">
    <mergeCell ref="B1:C1"/>
    <mergeCell ref="F51:G51"/>
    <mergeCell ref="F53:G53"/>
    <mergeCell ref="F54:G55"/>
  </mergeCells>
  <pageMargins left="0.70866141732283472" right="0.70866141732283472" top="0.35433070866141736" bottom="0.15748031496062992" header="0.31496062992125984" footer="0.31496062992125984"/>
  <pageSetup scale="8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M49"/>
  <sheetViews>
    <sheetView workbookViewId="0">
      <selection activeCell="G23" sqref="G23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42480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295</v>
      </c>
      <c r="G2" s="8"/>
      <c r="K2"/>
    </row>
    <row r="3" spans="2:11" ht="15.75" x14ac:dyDescent="0.25">
      <c r="B3" s="9">
        <v>42466</v>
      </c>
      <c r="C3" s="10">
        <v>11438</v>
      </c>
      <c r="D3" s="11" t="s">
        <v>11</v>
      </c>
      <c r="E3" s="12">
        <f>10.1+56.8+54.8</f>
        <v>121.69999999999999</v>
      </c>
      <c r="F3" s="13">
        <v>4783.7</v>
      </c>
      <c r="K3"/>
    </row>
    <row r="4" spans="2:11" ht="15.75" x14ac:dyDescent="0.25">
      <c r="B4" s="14">
        <v>42471</v>
      </c>
      <c r="C4" s="15">
        <v>12073</v>
      </c>
      <c r="D4" s="16" t="s">
        <v>13</v>
      </c>
      <c r="E4" s="17">
        <v>326</v>
      </c>
      <c r="F4" s="13">
        <v>13040</v>
      </c>
      <c r="K4"/>
    </row>
    <row r="5" spans="2:11" ht="15.75" x14ac:dyDescent="0.25">
      <c r="B5" s="14">
        <v>42471</v>
      </c>
      <c r="C5" s="15">
        <v>12074</v>
      </c>
      <c r="D5" s="16" t="s">
        <v>153</v>
      </c>
      <c r="E5" s="17">
        <v>254.6</v>
      </c>
      <c r="F5" s="13">
        <v>7892.6</v>
      </c>
      <c r="K5"/>
    </row>
    <row r="6" spans="2:11" ht="15.75" x14ac:dyDescent="0.25">
      <c r="B6" s="14">
        <v>42471</v>
      </c>
      <c r="C6" s="15">
        <v>12075</v>
      </c>
      <c r="D6" s="16" t="s">
        <v>20</v>
      </c>
      <c r="E6" s="17">
        <v>467.5</v>
      </c>
      <c r="F6" s="13">
        <v>14492.5</v>
      </c>
      <c r="G6" t="s">
        <v>233</v>
      </c>
      <c r="K6" s="3">
        <f t="shared" ref="K6:K18" si="0">J6*I6</f>
        <v>0</v>
      </c>
    </row>
    <row r="7" spans="2:11" ht="15.75" x14ac:dyDescent="0.25">
      <c r="B7" s="14">
        <v>42471</v>
      </c>
      <c r="C7" s="15">
        <v>12076</v>
      </c>
      <c r="D7" s="16" t="s">
        <v>10</v>
      </c>
      <c r="E7" s="17">
        <v>43.4</v>
      </c>
      <c r="F7" s="13">
        <v>1996.4</v>
      </c>
      <c r="K7" s="3">
        <f t="shared" si="0"/>
        <v>0</v>
      </c>
    </row>
    <row r="8" spans="2:11" ht="15.75" x14ac:dyDescent="0.25">
      <c r="B8" s="14">
        <v>42471</v>
      </c>
      <c r="C8" s="15">
        <v>12077</v>
      </c>
      <c r="D8" s="16" t="s">
        <v>12</v>
      </c>
      <c r="E8" s="17">
        <f>71+333.8</f>
        <v>404.8</v>
      </c>
      <c r="F8" s="13">
        <v>13542.8</v>
      </c>
      <c r="K8" s="3">
        <f t="shared" si="0"/>
        <v>0</v>
      </c>
    </row>
    <row r="9" spans="2:11" ht="15.75" x14ac:dyDescent="0.25">
      <c r="B9" s="14">
        <v>42471</v>
      </c>
      <c r="C9" s="15">
        <v>12078</v>
      </c>
      <c r="D9" s="16" t="s">
        <v>9</v>
      </c>
      <c r="E9" s="17">
        <v>435.9</v>
      </c>
      <c r="F9" s="13">
        <v>13512.9</v>
      </c>
      <c r="K9" s="3">
        <f t="shared" si="0"/>
        <v>0</v>
      </c>
    </row>
    <row r="10" spans="2:11" ht="15.75" x14ac:dyDescent="0.25">
      <c r="B10" s="14">
        <v>42471</v>
      </c>
      <c r="C10" s="15">
        <v>12079</v>
      </c>
      <c r="D10" s="16" t="s">
        <v>192</v>
      </c>
      <c r="E10" s="17">
        <v>305.39999999999998</v>
      </c>
      <c r="F10" s="13">
        <v>9467.4</v>
      </c>
      <c r="K10" s="3">
        <f t="shared" si="0"/>
        <v>0</v>
      </c>
    </row>
    <row r="11" spans="2:11" ht="15.75" x14ac:dyDescent="0.25">
      <c r="B11" s="14">
        <v>42471</v>
      </c>
      <c r="C11" s="15">
        <v>12080</v>
      </c>
      <c r="D11" s="16" t="s">
        <v>20</v>
      </c>
      <c r="E11" s="17">
        <f>60.2+51.2</f>
        <v>111.4</v>
      </c>
      <c r="F11" s="13">
        <v>3345.4</v>
      </c>
      <c r="K11" s="3">
        <f t="shared" si="0"/>
        <v>0</v>
      </c>
    </row>
    <row r="12" spans="2:11" ht="15.75" x14ac:dyDescent="0.25">
      <c r="B12" s="14">
        <v>42472</v>
      </c>
      <c r="C12" s="44">
        <v>12192</v>
      </c>
      <c r="D12" s="16" t="s">
        <v>153</v>
      </c>
      <c r="E12" s="17">
        <f>10+146</f>
        <v>156</v>
      </c>
      <c r="F12" s="13">
        <v>4736</v>
      </c>
      <c r="K12" s="3">
        <f t="shared" si="0"/>
        <v>0</v>
      </c>
    </row>
    <row r="13" spans="2:11" ht="15.75" x14ac:dyDescent="0.25">
      <c r="B13" s="14">
        <v>42472</v>
      </c>
      <c r="C13" s="15">
        <v>12200</v>
      </c>
      <c r="D13" s="16" t="s">
        <v>13</v>
      </c>
      <c r="E13" s="17">
        <v>374</v>
      </c>
      <c r="F13" s="13">
        <v>11609.5</v>
      </c>
      <c r="K13" s="3">
        <f t="shared" si="0"/>
        <v>0</v>
      </c>
    </row>
    <row r="14" spans="2:11" ht="15.75" x14ac:dyDescent="0.25">
      <c r="B14" s="14">
        <v>42472</v>
      </c>
      <c r="C14" s="15">
        <v>12205</v>
      </c>
      <c r="D14" s="16" t="s">
        <v>20</v>
      </c>
      <c r="E14" s="17">
        <v>390.5</v>
      </c>
      <c r="F14" s="13">
        <v>12105.5</v>
      </c>
      <c r="K14" s="3">
        <f t="shared" si="0"/>
        <v>0</v>
      </c>
    </row>
    <row r="15" spans="2:11" ht="15.75" x14ac:dyDescent="0.25">
      <c r="B15" s="14">
        <v>42472</v>
      </c>
      <c r="C15" s="15">
        <v>12202</v>
      </c>
      <c r="D15" s="16" t="s">
        <v>14</v>
      </c>
      <c r="E15" s="17">
        <v>220.5</v>
      </c>
      <c r="F15" s="13">
        <v>6835.5</v>
      </c>
      <c r="K15" s="3">
        <f t="shared" si="0"/>
        <v>0</v>
      </c>
    </row>
    <row r="16" spans="2:11" ht="15.75" x14ac:dyDescent="0.25">
      <c r="B16" s="14">
        <v>42472</v>
      </c>
      <c r="C16" s="15">
        <v>12206</v>
      </c>
      <c r="D16" s="16" t="s">
        <v>11</v>
      </c>
      <c r="E16" s="17">
        <v>14.1</v>
      </c>
      <c r="F16" s="13">
        <v>296.10000000000002</v>
      </c>
      <c r="K16" s="3">
        <f t="shared" si="0"/>
        <v>0</v>
      </c>
    </row>
    <row r="17" spans="1:11" ht="15.75" x14ac:dyDescent="0.25">
      <c r="B17" s="14">
        <v>42472</v>
      </c>
      <c r="C17" s="15">
        <v>12208</v>
      </c>
      <c r="D17" s="16" t="s">
        <v>192</v>
      </c>
      <c r="E17" s="17">
        <v>329.5</v>
      </c>
      <c r="F17" s="13">
        <v>10544</v>
      </c>
      <c r="K17" s="3">
        <f t="shared" si="0"/>
        <v>0</v>
      </c>
    </row>
    <row r="18" spans="1:11" ht="15.75" x14ac:dyDescent="0.25">
      <c r="B18" s="14">
        <v>42472</v>
      </c>
      <c r="C18" s="15">
        <v>12210</v>
      </c>
      <c r="D18" s="16" t="s">
        <v>192</v>
      </c>
      <c r="E18" s="17">
        <v>90.6</v>
      </c>
      <c r="F18" s="13">
        <v>2808.6</v>
      </c>
      <c r="K18" s="3">
        <f t="shared" si="0"/>
        <v>0</v>
      </c>
    </row>
    <row r="19" spans="1:11" ht="15.75" x14ac:dyDescent="0.25">
      <c r="B19" s="14">
        <v>42473</v>
      </c>
      <c r="C19" s="15">
        <v>12303</v>
      </c>
      <c r="D19" s="16" t="s">
        <v>192</v>
      </c>
      <c r="E19" s="17">
        <f>1000+74.5</f>
        <v>1074.5</v>
      </c>
      <c r="F19" s="13">
        <v>32809.5</v>
      </c>
      <c r="I19" s="3">
        <f t="shared" ref="I19" si="1">SUM(I6:I18)</f>
        <v>0</v>
      </c>
      <c r="J19" s="3"/>
      <c r="K19" s="3">
        <f>SUM(K6:K18)</f>
        <v>0</v>
      </c>
    </row>
    <row r="20" spans="1:11" ht="15.75" x14ac:dyDescent="0.25">
      <c r="B20" s="14">
        <v>42473</v>
      </c>
      <c r="C20" s="15">
        <v>12304</v>
      </c>
      <c r="D20" s="16" t="s">
        <v>13</v>
      </c>
      <c r="E20" s="17">
        <v>369.8</v>
      </c>
      <c r="F20" s="13">
        <v>11463.8</v>
      </c>
    </row>
    <row r="21" spans="1:11" ht="15.75" x14ac:dyDescent="0.25">
      <c r="B21" s="14">
        <v>42473</v>
      </c>
      <c r="C21" s="15">
        <v>12305</v>
      </c>
      <c r="D21" s="16" t="s">
        <v>20</v>
      </c>
      <c r="E21" s="17">
        <f>403.4+61.2</f>
        <v>464.59999999999997</v>
      </c>
      <c r="F21" s="13">
        <v>15137</v>
      </c>
    </row>
    <row r="22" spans="1:11" ht="15.75" x14ac:dyDescent="0.25">
      <c r="A22" s="18"/>
      <c r="B22" s="14">
        <v>42473</v>
      </c>
      <c r="C22" s="15">
        <v>12306</v>
      </c>
      <c r="D22" s="16" t="s">
        <v>10</v>
      </c>
      <c r="E22" s="17">
        <v>275.2</v>
      </c>
      <c r="F22" s="13">
        <v>8531.2000000000007</v>
      </c>
    </row>
    <row r="23" spans="1:11" ht="15.75" x14ac:dyDescent="0.25">
      <c r="B23" s="14">
        <v>42473</v>
      </c>
      <c r="C23" s="15">
        <v>12314</v>
      </c>
      <c r="D23" s="16" t="s">
        <v>153</v>
      </c>
      <c r="E23" s="17">
        <v>61</v>
      </c>
      <c r="F23" s="13">
        <v>1982.5</v>
      </c>
    </row>
    <row r="24" spans="1:11" x14ac:dyDescent="0.25">
      <c r="B24" s="14">
        <v>42473</v>
      </c>
      <c r="C24" s="19">
        <v>12315</v>
      </c>
      <c r="D24" s="16" t="s">
        <v>7</v>
      </c>
      <c r="E24" s="17">
        <f>73.8+1</f>
        <v>74.8</v>
      </c>
      <c r="F24" s="13">
        <v>2472.8000000000002</v>
      </c>
    </row>
    <row r="25" spans="1:11" x14ac:dyDescent="0.25">
      <c r="B25" s="14">
        <v>42473</v>
      </c>
      <c r="C25" s="19">
        <v>12317</v>
      </c>
      <c r="D25" s="16" t="s">
        <v>6</v>
      </c>
      <c r="E25" s="17">
        <f>152+340.2+13.74+22.7</f>
        <v>528.64</v>
      </c>
      <c r="F25" s="13">
        <v>17777</v>
      </c>
    </row>
    <row r="26" spans="1:11" x14ac:dyDescent="0.25">
      <c r="B26" s="14">
        <v>42474</v>
      </c>
      <c r="C26" s="19">
        <v>12479</v>
      </c>
      <c r="D26" s="16" t="s">
        <v>153</v>
      </c>
      <c r="E26" s="17">
        <f>195.6+24.3</f>
        <v>219.9</v>
      </c>
      <c r="F26" s="13">
        <v>6476.7</v>
      </c>
    </row>
    <row r="27" spans="1:11" x14ac:dyDescent="0.25">
      <c r="B27" s="14">
        <v>42474</v>
      </c>
      <c r="C27" s="19">
        <v>12483</v>
      </c>
      <c r="D27" s="16" t="s">
        <v>20</v>
      </c>
      <c r="E27" s="17">
        <f>254.5+46.6</f>
        <v>301.10000000000002</v>
      </c>
      <c r="F27" s="13">
        <v>11065.4</v>
      </c>
    </row>
    <row r="28" spans="1:11" x14ac:dyDescent="0.25">
      <c r="B28" s="14">
        <v>42475</v>
      </c>
      <c r="C28" s="19">
        <v>12606</v>
      </c>
      <c r="D28" s="16" t="s">
        <v>286</v>
      </c>
      <c r="E28" s="17">
        <f>4.5+2.1+7.6+1.5</f>
        <v>15.7</v>
      </c>
      <c r="F28" s="13">
        <v>670.6</v>
      </c>
    </row>
    <row r="29" spans="1:11" x14ac:dyDescent="0.25">
      <c r="B29" s="14">
        <v>42475</v>
      </c>
      <c r="C29" s="19">
        <v>12616</v>
      </c>
      <c r="D29" s="16" t="s">
        <v>7</v>
      </c>
      <c r="E29" s="17">
        <f>11.4+85.4</f>
        <v>96.800000000000011</v>
      </c>
      <c r="F29" s="13">
        <v>2886.8</v>
      </c>
    </row>
    <row r="30" spans="1:11" x14ac:dyDescent="0.25">
      <c r="B30" s="14">
        <v>42475</v>
      </c>
      <c r="C30" s="19">
        <v>12617</v>
      </c>
      <c r="D30" s="16" t="s">
        <v>153</v>
      </c>
      <c r="E30" s="17">
        <v>28.6</v>
      </c>
      <c r="F30" s="13">
        <v>486.2</v>
      </c>
    </row>
    <row r="31" spans="1:11" x14ac:dyDescent="0.25">
      <c r="B31" s="14">
        <v>42475</v>
      </c>
      <c r="C31" s="19">
        <v>12618</v>
      </c>
      <c r="D31" s="16" t="s">
        <v>296</v>
      </c>
      <c r="E31" s="17">
        <f>179.2+483+540.48+4+29.1+336</f>
        <v>1571.78</v>
      </c>
      <c r="F31" s="13">
        <v>37863.42</v>
      </c>
    </row>
    <row r="32" spans="1:11" x14ac:dyDescent="0.25">
      <c r="B32" s="14">
        <v>42475</v>
      </c>
      <c r="C32" s="19">
        <v>12619</v>
      </c>
      <c r="D32" s="16" t="s">
        <v>20</v>
      </c>
      <c r="E32" s="17">
        <f>75.4+103.4+154</f>
        <v>332.8</v>
      </c>
      <c r="F32" s="13">
        <v>12409.4</v>
      </c>
    </row>
    <row r="33" spans="2:13" x14ac:dyDescent="0.25">
      <c r="B33" s="14">
        <v>42475</v>
      </c>
      <c r="C33" s="19">
        <v>12631</v>
      </c>
      <c r="D33" s="16" t="s">
        <v>11</v>
      </c>
      <c r="E33" s="17">
        <f>15.8+69.4</f>
        <v>85.2</v>
      </c>
      <c r="F33" s="13">
        <v>3107.8</v>
      </c>
      <c r="K33"/>
    </row>
    <row r="34" spans="2:13" x14ac:dyDescent="0.25">
      <c r="B34" s="14">
        <v>42476</v>
      </c>
      <c r="C34" s="19">
        <v>12768</v>
      </c>
      <c r="D34" s="16" t="s">
        <v>20</v>
      </c>
      <c r="E34" s="17">
        <v>474.6</v>
      </c>
      <c r="F34" s="13">
        <v>14712.6</v>
      </c>
      <c r="K34"/>
    </row>
    <row r="35" spans="2:13" x14ac:dyDescent="0.25">
      <c r="B35" s="14">
        <v>42476</v>
      </c>
      <c r="C35" s="19">
        <v>12769</v>
      </c>
      <c r="D35" s="16" t="s">
        <v>13</v>
      </c>
      <c r="E35" s="17">
        <v>478.3</v>
      </c>
      <c r="F35" s="13">
        <v>14827.3</v>
      </c>
      <c r="K35"/>
    </row>
    <row r="36" spans="2:13" x14ac:dyDescent="0.25">
      <c r="B36" s="14">
        <v>42476</v>
      </c>
      <c r="C36" s="19">
        <v>12770</v>
      </c>
      <c r="D36" s="16" t="s">
        <v>11</v>
      </c>
      <c r="E36" s="17">
        <f>22.8+205</f>
        <v>227.8</v>
      </c>
      <c r="F36" s="13">
        <v>8678.7999999999993</v>
      </c>
      <c r="K36"/>
    </row>
    <row r="37" spans="2:13" x14ac:dyDescent="0.25">
      <c r="B37" s="14">
        <v>42476</v>
      </c>
      <c r="C37" s="19">
        <v>12771</v>
      </c>
      <c r="D37" s="16" t="s">
        <v>9</v>
      </c>
      <c r="E37" s="17">
        <v>414.4</v>
      </c>
      <c r="F37" s="13">
        <v>13260.8</v>
      </c>
      <c r="K37"/>
    </row>
    <row r="38" spans="2:13" x14ac:dyDescent="0.25">
      <c r="B38" s="14">
        <v>42476</v>
      </c>
      <c r="C38" s="19">
        <v>12772</v>
      </c>
      <c r="D38" s="16" t="s">
        <v>14</v>
      </c>
      <c r="E38" s="17">
        <v>450</v>
      </c>
      <c r="F38" s="13">
        <v>14400</v>
      </c>
      <c r="K38"/>
    </row>
    <row r="39" spans="2:13" x14ac:dyDescent="0.25">
      <c r="B39" s="14">
        <v>42476</v>
      </c>
      <c r="C39" s="19">
        <v>12773</v>
      </c>
      <c r="D39" s="16" t="s">
        <v>153</v>
      </c>
      <c r="E39" s="17">
        <v>219.8</v>
      </c>
      <c r="F39" s="13">
        <v>8792</v>
      </c>
      <c r="K39"/>
    </row>
    <row r="40" spans="2:13" ht="16.5" thickBot="1" x14ac:dyDescent="0.3">
      <c r="B40" s="14"/>
      <c r="C40" s="15"/>
      <c r="D40" s="16"/>
      <c r="E40" s="17"/>
      <c r="F40" s="13"/>
      <c r="K40"/>
    </row>
    <row r="41" spans="2:13" ht="15.75" thickBot="1" x14ac:dyDescent="0.3">
      <c r="B41" s="21" t="s">
        <v>233</v>
      </c>
      <c r="C41" s="22"/>
      <c r="D41" s="23"/>
      <c r="E41" s="24">
        <v>0</v>
      </c>
      <c r="F41" s="25">
        <f>SUM(F3:F40)</f>
        <v>370820.51999999996</v>
      </c>
      <c r="K41" s="3">
        <f t="shared" ref="K41" si="2">J41*I41</f>
        <v>0</v>
      </c>
    </row>
    <row r="42" spans="2:13" ht="19.5" thickBot="1" x14ac:dyDescent="0.35">
      <c r="B42" s="26"/>
      <c r="C42" s="27"/>
      <c r="D42" s="28" t="s">
        <v>5</v>
      </c>
      <c r="E42" s="29">
        <f>SUM(E3:E41)</f>
        <v>11811.22</v>
      </c>
      <c r="I42" s="30">
        <f>SUM(I41:I41)</f>
        <v>0</v>
      </c>
      <c r="J42" s="30"/>
      <c r="K42" s="30">
        <f>SUM(K41:K41)</f>
        <v>0</v>
      </c>
    </row>
    <row r="43" spans="2:13" x14ac:dyDescent="0.25">
      <c r="B43" s="26"/>
      <c r="C43" s="27"/>
      <c r="D43" s="31"/>
      <c r="E43" s="32"/>
      <c r="K43"/>
    </row>
    <row r="44" spans="2:13" ht="21.75" thickBot="1" x14ac:dyDescent="0.4">
      <c r="B44" s="33"/>
      <c r="C44" s="34" t="s">
        <v>15</v>
      </c>
      <c r="D44" s="35">
        <f>E42*0.2</f>
        <v>2362.2440000000001</v>
      </c>
      <c r="F44"/>
      <c r="K44"/>
    </row>
    <row r="45" spans="2:13" ht="21.75" thickBot="1" x14ac:dyDescent="0.4">
      <c r="C45" s="36" t="s">
        <v>16</v>
      </c>
      <c r="D45" s="37">
        <v>3000</v>
      </c>
      <c r="E45" s="38"/>
      <c r="F45" s="85">
        <f>D44+D45</f>
        <v>5362.2440000000006</v>
      </c>
      <c r="G45" s="86"/>
      <c r="I45" s="39"/>
      <c r="J45" s="39"/>
      <c r="K45" s="39"/>
      <c r="L45" s="39"/>
      <c r="M45" s="39"/>
    </row>
    <row r="46" spans="2:13" ht="15.75" thickTop="1" x14ac:dyDescent="0.25">
      <c r="I46" s="39"/>
      <c r="J46" s="39"/>
      <c r="K46" s="40"/>
      <c r="L46" s="40"/>
      <c r="M46" s="40"/>
    </row>
    <row r="47" spans="2:13" ht="19.5" thickBot="1" x14ac:dyDescent="0.35">
      <c r="E47" s="41" t="s">
        <v>17</v>
      </c>
      <c r="F47" s="87">
        <v>0</v>
      </c>
      <c r="G47" s="87"/>
      <c r="I47" s="39"/>
      <c r="J47" s="39"/>
      <c r="K47" s="40"/>
      <c r="L47" s="40"/>
      <c r="M47" s="40"/>
    </row>
    <row r="48" spans="2:13" ht="15.75" thickTop="1" x14ac:dyDescent="0.25">
      <c r="C48"/>
      <c r="F48" s="88">
        <f>F45+F47</f>
        <v>5362.2440000000006</v>
      </c>
      <c r="G48" s="88"/>
      <c r="I48" s="39"/>
      <c r="J48" s="39"/>
      <c r="K48" s="40"/>
      <c r="L48" s="40"/>
      <c r="M48" s="40"/>
    </row>
    <row r="49" spans="3:11" ht="18.75" x14ac:dyDescent="0.3">
      <c r="C49"/>
      <c r="E49" s="2" t="s">
        <v>18</v>
      </c>
      <c r="F49" s="89"/>
      <c r="G49" s="89"/>
      <c r="K49"/>
    </row>
  </sheetData>
  <mergeCells count="4">
    <mergeCell ref="B1:C1"/>
    <mergeCell ref="F45:G45"/>
    <mergeCell ref="F47:G47"/>
    <mergeCell ref="F48:G49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54"/>
  <sheetViews>
    <sheetView topLeftCell="A30" workbookViewId="0">
      <selection activeCell="E54" sqref="E54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42488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297</v>
      </c>
      <c r="G2" s="8"/>
      <c r="K2"/>
    </row>
    <row r="3" spans="2:11" ht="15.75" x14ac:dyDescent="0.25">
      <c r="B3" s="9">
        <v>42469</v>
      </c>
      <c r="C3" s="10">
        <v>11827</v>
      </c>
      <c r="D3" s="11" t="s">
        <v>9</v>
      </c>
      <c r="E3" s="12">
        <v>410.6</v>
      </c>
      <c r="F3" s="13">
        <v>12523.3</v>
      </c>
      <c r="K3"/>
    </row>
    <row r="4" spans="2:11" ht="15.75" x14ac:dyDescent="0.25">
      <c r="B4" s="14">
        <v>42472</v>
      </c>
      <c r="C4" s="15">
        <v>12204</v>
      </c>
      <c r="D4" s="16" t="s">
        <v>9</v>
      </c>
      <c r="E4" s="17">
        <f>208.2+149.2</f>
        <v>357.4</v>
      </c>
      <c r="F4" s="13">
        <v>12953.2</v>
      </c>
      <c r="K4"/>
    </row>
    <row r="5" spans="2:11" ht="15.75" x14ac:dyDescent="0.25">
      <c r="B5" s="14">
        <v>42478</v>
      </c>
      <c r="C5" s="15">
        <v>12989</v>
      </c>
      <c r="D5" s="16" t="s">
        <v>20</v>
      </c>
      <c r="E5" s="17">
        <f>764.3+234.1</f>
        <v>998.4</v>
      </c>
      <c r="F5" s="13">
        <v>30950</v>
      </c>
      <c r="K5"/>
    </row>
    <row r="6" spans="2:11" ht="15.75" x14ac:dyDescent="0.25">
      <c r="B6" s="14">
        <v>42478</v>
      </c>
      <c r="C6" s="15">
        <v>12990</v>
      </c>
      <c r="D6" s="16" t="s">
        <v>192</v>
      </c>
      <c r="E6" s="17">
        <f>930+84.7</f>
        <v>1014.7</v>
      </c>
      <c r="F6" s="13">
        <v>31963.05</v>
      </c>
      <c r="G6" t="s">
        <v>233</v>
      </c>
      <c r="K6" s="3">
        <f t="shared" ref="K6:K18" si="0">J6*I6</f>
        <v>0</v>
      </c>
    </row>
    <row r="7" spans="2:11" ht="15.75" x14ac:dyDescent="0.25">
      <c r="B7" s="14">
        <v>42478</v>
      </c>
      <c r="C7" s="15">
        <v>12992</v>
      </c>
      <c r="D7" s="16" t="s">
        <v>14</v>
      </c>
      <c r="E7" s="17">
        <f>248.4+26.2+22.4</f>
        <v>297</v>
      </c>
      <c r="F7" s="13">
        <v>9862.6</v>
      </c>
      <c r="K7" s="3">
        <f t="shared" si="0"/>
        <v>0</v>
      </c>
    </row>
    <row r="8" spans="2:11" ht="15.75" x14ac:dyDescent="0.25">
      <c r="B8" s="14">
        <v>42478</v>
      </c>
      <c r="C8" s="15">
        <v>12994</v>
      </c>
      <c r="D8" s="16" t="s">
        <v>10</v>
      </c>
      <c r="E8" s="17">
        <v>76.3</v>
      </c>
      <c r="F8" s="13">
        <v>2403.4499999999998</v>
      </c>
      <c r="K8" s="3">
        <f t="shared" si="0"/>
        <v>0</v>
      </c>
    </row>
    <row r="9" spans="2:11" ht="15.75" x14ac:dyDescent="0.25">
      <c r="B9" s="14">
        <v>42479</v>
      </c>
      <c r="C9" s="15">
        <v>13118</v>
      </c>
      <c r="D9" s="16" t="s">
        <v>14</v>
      </c>
      <c r="E9" s="17">
        <v>271.10000000000002</v>
      </c>
      <c r="F9" s="13">
        <v>8539.65</v>
      </c>
      <c r="K9" s="3">
        <f t="shared" si="0"/>
        <v>0</v>
      </c>
    </row>
    <row r="10" spans="2:11" ht="15.75" x14ac:dyDescent="0.25">
      <c r="B10" s="14">
        <v>42479</v>
      </c>
      <c r="C10" s="15">
        <v>13119</v>
      </c>
      <c r="D10" s="16" t="s">
        <v>20</v>
      </c>
      <c r="E10" s="17">
        <v>332.3</v>
      </c>
      <c r="F10" s="13">
        <v>10467.450000000001</v>
      </c>
      <c r="K10" s="3">
        <f t="shared" si="0"/>
        <v>0</v>
      </c>
    </row>
    <row r="11" spans="2:11" ht="15.75" x14ac:dyDescent="0.25">
      <c r="B11" s="14">
        <v>42479</v>
      </c>
      <c r="C11" s="15">
        <v>13120</v>
      </c>
      <c r="D11" s="16" t="s">
        <v>10</v>
      </c>
      <c r="E11" s="17">
        <f>259.1+3+119</f>
        <v>381.1</v>
      </c>
      <c r="F11" s="13">
        <v>12584.15</v>
      </c>
      <c r="K11" s="3">
        <f t="shared" si="0"/>
        <v>0</v>
      </c>
    </row>
    <row r="12" spans="2:11" ht="15.75" x14ac:dyDescent="0.25">
      <c r="B12" s="14">
        <v>42479</v>
      </c>
      <c r="C12" s="44">
        <v>13121</v>
      </c>
      <c r="D12" s="16" t="s">
        <v>9</v>
      </c>
      <c r="E12" s="17">
        <v>250.7</v>
      </c>
      <c r="F12" s="13">
        <v>7897.05</v>
      </c>
      <c r="K12" s="3">
        <f t="shared" si="0"/>
        <v>0</v>
      </c>
    </row>
    <row r="13" spans="2:11" ht="15.75" x14ac:dyDescent="0.25">
      <c r="B13" s="14">
        <v>42479</v>
      </c>
      <c r="C13" s="15">
        <v>13122</v>
      </c>
      <c r="D13" s="16" t="s">
        <v>11</v>
      </c>
      <c r="E13" s="17">
        <f>57.2+59.2+56.5</f>
        <v>172.9</v>
      </c>
      <c r="F13" s="13">
        <v>7201.9</v>
      </c>
      <c r="K13" s="3">
        <f t="shared" si="0"/>
        <v>0</v>
      </c>
    </row>
    <row r="14" spans="2:11" ht="15.75" x14ac:dyDescent="0.25">
      <c r="B14" s="14">
        <v>42479</v>
      </c>
      <c r="C14" s="15">
        <v>13123</v>
      </c>
      <c r="D14" s="16" t="s">
        <v>7</v>
      </c>
      <c r="E14" s="17">
        <v>81.400000000000006</v>
      </c>
      <c r="F14" s="13">
        <v>2645.5</v>
      </c>
      <c r="K14" s="3">
        <f t="shared" si="0"/>
        <v>0</v>
      </c>
    </row>
    <row r="15" spans="2:11" ht="15.75" x14ac:dyDescent="0.25">
      <c r="B15" s="14">
        <v>42479</v>
      </c>
      <c r="C15" s="15">
        <v>13124</v>
      </c>
      <c r="D15" s="16" t="s">
        <v>153</v>
      </c>
      <c r="E15" s="17">
        <v>203</v>
      </c>
      <c r="F15" s="13">
        <v>6394.5</v>
      </c>
      <c r="K15" s="3">
        <f t="shared" si="0"/>
        <v>0</v>
      </c>
    </row>
    <row r="16" spans="2:11" ht="15.75" x14ac:dyDescent="0.25">
      <c r="B16" s="14">
        <v>42479</v>
      </c>
      <c r="C16" s="15">
        <v>13127</v>
      </c>
      <c r="D16" s="16" t="s">
        <v>192</v>
      </c>
      <c r="E16" s="17">
        <v>32.700000000000003</v>
      </c>
      <c r="F16" s="13">
        <v>457.8</v>
      </c>
      <c r="K16" s="3">
        <f t="shared" si="0"/>
        <v>0</v>
      </c>
    </row>
    <row r="17" spans="1:11" ht="15.75" x14ac:dyDescent="0.25">
      <c r="B17" s="14">
        <v>42480</v>
      </c>
      <c r="C17" s="15">
        <v>13237</v>
      </c>
      <c r="D17" s="16" t="s">
        <v>9</v>
      </c>
      <c r="E17" s="17">
        <f>228.2+53.7</f>
        <v>281.89999999999998</v>
      </c>
      <c r="F17" s="13">
        <v>8550.9</v>
      </c>
      <c r="K17" s="3">
        <f t="shared" si="0"/>
        <v>0</v>
      </c>
    </row>
    <row r="18" spans="1:11" ht="15.75" x14ac:dyDescent="0.25">
      <c r="B18" s="14">
        <v>42480</v>
      </c>
      <c r="C18" s="15">
        <v>13238</v>
      </c>
      <c r="D18" s="16" t="s">
        <v>13</v>
      </c>
      <c r="E18" s="17">
        <v>239.7</v>
      </c>
      <c r="F18" s="13">
        <v>7550.55</v>
      </c>
      <c r="K18" s="3">
        <f t="shared" si="0"/>
        <v>0</v>
      </c>
    </row>
    <row r="19" spans="1:11" ht="15.75" x14ac:dyDescent="0.25">
      <c r="B19" s="14">
        <v>42480</v>
      </c>
      <c r="C19" s="15">
        <v>13239</v>
      </c>
      <c r="D19" s="16" t="s">
        <v>20</v>
      </c>
      <c r="E19" s="17">
        <v>226.9</v>
      </c>
      <c r="F19" s="13">
        <v>9076</v>
      </c>
      <c r="I19" s="3">
        <f t="shared" ref="I19" si="1">SUM(I6:I18)</f>
        <v>0</v>
      </c>
      <c r="J19" s="3"/>
      <c r="K19" s="3">
        <f>SUM(K6:K18)</f>
        <v>0</v>
      </c>
    </row>
    <row r="20" spans="1:11" ht="15.75" x14ac:dyDescent="0.25">
      <c r="B20" s="14">
        <v>42480</v>
      </c>
      <c r="C20" s="15">
        <v>13240</v>
      </c>
      <c r="D20" s="16" t="s">
        <v>192</v>
      </c>
      <c r="E20" s="17">
        <v>61.5</v>
      </c>
      <c r="F20" s="13">
        <v>1291.5</v>
      </c>
    </row>
    <row r="21" spans="1:11" ht="15.75" x14ac:dyDescent="0.25">
      <c r="B21" s="14">
        <v>42480</v>
      </c>
      <c r="C21" s="15">
        <v>13241</v>
      </c>
      <c r="D21" s="16" t="s">
        <v>11</v>
      </c>
      <c r="E21" s="17">
        <f>14.7+62.6+25</f>
        <v>102.3</v>
      </c>
      <c r="F21" s="13">
        <v>4125.5</v>
      </c>
    </row>
    <row r="22" spans="1:11" ht="15.75" x14ac:dyDescent="0.25">
      <c r="A22" s="18"/>
      <c r="B22" s="14">
        <v>42480</v>
      </c>
      <c r="C22" s="15">
        <v>13242</v>
      </c>
      <c r="D22" s="16" t="s">
        <v>153</v>
      </c>
      <c r="E22" s="17">
        <f>50.9+11.9</f>
        <v>62.8</v>
      </c>
      <c r="F22" s="13">
        <v>1929.6</v>
      </c>
    </row>
    <row r="23" spans="1:11" ht="15.75" x14ac:dyDescent="0.25">
      <c r="B23" s="14">
        <v>42481</v>
      </c>
      <c r="C23" s="15">
        <v>13400</v>
      </c>
      <c r="D23" s="16" t="s">
        <v>192</v>
      </c>
      <c r="E23" s="17">
        <v>887.5</v>
      </c>
      <c r="F23" s="13">
        <v>28400</v>
      </c>
    </row>
    <row r="24" spans="1:11" x14ac:dyDescent="0.25">
      <c r="B24" s="14">
        <v>42481</v>
      </c>
      <c r="C24" s="19">
        <v>13401</v>
      </c>
      <c r="D24" s="16" t="s">
        <v>153</v>
      </c>
      <c r="E24" s="17">
        <f>205.2+59</f>
        <v>264.2</v>
      </c>
      <c r="F24" s="13">
        <v>7466.8</v>
      </c>
    </row>
    <row r="25" spans="1:11" x14ac:dyDescent="0.25">
      <c r="B25" s="14">
        <v>42481</v>
      </c>
      <c r="C25" s="19">
        <v>13402</v>
      </c>
      <c r="D25" s="16" t="s">
        <v>7</v>
      </c>
      <c r="E25" s="17">
        <f>65.2+7.7+1</f>
        <v>73.900000000000006</v>
      </c>
      <c r="F25" s="13">
        <v>2400.5</v>
      </c>
    </row>
    <row r="26" spans="1:11" x14ac:dyDescent="0.25">
      <c r="B26" s="14">
        <v>42481</v>
      </c>
      <c r="C26" s="19">
        <v>13403</v>
      </c>
      <c r="D26" s="16" t="s">
        <v>6</v>
      </c>
      <c r="E26" s="17">
        <f>128.4+67.4+60.2+58.4+11</f>
        <v>325.39999999999998</v>
      </c>
      <c r="F26" s="13">
        <v>11655.1</v>
      </c>
    </row>
    <row r="27" spans="1:11" x14ac:dyDescent="0.25">
      <c r="B27" s="14">
        <v>42481</v>
      </c>
      <c r="C27" s="19">
        <v>13404</v>
      </c>
      <c r="D27" s="16" t="s">
        <v>20</v>
      </c>
      <c r="E27" s="17">
        <f>85.8+45.1</f>
        <v>130.9</v>
      </c>
      <c r="F27" s="13">
        <v>5285.5</v>
      </c>
    </row>
    <row r="28" spans="1:11" x14ac:dyDescent="0.25">
      <c r="B28" s="14">
        <v>42482</v>
      </c>
      <c r="C28" s="19">
        <v>13504</v>
      </c>
      <c r="D28" s="16" t="s">
        <v>10</v>
      </c>
      <c r="E28" s="17">
        <f>322.7+242.6+35.2+4+54.48+496</f>
        <v>1154.98</v>
      </c>
      <c r="F28" s="13">
        <v>42064.97</v>
      </c>
    </row>
    <row r="29" spans="1:11" x14ac:dyDescent="0.25">
      <c r="B29" s="14">
        <v>42482</v>
      </c>
      <c r="C29" s="19">
        <v>13505</v>
      </c>
      <c r="D29" s="16" t="s">
        <v>7</v>
      </c>
      <c r="E29" s="17">
        <f>76.9+1</f>
        <v>77.900000000000006</v>
      </c>
      <c r="F29" s="13">
        <v>2607.35</v>
      </c>
    </row>
    <row r="30" spans="1:11" x14ac:dyDescent="0.25">
      <c r="B30" s="14">
        <v>42482</v>
      </c>
      <c r="C30" s="19">
        <v>13507</v>
      </c>
      <c r="D30" s="16" t="s">
        <v>192</v>
      </c>
      <c r="E30" s="17">
        <f>158.91+33.3</f>
        <v>192.20999999999998</v>
      </c>
      <c r="F30" s="13">
        <v>5704.96</v>
      </c>
    </row>
    <row r="31" spans="1:11" x14ac:dyDescent="0.25">
      <c r="B31" s="14">
        <v>42482</v>
      </c>
      <c r="C31" s="19">
        <v>13508</v>
      </c>
      <c r="D31" s="16" t="s">
        <v>20</v>
      </c>
      <c r="E31" s="17">
        <v>390.2</v>
      </c>
      <c r="F31" s="13">
        <v>12291.3</v>
      </c>
    </row>
    <row r="32" spans="1:11" x14ac:dyDescent="0.25">
      <c r="B32" s="14">
        <v>42482</v>
      </c>
      <c r="C32" s="19">
        <v>13509</v>
      </c>
      <c r="D32" s="16" t="s">
        <v>153</v>
      </c>
      <c r="E32" s="17">
        <v>276</v>
      </c>
      <c r="F32" s="13">
        <v>11040</v>
      </c>
    </row>
    <row r="33" spans="2:11" x14ac:dyDescent="0.25">
      <c r="B33" s="14">
        <v>42482</v>
      </c>
      <c r="C33" s="19">
        <v>13510</v>
      </c>
      <c r="D33" s="16" t="s">
        <v>14</v>
      </c>
      <c r="E33" s="17">
        <v>900.4</v>
      </c>
      <c r="F33" s="13">
        <v>28362.6</v>
      </c>
      <c r="K33"/>
    </row>
    <row r="34" spans="2:11" x14ac:dyDescent="0.25">
      <c r="B34" s="14">
        <v>42482</v>
      </c>
      <c r="C34" s="19">
        <v>13512</v>
      </c>
      <c r="D34" s="16" t="s">
        <v>9</v>
      </c>
      <c r="E34" s="17">
        <v>60.5</v>
      </c>
      <c r="F34" s="13">
        <v>3025</v>
      </c>
      <c r="K34"/>
    </row>
    <row r="35" spans="2:11" x14ac:dyDescent="0.25">
      <c r="B35" s="14">
        <v>42482</v>
      </c>
      <c r="C35" s="19">
        <v>13513</v>
      </c>
      <c r="D35" s="16" t="s">
        <v>298</v>
      </c>
      <c r="E35" s="17">
        <v>52.5</v>
      </c>
      <c r="F35" s="13">
        <v>2257</v>
      </c>
      <c r="K35"/>
    </row>
    <row r="36" spans="2:11" x14ac:dyDescent="0.25">
      <c r="B36" s="14">
        <v>42483</v>
      </c>
      <c r="C36" s="19">
        <v>13691</v>
      </c>
      <c r="D36" s="16" t="s">
        <v>192</v>
      </c>
      <c r="E36" s="17">
        <v>165.4</v>
      </c>
      <c r="F36" s="13">
        <v>5623.6</v>
      </c>
      <c r="K36"/>
    </row>
    <row r="37" spans="2:11" x14ac:dyDescent="0.25">
      <c r="B37" s="14">
        <v>42483</v>
      </c>
      <c r="C37" s="19">
        <v>13697</v>
      </c>
      <c r="D37" s="16" t="s">
        <v>153</v>
      </c>
      <c r="E37" s="17">
        <v>235.2</v>
      </c>
      <c r="F37" s="13">
        <v>9408</v>
      </c>
      <c r="K37"/>
    </row>
    <row r="38" spans="2:11" x14ac:dyDescent="0.25">
      <c r="B38" s="14">
        <v>42483</v>
      </c>
      <c r="C38" s="19">
        <v>13698</v>
      </c>
      <c r="D38" s="16" t="s">
        <v>20</v>
      </c>
      <c r="E38" s="17">
        <f>298.5+27.24+110.8</f>
        <v>436.54</v>
      </c>
      <c r="F38" s="13">
        <v>16306.48</v>
      </c>
      <c r="K38"/>
    </row>
    <row r="39" spans="2:11" x14ac:dyDescent="0.25">
      <c r="B39" s="14">
        <v>42483</v>
      </c>
      <c r="C39" s="19">
        <v>13699</v>
      </c>
      <c r="D39" s="16" t="s">
        <v>11</v>
      </c>
      <c r="E39" s="17">
        <f>111.1+12.6</f>
        <v>123.69999999999999</v>
      </c>
      <c r="F39" s="13">
        <v>4708.6000000000004</v>
      </c>
      <c r="K39"/>
    </row>
    <row r="40" spans="2:11" x14ac:dyDescent="0.25">
      <c r="B40" s="14">
        <v>42483</v>
      </c>
      <c r="C40" s="19">
        <v>13700</v>
      </c>
      <c r="D40" s="16" t="s">
        <v>13</v>
      </c>
      <c r="E40" s="17">
        <f>173.1+28.8</f>
        <v>201.9</v>
      </c>
      <c r="F40" s="13">
        <v>6057.45</v>
      </c>
      <c r="K40"/>
    </row>
    <row r="41" spans="2:11" x14ac:dyDescent="0.25">
      <c r="B41" s="14">
        <v>42483</v>
      </c>
      <c r="C41" s="19">
        <v>13701</v>
      </c>
      <c r="D41" s="16" t="s">
        <v>6</v>
      </c>
      <c r="E41" s="17">
        <f>257.4+21.8</f>
        <v>279.2</v>
      </c>
      <c r="F41" s="13">
        <v>8413.2999999999993</v>
      </c>
      <c r="K41"/>
    </row>
    <row r="42" spans="2:11" x14ac:dyDescent="0.25">
      <c r="B42" s="14">
        <v>42483</v>
      </c>
      <c r="C42" s="19">
        <v>13702</v>
      </c>
      <c r="D42" s="16" t="s">
        <v>299</v>
      </c>
      <c r="E42" s="17">
        <v>419</v>
      </c>
      <c r="F42" s="13">
        <v>13198.5</v>
      </c>
      <c r="K42"/>
    </row>
    <row r="43" spans="2:11" x14ac:dyDescent="0.25">
      <c r="B43" s="14">
        <v>42483</v>
      </c>
      <c r="C43" s="19">
        <v>13703</v>
      </c>
      <c r="D43" s="16" t="s">
        <v>7</v>
      </c>
      <c r="E43" s="17">
        <f>19.6+8.2+24</f>
        <v>51.8</v>
      </c>
      <c r="F43" s="13">
        <v>1968.2</v>
      </c>
      <c r="K43"/>
    </row>
    <row r="44" spans="2:11" x14ac:dyDescent="0.25">
      <c r="B44" s="14">
        <v>42483</v>
      </c>
      <c r="C44" s="19">
        <v>13704</v>
      </c>
      <c r="D44" s="16" t="s">
        <v>9</v>
      </c>
      <c r="E44" s="17">
        <v>54.48</v>
      </c>
      <c r="F44" s="13">
        <v>1198.56</v>
      </c>
      <c r="K44"/>
    </row>
    <row r="45" spans="2:11" ht="16.5" thickBot="1" x14ac:dyDescent="0.3">
      <c r="B45" s="14">
        <v>42483</v>
      </c>
      <c r="C45" s="15">
        <v>13727</v>
      </c>
      <c r="D45" s="16" t="s">
        <v>20</v>
      </c>
      <c r="E45" s="17">
        <v>211.2</v>
      </c>
      <c r="F45" s="13">
        <v>8236.7999999999993</v>
      </c>
      <c r="K45"/>
    </row>
    <row r="46" spans="2:11" ht="15.75" thickBot="1" x14ac:dyDescent="0.3">
      <c r="B46" s="21" t="s">
        <v>233</v>
      </c>
      <c r="C46" s="22"/>
      <c r="D46" s="23"/>
      <c r="E46" s="24">
        <v>0</v>
      </c>
      <c r="F46" s="25">
        <f>SUM(F3:F45)</f>
        <v>427048.21999999986</v>
      </c>
      <c r="K46" s="3">
        <f t="shared" ref="K46" si="2">J46*I46</f>
        <v>0</v>
      </c>
    </row>
    <row r="47" spans="2:11" ht="19.5" thickBot="1" x14ac:dyDescent="0.35">
      <c r="B47" s="26"/>
      <c r="C47" s="27"/>
      <c r="D47" s="28" t="s">
        <v>5</v>
      </c>
      <c r="E47" s="29">
        <f>SUM(E3:E46)</f>
        <v>12819.71</v>
      </c>
      <c r="I47" s="30">
        <f>SUM(I46:I46)</f>
        <v>0</v>
      </c>
      <c r="J47" s="30"/>
      <c r="K47" s="30">
        <f>SUM(K46:K46)</f>
        <v>0</v>
      </c>
    </row>
    <row r="48" spans="2:11" x14ac:dyDescent="0.25">
      <c r="B48" s="26"/>
      <c r="C48" s="27"/>
      <c r="D48" s="31"/>
      <c r="E48" s="32"/>
      <c r="K48"/>
    </row>
    <row r="49" spans="2:13" ht="21.75" thickBot="1" x14ac:dyDescent="0.4">
      <c r="B49" s="33"/>
      <c r="C49" s="34" t="s">
        <v>15</v>
      </c>
      <c r="D49" s="35">
        <f>E47*0.2</f>
        <v>2563.942</v>
      </c>
      <c r="F49"/>
      <c r="K49"/>
    </row>
    <row r="50" spans="2:13" ht="21.75" thickBot="1" x14ac:dyDescent="0.4">
      <c r="C50" s="36" t="s">
        <v>16</v>
      </c>
      <c r="D50" s="37">
        <v>3000</v>
      </c>
      <c r="E50" s="38"/>
      <c r="F50" s="85">
        <f>D49+D50</f>
        <v>5563.942</v>
      </c>
      <c r="G50" s="86"/>
      <c r="I50" s="39"/>
      <c r="J50" s="39"/>
      <c r="K50" s="39"/>
      <c r="L50" s="39"/>
      <c r="M50" s="39"/>
    </row>
    <row r="51" spans="2:13" ht="15.75" thickTop="1" x14ac:dyDescent="0.25">
      <c r="I51" s="39"/>
      <c r="J51" s="39"/>
      <c r="K51" s="40"/>
      <c r="L51" s="40"/>
      <c r="M51" s="40"/>
    </row>
    <row r="52" spans="2:13" ht="19.5" thickBot="1" x14ac:dyDescent="0.35">
      <c r="E52" s="41" t="s">
        <v>17</v>
      </c>
      <c r="F52" s="87">
        <v>0</v>
      </c>
      <c r="G52" s="87"/>
      <c r="I52" s="39"/>
      <c r="J52" s="39"/>
      <c r="K52" s="40"/>
      <c r="L52" s="40"/>
      <c r="M52" s="40"/>
    </row>
    <row r="53" spans="2:13" ht="15.75" thickTop="1" x14ac:dyDescent="0.25">
      <c r="C53"/>
      <c r="F53" s="88">
        <f>F50+F52</f>
        <v>5563.942</v>
      </c>
      <c r="G53" s="88"/>
      <c r="I53" s="39"/>
      <c r="J53" s="39"/>
      <c r="K53" s="40"/>
      <c r="L53" s="40"/>
      <c r="M53" s="40"/>
    </row>
    <row r="54" spans="2:13" ht="18.75" x14ac:dyDescent="0.3">
      <c r="C54"/>
      <c r="E54" s="2" t="s">
        <v>18</v>
      </c>
      <c r="F54" s="89"/>
      <c r="G54" s="89"/>
      <c r="K54"/>
    </row>
  </sheetData>
  <mergeCells count="4">
    <mergeCell ref="B1:C1"/>
    <mergeCell ref="F50:G50"/>
    <mergeCell ref="F52:G52"/>
    <mergeCell ref="F53:G54"/>
  </mergeCells>
  <pageMargins left="0.70866141732283472" right="0.70866141732283472" top="0.35433070866141736" bottom="0.19685039370078741" header="0.31496062992125984" footer="0.31496062992125984"/>
  <pageSetup scale="8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1"/>
  <sheetViews>
    <sheetView topLeftCell="A25" workbookViewId="0">
      <selection activeCell="E44" sqref="E44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42493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300</v>
      </c>
      <c r="G2" s="8"/>
      <c r="K2"/>
    </row>
    <row r="3" spans="2:11" ht="15.75" x14ac:dyDescent="0.25">
      <c r="B3" s="9">
        <v>42485</v>
      </c>
      <c r="C3" s="10">
        <v>13914</v>
      </c>
      <c r="D3" s="11" t="s">
        <v>192</v>
      </c>
      <c r="E3" s="12">
        <f>929+47.5</f>
        <v>976.5</v>
      </c>
      <c r="F3" s="13">
        <v>32119</v>
      </c>
      <c r="K3"/>
    </row>
    <row r="4" spans="2:11" ht="15.75" x14ac:dyDescent="0.25">
      <c r="B4" s="14">
        <v>42485</v>
      </c>
      <c r="C4" s="15">
        <v>13916</v>
      </c>
      <c r="D4" s="16" t="s">
        <v>7</v>
      </c>
      <c r="E4" s="17">
        <f>27.3+22.7+83.4</f>
        <v>133.4</v>
      </c>
      <c r="F4" s="13">
        <v>3904.7</v>
      </c>
      <c r="K4"/>
    </row>
    <row r="5" spans="2:11" ht="15.75" x14ac:dyDescent="0.25">
      <c r="B5" s="14">
        <v>42485</v>
      </c>
      <c r="C5" s="15">
        <v>13917</v>
      </c>
      <c r="D5" s="16" t="s">
        <v>14</v>
      </c>
      <c r="E5" s="17">
        <f>251.2+40.4+67.7</f>
        <v>359.29999999999995</v>
      </c>
      <c r="F5" s="13">
        <v>12360.2</v>
      </c>
      <c r="K5"/>
    </row>
    <row r="6" spans="2:11" ht="15.75" x14ac:dyDescent="0.25">
      <c r="B6" s="14">
        <v>42485</v>
      </c>
      <c r="C6" s="15">
        <v>13919</v>
      </c>
      <c r="D6" s="16" t="s">
        <v>13</v>
      </c>
      <c r="E6" s="17">
        <v>349.4</v>
      </c>
      <c r="F6" s="13">
        <v>13976</v>
      </c>
      <c r="G6" t="s">
        <v>233</v>
      </c>
      <c r="K6" s="3">
        <f t="shared" ref="K6:K18" si="0">J6*I6</f>
        <v>0</v>
      </c>
    </row>
    <row r="7" spans="2:11" ht="15.75" x14ac:dyDescent="0.25">
      <c r="B7" s="14">
        <v>42485</v>
      </c>
      <c r="C7" s="15">
        <v>13920</v>
      </c>
      <c r="D7" s="16" t="s">
        <v>20</v>
      </c>
      <c r="E7" s="17">
        <f>13.4+837.1</f>
        <v>850.5</v>
      </c>
      <c r="F7" s="13">
        <v>27068.6</v>
      </c>
      <c r="K7" s="3">
        <f t="shared" si="0"/>
        <v>0</v>
      </c>
    </row>
    <row r="8" spans="2:11" ht="15.75" x14ac:dyDescent="0.25">
      <c r="B8" s="14">
        <v>42486</v>
      </c>
      <c r="C8" s="15">
        <v>14075</v>
      </c>
      <c r="D8" s="16" t="s">
        <v>20</v>
      </c>
      <c r="E8" s="17">
        <f>39.6+404</f>
        <v>443.6</v>
      </c>
      <c r="F8" s="13">
        <v>13680.4</v>
      </c>
      <c r="K8" s="3">
        <f t="shared" si="0"/>
        <v>0</v>
      </c>
    </row>
    <row r="9" spans="2:11" ht="15.75" x14ac:dyDescent="0.25">
      <c r="B9" s="14">
        <v>42486</v>
      </c>
      <c r="C9" s="15">
        <v>14076</v>
      </c>
      <c r="D9" s="16" t="s">
        <v>192</v>
      </c>
      <c r="E9" s="17">
        <f>80.1+39.7</f>
        <v>119.8</v>
      </c>
      <c r="F9" s="13">
        <v>3317.5</v>
      </c>
      <c r="K9" s="3">
        <f t="shared" si="0"/>
        <v>0</v>
      </c>
    </row>
    <row r="10" spans="2:11" ht="15.75" x14ac:dyDescent="0.25">
      <c r="B10" s="14">
        <v>42486</v>
      </c>
      <c r="C10" s="15">
        <v>14077</v>
      </c>
      <c r="D10" s="16" t="s">
        <v>6</v>
      </c>
      <c r="E10" s="17">
        <f>11.4+87.7</f>
        <v>99.100000000000009</v>
      </c>
      <c r="F10" s="13">
        <v>3365</v>
      </c>
      <c r="K10" s="3">
        <f t="shared" si="0"/>
        <v>0</v>
      </c>
    </row>
    <row r="11" spans="2:11" ht="15.75" x14ac:dyDescent="0.25">
      <c r="B11" s="14">
        <v>42486</v>
      </c>
      <c r="C11" s="15">
        <v>14078</v>
      </c>
      <c r="D11" s="16" t="s">
        <v>14</v>
      </c>
      <c r="E11" s="17">
        <f>4.1+93.2</f>
        <v>97.3</v>
      </c>
      <c r="F11" s="13">
        <v>3068.5</v>
      </c>
      <c r="K11" s="3">
        <f t="shared" si="0"/>
        <v>0</v>
      </c>
    </row>
    <row r="12" spans="2:11" ht="15.75" x14ac:dyDescent="0.25">
      <c r="B12" s="14">
        <v>42486</v>
      </c>
      <c r="C12" s="44">
        <v>14079</v>
      </c>
      <c r="D12" s="16" t="s">
        <v>153</v>
      </c>
      <c r="E12" s="17">
        <v>263.8</v>
      </c>
      <c r="F12" s="13">
        <v>8441.6</v>
      </c>
      <c r="K12" s="3">
        <f t="shared" si="0"/>
        <v>0</v>
      </c>
    </row>
    <row r="13" spans="2:11" ht="15.75" x14ac:dyDescent="0.25">
      <c r="B13" s="14">
        <v>42487</v>
      </c>
      <c r="C13" s="15">
        <v>14196</v>
      </c>
      <c r="D13" s="16" t="s">
        <v>13</v>
      </c>
      <c r="E13" s="17">
        <f>138.4+29.7</f>
        <v>168.1</v>
      </c>
      <c r="F13" s="13">
        <v>3253.3</v>
      </c>
      <c r="K13" s="3">
        <f t="shared" si="0"/>
        <v>0</v>
      </c>
    </row>
    <row r="14" spans="2:11" ht="15.75" x14ac:dyDescent="0.25">
      <c r="B14" s="14">
        <v>42487</v>
      </c>
      <c r="C14" s="15">
        <v>14198</v>
      </c>
      <c r="D14" s="16" t="s">
        <v>192</v>
      </c>
      <c r="E14" s="17">
        <v>87</v>
      </c>
      <c r="F14" s="13">
        <v>2784</v>
      </c>
      <c r="K14" s="3">
        <f t="shared" si="0"/>
        <v>0</v>
      </c>
    </row>
    <row r="15" spans="2:11" ht="15.75" x14ac:dyDescent="0.25">
      <c r="B15" s="14">
        <v>42487</v>
      </c>
      <c r="C15" s="15">
        <v>14199</v>
      </c>
      <c r="D15" s="16" t="s">
        <v>11</v>
      </c>
      <c r="E15" s="17">
        <v>30.8</v>
      </c>
      <c r="F15" s="13">
        <v>646.79999999999995</v>
      </c>
      <c r="K15" s="3">
        <f t="shared" si="0"/>
        <v>0</v>
      </c>
    </row>
    <row r="16" spans="2:11" ht="15.75" x14ac:dyDescent="0.25">
      <c r="B16" s="14">
        <v>42487</v>
      </c>
      <c r="C16" s="15">
        <v>14195</v>
      </c>
      <c r="D16" s="16" t="s">
        <v>20</v>
      </c>
      <c r="E16" s="17">
        <v>306.3</v>
      </c>
      <c r="F16" s="13">
        <v>12558.3</v>
      </c>
      <c r="K16" s="3">
        <f t="shared" si="0"/>
        <v>0</v>
      </c>
    </row>
    <row r="17" spans="1:11" ht="15.75" x14ac:dyDescent="0.25">
      <c r="B17" s="14">
        <v>42487</v>
      </c>
      <c r="C17" s="15">
        <v>14197</v>
      </c>
      <c r="D17" s="16" t="s">
        <v>10</v>
      </c>
      <c r="E17" s="17">
        <v>352</v>
      </c>
      <c r="F17" s="13">
        <v>11264</v>
      </c>
      <c r="K17" s="3">
        <f t="shared" si="0"/>
        <v>0</v>
      </c>
    </row>
    <row r="18" spans="1:11" ht="15.75" x14ac:dyDescent="0.25">
      <c r="B18" s="14">
        <v>42487</v>
      </c>
      <c r="C18" s="15">
        <v>14200</v>
      </c>
      <c r="D18" s="16" t="s">
        <v>10</v>
      </c>
      <c r="E18" s="17">
        <f>1+27.12</f>
        <v>28.12</v>
      </c>
      <c r="F18" s="13">
        <v>1833.28</v>
      </c>
      <c r="K18" s="3">
        <f t="shared" si="0"/>
        <v>0</v>
      </c>
    </row>
    <row r="19" spans="1:11" ht="15.75" x14ac:dyDescent="0.25">
      <c r="B19" s="14">
        <v>42488</v>
      </c>
      <c r="C19" s="15">
        <v>14308</v>
      </c>
      <c r="D19" s="16" t="s">
        <v>7</v>
      </c>
      <c r="E19" s="17">
        <v>79.2</v>
      </c>
      <c r="F19" s="13">
        <v>2613.6</v>
      </c>
      <c r="I19" s="3">
        <f t="shared" ref="I19" si="1">SUM(I6:I18)</f>
        <v>0</v>
      </c>
      <c r="J19" s="3"/>
      <c r="K19" s="3">
        <f>SUM(K6:K18)</f>
        <v>0</v>
      </c>
    </row>
    <row r="20" spans="1:11" ht="15.75" x14ac:dyDescent="0.25">
      <c r="B20" s="14">
        <v>42488</v>
      </c>
      <c r="C20" s="15">
        <v>14309</v>
      </c>
      <c r="D20" s="16" t="s">
        <v>9</v>
      </c>
      <c r="E20" s="17">
        <v>336.4</v>
      </c>
      <c r="F20" s="13">
        <v>13792.4</v>
      </c>
    </row>
    <row r="21" spans="1:11" ht="15.75" x14ac:dyDescent="0.25">
      <c r="B21" s="14">
        <v>42488</v>
      </c>
      <c r="C21" s="15">
        <v>14310</v>
      </c>
      <c r="D21" s="16" t="s">
        <v>14</v>
      </c>
      <c r="E21" s="17">
        <v>423.5</v>
      </c>
      <c r="F21" s="13">
        <v>13552</v>
      </c>
    </row>
    <row r="22" spans="1:11" ht="15.75" x14ac:dyDescent="0.25">
      <c r="A22" s="18"/>
      <c r="B22" s="14">
        <v>42488</v>
      </c>
      <c r="C22" s="15">
        <v>14311</v>
      </c>
      <c r="D22" s="16" t="s">
        <v>20</v>
      </c>
      <c r="E22" s="17">
        <f>431.7+23.3</f>
        <v>455</v>
      </c>
      <c r="F22" s="13">
        <v>14327</v>
      </c>
    </row>
    <row r="23" spans="1:11" ht="15.75" x14ac:dyDescent="0.25">
      <c r="B23" s="14">
        <v>42488</v>
      </c>
      <c r="C23" s="15">
        <v>14312</v>
      </c>
      <c r="D23" s="16" t="s">
        <v>13</v>
      </c>
      <c r="E23" s="17">
        <v>251.4</v>
      </c>
      <c r="F23" s="13">
        <v>8044.8</v>
      </c>
    </row>
    <row r="24" spans="1:11" x14ac:dyDescent="0.25">
      <c r="B24" s="14">
        <v>42488</v>
      </c>
      <c r="C24" s="19">
        <v>14313</v>
      </c>
      <c r="D24" s="16" t="s">
        <v>153</v>
      </c>
      <c r="E24" s="17">
        <f>95.6</f>
        <v>95.6</v>
      </c>
      <c r="F24" s="13">
        <v>3065.6</v>
      </c>
    </row>
    <row r="25" spans="1:11" x14ac:dyDescent="0.25">
      <c r="B25" s="14">
        <v>42488</v>
      </c>
      <c r="C25" s="19">
        <v>14314</v>
      </c>
      <c r="D25" s="16" t="s">
        <v>192</v>
      </c>
      <c r="E25" s="17">
        <f>78+35.6</f>
        <v>113.6</v>
      </c>
      <c r="F25" s="13">
        <v>4133.6000000000004</v>
      </c>
    </row>
    <row r="26" spans="1:11" x14ac:dyDescent="0.25">
      <c r="B26" s="14">
        <v>42488</v>
      </c>
      <c r="C26" s="19">
        <v>14320</v>
      </c>
      <c r="D26" s="16" t="s">
        <v>13</v>
      </c>
      <c r="E26" s="17">
        <v>107.4</v>
      </c>
      <c r="F26" s="13">
        <v>2148</v>
      </c>
    </row>
    <row r="27" spans="1:11" x14ac:dyDescent="0.25">
      <c r="B27" s="14">
        <v>42489</v>
      </c>
      <c r="C27" s="19">
        <v>14468</v>
      </c>
      <c r="D27" s="16" t="s">
        <v>6</v>
      </c>
      <c r="E27" s="17">
        <f>63.8+8+93.6+70.9+22.3+38.2+6.6+55.3</f>
        <v>358.7</v>
      </c>
      <c r="F27" s="13">
        <v>11737.25</v>
      </c>
    </row>
    <row r="28" spans="1:11" x14ac:dyDescent="0.25">
      <c r="B28" s="14">
        <v>42489</v>
      </c>
      <c r="C28" s="19">
        <v>14473</v>
      </c>
      <c r="D28" s="16" t="s">
        <v>153</v>
      </c>
      <c r="E28" s="17">
        <v>435.2</v>
      </c>
      <c r="F28" s="13">
        <v>14144</v>
      </c>
    </row>
    <row r="29" spans="1:11" x14ac:dyDescent="0.25">
      <c r="B29" s="14">
        <v>42489</v>
      </c>
      <c r="C29" s="19">
        <v>14476</v>
      </c>
      <c r="D29" s="16" t="s">
        <v>7</v>
      </c>
      <c r="E29" s="17">
        <v>78.3</v>
      </c>
      <c r="F29" s="13">
        <v>2544.75</v>
      </c>
    </row>
    <row r="30" spans="1:11" x14ac:dyDescent="0.25">
      <c r="B30" s="14">
        <v>42489</v>
      </c>
      <c r="C30" s="19">
        <v>14514</v>
      </c>
      <c r="D30" s="16" t="s">
        <v>11</v>
      </c>
      <c r="E30" s="17">
        <v>117.4</v>
      </c>
      <c r="F30" s="13">
        <v>4813.3999999999996</v>
      </c>
    </row>
    <row r="31" spans="1:11" x14ac:dyDescent="0.25">
      <c r="B31" s="14">
        <v>42490</v>
      </c>
      <c r="C31" s="19">
        <v>14645</v>
      </c>
      <c r="D31" s="16" t="s">
        <v>9</v>
      </c>
      <c r="E31" s="17">
        <v>110.8</v>
      </c>
      <c r="F31" s="13">
        <v>3933.4</v>
      </c>
    </row>
    <row r="32" spans="1:11" ht="15.75" thickBot="1" x14ac:dyDescent="0.3">
      <c r="B32" s="14">
        <v>42490</v>
      </c>
      <c r="C32" s="19">
        <v>14650</v>
      </c>
      <c r="D32" s="16" t="s">
        <v>192</v>
      </c>
      <c r="E32" s="17">
        <v>57.2</v>
      </c>
      <c r="F32" s="13">
        <v>1258.4000000000001</v>
      </c>
    </row>
    <row r="33" spans="2:13" ht="15.75" thickBot="1" x14ac:dyDescent="0.3">
      <c r="B33" s="21" t="s">
        <v>233</v>
      </c>
      <c r="C33" s="22"/>
      <c r="D33" s="23"/>
      <c r="E33" s="24">
        <v>0</v>
      </c>
      <c r="F33" s="25">
        <f>SUM(F3:F32)</f>
        <v>253749.37999999998</v>
      </c>
      <c r="K33" s="3">
        <f t="shared" ref="K33" si="2">J33*I33</f>
        <v>0</v>
      </c>
    </row>
    <row r="34" spans="2:13" ht="19.5" thickBot="1" x14ac:dyDescent="0.35">
      <c r="B34" s="26"/>
      <c r="C34" s="27"/>
      <c r="D34" s="28" t="s">
        <v>5</v>
      </c>
      <c r="E34" s="29">
        <f>SUM(E3:E33)</f>
        <v>7684.7199999999993</v>
      </c>
      <c r="I34" s="30">
        <f>SUM(I33:I33)</f>
        <v>0</v>
      </c>
      <c r="J34" s="30"/>
      <c r="K34" s="30">
        <f>SUM(K33:K33)</f>
        <v>0</v>
      </c>
    </row>
    <row r="35" spans="2:13" x14ac:dyDescent="0.25">
      <c r="B35" s="26"/>
      <c r="C35" s="27"/>
      <c r="D35" s="31"/>
      <c r="E35" s="32"/>
      <c r="K35"/>
    </row>
    <row r="36" spans="2:13" ht="21.75" thickBot="1" x14ac:dyDescent="0.4">
      <c r="B36" s="33"/>
      <c r="C36" s="34" t="s">
        <v>15</v>
      </c>
      <c r="D36" s="35">
        <f>E34*0.2</f>
        <v>1536.944</v>
      </c>
      <c r="F36"/>
      <c r="K36"/>
    </row>
    <row r="37" spans="2:13" ht="21.75" thickBot="1" x14ac:dyDescent="0.4">
      <c r="C37" s="36" t="s">
        <v>16</v>
      </c>
      <c r="D37" s="37">
        <v>3000</v>
      </c>
      <c r="E37" s="38"/>
      <c r="F37" s="85">
        <f>D36+D37</f>
        <v>4536.9439999999995</v>
      </c>
      <c r="G37" s="86"/>
      <c r="I37" s="39"/>
      <c r="J37" s="39"/>
      <c r="K37" s="39"/>
      <c r="L37" s="39"/>
      <c r="M37" s="39"/>
    </row>
    <row r="38" spans="2:13" ht="15.75" thickTop="1" x14ac:dyDescent="0.25">
      <c r="I38" s="39"/>
      <c r="J38" s="39"/>
      <c r="K38" s="40"/>
      <c r="L38" s="40"/>
      <c r="M38" s="40"/>
    </row>
    <row r="39" spans="2:13" ht="19.5" thickBot="1" x14ac:dyDescent="0.35">
      <c r="E39" s="41" t="s">
        <v>17</v>
      </c>
      <c r="F39" s="87">
        <v>0</v>
      </c>
      <c r="G39" s="87"/>
      <c r="I39" s="39"/>
      <c r="J39" s="39"/>
      <c r="K39" s="40"/>
      <c r="L39" s="40"/>
      <c r="M39" s="40"/>
    </row>
    <row r="40" spans="2:13" ht="15.75" thickTop="1" x14ac:dyDescent="0.25">
      <c r="C40"/>
      <c r="F40" s="88">
        <f>F37+F39</f>
        <v>4536.9439999999995</v>
      </c>
      <c r="G40" s="88"/>
      <c r="I40" s="39"/>
      <c r="J40" s="39"/>
      <c r="K40" s="40"/>
      <c r="L40" s="40"/>
      <c r="M40" s="40"/>
    </row>
    <row r="41" spans="2:13" ht="18.75" x14ac:dyDescent="0.3">
      <c r="C41"/>
      <c r="E41" s="2" t="s">
        <v>18</v>
      </c>
      <c r="F41" s="89"/>
      <c r="G41" s="89"/>
      <c r="K41"/>
    </row>
  </sheetData>
  <mergeCells count="4">
    <mergeCell ref="B1:C1"/>
    <mergeCell ref="F37:G37"/>
    <mergeCell ref="F39:G39"/>
    <mergeCell ref="F40:G41"/>
  </mergeCells>
  <pageMargins left="0.70866141732283472" right="0.70866141732283472" top="0.74803149606299213" bottom="0.74803149606299213" header="0.31496062992125984" footer="0.31496062992125984"/>
  <pageSetup scale="8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M67"/>
  <sheetViews>
    <sheetView topLeftCell="A43" workbookViewId="0">
      <selection activeCell="D67" sqref="D67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42501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301</v>
      </c>
      <c r="G2" s="8"/>
      <c r="K2"/>
    </row>
    <row r="3" spans="2:11" ht="15.75" x14ac:dyDescent="0.25">
      <c r="B3" s="9">
        <v>42489</v>
      </c>
      <c r="C3" s="10">
        <v>14469</v>
      </c>
      <c r="D3" s="11" t="s">
        <v>20</v>
      </c>
      <c r="E3" s="12">
        <f>417.9+315.1</f>
        <v>733</v>
      </c>
      <c r="F3" s="13">
        <v>26500.85</v>
      </c>
      <c r="K3"/>
    </row>
    <row r="4" spans="2:11" ht="15.75" x14ac:dyDescent="0.25">
      <c r="B4" s="14">
        <v>42489</v>
      </c>
      <c r="C4" s="15">
        <v>14470</v>
      </c>
      <c r="D4" s="16" t="s">
        <v>9</v>
      </c>
      <c r="E4" s="17">
        <v>856</v>
      </c>
      <c r="F4" s="13">
        <v>27820</v>
      </c>
      <c r="K4"/>
    </row>
    <row r="5" spans="2:11" ht="15.75" x14ac:dyDescent="0.25">
      <c r="B5" s="14">
        <v>42489</v>
      </c>
      <c r="C5" s="15">
        <v>14472</v>
      </c>
      <c r="D5" s="16" t="s">
        <v>14</v>
      </c>
      <c r="E5" s="17">
        <v>553.29999999999995</v>
      </c>
      <c r="F5" s="13">
        <v>17982.25</v>
      </c>
      <c r="K5"/>
    </row>
    <row r="6" spans="2:11" ht="15.75" x14ac:dyDescent="0.25">
      <c r="B6" s="14">
        <v>42489</v>
      </c>
      <c r="C6" s="47">
        <v>11474</v>
      </c>
      <c r="D6" s="16" t="s">
        <v>10</v>
      </c>
      <c r="E6" s="54">
        <f>567.6+54.48+1+4+33.9+272.2+263.9</f>
        <v>1197.08</v>
      </c>
      <c r="F6" s="13">
        <v>45770.67</v>
      </c>
      <c r="G6" t="s">
        <v>233</v>
      </c>
      <c r="K6" s="3">
        <f t="shared" ref="K6:K17" si="0">J6*I6</f>
        <v>0</v>
      </c>
    </row>
    <row r="7" spans="2:11" ht="15.75" x14ac:dyDescent="0.25">
      <c r="B7" s="14">
        <v>42490</v>
      </c>
      <c r="C7" s="15">
        <v>14644</v>
      </c>
      <c r="D7" s="16" t="s">
        <v>20</v>
      </c>
      <c r="E7" s="17">
        <v>285.8</v>
      </c>
      <c r="F7" s="13">
        <v>11717.8</v>
      </c>
      <c r="K7" s="3">
        <f t="shared" si="0"/>
        <v>0</v>
      </c>
    </row>
    <row r="8" spans="2:11" ht="15.75" x14ac:dyDescent="0.25">
      <c r="B8" s="14">
        <v>42490</v>
      </c>
      <c r="C8" s="15">
        <v>14646</v>
      </c>
      <c r="D8" s="16" t="s">
        <v>11</v>
      </c>
      <c r="E8" s="17">
        <v>180.7</v>
      </c>
      <c r="F8" s="13">
        <v>7408.7</v>
      </c>
      <c r="K8" s="3">
        <f t="shared" si="0"/>
        <v>0</v>
      </c>
    </row>
    <row r="9" spans="2:11" ht="15.75" x14ac:dyDescent="0.25">
      <c r="B9" s="14">
        <v>42490</v>
      </c>
      <c r="C9" s="15">
        <v>14652</v>
      </c>
      <c r="D9" s="16" t="s">
        <v>11</v>
      </c>
      <c r="E9" s="17">
        <v>36.200000000000003</v>
      </c>
      <c r="F9" s="13">
        <v>796.4</v>
      </c>
      <c r="K9" s="3">
        <f t="shared" si="0"/>
        <v>0</v>
      </c>
    </row>
    <row r="10" spans="2:11" ht="15.75" x14ac:dyDescent="0.25">
      <c r="B10" s="14">
        <v>42492</v>
      </c>
      <c r="C10" s="15">
        <v>14805</v>
      </c>
      <c r="D10" s="16" t="s">
        <v>192</v>
      </c>
      <c r="E10" s="17">
        <f>919+91.5+38.7</f>
        <v>1049.2</v>
      </c>
      <c r="F10" s="13">
        <v>35576.400000000001</v>
      </c>
      <c r="K10" s="3">
        <f t="shared" si="0"/>
        <v>0</v>
      </c>
    </row>
    <row r="11" spans="2:11" ht="15.75" x14ac:dyDescent="0.25">
      <c r="B11" s="14">
        <v>42492</v>
      </c>
      <c r="C11" s="15">
        <v>14806</v>
      </c>
      <c r="D11" s="16" t="s">
        <v>11</v>
      </c>
      <c r="E11" s="17">
        <v>146.30000000000001</v>
      </c>
      <c r="F11" s="13">
        <v>5998.3</v>
      </c>
      <c r="K11" s="3">
        <f t="shared" si="0"/>
        <v>0</v>
      </c>
    </row>
    <row r="12" spans="2:11" ht="15.75" x14ac:dyDescent="0.25">
      <c r="B12" s="14">
        <v>42492</v>
      </c>
      <c r="C12" s="44">
        <v>14807</v>
      </c>
      <c r="D12" s="16" t="s">
        <v>153</v>
      </c>
      <c r="E12" s="17">
        <v>90.1</v>
      </c>
      <c r="F12" s="13">
        <v>2973.3</v>
      </c>
      <c r="K12" s="3">
        <f t="shared" si="0"/>
        <v>0</v>
      </c>
    </row>
    <row r="13" spans="2:11" ht="15.75" x14ac:dyDescent="0.25">
      <c r="B13" s="14">
        <v>42492</v>
      </c>
      <c r="C13" s="15">
        <v>14808</v>
      </c>
      <c r="D13" s="16" t="s">
        <v>302</v>
      </c>
      <c r="E13" s="17">
        <f>93+2+9.7+0.5</f>
        <v>105.2</v>
      </c>
      <c r="F13" s="13">
        <v>3972.4</v>
      </c>
      <c r="K13" s="3">
        <f t="shared" si="0"/>
        <v>0</v>
      </c>
    </row>
    <row r="14" spans="2:11" ht="15.75" x14ac:dyDescent="0.25">
      <c r="B14" s="14">
        <v>42492</v>
      </c>
      <c r="C14" s="15">
        <v>14809</v>
      </c>
      <c r="D14" s="16" t="s">
        <v>9</v>
      </c>
      <c r="E14" s="17">
        <v>299.10000000000002</v>
      </c>
      <c r="F14" s="13">
        <v>9870.2999999999993</v>
      </c>
      <c r="K14" s="3">
        <f t="shared" si="0"/>
        <v>0</v>
      </c>
    </row>
    <row r="15" spans="2:11" ht="15.75" x14ac:dyDescent="0.25">
      <c r="B15" s="14">
        <v>42492</v>
      </c>
      <c r="C15" s="15">
        <v>14811</v>
      </c>
      <c r="D15" s="16" t="s">
        <v>10</v>
      </c>
      <c r="E15" s="17">
        <v>40.1</v>
      </c>
      <c r="F15" s="13">
        <v>1884.7</v>
      </c>
      <c r="K15" s="3">
        <f t="shared" si="0"/>
        <v>0</v>
      </c>
    </row>
    <row r="16" spans="2:11" ht="15.75" x14ac:dyDescent="0.25">
      <c r="B16" s="14">
        <v>42492</v>
      </c>
      <c r="C16" s="15">
        <v>14810</v>
      </c>
      <c r="D16" s="16" t="s">
        <v>20</v>
      </c>
      <c r="E16" s="17">
        <v>373.8</v>
      </c>
      <c r="F16" s="13">
        <v>12335.4</v>
      </c>
      <c r="K16" s="3">
        <f t="shared" si="0"/>
        <v>0</v>
      </c>
    </row>
    <row r="17" spans="1:13" ht="15.75" x14ac:dyDescent="0.25">
      <c r="B17" s="14">
        <v>42492</v>
      </c>
      <c r="C17" s="15">
        <v>14812</v>
      </c>
      <c r="D17" s="16" t="s">
        <v>14</v>
      </c>
      <c r="E17" s="17">
        <f>67.4+39.8</f>
        <v>107.2</v>
      </c>
      <c r="F17" s="13">
        <v>4422.5</v>
      </c>
      <c r="K17" s="3">
        <f t="shared" si="0"/>
        <v>0</v>
      </c>
    </row>
    <row r="18" spans="1:13" ht="15.75" x14ac:dyDescent="0.25">
      <c r="B18" s="14">
        <v>42493</v>
      </c>
      <c r="C18" s="15">
        <v>14941</v>
      </c>
      <c r="D18" s="16" t="s">
        <v>192</v>
      </c>
      <c r="E18" s="17">
        <f>33.5+16.5+50.9</f>
        <v>100.9</v>
      </c>
      <c r="F18" s="13">
        <v>2067.1</v>
      </c>
      <c r="I18" s="3">
        <f>SUM(I6:I17)</f>
        <v>0</v>
      </c>
      <c r="J18" s="3"/>
      <c r="K18" s="3">
        <f>SUM(K6:K17)</f>
        <v>0</v>
      </c>
    </row>
    <row r="19" spans="1:13" ht="15.75" x14ac:dyDescent="0.25">
      <c r="B19" s="14">
        <v>42493</v>
      </c>
      <c r="C19" s="15">
        <v>14942</v>
      </c>
      <c r="D19" s="16" t="s">
        <v>9</v>
      </c>
      <c r="E19" s="17">
        <f>39.5+177.2</f>
        <v>216.7</v>
      </c>
      <c r="F19" s="13">
        <v>6598.1</v>
      </c>
    </row>
    <row r="20" spans="1:13" ht="15.75" x14ac:dyDescent="0.25">
      <c r="B20" s="14">
        <v>42493</v>
      </c>
      <c r="C20" s="15">
        <v>14943</v>
      </c>
      <c r="D20" s="16" t="s">
        <v>153</v>
      </c>
      <c r="E20" s="17">
        <f>186.9</f>
        <v>186.9</v>
      </c>
      <c r="F20" s="13">
        <v>6167.7</v>
      </c>
    </row>
    <row r="21" spans="1:13" ht="15.75" x14ac:dyDescent="0.25">
      <c r="A21" s="18"/>
      <c r="B21" s="14">
        <v>42493</v>
      </c>
      <c r="C21" s="15">
        <v>14944</v>
      </c>
      <c r="D21" s="16" t="s">
        <v>14</v>
      </c>
      <c r="E21" s="17">
        <v>247.5</v>
      </c>
      <c r="F21" s="13">
        <v>8167.5</v>
      </c>
    </row>
    <row r="22" spans="1:13" ht="15.75" x14ac:dyDescent="0.25">
      <c r="B22" s="14">
        <v>42493</v>
      </c>
      <c r="C22" s="15">
        <v>14945</v>
      </c>
      <c r="D22" s="16" t="s">
        <v>13</v>
      </c>
      <c r="E22" s="17">
        <v>264.5</v>
      </c>
      <c r="F22" s="13">
        <v>8728.5</v>
      </c>
      <c r="I22" s="48"/>
      <c r="J22" s="49"/>
      <c r="K22" s="50"/>
      <c r="L22" s="51"/>
      <c r="M22" s="52"/>
    </row>
    <row r="23" spans="1:13" ht="15.75" x14ac:dyDescent="0.25">
      <c r="B23" s="14">
        <v>42493</v>
      </c>
      <c r="C23" s="15">
        <v>14946</v>
      </c>
      <c r="D23" s="16" t="s">
        <v>6</v>
      </c>
      <c r="E23" s="17">
        <v>14.7</v>
      </c>
      <c r="F23" s="13">
        <v>749.7</v>
      </c>
      <c r="I23" s="31"/>
      <c r="J23" s="31"/>
      <c r="K23" s="53"/>
      <c r="L23" s="31"/>
      <c r="M23" s="31"/>
    </row>
    <row r="24" spans="1:13" ht="15.75" x14ac:dyDescent="0.25">
      <c r="B24" s="14">
        <v>42493</v>
      </c>
      <c r="C24" s="15">
        <v>14947</v>
      </c>
      <c r="D24" s="16" t="s">
        <v>11</v>
      </c>
      <c r="E24" s="17">
        <v>63.1</v>
      </c>
      <c r="F24" s="13">
        <v>2587.1</v>
      </c>
    </row>
    <row r="25" spans="1:13" x14ac:dyDescent="0.25">
      <c r="B25" s="14">
        <v>42494</v>
      </c>
      <c r="C25" s="19">
        <v>15044</v>
      </c>
      <c r="D25" s="16" t="s">
        <v>9</v>
      </c>
      <c r="E25" s="17">
        <v>359.4</v>
      </c>
      <c r="F25" s="13">
        <v>11860.2</v>
      </c>
    </row>
    <row r="26" spans="1:13" x14ac:dyDescent="0.25">
      <c r="B26" s="14">
        <v>42494</v>
      </c>
      <c r="C26" s="19">
        <v>15045</v>
      </c>
      <c r="D26" s="16" t="s">
        <v>14</v>
      </c>
      <c r="E26" s="17">
        <v>368.8</v>
      </c>
      <c r="F26" s="13">
        <v>12170.4</v>
      </c>
    </row>
    <row r="27" spans="1:13" x14ac:dyDescent="0.25">
      <c r="B27" s="14">
        <v>42494</v>
      </c>
      <c r="C27" s="19">
        <v>15047</v>
      </c>
      <c r="D27" s="16" t="s">
        <v>10</v>
      </c>
      <c r="E27" s="17">
        <f>26.1+54.48+1+192</f>
        <v>273.58</v>
      </c>
      <c r="F27" s="13">
        <v>9892.84</v>
      </c>
    </row>
    <row r="28" spans="1:13" x14ac:dyDescent="0.25">
      <c r="B28" s="14">
        <v>42494</v>
      </c>
      <c r="C28" s="19">
        <v>15049</v>
      </c>
      <c r="D28" s="16" t="s">
        <v>20</v>
      </c>
      <c r="E28" s="17">
        <v>392</v>
      </c>
      <c r="F28" s="13">
        <v>13328</v>
      </c>
    </row>
    <row r="29" spans="1:13" x14ac:dyDescent="0.25">
      <c r="B29" s="14">
        <v>42494</v>
      </c>
      <c r="C29" s="19">
        <v>15050</v>
      </c>
      <c r="D29" s="16" t="s">
        <v>153</v>
      </c>
      <c r="E29" s="17">
        <f>17.7+46+92.2</f>
        <v>155.9</v>
      </c>
      <c r="F29" s="13">
        <v>5019</v>
      </c>
    </row>
    <row r="30" spans="1:13" x14ac:dyDescent="0.25">
      <c r="B30" s="14">
        <v>42494</v>
      </c>
      <c r="C30" s="19">
        <v>15051</v>
      </c>
      <c r="D30" s="16" t="s">
        <v>6</v>
      </c>
      <c r="E30" s="17">
        <v>91.2</v>
      </c>
      <c r="F30" s="13">
        <v>3009.6</v>
      </c>
    </row>
    <row r="31" spans="1:13" x14ac:dyDescent="0.25">
      <c r="B31" s="14">
        <v>42494</v>
      </c>
      <c r="C31" s="19">
        <v>15052</v>
      </c>
      <c r="D31" s="16" t="s">
        <v>11</v>
      </c>
      <c r="E31" s="17">
        <f>1+60.8</f>
        <v>61.8</v>
      </c>
      <c r="F31" s="13">
        <v>3132.8</v>
      </c>
    </row>
    <row r="32" spans="1:13" x14ac:dyDescent="0.25">
      <c r="B32" s="14">
        <v>42495</v>
      </c>
      <c r="C32" s="19">
        <v>15218</v>
      </c>
      <c r="D32" s="16" t="s">
        <v>192</v>
      </c>
      <c r="E32" s="17">
        <f>62.5+39.4</f>
        <v>101.9</v>
      </c>
      <c r="F32" s="13">
        <v>2248.6</v>
      </c>
    </row>
    <row r="33" spans="2:6" customFormat="1" x14ac:dyDescent="0.25">
      <c r="B33" s="14">
        <v>42495</v>
      </c>
      <c r="C33" s="19">
        <v>15231</v>
      </c>
      <c r="D33" s="16" t="s">
        <v>12</v>
      </c>
      <c r="E33" s="17">
        <f>155.2+1+163.6+152.4+94.3+168</f>
        <v>734.49999999999989</v>
      </c>
      <c r="F33" s="13">
        <v>31111.9</v>
      </c>
    </row>
    <row r="34" spans="2:6" customFormat="1" x14ac:dyDescent="0.25">
      <c r="B34" s="14">
        <v>42495</v>
      </c>
      <c r="C34" s="19">
        <v>15232</v>
      </c>
      <c r="D34" s="16" t="s">
        <v>6</v>
      </c>
      <c r="E34" s="17">
        <f>267+60.3</f>
        <v>327.3</v>
      </c>
      <c r="F34" s="13">
        <v>11283.3</v>
      </c>
    </row>
    <row r="35" spans="2:6" customFormat="1" x14ac:dyDescent="0.25">
      <c r="B35" s="14">
        <v>42495</v>
      </c>
      <c r="C35" s="19">
        <v>15233</v>
      </c>
      <c r="D35" s="16" t="s">
        <v>153</v>
      </c>
      <c r="E35" s="17">
        <v>156.1</v>
      </c>
      <c r="F35" s="13">
        <v>5151.3</v>
      </c>
    </row>
    <row r="36" spans="2:6" customFormat="1" x14ac:dyDescent="0.25">
      <c r="B36" s="14">
        <v>42495</v>
      </c>
      <c r="C36" s="19">
        <v>15234</v>
      </c>
      <c r="D36" s="16" t="s">
        <v>20</v>
      </c>
      <c r="E36" s="17">
        <f>417.6+141</f>
        <v>558.6</v>
      </c>
      <c r="F36" s="13">
        <v>18645.3</v>
      </c>
    </row>
    <row r="37" spans="2:6" customFormat="1" x14ac:dyDescent="0.25">
      <c r="B37" s="14">
        <v>42495</v>
      </c>
      <c r="C37" s="19">
        <v>15235</v>
      </c>
      <c r="D37" s="16" t="s">
        <v>9</v>
      </c>
      <c r="E37" s="17">
        <v>212.5</v>
      </c>
      <c r="F37" s="13">
        <v>8712.5</v>
      </c>
    </row>
    <row r="38" spans="2:6" customFormat="1" x14ac:dyDescent="0.25">
      <c r="B38" s="14">
        <v>42495</v>
      </c>
      <c r="C38" s="19">
        <v>15236</v>
      </c>
      <c r="D38" s="16" t="s">
        <v>11</v>
      </c>
      <c r="E38" s="17">
        <v>65.7</v>
      </c>
      <c r="F38" s="13">
        <v>2693.7</v>
      </c>
    </row>
    <row r="39" spans="2:6" customFormat="1" x14ac:dyDescent="0.25">
      <c r="B39" s="14">
        <v>42495</v>
      </c>
      <c r="C39" s="19">
        <v>15237</v>
      </c>
      <c r="D39" s="16" t="s">
        <v>7</v>
      </c>
      <c r="E39" s="17">
        <v>79.8</v>
      </c>
      <c r="F39" s="13">
        <v>2633.4</v>
      </c>
    </row>
    <row r="40" spans="2:6" customFormat="1" x14ac:dyDescent="0.25">
      <c r="B40" s="14">
        <v>42496</v>
      </c>
      <c r="C40" s="19">
        <v>15357</v>
      </c>
      <c r="D40" s="16" t="s">
        <v>192</v>
      </c>
      <c r="E40" s="17">
        <f>932.6+51.7+84.1</f>
        <v>1068.4000000000001</v>
      </c>
      <c r="F40" s="13">
        <v>35258.199999999997</v>
      </c>
    </row>
    <row r="41" spans="2:6" customFormat="1" x14ac:dyDescent="0.25">
      <c r="B41" s="14">
        <v>42496</v>
      </c>
      <c r="C41" s="19">
        <v>15360</v>
      </c>
      <c r="D41" s="16" t="s">
        <v>153</v>
      </c>
      <c r="E41" s="17">
        <v>273.2</v>
      </c>
      <c r="F41" s="13">
        <v>9015.6</v>
      </c>
    </row>
    <row r="42" spans="2:6" customFormat="1" x14ac:dyDescent="0.25">
      <c r="B42" s="14">
        <v>42496</v>
      </c>
      <c r="C42" s="19">
        <v>15363</v>
      </c>
      <c r="D42" s="16" t="s">
        <v>9</v>
      </c>
      <c r="E42" s="17">
        <f>92+413.8</f>
        <v>505.8</v>
      </c>
      <c r="F42" s="13">
        <v>17427.400000000001</v>
      </c>
    </row>
    <row r="43" spans="2:6" customFormat="1" x14ac:dyDescent="0.25">
      <c r="B43" s="14">
        <v>42496</v>
      </c>
      <c r="C43" s="19">
        <v>15364</v>
      </c>
      <c r="D43" s="16" t="s">
        <v>10</v>
      </c>
      <c r="E43" s="17">
        <f>192.8+569.2</f>
        <v>762</v>
      </c>
      <c r="F43" s="13">
        <v>28699</v>
      </c>
    </row>
    <row r="44" spans="2:6" customFormat="1" x14ac:dyDescent="0.25">
      <c r="B44" s="14">
        <v>42496</v>
      </c>
      <c r="C44" s="19">
        <v>15365</v>
      </c>
      <c r="D44" s="16" t="s">
        <v>6</v>
      </c>
      <c r="E44" s="17">
        <v>74.400000000000006</v>
      </c>
      <c r="F44" s="13">
        <v>4910.3999999999996</v>
      </c>
    </row>
    <row r="45" spans="2:6" customFormat="1" x14ac:dyDescent="0.25">
      <c r="B45" s="14">
        <v>42496</v>
      </c>
      <c r="C45" s="19">
        <v>15366</v>
      </c>
      <c r="D45" s="16" t="s">
        <v>7</v>
      </c>
      <c r="E45" s="17">
        <v>80</v>
      </c>
      <c r="F45" s="13">
        <v>2640</v>
      </c>
    </row>
    <row r="46" spans="2:6" customFormat="1" x14ac:dyDescent="0.25">
      <c r="B46" s="14">
        <v>42496</v>
      </c>
      <c r="C46" s="19">
        <v>15367</v>
      </c>
      <c r="D46" s="16" t="s">
        <v>20</v>
      </c>
      <c r="E46" s="17">
        <f>388.5+334.6</f>
        <v>723.1</v>
      </c>
      <c r="F46" s="13">
        <v>26539.1</v>
      </c>
    </row>
    <row r="47" spans="2:6" customFormat="1" x14ac:dyDescent="0.25">
      <c r="B47" s="14">
        <v>42528</v>
      </c>
      <c r="C47" s="19">
        <v>15488</v>
      </c>
      <c r="D47" s="16" t="s">
        <v>9</v>
      </c>
      <c r="E47" s="17">
        <v>441.2</v>
      </c>
      <c r="F47" s="13">
        <v>14780.2</v>
      </c>
    </row>
    <row r="48" spans="2:6" customFormat="1" x14ac:dyDescent="0.25">
      <c r="B48" s="14">
        <v>42497</v>
      </c>
      <c r="C48" s="19">
        <v>15489</v>
      </c>
      <c r="D48" s="16" t="s">
        <v>20</v>
      </c>
      <c r="E48" s="17">
        <f>25.5+462</f>
        <v>487.5</v>
      </c>
      <c r="F48" s="13">
        <v>16038</v>
      </c>
    </row>
    <row r="49" spans="2:13" x14ac:dyDescent="0.25">
      <c r="B49" s="14">
        <v>42497</v>
      </c>
      <c r="C49" s="19">
        <v>15490</v>
      </c>
      <c r="D49" s="16" t="s">
        <v>12</v>
      </c>
      <c r="E49" s="17">
        <f>63.8+17.9+213.4+551.8</f>
        <v>846.9</v>
      </c>
      <c r="F49" s="13">
        <v>30712.9</v>
      </c>
    </row>
    <row r="50" spans="2:13" x14ac:dyDescent="0.25">
      <c r="B50" s="14">
        <v>42497</v>
      </c>
      <c r="C50" s="19">
        <v>15494</v>
      </c>
      <c r="D50" s="16" t="s">
        <v>7</v>
      </c>
      <c r="E50" s="17">
        <v>65</v>
      </c>
      <c r="F50" s="13">
        <v>2730</v>
      </c>
    </row>
    <row r="51" spans="2:13" x14ac:dyDescent="0.25">
      <c r="B51" s="14">
        <v>42497</v>
      </c>
      <c r="C51" s="19">
        <v>15497</v>
      </c>
      <c r="D51" s="16" t="s">
        <v>6</v>
      </c>
      <c r="E51" s="17">
        <f>49.9+21.5</f>
        <v>71.400000000000006</v>
      </c>
      <c r="F51" s="13">
        <v>2158.4499999999998</v>
      </c>
    </row>
    <row r="52" spans="2:13" x14ac:dyDescent="0.25">
      <c r="B52" s="14">
        <v>42497</v>
      </c>
      <c r="C52" s="19">
        <v>15498</v>
      </c>
      <c r="D52" s="16" t="s">
        <v>10</v>
      </c>
      <c r="E52" s="17">
        <f>5+54.48</f>
        <v>59.48</v>
      </c>
      <c r="F52" s="13">
        <v>3267.64</v>
      </c>
    </row>
    <row r="53" spans="2:13" x14ac:dyDescent="0.25">
      <c r="B53" s="14">
        <v>42497</v>
      </c>
      <c r="C53" s="19">
        <v>15499</v>
      </c>
      <c r="D53" s="16" t="s">
        <v>7</v>
      </c>
      <c r="E53" s="17">
        <f>21.2+14.1</f>
        <v>35.299999999999997</v>
      </c>
      <c r="F53" s="13">
        <v>1069.8</v>
      </c>
    </row>
    <row r="54" spans="2:13" x14ac:dyDescent="0.25">
      <c r="B54" s="14">
        <v>42497</v>
      </c>
      <c r="C54" s="19">
        <v>15500</v>
      </c>
      <c r="D54" s="16" t="s">
        <v>9</v>
      </c>
      <c r="E54" s="17">
        <v>27.7</v>
      </c>
      <c r="F54" s="13">
        <v>526.29999999999995</v>
      </c>
    </row>
    <row r="55" spans="2:13" x14ac:dyDescent="0.25">
      <c r="B55" s="14">
        <v>42497</v>
      </c>
      <c r="C55" s="19">
        <v>15501</v>
      </c>
      <c r="D55" s="16" t="s">
        <v>192</v>
      </c>
      <c r="E55" s="17">
        <v>38</v>
      </c>
      <c r="F55" s="13">
        <v>722</v>
      </c>
    </row>
    <row r="56" spans="2:13" x14ac:dyDescent="0.25">
      <c r="B56" s="14">
        <v>42497</v>
      </c>
      <c r="C56" s="19">
        <v>15502</v>
      </c>
      <c r="D56" s="16" t="s">
        <v>12</v>
      </c>
      <c r="E56" s="17">
        <v>27.24</v>
      </c>
      <c r="F56" s="13">
        <v>1171.24</v>
      </c>
    </row>
    <row r="57" spans="2:13" x14ac:dyDescent="0.25">
      <c r="B57" s="14"/>
      <c r="C57" s="19"/>
      <c r="D57" s="16"/>
      <c r="E57" s="17"/>
      <c r="F57" s="13"/>
    </row>
    <row r="58" spans="2:13" ht="15.75" thickBot="1" x14ac:dyDescent="0.3">
      <c r="B58" s="14"/>
      <c r="C58" s="19"/>
      <c r="D58" s="16"/>
      <c r="E58" s="17"/>
      <c r="F58" s="13"/>
    </row>
    <row r="59" spans="2:13" ht="15.75" thickBot="1" x14ac:dyDescent="0.3">
      <c r="B59" s="21" t="s">
        <v>233</v>
      </c>
      <c r="C59" s="22"/>
      <c r="D59" s="23"/>
      <c r="E59" s="24">
        <v>0</v>
      </c>
      <c r="F59" s="25">
        <f>SUM(F3:F58)</f>
        <v>588654.74000000011</v>
      </c>
      <c r="K59" s="3">
        <f t="shared" ref="K59" si="1">J59*I59</f>
        <v>0</v>
      </c>
    </row>
    <row r="60" spans="2:13" ht="19.5" thickBot="1" x14ac:dyDescent="0.35">
      <c r="B60" s="26"/>
      <c r="C60" s="27"/>
      <c r="D60" s="28" t="s">
        <v>5</v>
      </c>
      <c r="E60" s="29">
        <f>SUM(E3:E59)</f>
        <v>16673.080000000002</v>
      </c>
      <c r="I60" s="30">
        <f>SUM(I59:I59)</f>
        <v>0</v>
      </c>
      <c r="J60" s="30"/>
      <c r="K60" s="30">
        <f>SUM(K59:K59)</f>
        <v>0</v>
      </c>
    </row>
    <row r="61" spans="2:13" x14ac:dyDescent="0.25">
      <c r="B61" s="26"/>
      <c r="C61" s="27"/>
      <c r="D61" s="31"/>
      <c r="E61" s="32"/>
      <c r="K61"/>
    </row>
    <row r="62" spans="2:13" ht="21.75" thickBot="1" x14ac:dyDescent="0.4">
      <c r="B62" s="33"/>
      <c r="C62" s="34" t="s">
        <v>15</v>
      </c>
      <c r="D62" s="35">
        <f>E60*0.2</f>
        <v>3334.6160000000004</v>
      </c>
      <c r="F62"/>
      <c r="K62"/>
    </row>
    <row r="63" spans="2:13" ht="21.75" thickBot="1" x14ac:dyDescent="0.4">
      <c r="C63" s="36" t="s">
        <v>16</v>
      </c>
      <c r="D63" s="37">
        <v>3000</v>
      </c>
      <c r="E63" s="38"/>
      <c r="F63" s="85">
        <f>D62+D63</f>
        <v>6334.616</v>
      </c>
      <c r="G63" s="86"/>
      <c r="I63" s="39"/>
      <c r="J63" s="39"/>
      <c r="K63" s="39"/>
      <c r="L63" s="39"/>
      <c r="M63" s="39"/>
    </row>
    <row r="64" spans="2:13" ht="15.75" thickTop="1" x14ac:dyDescent="0.25">
      <c r="I64" s="39"/>
      <c r="J64" s="39"/>
      <c r="K64" s="40"/>
      <c r="L64" s="40"/>
      <c r="M64" s="40"/>
    </row>
    <row r="65" spans="3:13" ht="19.5" thickBot="1" x14ac:dyDescent="0.35">
      <c r="E65" s="41" t="s">
        <v>17</v>
      </c>
      <c r="F65" s="87">
        <v>0</v>
      </c>
      <c r="G65" s="87"/>
      <c r="I65" s="39"/>
      <c r="J65" s="39"/>
      <c r="K65" s="40"/>
      <c r="L65" s="40"/>
      <c r="M65" s="40"/>
    </row>
    <row r="66" spans="3:13" ht="15.75" thickTop="1" x14ac:dyDescent="0.25">
      <c r="C66"/>
      <c r="F66" s="88">
        <f>F63+F65</f>
        <v>6334.616</v>
      </c>
      <c r="G66" s="88"/>
      <c r="I66" s="39"/>
      <c r="J66" s="39"/>
      <c r="K66" s="40"/>
      <c r="L66" s="40"/>
      <c r="M66" s="40"/>
    </row>
    <row r="67" spans="3:13" ht="18.75" x14ac:dyDescent="0.3">
      <c r="C67"/>
      <c r="E67" s="2" t="s">
        <v>18</v>
      </c>
      <c r="F67" s="89"/>
      <c r="G67" s="89"/>
      <c r="K67"/>
    </row>
  </sheetData>
  <sortState ref="B11:F16">
    <sortCondition ref="B11:B16"/>
  </sortState>
  <mergeCells count="4">
    <mergeCell ref="B1:C1"/>
    <mergeCell ref="F63:G63"/>
    <mergeCell ref="F65:G65"/>
    <mergeCell ref="F66:G67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M52"/>
  <sheetViews>
    <sheetView workbookViewId="0">
      <selection activeCell="H20" sqref="H20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42508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303</v>
      </c>
      <c r="G2" s="8"/>
      <c r="K2"/>
    </row>
    <row r="3" spans="2:11" ht="15.75" x14ac:dyDescent="0.25">
      <c r="B3" s="9">
        <v>42499</v>
      </c>
      <c r="C3" s="10">
        <v>15730</v>
      </c>
      <c r="D3" s="11" t="s">
        <v>153</v>
      </c>
      <c r="E3" s="12">
        <v>201.2</v>
      </c>
      <c r="F3" s="13">
        <v>6740.2</v>
      </c>
      <c r="K3"/>
    </row>
    <row r="4" spans="2:11" ht="15.75" x14ac:dyDescent="0.25">
      <c r="B4" s="14">
        <v>42499</v>
      </c>
      <c r="C4" s="15">
        <v>15732</v>
      </c>
      <c r="D4" s="16" t="s">
        <v>304</v>
      </c>
      <c r="E4" s="17">
        <v>110.8</v>
      </c>
      <c r="F4" s="13">
        <v>3711.8</v>
      </c>
      <c r="K4"/>
    </row>
    <row r="5" spans="2:11" ht="15.75" x14ac:dyDescent="0.25">
      <c r="B5" s="14">
        <v>42499</v>
      </c>
      <c r="C5" s="15">
        <v>15733</v>
      </c>
      <c r="D5" s="16" t="s">
        <v>305</v>
      </c>
      <c r="E5" s="17">
        <f>44.6+36.3+97</f>
        <v>177.9</v>
      </c>
      <c r="F5" s="13">
        <v>5009.6000000000004</v>
      </c>
      <c r="K5"/>
    </row>
    <row r="6" spans="2:11" ht="15.75" x14ac:dyDescent="0.25">
      <c r="B6" s="14">
        <v>42499</v>
      </c>
      <c r="C6" s="47">
        <v>15734</v>
      </c>
      <c r="D6" s="16" t="s">
        <v>14</v>
      </c>
      <c r="E6" s="54">
        <f>39.8+107.8</f>
        <v>147.6</v>
      </c>
      <c r="F6" s="13">
        <v>4327.7</v>
      </c>
      <c r="G6" t="s">
        <v>233</v>
      </c>
      <c r="K6" s="3">
        <f t="shared" ref="K6:K17" si="0">J6*I6</f>
        <v>0</v>
      </c>
    </row>
    <row r="7" spans="2:11" ht="15.75" x14ac:dyDescent="0.25">
      <c r="B7" s="14">
        <v>42499</v>
      </c>
      <c r="C7" s="15">
        <v>15735</v>
      </c>
      <c r="D7" s="16" t="s">
        <v>20</v>
      </c>
      <c r="E7" s="17">
        <v>802</v>
      </c>
      <c r="F7" s="13">
        <v>26867</v>
      </c>
      <c r="K7" s="3">
        <f t="shared" si="0"/>
        <v>0</v>
      </c>
    </row>
    <row r="8" spans="2:11" ht="15.75" x14ac:dyDescent="0.25">
      <c r="B8" s="14">
        <v>42499</v>
      </c>
      <c r="C8" s="15">
        <v>15736</v>
      </c>
      <c r="D8" s="16" t="s">
        <v>9</v>
      </c>
      <c r="E8" s="17">
        <f>366.5+110.8+2</f>
        <v>479.3</v>
      </c>
      <c r="F8" s="13">
        <v>21415.8</v>
      </c>
      <c r="K8" s="3">
        <f t="shared" si="0"/>
        <v>0</v>
      </c>
    </row>
    <row r="9" spans="2:11" ht="15.75" x14ac:dyDescent="0.25">
      <c r="B9" s="14">
        <v>42499</v>
      </c>
      <c r="C9" s="15">
        <v>15737</v>
      </c>
      <c r="D9" s="16" t="s">
        <v>10</v>
      </c>
      <c r="E9" s="17">
        <v>137.6</v>
      </c>
      <c r="F9" s="13">
        <v>6467.2</v>
      </c>
      <c r="K9" s="3">
        <f t="shared" si="0"/>
        <v>0</v>
      </c>
    </row>
    <row r="10" spans="2:11" ht="15.75" x14ac:dyDescent="0.25">
      <c r="B10" s="14">
        <v>42500</v>
      </c>
      <c r="C10" s="15">
        <v>15847</v>
      </c>
      <c r="D10" s="16" t="s">
        <v>153</v>
      </c>
      <c r="E10" s="17">
        <f>51.1+80.4+20.1</f>
        <v>151.6</v>
      </c>
      <c r="F10" s="13">
        <v>4898.55</v>
      </c>
      <c r="K10" s="3">
        <f t="shared" si="0"/>
        <v>0</v>
      </c>
    </row>
    <row r="11" spans="2:11" ht="15.75" x14ac:dyDescent="0.25">
      <c r="B11" s="14">
        <v>42500</v>
      </c>
      <c r="C11" s="15">
        <v>15848</v>
      </c>
      <c r="D11" s="16" t="s">
        <v>304</v>
      </c>
      <c r="E11" s="17">
        <v>71.2</v>
      </c>
      <c r="F11" s="13">
        <v>2456.4</v>
      </c>
      <c r="K11" s="3">
        <f t="shared" si="0"/>
        <v>0</v>
      </c>
    </row>
    <row r="12" spans="2:11" ht="15.75" x14ac:dyDescent="0.25">
      <c r="B12" s="14">
        <v>42500</v>
      </c>
      <c r="C12" s="44">
        <v>15849</v>
      </c>
      <c r="D12" s="16" t="s">
        <v>12</v>
      </c>
      <c r="E12" s="17">
        <f>118+180.6</f>
        <v>298.60000000000002</v>
      </c>
      <c r="F12" s="13">
        <v>10121.1</v>
      </c>
      <c r="K12" s="3">
        <f t="shared" si="0"/>
        <v>0</v>
      </c>
    </row>
    <row r="13" spans="2:11" ht="15.75" x14ac:dyDescent="0.25">
      <c r="B13" s="14">
        <v>42500</v>
      </c>
      <c r="C13" s="15">
        <v>15850</v>
      </c>
      <c r="D13" s="16" t="s">
        <v>14</v>
      </c>
      <c r="E13" s="17">
        <f>14.2+466</f>
        <v>480.2</v>
      </c>
      <c r="F13" s="13">
        <v>16335.2</v>
      </c>
      <c r="K13" s="3">
        <f t="shared" si="0"/>
        <v>0</v>
      </c>
    </row>
    <row r="14" spans="2:11" ht="15.75" x14ac:dyDescent="0.25">
      <c r="B14" s="14">
        <v>42500</v>
      </c>
      <c r="C14" s="15">
        <v>15851</v>
      </c>
      <c r="D14" s="16" t="s">
        <v>20</v>
      </c>
      <c r="E14" s="17">
        <f>48.4+469</f>
        <v>517.4</v>
      </c>
      <c r="F14" s="13">
        <v>17889.5</v>
      </c>
      <c r="K14" s="3">
        <f t="shared" si="0"/>
        <v>0</v>
      </c>
    </row>
    <row r="15" spans="2:11" ht="15.75" x14ac:dyDescent="0.25">
      <c r="B15" s="14">
        <v>42500</v>
      </c>
      <c r="C15" s="15">
        <v>15853</v>
      </c>
      <c r="D15" s="16" t="s">
        <v>9</v>
      </c>
      <c r="E15" s="17">
        <v>486</v>
      </c>
      <c r="F15" s="13">
        <v>16281</v>
      </c>
      <c r="K15" s="3">
        <f t="shared" si="0"/>
        <v>0</v>
      </c>
    </row>
    <row r="16" spans="2:11" ht="15.75" x14ac:dyDescent="0.25">
      <c r="B16" s="14">
        <v>42500</v>
      </c>
      <c r="C16" s="15">
        <v>15854</v>
      </c>
      <c r="D16" s="16" t="s">
        <v>11</v>
      </c>
      <c r="E16" s="17">
        <v>212.4</v>
      </c>
      <c r="F16" s="13">
        <v>7718</v>
      </c>
      <c r="K16" s="3">
        <f t="shared" si="0"/>
        <v>0</v>
      </c>
    </row>
    <row r="17" spans="1:13" ht="15.75" x14ac:dyDescent="0.25">
      <c r="B17" s="14">
        <v>42501</v>
      </c>
      <c r="C17" s="15">
        <v>15976</v>
      </c>
      <c r="D17" s="16" t="s">
        <v>304</v>
      </c>
      <c r="E17" s="17">
        <f>944.4+105.8</f>
        <v>1050.2</v>
      </c>
      <c r="F17" s="13">
        <v>34815.300000000003</v>
      </c>
      <c r="K17" s="3">
        <f t="shared" si="0"/>
        <v>0</v>
      </c>
    </row>
    <row r="18" spans="1:13" ht="15.75" x14ac:dyDescent="0.25">
      <c r="B18" s="14">
        <v>42501</v>
      </c>
      <c r="C18" s="15">
        <v>15978</v>
      </c>
      <c r="D18" s="16" t="s">
        <v>14</v>
      </c>
      <c r="E18" s="17">
        <v>314.89999999999998</v>
      </c>
      <c r="F18" s="13">
        <v>10864.05</v>
      </c>
      <c r="I18" s="3">
        <f>SUM(I6:I17)</f>
        <v>0</v>
      </c>
      <c r="J18" s="3"/>
      <c r="K18" s="3">
        <f>SUM(K6:K17)</f>
        <v>0</v>
      </c>
    </row>
    <row r="19" spans="1:13" ht="15.75" x14ac:dyDescent="0.25">
      <c r="B19" s="14">
        <v>42501</v>
      </c>
      <c r="C19" s="15">
        <v>15980</v>
      </c>
      <c r="D19" s="16" t="s">
        <v>9</v>
      </c>
      <c r="E19" s="17">
        <v>297.5</v>
      </c>
      <c r="F19" s="13">
        <v>12495</v>
      </c>
    </row>
    <row r="20" spans="1:13" ht="15.75" x14ac:dyDescent="0.25">
      <c r="B20" s="14">
        <v>42501</v>
      </c>
      <c r="C20" s="15">
        <v>15982</v>
      </c>
      <c r="D20" s="16" t="s">
        <v>6</v>
      </c>
      <c r="E20" s="17">
        <v>37.700000000000003</v>
      </c>
      <c r="F20" s="13">
        <v>1621.1</v>
      </c>
    </row>
    <row r="21" spans="1:13" ht="15.75" x14ac:dyDescent="0.25">
      <c r="A21" s="18"/>
      <c r="B21" s="14">
        <v>42502</v>
      </c>
      <c r="C21" s="15">
        <v>16112</v>
      </c>
      <c r="D21" s="16" t="s">
        <v>20</v>
      </c>
      <c r="E21" s="17">
        <v>464.2</v>
      </c>
      <c r="F21" s="13">
        <v>16014.9</v>
      </c>
    </row>
    <row r="22" spans="1:13" ht="15.75" x14ac:dyDescent="0.25">
      <c r="B22" s="14">
        <v>42502</v>
      </c>
      <c r="C22" s="15">
        <v>16113</v>
      </c>
      <c r="D22" s="16" t="s">
        <v>9</v>
      </c>
      <c r="E22" s="17">
        <v>154.4</v>
      </c>
      <c r="F22" s="13">
        <v>6484.8</v>
      </c>
      <c r="I22" s="48"/>
      <c r="J22" s="49"/>
      <c r="K22" s="50"/>
      <c r="L22" s="51"/>
      <c r="M22" s="52"/>
    </row>
    <row r="23" spans="1:13" ht="15.75" x14ac:dyDescent="0.25">
      <c r="B23" s="14">
        <v>42502</v>
      </c>
      <c r="C23" s="15">
        <v>16114</v>
      </c>
      <c r="D23" s="16" t="s">
        <v>12</v>
      </c>
      <c r="E23" s="17">
        <f>13.1+60.4+311</f>
        <v>384.5</v>
      </c>
      <c r="F23" s="13">
        <v>16141.7</v>
      </c>
      <c r="I23" s="31"/>
      <c r="J23" s="31"/>
      <c r="K23" s="53"/>
      <c r="L23" s="31"/>
      <c r="M23" s="31"/>
    </row>
    <row r="24" spans="1:13" ht="15.75" x14ac:dyDescent="0.25">
      <c r="B24" s="14">
        <v>42502</v>
      </c>
      <c r="C24" s="15">
        <v>16115</v>
      </c>
      <c r="D24" s="16" t="s">
        <v>304</v>
      </c>
      <c r="E24" s="17">
        <f>11.5+73.6</f>
        <v>85.1</v>
      </c>
      <c r="F24" s="13">
        <v>3620.2</v>
      </c>
    </row>
    <row r="25" spans="1:13" x14ac:dyDescent="0.25">
      <c r="B25" s="14">
        <v>42502</v>
      </c>
      <c r="C25" s="19">
        <v>16116</v>
      </c>
      <c r="D25" s="16" t="s">
        <v>11</v>
      </c>
      <c r="E25" s="17">
        <f>1+45.5+103.2</f>
        <v>149.69999999999999</v>
      </c>
      <c r="F25" s="13">
        <v>5883.9</v>
      </c>
    </row>
    <row r="26" spans="1:13" x14ac:dyDescent="0.25">
      <c r="B26" s="14">
        <v>42502</v>
      </c>
      <c r="C26" s="19">
        <v>16117</v>
      </c>
      <c r="D26" s="16" t="s">
        <v>6</v>
      </c>
      <c r="E26" s="17">
        <f>1+11.8+17.5+30.5+65+331+105.6+75.4</f>
        <v>637.79999999999995</v>
      </c>
      <c r="F26" s="13">
        <v>23977</v>
      </c>
    </row>
    <row r="27" spans="1:13" x14ac:dyDescent="0.25">
      <c r="B27" s="14">
        <v>42502</v>
      </c>
      <c r="C27" s="19">
        <v>16121</v>
      </c>
      <c r="D27" s="16" t="s">
        <v>12</v>
      </c>
      <c r="E27" s="17">
        <v>138.4</v>
      </c>
      <c r="F27" s="13">
        <v>4774.8</v>
      </c>
    </row>
    <row r="28" spans="1:13" x14ac:dyDescent="0.25">
      <c r="B28" s="14">
        <v>42503</v>
      </c>
      <c r="C28" s="19">
        <v>16250</v>
      </c>
      <c r="D28" s="16" t="s">
        <v>10</v>
      </c>
      <c r="E28" s="17">
        <f>29.1+4+54.48+1+467.4+318.2+335.8</f>
        <v>1209.98</v>
      </c>
      <c r="F28" s="13">
        <v>47187.74</v>
      </c>
    </row>
    <row r="29" spans="1:13" x14ac:dyDescent="0.25">
      <c r="B29" s="14">
        <v>42503</v>
      </c>
      <c r="C29" s="19">
        <v>16251</v>
      </c>
      <c r="D29" s="16" t="s">
        <v>305</v>
      </c>
      <c r="E29" s="17">
        <f>81+67.6+24.4</f>
        <v>173</v>
      </c>
      <c r="F29" s="13">
        <v>4688.8999999999996</v>
      </c>
    </row>
    <row r="30" spans="1:13" x14ac:dyDescent="0.25">
      <c r="B30" s="14">
        <v>42503</v>
      </c>
      <c r="C30" s="19">
        <v>16252</v>
      </c>
      <c r="D30" s="16" t="s">
        <v>153</v>
      </c>
      <c r="E30" s="17">
        <v>36.299999999999997</v>
      </c>
      <c r="F30" s="13">
        <v>1706.1</v>
      </c>
    </row>
    <row r="31" spans="1:13" x14ac:dyDescent="0.25">
      <c r="B31" s="14">
        <v>42503</v>
      </c>
      <c r="C31" s="19">
        <v>16253</v>
      </c>
      <c r="D31" s="16" t="s">
        <v>11</v>
      </c>
      <c r="E31" s="17">
        <v>83.4</v>
      </c>
      <c r="F31" s="13">
        <v>2960.7</v>
      </c>
    </row>
    <row r="32" spans="1:13" x14ac:dyDescent="0.25">
      <c r="B32" s="14">
        <v>42503</v>
      </c>
      <c r="C32" s="19">
        <v>16254</v>
      </c>
      <c r="D32" s="16" t="s">
        <v>304</v>
      </c>
      <c r="E32" s="17">
        <v>75.8</v>
      </c>
      <c r="F32" s="13">
        <v>2615.1</v>
      </c>
    </row>
    <row r="33" spans="2:13" x14ac:dyDescent="0.25">
      <c r="B33" s="14">
        <v>42503</v>
      </c>
      <c r="C33" s="19">
        <v>16255</v>
      </c>
      <c r="D33" s="16" t="s">
        <v>20</v>
      </c>
      <c r="E33" s="17">
        <v>586.20000000000005</v>
      </c>
      <c r="F33" s="13">
        <v>20223.900000000001</v>
      </c>
      <c r="K33"/>
    </row>
    <row r="34" spans="2:13" x14ac:dyDescent="0.25">
      <c r="B34" s="14">
        <v>42503</v>
      </c>
      <c r="C34" s="19">
        <v>16256</v>
      </c>
      <c r="D34" s="16" t="s">
        <v>292</v>
      </c>
      <c r="E34" s="17">
        <f>228.1+248.2</f>
        <v>476.29999999999995</v>
      </c>
      <c r="F34" s="13">
        <v>18371.2</v>
      </c>
      <c r="K34"/>
    </row>
    <row r="35" spans="2:13" x14ac:dyDescent="0.25">
      <c r="B35" s="14">
        <v>42504</v>
      </c>
      <c r="C35" s="19">
        <v>16397</v>
      </c>
      <c r="D35" s="16" t="s">
        <v>14</v>
      </c>
      <c r="E35" s="17">
        <f>258.9+66.7</f>
        <v>325.59999999999997</v>
      </c>
      <c r="F35" s="13">
        <v>11666.75</v>
      </c>
      <c r="K35"/>
    </row>
    <row r="36" spans="2:13" x14ac:dyDescent="0.25">
      <c r="B36" s="14">
        <v>42504</v>
      </c>
      <c r="C36" s="19">
        <v>16398</v>
      </c>
      <c r="D36" s="16" t="s">
        <v>304</v>
      </c>
      <c r="E36" s="17">
        <v>80.2</v>
      </c>
      <c r="F36" s="13">
        <v>2766.9</v>
      </c>
      <c r="K36"/>
    </row>
    <row r="37" spans="2:13" x14ac:dyDescent="0.25">
      <c r="B37" s="14">
        <v>42504</v>
      </c>
      <c r="C37" s="19">
        <v>16399</v>
      </c>
      <c r="D37" s="16" t="s">
        <v>153</v>
      </c>
      <c r="E37" s="17">
        <v>449.2</v>
      </c>
      <c r="F37" s="13">
        <v>15497.4</v>
      </c>
      <c r="K37"/>
    </row>
    <row r="38" spans="2:13" x14ac:dyDescent="0.25">
      <c r="B38" s="14">
        <v>42504</v>
      </c>
      <c r="C38" s="19">
        <v>16401</v>
      </c>
      <c r="D38" s="16" t="s">
        <v>20</v>
      </c>
      <c r="E38" s="17">
        <f>401.5+314.8</f>
        <v>716.3</v>
      </c>
      <c r="F38" s="13">
        <v>27789.65</v>
      </c>
      <c r="K38"/>
    </row>
    <row r="39" spans="2:13" x14ac:dyDescent="0.25">
      <c r="B39" s="14">
        <v>42504</v>
      </c>
      <c r="C39" s="19">
        <v>16402</v>
      </c>
      <c r="D39" s="16" t="s">
        <v>9</v>
      </c>
      <c r="E39" s="17">
        <v>680.5</v>
      </c>
      <c r="F39" s="13">
        <v>23477.25</v>
      </c>
      <c r="K39"/>
    </row>
    <row r="40" spans="2:13" x14ac:dyDescent="0.25">
      <c r="B40" s="14">
        <v>42504</v>
      </c>
      <c r="C40" s="19">
        <v>16403</v>
      </c>
      <c r="D40" s="16" t="s">
        <v>13</v>
      </c>
      <c r="E40" s="17">
        <v>579.5</v>
      </c>
      <c r="F40" s="13">
        <v>19992.75</v>
      </c>
      <c r="K40"/>
    </row>
    <row r="41" spans="2:13" x14ac:dyDescent="0.25">
      <c r="B41" s="14">
        <v>42504</v>
      </c>
      <c r="C41" s="19">
        <v>16473</v>
      </c>
      <c r="D41" s="16" t="s">
        <v>12</v>
      </c>
      <c r="E41" s="17">
        <f>82.2+110.8+372.4+203.4</f>
        <v>768.8</v>
      </c>
      <c r="F41" s="13">
        <v>31857.8</v>
      </c>
      <c r="K41"/>
    </row>
    <row r="42" spans="2:13" x14ac:dyDescent="0.25">
      <c r="B42" s="14">
        <v>42504</v>
      </c>
      <c r="C42" s="19">
        <v>16479</v>
      </c>
      <c r="D42" s="16" t="s">
        <v>11</v>
      </c>
      <c r="E42" s="17">
        <f>63.4+12+180.6</f>
        <v>256</v>
      </c>
      <c r="F42" s="13">
        <v>9603.7000000000007</v>
      </c>
      <c r="K42"/>
    </row>
    <row r="43" spans="2:13" ht="15.75" thickBot="1" x14ac:dyDescent="0.3">
      <c r="B43" s="14"/>
      <c r="C43" s="19"/>
      <c r="D43" s="16"/>
      <c r="E43" s="17"/>
      <c r="F43" s="13"/>
      <c r="K43"/>
    </row>
    <row r="44" spans="2:13" ht="15.75" thickBot="1" x14ac:dyDescent="0.3">
      <c r="B44" s="21" t="s">
        <v>233</v>
      </c>
      <c r="C44" s="22"/>
      <c r="D44" s="23"/>
      <c r="E44" s="24">
        <v>0</v>
      </c>
      <c r="F44" s="25">
        <f>SUM(F3:F43)</f>
        <v>527337.64</v>
      </c>
      <c r="K44" s="3">
        <f t="shared" ref="K44" si="1">J44*I44</f>
        <v>0</v>
      </c>
    </row>
    <row r="45" spans="2:13" ht="19.5" thickBot="1" x14ac:dyDescent="0.35">
      <c r="B45" s="26"/>
      <c r="C45" s="27"/>
      <c r="D45" s="28" t="s">
        <v>5</v>
      </c>
      <c r="E45" s="29">
        <f>SUM(E3:E44)</f>
        <v>14485.279999999997</v>
      </c>
      <c r="I45" s="30">
        <f>SUM(I44:I44)</f>
        <v>0</v>
      </c>
      <c r="J45" s="30"/>
      <c r="K45" s="30">
        <f>SUM(K44:K44)</f>
        <v>0</v>
      </c>
    </row>
    <row r="46" spans="2:13" x14ac:dyDescent="0.25">
      <c r="B46" s="26"/>
      <c r="C46" s="27"/>
      <c r="D46" s="31"/>
      <c r="E46" s="32"/>
      <c r="K46"/>
    </row>
    <row r="47" spans="2:13" ht="21.75" thickBot="1" x14ac:dyDescent="0.4">
      <c r="B47" s="33"/>
      <c r="C47" s="34" t="s">
        <v>15</v>
      </c>
      <c r="D47" s="35">
        <f>E45*0.2</f>
        <v>2897.0559999999996</v>
      </c>
      <c r="F47"/>
      <c r="K47"/>
    </row>
    <row r="48" spans="2:13" ht="21.75" thickBot="1" x14ac:dyDescent="0.4">
      <c r="C48" s="36" t="s">
        <v>16</v>
      </c>
      <c r="D48" s="37">
        <v>3000</v>
      </c>
      <c r="E48" s="38"/>
      <c r="F48" s="85">
        <f>D47+D48</f>
        <v>5897.0559999999996</v>
      </c>
      <c r="G48" s="86"/>
      <c r="I48" s="39"/>
      <c r="J48" s="39"/>
      <c r="K48" s="39"/>
      <c r="L48" s="39"/>
      <c r="M48" s="39"/>
    </row>
    <row r="49" spans="3:13" ht="15.75" thickTop="1" x14ac:dyDescent="0.25">
      <c r="I49" s="39"/>
      <c r="J49" s="39"/>
      <c r="K49" s="40"/>
      <c r="L49" s="40"/>
      <c r="M49" s="40"/>
    </row>
    <row r="50" spans="3:13" ht="19.5" thickBot="1" x14ac:dyDescent="0.35">
      <c r="D50" s="55">
        <v>42508</v>
      </c>
      <c r="E50" s="41" t="s">
        <v>17</v>
      </c>
      <c r="F50" s="87">
        <v>-1500</v>
      </c>
      <c r="G50" s="87"/>
      <c r="I50" s="39"/>
      <c r="J50" s="39"/>
      <c r="K50" s="40"/>
      <c r="L50" s="40"/>
      <c r="M50" s="40"/>
    </row>
    <row r="51" spans="3:13" ht="15.75" thickTop="1" x14ac:dyDescent="0.25">
      <c r="C51"/>
      <c r="F51" s="88">
        <f>F48+F50</f>
        <v>4397.0559999999996</v>
      </c>
      <c r="G51" s="88"/>
      <c r="I51" s="39"/>
      <c r="J51" s="39"/>
      <c r="K51" s="40"/>
      <c r="L51" s="40"/>
      <c r="M51" s="40"/>
    </row>
    <row r="52" spans="3:13" ht="18.75" x14ac:dyDescent="0.3">
      <c r="C52"/>
      <c r="E52" s="2" t="s">
        <v>18</v>
      </c>
      <c r="F52" s="89"/>
      <c r="G52" s="89"/>
      <c r="K52"/>
    </row>
  </sheetData>
  <mergeCells count="4">
    <mergeCell ref="B1:C1"/>
    <mergeCell ref="F48:G48"/>
    <mergeCell ref="F50:G50"/>
    <mergeCell ref="F51:G52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opLeftCell="A25" workbookViewId="0">
      <selection activeCell="D22" sqref="D22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11" max="11" width="11.42578125" style="3"/>
  </cols>
  <sheetData>
    <row r="1" spans="2:11" ht="19.5" thickBot="1" x14ac:dyDescent="0.35">
      <c r="B1" s="84">
        <v>42389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7" t="s">
        <v>31</v>
      </c>
      <c r="G2" s="8"/>
      <c r="K2"/>
    </row>
    <row r="3" spans="2:11" ht="15.75" x14ac:dyDescent="0.25">
      <c r="B3" s="9">
        <v>42378</v>
      </c>
      <c r="C3" s="10" t="s">
        <v>32</v>
      </c>
      <c r="D3" s="11" t="s">
        <v>13</v>
      </c>
      <c r="E3" s="12">
        <f>924.9</f>
        <v>924.9</v>
      </c>
      <c r="F3" s="13">
        <v>24972.3</v>
      </c>
      <c r="K3"/>
    </row>
    <row r="4" spans="2:11" ht="15.75" x14ac:dyDescent="0.25">
      <c r="B4" s="14">
        <v>42378</v>
      </c>
      <c r="C4" s="15" t="s">
        <v>33</v>
      </c>
      <c r="D4" s="16" t="s">
        <v>9</v>
      </c>
      <c r="E4" s="17">
        <v>399</v>
      </c>
      <c r="F4" s="13">
        <v>13366.5</v>
      </c>
      <c r="K4"/>
    </row>
    <row r="5" spans="2:11" ht="15.75" x14ac:dyDescent="0.25">
      <c r="B5" s="14">
        <v>42380</v>
      </c>
      <c r="C5" s="15" t="s">
        <v>34</v>
      </c>
      <c r="D5" s="16" t="s">
        <v>14</v>
      </c>
      <c r="E5" s="17">
        <v>243.8</v>
      </c>
      <c r="F5" s="13">
        <v>8045.4</v>
      </c>
      <c r="K5"/>
    </row>
    <row r="6" spans="2:11" ht="15.75" x14ac:dyDescent="0.25">
      <c r="B6" s="14">
        <v>42380</v>
      </c>
      <c r="C6" s="15" t="s">
        <v>35</v>
      </c>
      <c r="D6" s="16" t="s">
        <v>20</v>
      </c>
      <c r="E6" s="17">
        <f>75.4+367.8</f>
        <v>443.20000000000005</v>
      </c>
      <c r="F6" s="13">
        <v>17113.8</v>
      </c>
      <c r="K6" s="3">
        <f t="shared" ref="K6:K18" si="0">J6*I6</f>
        <v>0</v>
      </c>
    </row>
    <row r="7" spans="2:11" ht="15.75" x14ac:dyDescent="0.25">
      <c r="B7" s="14">
        <v>42380</v>
      </c>
      <c r="C7" s="15" t="s">
        <v>36</v>
      </c>
      <c r="D7" s="16" t="s">
        <v>9</v>
      </c>
      <c r="E7" s="17">
        <f>105.8+0.394+275.8+813.4</f>
        <v>1195.394</v>
      </c>
      <c r="F7" s="13">
        <v>40960</v>
      </c>
      <c r="K7" s="3">
        <f t="shared" si="0"/>
        <v>0</v>
      </c>
    </row>
    <row r="8" spans="2:11" ht="15.75" x14ac:dyDescent="0.25">
      <c r="B8" s="14">
        <v>42380</v>
      </c>
      <c r="C8" s="15" t="s">
        <v>37</v>
      </c>
      <c r="D8" s="16" t="s">
        <v>38</v>
      </c>
      <c r="E8" s="17">
        <v>82.4</v>
      </c>
      <c r="F8" s="13">
        <v>2719.2</v>
      </c>
      <c r="K8" s="3">
        <f t="shared" si="0"/>
        <v>0</v>
      </c>
    </row>
    <row r="9" spans="2:11" ht="15.75" x14ac:dyDescent="0.25">
      <c r="B9" s="14">
        <v>42380</v>
      </c>
      <c r="C9" s="15" t="s">
        <v>39</v>
      </c>
      <c r="D9" s="16" t="s">
        <v>6</v>
      </c>
      <c r="E9" s="17">
        <f>7.4+10.8</f>
        <v>18.200000000000003</v>
      </c>
      <c r="F9" s="13">
        <v>856.6</v>
      </c>
      <c r="K9" s="3">
        <f t="shared" si="0"/>
        <v>0</v>
      </c>
    </row>
    <row r="10" spans="2:11" ht="15.75" x14ac:dyDescent="0.25">
      <c r="B10" s="14">
        <v>42380</v>
      </c>
      <c r="C10" s="15" t="s">
        <v>41</v>
      </c>
      <c r="D10" s="16" t="s">
        <v>8</v>
      </c>
      <c r="E10" s="17">
        <v>910.8</v>
      </c>
      <c r="F10" s="13">
        <v>24591.599999999999</v>
      </c>
      <c r="K10" s="3">
        <f t="shared" si="0"/>
        <v>0</v>
      </c>
    </row>
    <row r="11" spans="2:11" ht="15.75" x14ac:dyDescent="0.25">
      <c r="B11" s="14">
        <v>42380</v>
      </c>
      <c r="C11" s="15" t="s">
        <v>40</v>
      </c>
      <c r="D11" s="16" t="s">
        <v>0</v>
      </c>
      <c r="E11" s="17">
        <f>936.2</f>
        <v>936.2</v>
      </c>
      <c r="F11" s="13">
        <v>25277.4</v>
      </c>
      <c r="K11" s="3">
        <f t="shared" si="0"/>
        <v>0</v>
      </c>
    </row>
    <row r="12" spans="2:11" ht="15.75" x14ac:dyDescent="0.25">
      <c r="B12" s="14">
        <v>42381</v>
      </c>
      <c r="C12" s="15" t="s">
        <v>42</v>
      </c>
      <c r="D12" s="16" t="s">
        <v>7</v>
      </c>
      <c r="E12" s="17">
        <v>12.3</v>
      </c>
      <c r="F12" s="13">
        <v>344.4</v>
      </c>
      <c r="K12" s="3">
        <f t="shared" si="0"/>
        <v>0</v>
      </c>
    </row>
    <row r="13" spans="2:11" ht="15.75" x14ac:dyDescent="0.25">
      <c r="B13" s="14">
        <v>42381</v>
      </c>
      <c r="C13" s="15" t="s">
        <v>43</v>
      </c>
      <c r="D13" s="16" t="s">
        <v>13</v>
      </c>
      <c r="E13" s="17">
        <f>914.4+39.7</f>
        <v>954.1</v>
      </c>
      <c r="F13" s="13">
        <v>25482.799999999999</v>
      </c>
      <c r="K13" s="3">
        <f t="shared" si="0"/>
        <v>0</v>
      </c>
    </row>
    <row r="14" spans="2:11" ht="15.75" x14ac:dyDescent="0.25">
      <c r="B14" s="14">
        <v>42381</v>
      </c>
      <c r="C14" s="15" t="s">
        <v>44</v>
      </c>
      <c r="D14" s="16" t="s">
        <v>12</v>
      </c>
      <c r="E14" s="17">
        <f>42.4+480.2+536.8</f>
        <v>1059.4000000000001</v>
      </c>
      <c r="F14" s="13">
        <v>33407.199999999997</v>
      </c>
      <c r="K14" s="3">
        <f t="shared" si="0"/>
        <v>0</v>
      </c>
    </row>
    <row r="15" spans="2:11" ht="15.75" x14ac:dyDescent="0.25">
      <c r="B15" s="14">
        <v>42381</v>
      </c>
      <c r="C15" s="15" t="s">
        <v>45</v>
      </c>
      <c r="D15" s="16" t="s">
        <v>14</v>
      </c>
      <c r="E15" s="17">
        <f>109.4+226.8</f>
        <v>336.20000000000005</v>
      </c>
      <c r="F15" s="13">
        <v>10547.6</v>
      </c>
      <c r="K15" s="3">
        <f t="shared" si="0"/>
        <v>0</v>
      </c>
    </row>
    <row r="16" spans="2:11" ht="15.75" x14ac:dyDescent="0.25">
      <c r="B16" s="14">
        <v>42381</v>
      </c>
      <c r="C16" s="15" t="s">
        <v>46</v>
      </c>
      <c r="D16" s="16" t="s">
        <v>6</v>
      </c>
      <c r="E16" s="17">
        <f>52+61.8+78+53.6</f>
        <v>245.4</v>
      </c>
      <c r="F16" s="13">
        <v>11005</v>
      </c>
      <c r="K16" s="3">
        <f t="shared" si="0"/>
        <v>0</v>
      </c>
    </row>
    <row r="17" spans="1:11" ht="15.75" x14ac:dyDescent="0.25">
      <c r="B17" s="14">
        <v>42381</v>
      </c>
      <c r="C17" s="15" t="s">
        <v>47</v>
      </c>
      <c r="D17" s="16" t="s">
        <v>20</v>
      </c>
      <c r="E17" s="17">
        <v>102.8</v>
      </c>
      <c r="F17" s="13">
        <v>2878.4</v>
      </c>
      <c r="K17" s="3">
        <f t="shared" si="0"/>
        <v>0</v>
      </c>
    </row>
    <row r="18" spans="1:11" ht="15.75" x14ac:dyDescent="0.25">
      <c r="B18" s="14">
        <v>42381</v>
      </c>
      <c r="C18" s="15" t="s">
        <v>48</v>
      </c>
      <c r="D18" s="16" t="s">
        <v>11</v>
      </c>
      <c r="E18" s="17">
        <v>64.900000000000006</v>
      </c>
      <c r="F18" s="13">
        <v>3050.3</v>
      </c>
      <c r="K18" s="3">
        <f t="shared" si="0"/>
        <v>0</v>
      </c>
    </row>
    <row r="19" spans="1:11" ht="15.75" x14ac:dyDescent="0.25">
      <c r="B19" s="14">
        <v>42382</v>
      </c>
      <c r="C19" s="15" t="s">
        <v>49</v>
      </c>
      <c r="D19" s="16" t="s">
        <v>20</v>
      </c>
      <c r="E19" s="17">
        <v>393</v>
      </c>
      <c r="F19" s="13">
        <v>12969</v>
      </c>
      <c r="K19" s="3">
        <f>SUM(K6:K18)</f>
        <v>0</v>
      </c>
    </row>
    <row r="20" spans="1:11" ht="15.75" x14ac:dyDescent="0.25">
      <c r="B20" s="14">
        <v>42382</v>
      </c>
      <c r="C20" s="15" t="s">
        <v>50</v>
      </c>
      <c r="D20" s="16" t="s">
        <v>8</v>
      </c>
      <c r="E20" s="17">
        <v>385.4</v>
      </c>
      <c r="F20" s="13">
        <v>12718.2</v>
      </c>
    </row>
    <row r="21" spans="1:11" ht="15.75" x14ac:dyDescent="0.25">
      <c r="B21" s="14">
        <v>42382</v>
      </c>
      <c r="C21" s="15" t="s">
        <v>51</v>
      </c>
      <c r="D21" s="16" t="s">
        <v>7</v>
      </c>
      <c r="E21" s="17">
        <f>1+35.4</f>
        <v>36.4</v>
      </c>
      <c r="F21" s="13">
        <v>1193.9000000000001</v>
      </c>
    </row>
    <row r="22" spans="1:11" ht="15.75" x14ac:dyDescent="0.25">
      <c r="A22" s="18"/>
      <c r="B22" s="14">
        <v>42382</v>
      </c>
      <c r="C22" s="15" t="s">
        <v>52</v>
      </c>
      <c r="D22" s="16" t="s">
        <v>11</v>
      </c>
      <c r="E22" s="17">
        <f>3+10</f>
        <v>13</v>
      </c>
      <c r="F22" s="13">
        <v>765</v>
      </c>
    </row>
    <row r="23" spans="1:11" ht="15.75" x14ac:dyDescent="0.25">
      <c r="B23" s="14">
        <v>42382</v>
      </c>
      <c r="C23" s="15" t="s">
        <v>53</v>
      </c>
      <c r="D23" s="16" t="s">
        <v>6</v>
      </c>
      <c r="E23" s="17">
        <v>10.9</v>
      </c>
      <c r="F23" s="13">
        <v>577.70000000000005</v>
      </c>
    </row>
    <row r="24" spans="1:11" x14ac:dyDescent="0.25">
      <c r="B24" s="14">
        <v>42382</v>
      </c>
      <c r="C24" s="19" t="s">
        <v>54</v>
      </c>
      <c r="D24" s="16" t="s">
        <v>9</v>
      </c>
      <c r="E24" s="17">
        <f>123+13.61+49.6</f>
        <v>186.21</v>
      </c>
      <c r="F24" s="13">
        <v>5014.68</v>
      </c>
    </row>
    <row r="25" spans="1:11" x14ac:dyDescent="0.25">
      <c r="B25" s="14">
        <v>42382</v>
      </c>
      <c r="C25" s="19" t="s">
        <v>55</v>
      </c>
      <c r="D25" s="16" t="s">
        <v>11</v>
      </c>
      <c r="E25" s="17">
        <v>43.6</v>
      </c>
      <c r="F25" s="13">
        <v>1874.8</v>
      </c>
    </row>
    <row r="26" spans="1:11" x14ac:dyDescent="0.25">
      <c r="B26" s="14">
        <v>42382</v>
      </c>
      <c r="C26" s="19" t="s">
        <v>56</v>
      </c>
      <c r="D26" s="16" t="s">
        <v>20</v>
      </c>
      <c r="E26" s="17">
        <v>93.4</v>
      </c>
      <c r="F26" s="13">
        <v>7098.4</v>
      </c>
    </row>
    <row r="27" spans="1:11" x14ac:dyDescent="0.25">
      <c r="B27" s="14">
        <v>42383</v>
      </c>
      <c r="C27" s="19" t="s">
        <v>57</v>
      </c>
      <c r="D27" s="16" t="s">
        <v>14</v>
      </c>
      <c r="E27" s="17">
        <f>20.8+20.8+61.4+219.4</f>
        <v>322.39999999999998</v>
      </c>
      <c r="F27" s="13">
        <v>10508.5</v>
      </c>
    </row>
    <row r="28" spans="1:11" x14ac:dyDescent="0.25">
      <c r="B28" s="14">
        <v>42383</v>
      </c>
      <c r="C28" s="19" t="s">
        <v>58</v>
      </c>
      <c r="D28" s="16" t="s">
        <v>8</v>
      </c>
      <c r="E28" s="17">
        <f>28.3+62.4+84.4</f>
        <v>175.10000000000002</v>
      </c>
      <c r="F28" s="13">
        <v>9522.9</v>
      </c>
    </row>
    <row r="29" spans="1:11" x14ac:dyDescent="0.25">
      <c r="B29" s="14">
        <v>42383</v>
      </c>
      <c r="C29" s="19" t="s">
        <v>59</v>
      </c>
      <c r="D29" s="16" t="s">
        <v>10</v>
      </c>
      <c r="E29" s="17">
        <f>105+13+164.4</f>
        <v>282.39999999999998</v>
      </c>
      <c r="F29" s="13">
        <v>9880.4</v>
      </c>
    </row>
    <row r="30" spans="1:11" x14ac:dyDescent="0.25">
      <c r="B30" s="14">
        <v>42383</v>
      </c>
      <c r="C30" s="19" t="s">
        <v>60</v>
      </c>
      <c r="D30" s="16" t="s">
        <v>6</v>
      </c>
      <c r="E30" s="17">
        <f>72.8+58.8+91.6+83.2</f>
        <v>306.39999999999998</v>
      </c>
      <c r="F30" s="13">
        <v>11438.8</v>
      </c>
    </row>
    <row r="31" spans="1:11" x14ac:dyDescent="0.25">
      <c r="B31" s="14">
        <v>42383</v>
      </c>
      <c r="C31" s="19" t="s">
        <v>61</v>
      </c>
      <c r="D31" s="16" t="s">
        <v>20</v>
      </c>
      <c r="E31" s="17">
        <f>43.8+135+59.4</f>
        <v>238.20000000000002</v>
      </c>
      <c r="F31" s="13">
        <v>5614.5</v>
      </c>
    </row>
    <row r="32" spans="1:11" x14ac:dyDescent="0.25">
      <c r="B32" s="14">
        <v>42384</v>
      </c>
      <c r="C32" s="19" t="s">
        <v>62</v>
      </c>
      <c r="D32" s="16" t="s">
        <v>13</v>
      </c>
      <c r="E32" s="17">
        <v>921.7</v>
      </c>
      <c r="F32" s="13">
        <v>25346.75</v>
      </c>
    </row>
    <row r="33" spans="1:11" ht="15.75" x14ac:dyDescent="0.25">
      <c r="B33" s="14">
        <v>42384</v>
      </c>
      <c r="C33" s="15" t="s">
        <v>63</v>
      </c>
      <c r="D33" s="16" t="s">
        <v>7</v>
      </c>
      <c r="E33" s="17">
        <v>70.900000000000006</v>
      </c>
      <c r="F33" s="13">
        <v>2339.6999999999998</v>
      </c>
    </row>
    <row r="34" spans="1:11" x14ac:dyDescent="0.25">
      <c r="B34" s="14">
        <v>42384</v>
      </c>
      <c r="C34" s="19" t="s">
        <v>64</v>
      </c>
      <c r="D34" s="16" t="s">
        <v>12</v>
      </c>
      <c r="E34" s="17">
        <f>93.6+96.2</f>
        <v>189.8</v>
      </c>
      <c r="F34" s="13">
        <v>7501</v>
      </c>
      <c r="K34" s="3">
        <f t="shared" ref="K34:K40" si="1">J34*I34</f>
        <v>0</v>
      </c>
    </row>
    <row r="35" spans="1:11" x14ac:dyDescent="0.25">
      <c r="B35" s="14">
        <v>42384</v>
      </c>
      <c r="C35" s="19" t="s">
        <v>66</v>
      </c>
      <c r="D35" s="16" t="s">
        <v>12</v>
      </c>
      <c r="E35" s="17">
        <f>107.2+789.6</f>
        <v>896.80000000000007</v>
      </c>
      <c r="F35" s="13">
        <v>30023.200000000001</v>
      </c>
      <c r="K35" s="3">
        <f t="shared" si="1"/>
        <v>0</v>
      </c>
    </row>
    <row r="36" spans="1:11" x14ac:dyDescent="0.25">
      <c r="B36" s="14">
        <v>42384</v>
      </c>
      <c r="C36" s="19" t="s">
        <v>65</v>
      </c>
      <c r="D36" s="16" t="s">
        <v>14</v>
      </c>
      <c r="E36" s="17">
        <v>217.6</v>
      </c>
      <c r="F36" s="13">
        <v>7180.8</v>
      </c>
      <c r="K36" s="3">
        <f t="shared" si="1"/>
        <v>0</v>
      </c>
    </row>
    <row r="37" spans="1:11" ht="15.75" x14ac:dyDescent="0.25">
      <c r="B37" s="14">
        <v>42384</v>
      </c>
      <c r="C37" s="15" t="s">
        <v>67</v>
      </c>
      <c r="D37" s="16" t="s">
        <v>20</v>
      </c>
      <c r="E37" s="17">
        <v>350.4</v>
      </c>
      <c r="F37" s="13">
        <v>11563.2</v>
      </c>
      <c r="K37" s="3">
        <f t="shared" si="1"/>
        <v>0</v>
      </c>
    </row>
    <row r="38" spans="1:11" ht="15.75" x14ac:dyDescent="0.25">
      <c r="B38" s="14">
        <v>42384</v>
      </c>
      <c r="C38" s="15" t="s">
        <v>68</v>
      </c>
      <c r="D38" s="16" t="s">
        <v>8</v>
      </c>
      <c r="E38" s="17">
        <v>127.6</v>
      </c>
      <c r="F38" s="13">
        <v>5359.2</v>
      </c>
      <c r="K38" s="3">
        <f t="shared" si="1"/>
        <v>0</v>
      </c>
    </row>
    <row r="39" spans="1:11" ht="15.75" x14ac:dyDescent="0.25">
      <c r="B39" s="14">
        <v>42384</v>
      </c>
      <c r="C39" s="15" t="s">
        <v>69</v>
      </c>
      <c r="D39" s="16" t="s">
        <v>9</v>
      </c>
      <c r="E39" s="17">
        <v>124.6</v>
      </c>
      <c r="F39" s="13">
        <v>6603.8</v>
      </c>
      <c r="K39" s="3">
        <f t="shared" si="1"/>
        <v>0</v>
      </c>
    </row>
    <row r="40" spans="1:11" x14ac:dyDescent="0.25">
      <c r="B40" s="14">
        <v>42384</v>
      </c>
      <c r="C40" s="19" t="s">
        <v>70</v>
      </c>
      <c r="D40" s="16" t="s">
        <v>13</v>
      </c>
      <c r="E40" s="17">
        <f>27.24+1</f>
        <v>28.24</v>
      </c>
      <c r="F40" s="13">
        <v>2132</v>
      </c>
      <c r="K40" s="3">
        <f t="shared" si="1"/>
        <v>0</v>
      </c>
    </row>
    <row r="41" spans="1:11" ht="15.75" x14ac:dyDescent="0.25">
      <c r="B41" s="14">
        <v>42384</v>
      </c>
      <c r="C41" s="15" t="s">
        <v>71</v>
      </c>
      <c r="D41" s="16" t="s">
        <v>13</v>
      </c>
      <c r="E41" s="17">
        <f>920.8+544.6+13.61+54.48-7</f>
        <v>1526.49</v>
      </c>
      <c r="F41" s="13">
        <f>25000+18306.5</f>
        <v>43306.5</v>
      </c>
      <c r="K41" s="3">
        <f>J41*I41</f>
        <v>0</v>
      </c>
    </row>
    <row r="42" spans="1:11" ht="15.75" x14ac:dyDescent="0.25">
      <c r="B42" s="14">
        <v>42385</v>
      </c>
      <c r="C42" s="15" t="s">
        <v>72</v>
      </c>
      <c r="D42" s="16" t="s">
        <v>14</v>
      </c>
      <c r="E42" s="17">
        <v>362</v>
      </c>
      <c r="F42" s="13">
        <v>11946</v>
      </c>
      <c r="K42" s="3">
        <f t="shared" ref="K42:K51" si="2">J42*I42</f>
        <v>0</v>
      </c>
    </row>
    <row r="43" spans="1:11" x14ac:dyDescent="0.25">
      <c r="B43" s="14">
        <v>42385</v>
      </c>
      <c r="C43" s="19" t="s">
        <v>73</v>
      </c>
      <c r="D43" s="16" t="s">
        <v>20</v>
      </c>
      <c r="E43" s="17">
        <v>747</v>
      </c>
      <c r="F43" s="13">
        <v>24651</v>
      </c>
      <c r="K43" s="3">
        <f t="shared" si="2"/>
        <v>0</v>
      </c>
    </row>
    <row r="44" spans="1:11" ht="15.75" x14ac:dyDescent="0.25">
      <c r="A44" s="20"/>
      <c r="B44" s="14">
        <v>42385</v>
      </c>
      <c r="C44" s="15" t="s">
        <v>74</v>
      </c>
      <c r="D44" s="16" t="s">
        <v>6</v>
      </c>
      <c r="E44" s="17">
        <f>1+22.1+14.2+97</f>
        <v>134.30000000000001</v>
      </c>
      <c r="F44" s="13">
        <v>3864.2</v>
      </c>
      <c r="K44" s="3">
        <f t="shared" si="2"/>
        <v>0</v>
      </c>
    </row>
    <row r="45" spans="1:11" ht="15.75" x14ac:dyDescent="0.25">
      <c r="B45" s="14">
        <v>42385</v>
      </c>
      <c r="C45" s="15" t="s">
        <v>75</v>
      </c>
      <c r="D45" s="16" t="s">
        <v>20</v>
      </c>
      <c r="E45" s="17">
        <f>62.8+86.1</f>
        <v>148.89999999999998</v>
      </c>
      <c r="F45" s="13">
        <v>5866.8</v>
      </c>
      <c r="K45" s="3">
        <f t="shared" si="2"/>
        <v>0</v>
      </c>
    </row>
    <row r="46" spans="1:11" ht="15.75" x14ac:dyDescent="0.25">
      <c r="B46" s="14">
        <v>42385</v>
      </c>
      <c r="C46" s="15" t="s">
        <v>76</v>
      </c>
      <c r="D46" s="16" t="s">
        <v>13</v>
      </c>
      <c r="E46" s="17">
        <f>948+129.6</f>
        <v>1077.5999999999999</v>
      </c>
      <c r="F46" s="13">
        <v>33412.800000000003</v>
      </c>
      <c r="K46" s="3">
        <f t="shared" si="2"/>
        <v>0</v>
      </c>
    </row>
    <row r="47" spans="1:11" ht="15.75" x14ac:dyDescent="0.25">
      <c r="B47" s="14">
        <v>42385</v>
      </c>
      <c r="C47" s="15" t="s">
        <v>77</v>
      </c>
      <c r="D47" s="16" t="s">
        <v>10</v>
      </c>
      <c r="E47" s="17">
        <f>37.8+475+323.8</f>
        <v>836.59999999999991</v>
      </c>
      <c r="F47" s="13">
        <v>29749.599999999999</v>
      </c>
      <c r="K47" s="3">
        <f t="shared" si="2"/>
        <v>0</v>
      </c>
    </row>
    <row r="48" spans="1:11" ht="15.75" x14ac:dyDescent="0.25">
      <c r="B48" s="14">
        <v>42385</v>
      </c>
      <c r="C48" s="15" t="s">
        <v>78</v>
      </c>
      <c r="D48" s="16" t="s">
        <v>11</v>
      </c>
      <c r="E48" s="17">
        <f>17.1+83.4+79.6</f>
        <v>180.1</v>
      </c>
      <c r="F48" s="13">
        <v>7764.2</v>
      </c>
      <c r="K48" s="3">
        <f t="shared" si="2"/>
        <v>0</v>
      </c>
    </row>
    <row r="49" spans="2:13" ht="15.75" x14ac:dyDescent="0.25">
      <c r="B49" s="14">
        <v>42385</v>
      </c>
      <c r="C49" s="15" t="s">
        <v>79</v>
      </c>
      <c r="D49" s="16" t="s">
        <v>0</v>
      </c>
      <c r="E49" s="17">
        <f>13.61+89.8</f>
        <v>103.41</v>
      </c>
      <c r="F49" s="13">
        <v>2313.1799999999998</v>
      </c>
      <c r="K49" s="3">
        <f t="shared" si="2"/>
        <v>0</v>
      </c>
    </row>
    <row r="50" spans="2:13" ht="16.5" thickBot="1" x14ac:dyDescent="0.3">
      <c r="B50" s="14">
        <v>42385</v>
      </c>
      <c r="C50" s="15" t="s">
        <v>80</v>
      </c>
      <c r="D50" s="16" t="s">
        <v>0</v>
      </c>
      <c r="E50" s="17">
        <f>6.7+11.1</f>
        <v>17.8</v>
      </c>
      <c r="F50" s="13">
        <v>422.4</v>
      </c>
      <c r="I50">
        <v>6.7</v>
      </c>
      <c r="J50">
        <v>15</v>
      </c>
      <c r="K50" s="3">
        <f t="shared" si="2"/>
        <v>100.5</v>
      </c>
    </row>
    <row r="51" spans="2:13" ht="15.75" thickBot="1" x14ac:dyDescent="0.3">
      <c r="B51" s="21"/>
      <c r="C51" s="22"/>
      <c r="D51" s="23"/>
      <c r="E51" s="24">
        <v>0</v>
      </c>
      <c r="F51" s="25">
        <f>SUM(F3:F50)</f>
        <v>595141.6100000001</v>
      </c>
      <c r="K51" s="3">
        <f t="shared" si="2"/>
        <v>0</v>
      </c>
    </row>
    <row r="52" spans="2:13" ht="19.5" thickBot="1" x14ac:dyDescent="0.35">
      <c r="B52" s="26"/>
      <c r="C52" s="27"/>
      <c r="D52" s="28" t="s">
        <v>5</v>
      </c>
      <c r="E52" s="29">
        <f>SUM(E3:E51)</f>
        <v>18477.243999999992</v>
      </c>
      <c r="K52" s="30">
        <f>SUM(K34:K51)</f>
        <v>100.5</v>
      </c>
    </row>
    <row r="53" spans="2:13" x14ac:dyDescent="0.25">
      <c r="B53" s="26"/>
      <c r="C53" s="27"/>
      <c r="D53" s="31"/>
      <c r="E53" s="32"/>
      <c r="K53"/>
    </row>
    <row r="54" spans="2:13" ht="21.75" thickBot="1" x14ac:dyDescent="0.4">
      <c r="B54" s="33"/>
      <c r="C54" s="34" t="s">
        <v>15</v>
      </c>
      <c r="D54" s="35">
        <f>E52*0.2</f>
        <v>3695.4487999999983</v>
      </c>
      <c r="F54"/>
      <c r="K54"/>
    </row>
    <row r="55" spans="2:13" ht="21.75" thickBot="1" x14ac:dyDescent="0.4">
      <c r="C55" s="36" t="s">
        <v>16</v>
      </c>
      <c r="D55" s="37">
        <v>3000</v>
      </c>
      <c r="E55" s="38"/>
      <c r="F55" s="85">
        <f>D54+D55</f>
        <v>6695.4487999999983</v>
      </c>
      <c r="G55" s="86"/>
      <c r="I55" s="39"/>
      <c r="J55" s="39"/>
      <c r="K55" s="39"/>
      <c r="L55" s="39"/>
      <c r="M55" s="39"/>
    </row>
    <row r="56" spans="2:13" ht="15.75" thickTop="1" x14ac:dyDescent="0.25">
      <c r="I56" s="39"/>
      <c r="J56" s="39"/>
      <c r="K56" s="40"/>
      <c r="L56" s="40"/>
      <c r="M56" s="40"/>
    </row>
    <row r="57" spans="2:13" ht="19.5" thickBot="1" x14ac:dyDescent="0.35">
      <c r="E57" s="41" t="s">
        <v>17</v>
      </c>
      <c r="F57" s="87">
        <v>0</v>
      </c>
      <c r="G57" s="87"/>
      <c r="I57" s="39"/>
      <c r="J57" s="39"/>
      <c r="K57" s="40"/>
      <c r="L57" s="40"/>
      <c r="M57" s="40"/>
    </row>
    <row r="58" spans="2:13" ht="15.75" thickTop="1" x14ac:dyDescent="0.25">
      <c r="C58"/>
      <c r="F58" s="88">
        <f>F55+F57</f>
        <v>6695.4487999999983</v>
      </c>
      <c r="G58" s="88"/>
      <c r="I58" s="39"/>
      <c r="J58" s="39"/>
      <c r="K58" s="40"/>
      <c r="L58" s="40"/>
      <c r="M58" s="40"/>
    </row>
    <row r="59" spans="2:13" ht="18.75" x14ac:dyDescent="0.3">
      <c r="C59"/>
      <c r="E59" s="2" t="s">
        <v>18</v>
      </c>
      <c r="F59" s="89"/>
      <c r="G59" s="89"/>
      <c r="K59"/>
    </row>
  </sheetData>
  <mergeCells count="4">
    <mergeCell ref="B1:C1"/>
    <mergeCell ref="F55:G55"/>
    <mergeCell ref="F57:G57"/>
    <mergeCell ref="F58:G59"/>
  </mergeCells>
  <pageMargins left="0.70866141732283472" right="0.70866141732283472" top="0.74803149606299213" bottom="0.15748031496062992" header="0.31496062992125984" footer="0.31496062992125984"/>
  <pageSetup scale="75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58"/>
  <sheetViews>
    <sheetView topLeftCell="A37" workbookViewId="0">
      <selection activeCell="A37" sqref="A1:XFD104857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42515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306</v>
      </c>
      <c r="G2" s="8"/>
      <c r="K2"/>
    </row>
    <row r="3" spans="2:11" ht="15.75" x14ac:dyDescent="0.25">
      <c r="B3" s="9">
        <v>42506</v>
      </c>
      <c r="C3" s="10">
        <v>16659</v>
      </c>
      <c r="D3" s="11" t="s">
        <v>307</v>
      </c>
      <c r="E3" s="12">
        <f>920.8+45.3</f>
        <v>966.09999999999991</v>
      </c>
      <c r="F3" s="13">
        <v>30768.9</v>
      </c>
      <c r="K3"/>
    </row>
    <row r="4" spans="2:11" ht="15.75" x14ac:dyDescent="0.25">
      <c r="B4" s="14">
        <v>42506</v>
      </c>
      <c r="C4" s="15">
        <v>16667</v>
      </c>
      <c r="D4" s="16" t="s">
        <v>9</v>
      </c>
      <c r="E4" s="17">
        <v>180.1</v>
      </c>
      <c r="F4" s="13">
        <v>7744.3</v>
      </c>
      <c r="K4"/>
    </row>
    <row r="5" spans="2:11" ht="15.75" x14ac:dyDescent="0.25">
      <c r="B5" s="14">
        <v>42506</v>
      </c>
      <c r="C5" s="15">
        <v>16668</v>
      </c>
      <c r="D5" s="16" t="s">
        <v>20</v>
      </c>
      <c r="E5" s="17">
        <f>274.9+50.1</f>
        <v>325</v>
      </c>
      <c r="F5" s="13">
        <v>11788.65</v>
      </c>
      <c r="K5"/>
    </row>
    <row r="6" spans="2:11" ht="15.75" x14ac:dyDescent="0.25">
      <c r="B6" s="14">
        <v>42506</v>
      </c>
      <c r="C6" s="47">
        <v>16669</v>
      </c>
      <c r="D6" s="16" t="s">
        <v>6</v>
      </c>
      <c r="E6" s="56">
        <v>99</v>
      </c>
      <c r="F6" s="13">
        <v>3415.5</v>
      </c>
      <c r="G6" t="s">
        <v>233</v>
      </c>
      <c r="K6" s="3">
        <f t="shared" ref="K6:K17" si="0">J6*I6</f>
        <v>0</v>
      </c>
    </row>
    <row r="7" spans="2:11" ht="15.75" x14ac:dyDescent="0.25">
      <c r="B7" s="14">
        <v>42506</v>
      </c>
      <c r="C7" s="15">
        <v>16670</v>
      </c>
      <c r="D7" s="16" t="s">
        <v>11</v>
      </c>
      <c r="E7" s="17">
        <f>50.7+24.1</f>
        <v>74.800000000000011</v>
      </c>
      <c r="F7" s="13">
        <v>3440.8</v>
      </c>
      <c r="K7" s="3">
        <f t="shared" si="0"/>
        <v>0</v>
      </c>
    </row>
    <row r="8" spans="2:11" ht="15.75" x14ac:dyDescent="0.25">
      <c r="B8" s="14">
        <v>42507</v>
      </c>
      <c r="C8" s="15">
        <v>16783</v>
      </c>
      <c r="D8" s="16" t="s">
        <v>20</v>
      </c>
      <c r="E8" s="17">
        <f>50.4+203.7+20.1+106.3</f>
        <v>380.5</v>
      </c>
      <c r="F8" s="13">
        <v>15898.1</v>
      </c>
      <c r="K8" s="3">
        <f t="shared" si="0"/>
        <v>0</v>
      </c>
    </row>
    <row r="9" spans="2:11" ht="15.75" x14ac:dyDescent="0.25">
      <c r="B9" s="14">
        <v>42507</v>
      </c>
      <c r="C9" s="15">
        <v>16784</v>
      </c>
      <c r="D9" s="16" t="s">
        <v>6</v>
      </c>
      <c r="E9" s="17">
        <f>103.7+71.5</f>
        <v>175.2</v>
      </c>
      <c r="F9" s="13">
        <v>8296.65</v>
      </c>
      <c r="K9" s="3">
        <f t="shared" si="0"/>
        <v>0</v>
      </c>
    </row>
    <row r="10" spans="2:11" ht="15.75" x14ac:dyDescent="0.25">
      <c r="B10" s="14">
        <v>42507</v>
      </c>
      <c r="C10" s="15">
        <v>16785</v>
      </c>
      <c r="D10" s="16" t="s">
        <v>7</v>
      </c>
      <c r="E10" s="17">
        <v>87.9</v>
      </c>
      <c r="F10" s="13">
        <v>3032.55</v>
      </c>
      <c r="K10" s="3">
        <f t="shared" si="0"/>
        <v>0</v>
      </c>
    </row>
    <row r="11" spans="2:11" ht="15.75" x14ac:dyDescent="0.25">
      <c r="B11" s="14">
        <v>42507</v>
      </c>
      <c r="C11" s="15">
        <v>16786</v>
      </c>
      <c r="D11" s="16" t="s">
        <v>14</v>
      </c>
      <c r="E11" s="17">
        <v>590.4</v>
      </c>
      <c r="F11" s="13">
        <v>20368.8</v>
      </c>
      <c r="K11" s="3">
        <f t="shared" si="0"/>
        <v>0</v>
      </c>
    </row>
    <row r="12" spans="2:11" ht="15.75" x14ac:dyDescent="0.25">
      <c r="B12" s="14">
        <v>42507</v>
      </c>
      <c r="C12" s="44">
        <v>16787</v>
      </c>
      <c r="D12" s="16" t="s">
        <v>153</v>
      </c>
      <c r="E12" s="17">
        <v>263</v>
      </c>
      <c r="F12" s="13">
        <v>9073.5</v>
      </c>
      <c r="K12" s="3">
        <f t="shared" si="0"/>
        <v>0</v>
      </c>
    </row>
    <row r="13" spans="2:11" ht="15.75" x14ac:dyDescent="0.25">
      <c r="B13" s="14">
        <v>42507</v>
      </c>
      <c r="C13" s="15">
        <v>16788</v>
      </c>
      <c r="D13" s="16" t="s">
        <v>192</v>
      </c>
      <c r="E13" s="17">
        <v>180.6</v>
      </c>
      <c r="F13" s="13">
        <v>6230.7</v>
      </c>
      <c r="K13" s="3">
        <f t="shared" si="0"/>
        <v>0</v>
      </c>
    </row>
    <row r="14" spans="2:11" ht="15.75" x14ac:dyDescent="0.25">
      <c r="B14" s="14">
        <v>42508</v>
      </c>
      <c r="C14" s="15">
        <v>16886</v>
      </c>
      <c r="D14" s="16" t="s">
        <v>7</v>
      </c>
      <c r="E14" s="17">
        <v>87.8</v>
      </c>
      <c r="F14" s="13">
        <v>3116.9</v>
      </c>
      <c r="K14" s="3">
        <f t="shared" si="0"/>
        <v>0</v>
      </c>
    </row>
    <row r="15" spans="2:11" ht="15.75" x14ac:dyDescent="0.25">
      <c r="B15" s="14">
        <v>42508</v>
      </c>
      <c r="C15" s="15">
        <v>16888</v>
      </c>
      <c r="D15" s="16" t="s">
        <v>11</v>
      </c>
      <c r="E15" s="17">
        <v>184.4</v>
      </c>
      <c r="F15" s="13">
        <v>6546.2</v>
      </c>
      <c r="K15" s="3">
        <f t="shared" si="0"/>
        <v>0</v>
      </c>
    </row>
    <row r="16" spans="2:11" ht="15.75" x14ac:dyDescent="0.25">
      <c r="B16" s="14">
        <v>42508</v>
      </c>
      <c r="C16" s="15">
        <v>16889</v>
      </c>
      <c r="D16" s="16" t="s">
        <v>9</v>
      </c>
      <c r="E16" s="17">
        <v>452.6</v>
      </c>
      <c r="F16" s="13">
        <v>15841</v>
      </c>
      <c r="K16" s="3">
        <f t="shared" si="0"/>
        <v>0</v>
      </c>
    </row>
    <row r="17" spans="1:13" ht="15.75" x14ac:dyDescent="0.25">
      <c r="B17" s="14">
        <v>42508</v>
      </c>
      <c r="C17" s="15">
        <v>16893</v>
      </c>
      <c r="D17" s="16" t="s">
        <v>20</v>
      </c>
      <c r="E17" s="17">
        <v>475.6</v>
      </c>
      <c r="F17" s="13">
        <v>16646</v>
      </c>
      <c r="K17" s="3">
        <f t="shared" si="0"/>
        <v>0</v>
      </c>
    </row>
    <row r="18" spans="1:13" ht="15.75" x14ac:dyDescent="0.25">
      <c r="B18" s="14">
        <v>42508</v>
      </c>
      <c r="C18" s="15">
        <v>16894</v>
      </c>
      <c r="D18" s="16" t="s">
        <v>6</v>
      </c>
      <c r="E18" s="17">
        <v>92.8</v>
      </c>
      <c r="F18" s="13">
        <v>3248</v>
      </c>
      <c r="I18" s="3">
        <f>SUM(I6:I17)</f>
        <v>0</v>
      </c>
      <c r="J18" s="3"/>
      <c r="K18" s="3">
        <f>SUM(K6:K17)</f>
        <v>0</v>
      </c>
    </row>
    <row r="19" spans="1:13" ht="15.75" x14ac:dyDescent="0.25">
      <c r="B19" s="14">
        <v>42508</v>
      </c>
      <c r="C19" s="15">
        <v>16895</v>
      </c>
      <c r="D19" s="16" t="s">
        <v>192</v>
      </c>
      <c r="E19" s="17">
        <v>144</v>
      </c>
      <c r="F19" s="13">
        <v>3012.6</v>
      </c>
    </row>
    <row r="20" spans="1:13" ht="15.75" x14ac:dyDescent="0.25">
      <c r="B20" s="14">
        <v>42508</v>
      </c>
      <c r="C20" s="15">
        <v>16896</v>
      </c>
      <c r="D20" s="16" t="s">
        <v>10</v>
      </c>
      <c r="E20" s="17">
        <v>144.6</v>
      </c>
      <c r="F20" s="13">
        <v>6796.2</v>
      </c>
    </row>
    <row r="21" spans="1:13" ht="15.75" x14ac:dyDescent="0.25">
      <c r="A21" s="18"/>
      <c r="B21" s="14">
        <v>42509</v>
      </c>
      <c r="C21" s="15">
        <v>17031</v>
      </c>
      <c r="D21" s="16" t="s">
        <v>153</v>
      </c>
      <c r="E21" s="17">
        <v>323.60000000000002</v>
      </c>
      <c r="F21" s="13">
        <v>11326</v>
      </c>
    </row>
    <row r="22" spans="1:13" ht="15.75" x14ac:dyDescent="0.25">
      <c r="B22" s="14">
        <v>42509</v>
      </c>
      <c r="C22" s="15">
        <v>17032</v>
      </c>
      <c r="D22" s="16" t="s">
        <v>11</v>
      </c>
      <c r="E22" s="17">
        <v>186.4</v>
      </c>
      <c r="F22" s="13">
        <v>6710.4</v>
      </c>
      <c r="I22" s="48"/>
      <c r="J22" s="49"/>
      <c r="K22" s="50"/>
      <c r="L22" s="51"/>
      <c r="M22" s="52"/>
    </row>
    <row r="23" spans="1:13" ht="15.75" x14ac:dyDescent="0.25">
      <c r="B23" s="14">
        <v>42509</v>
      </c>
      <c r="C23" s="15">
        <v>17033</v>
      </c>
      <c r="D23" s="16" t="s">
        <v>20</v>
      </c>
      <c r="E23" s="17">
        <v>463.2</v>
      </c>
      <c r="F23" s="13">
        <v>16212</v>
      </c>
      <c r="I23" s="31"/>
      <c r="J23" s="31"/>
      <c r="K23" s="53"/>
      <c r="L23" s="31"/>
      <c r="M23" s="31"/>
    </row>
    <row r="24" spans="1:13" ht="15.75" x14ac:dyDescent="0.25">
      <c r="B24" s="14">
        <v>42509</v>
      </c>
      <c r="C24" s="15">
        <v>17034</v>
      </c>
      <c r="D24" s="16" t="s">
        <v>6</v>
      </c>
      <c r="E24" s="17">
        <v>96</v>
      </c>
      <c r="F24" s="13">
        <v>3360</v>
      </c>
    </row>
    <row r="25" spans="1:13" x14ac:dyDescent="0.25">
      <c r="B25" s="14">
        <v>42509</v>
      </c>
      <c r="C25" s="19">
        <v>17035</v>
      </c>
      <c r="D25" s="16" t="s">
        <v>13</v>
      </c>
      <c r="E25" s="17">
        <f>45.1+87.8</f>
        <v>132.9</v>
      </c>
      <c r="F25" s="13">
        <v>4696.6000000000004</v>
      </c>
    </row>
    <row r="26" spans="1:13" x14ac:dyDescent="0.25">
      <c r="B26" s="14">
        <v>42509</v>
      </c>
      <c r="C26" s="19">
        <v>17036</v>
      </c>
      <c r="D26" s="16" t="s">
        <v>9</v>
      </c>
      <c r="E26" s="17">
        <v>380.4</v>
      </c>
      <c r="F26" s="13">
        <v>16357</v>
      </c>
    </row>
    <row r="27" spans="1:13" x14ac:dyDescent="0.25">
      <c r="B27" s="14">
        <v>42509</v>
      </c>
      <c r="C27" s="19">
        <v>17037</v>
      </c>
      <c r="D27" s="16" t="s">
        <v>6</v>
      </c>
      <c r="E27" s="17">
        <v>63.8</v>
      </c>
      <c r="F27" s="13">
        <v>2807.2</v>
      </c>
    </row>
    <row r="28" spans="1:13" x14ac:dyDescent="0.25">
      <c r="B28" s="14">
        <v>42509</v>
      </c>
      <c r="C28" s="19">
        <v>17038</v>
      </c>
      <c r="D28" s="16" t="s">
        <v>11</v>
      </c>
      <c r="E28" s="17">
        <f>17.4+1</f>
        <v>18.399999999999999</v>
      </c>
      <c r="F28" s="13">
        <v>567.79999999999995</v>
      </c>
    </row>
    <row r="29" spans="1:13" x14ac:dyDescent="0.25">
      <c r="B29" s="14">
        <v>42509</v>
      </c>
      <c r="C29" s="19">
        <v>17041</v>
      </c>
      <c r="D29" s="16" t="s">
        <v>11</v>
      </c>
      <c r="E29" s="17">
        <v>60.1</v>
      </c>
      <c r="F29" s="13">
        <v>2764.6</v>
      </c>
    </row>
    <row r="30" spans="1:13" x14ac:dyDescent="0.25">
      <c r="B30" s="14">
        <v>42509</v>
      </c>
      <c r="C30" s="19">
        <v>17049</v>
      </c>
      <c r="D30" s="16" t="s">
        <v>6</v>
      </c>
      <c r="E30" s="17">
        <f>15.3+7.3+23.1</f>
        <v>45.7</v>
      </c>
      <c r="F30" s="13">
        <v>1609.4</v>
      </c>
    </row>
    <row r="31" spans="1:13" x14ac:dyDescent="0.25">
      <c r="B31" s="14">
        <v>42510</v>
      </c>
      <c r="C31" s="19">
        <v>17181</v>
      </c>
      <c r="D31" s="16" t="s">
        <v>9</v>
      </c>
      <c r="E31" s="17">
        <v>660.2</v>
      </c>
      <c r="F31" s="13">
        <v>23107</v>
      </c>
    </row>
    <row r="32" spans="1:13" x14ac:dyDescent="0.25">
      <c r="B32" s="14">
        <v>42510</v>
      </c>
      <c r="C32" s="19">
        <v>17182</v>
      </c>
      <c r="D32" s="16" t="s">
        <v>20</v>
      </c>
      <c r="E32" s="17">
        <f>473.6+54</f>
        <v>527.6</v>
      </c>
      <c r="F32" s="13">
        <v>19060</v>
      </c>
      <c r="K32" s="3">
        <f t="shared" ref="K32:K50" si="1">J32*I32</f>
        <v>0</v>
      </c>
    </row>
    <row r="33" spans="2:11" x14ac:dyDescent="0.25">
      <c r="B33" s="14">
        <v>42510</v>
      </c>
      <c r="C33" s="19">
        <v>17184</v>
      </c>
      <c r="D33" s="16" t="s">
        <v>10</v>
      </c>
      <c r="E33" s="17">
        <f>519.1+187.2+559.8+30+5+81.72</f>
        <v>1382.82</v>
      </c>
      <c r="F33" s="13">
        <v>50726.46</v>
      </c>
      <c r="K33" s="3">
        <f t="shared" si="1"/>
        <v>0</v>
      </c>
    </row>
    <row r="34" spans="2:11" x14ac:dyDescent="0.25">
      <c r="B34" s="14">
        <v>42510</v>
      </c>
      <c r="C34" s="19">
        <v>17186</v>
      </c>
      <c r="D34" s="16" t="s">
        <v>20</v>
      </c>
      <c r="E34" s="17">
        <v>313.39999999999998</v>
      </c>
      <c r="F34" s="13">
        <v>13476.2</v>
      </c>
      <c r="K34" s="3">
        <f t="shared" si="1"/>
        <v>0</v>
      </c>
    </row>
    <row r="35" spans="2:11" x14ac:dyDescent="0.25">
      <c r="B35" s="14">
        <v>42510</v>
      </c>
      <c r="C35" s="19">
        <v>17187</v>
      </c>
      <c r="D35" s="16" t="s">
        <v>12</v>
      </c>
      <c r="E35" s="17">
        <f>635.3+496+21.6+27.24</f>
        <v>1180.1399999999999</v>
      </c>
      <c r="F35" s="13">
        <v>45332.42</v>
      </c>
      <c r="K35" s="3">
        <f t="shared" si="1"/>
        <v>0</v>
      </c>
    </row>
    <row r="36" spans="2:11" x14ac:dyDescent="0.25">
      <c r="B36" s="14">
        <v>42510</v>
      </c>
      <c r="C36" s="19">
        <v>17192</v>
      </c>
      <c r="D36" s="16" t="s">
        <v>14</v>
      </c>
      <c r="E36" s="17">
        <f>498.2+21+89.4</f>
        <v>608.6</v>
      </c>
      <c r="F36" s="13">
        <v>21516.1</v>
      </c>
      <c r="K36" s="3">
        <f t="shared" si="1"/>
        <v>0</v>
      </c>
    </row>
    <row r="37" spans="2:11" x14ac:dyDescent="0.25">
      <c r="B37" s="14">
        <v>42510</v>
      </c>
      <c r="C37" s="19">
        <v>17197</v>
      </c>
      <c r="D37" s="16" t="s">
        <v>192</v>
      </c>
      <c r="E37" s="17">
        <f>20.2+23.2+96.6</f>
        <v>140</v>
      </c>
      <c r="F37" s="13">
        <v>4264</v>
      </c>
      <c r="K37" s="3">
        <f t="shared" si="1"/>
        <v>0</v>
      </c>
    </row>
    <row r="38" spans="2:11" x14ac:dyDescent="0.25">
      <c r="B38" s="14">
        <v>42510</v>
      </c>
      <c r="C38" s="19">
        <v>17198</v>
      </c>
      <c r="D38" s="16" t="s">
        <v>13</v>
      </c>
      <c r="E38" s="17">
        <v>97.5</v>
      </c>
      <c r="F38" s="13">
        <v>3412.5</v>
      </c>
      <c r="K38" s="3">
        <f t="shared" si="1"/>
        <v>0</v>
      </c>
    </row>
    <row r="39" spans="2:11" x14ac:dyDescent="0.25">
      <c r="B39" s="14">
        <v>42510</v>
      </c>
      <c r="C39" s="19">
        <v>17199</v>
      </c>
      <c r="D39" s="16" t="s">
        <v>6</v>
      </c>
      <c r="E39" s="17">
        <v>184.8</v>
      </c>
      <c r="F39" s="13">
        <v>6652.8</v>
      </c>
      <c r="K39" s="3">
        <f t="shared" si="1"/>
        <v>0</v>
      </c>
    </row>
    <row r="40" spans="2:11" x14ac:dyDescent="0.25">
      <c r="B40" s="14">
        <v>42510</v>
      </c>
      <c r="C40" s="19">
        <v>17200</v>
      </c>
      <c r="D40" s="16" t="s">
        <v>6</v>
      </c>
      <c r="E40" s="17">
        <v>109.3</v>
      </c>
      <c r="F40" s="13">
        <v>3825.5</v>
      </c>
      <c r="K40" s="3">
        <f t="shared" si="1"/>
        <v>0</v>
      </c>
    </row>
    <row r="41" spans="2:11" x14ac:dyDescent="0.25">
      <c r="B41" s="14">
        <v>42510</v>
      </c>
      <c r="C41" s="19">
        <v>17201</v>
      </c>
      <c r="D41" s="16" t="s">
        <v>7</v>
      </c>
      <c r="E41" s="17">
        <v>87.9</v>
      </c>
      <c r="F41" s="13">
        <v>3076.5</v>
      </c>
      <c r="K41" s="3">
        <f t="shared" si="1"/>
        <v>0</v>
      </c>
    </row>
    <row r="42" spans="2:11" x14ac:dyDescent="0.25">
      <c r="B42" s="14">
        <v>42511</v>
      </c>
      <c r="C42" s="19">
        <v>17343</v>
      </c>
      <c r="D42" s="16" t="s">
        <v>192</v>
      </c>
      <c r="E42" s="17">
        <f>901.13+11.3</f>
        <v>912.43</v>
      </c>
      <c r="F42" s="13">
        <v>29456.22</v>
      </c>
      <c r="K42" s="3">
        <f t="shared" si="1"/>
        <v>0</v>
      </c>
    </row>
    <row r="43" spans="2:11" x14ac:dyDescent="0.25">
      <c r="B43" s="14">
        <v>42511</v>
      </c>
      <c r="C43" s="19">
        <v>17344</v>
      </c>
      <c r="D43" s="16" t="s">
        <v>11</v>
      </c>
      <c r="E43" s="17">
        <f>159.4+40.8+25.8</f>
        <v>226</v>
      </c>
      <c r="F43" s="13">
        <v>8262.5</v>
      </c>
      <c r="K43" s="3">
        <f t="shared" si="1"/>
        <v>0</v>
      </c>
    </row>
    <row r="44" spans="2:11" x14ac:dyDescent="0.25">
      <c r="B44" s="14">
        <v>42511</v>
      </c>
      <c r="C44" s="19">
        <v>17345</v>
      </c>
      <c r="D44" s="16" t="s">
        <v>153</v>
      </c>
      <c r="E44" s="17">
        <v>492.8</v>
      </c>
      <c r="F44" s="13">
        <v>17494.400000000001</v>
      </c>
      <c r="K44" s="3">
        <f t="shared" si="1"/>
        <v>0</v>
      </c>
    </row>
    <row r="45" spans="2:11" x14ac:dyDescent="0.25">
      <c r="B45" s="14">
        <v>42511</v>
      </c>
      <c r="C45" s="19">
        <v>17346</v>
      </c>
      <c r="D45" s="16" t="s">
        <v>20</v>
      </c>
      <c r="E45" s="17">
        <f>300.5+53.1+30+70.4</f>
        <v>454</v>
      </c>
      <c r="F45" s="13">
        <v>15478.85</v>
      </c>
      <c r="K45" s="3">
        <f t="shared" si="1"/>
        <v>0</v>
      </c>
    </row>
    <row r="46" spans="2:11" x14ac:dyDescent="0.25">
      <c r="B46" s="14">
        <v>42511</v>
      </c>
      <c r="C46" s="19">
        <v>17349</v>
      </c>
      <c r="D46" s="16" t="s">
        <v>9</v>
      </c>
      <c r="E46" s="17">
        <v>320.8</v>
      </c>
      <c r="F46" s="13">
        <v>11388.4</v>
      </c>
      <c r="K46" s="3">
        <f t="shared" si="1"/>
        <v>0</v>
      </c>
    </row>
    <row r="47" spans="2:11" x14ac:dyDescent="0.25">
      <c r="B47" s="14"/>
      <c r="C47" s="19"/>
      <c r="D47" s="16"/>
      <c r="E47" s="17"/>
      <c r="F47" s="13"/>
      <c r="K47" s="3">
        <f t="shared" si="1"/>
        <v>0</v>
      </c>
    </row>
    <row r="48" spans="2:11" x14ac:dyDescent="0.25">
      <c r="B48" s="14"/>
      <c r="C48" s="19"/>
      <c r="D48" s="16"/>
      <c r="E48" s="17"/>
      <c r="F48" s="13"/>
      <c r="K48" s="3">
        <f t="shared" si="1"/>
        <v>0</v>
      </c>
    </row>
    <row r="49" spans="2:13" ht="15.75" thickBot="1" x14ac:dyDescent="0.3">
      <c r="B49" s="14"/>
      <c r="C49" s="19"/>
      <c r="D49" s="16"/>
      <c r="E49" s="17"/>
      <c r="F49" s="13"/>
      <c r="K49" s="3">
        <f t="shared" si="1"/>
        <v>0</v>
      </c>
    </row>
    <row r="50" spans="2:13" ht="15.75" thickBot="1" x14ac:dyDescent="0.3">
      <c r="B50" s="21" t="s">
        <v>233</v>
      </c>
      <c r="C50" s="22"/>
      <c r="D50" s="23"/>
      <c r="E50" s="24">
        <v>0</v>
      </c>
      <c r="F50" s="25">
        <f>SUM(F3:F49)</f>
        <v>518206.19999999995</v>
      </c>
      <c r="K50" s="3">
        <f t="shared" si="1"/>
        <v>0</v>
      </c>
    </row>
    <row r="51" spans="2:13" ht="19.5" thickBot="1" x14ac:dyDescent="0.35">
      <c r="B51" s="26"/>
      <c r="C51" s="27"/>
      <c r="D51" s="28" t="s">
        <v>5</v>
      </c>
      <c r="E51" s="29">
        <f>SUM(E3:E50)</f>
        <v>14373.189999999997</v>
      </c>
      <c r="I51" s="30">
        <f>SUM(I50:I50)</f>
        <v>0</v>
      </c>
      <c r="J51" s="30"/>
      <c r="K51" s="30">
        <f>SUM(K50:K50)</f>
        <v>0</v>
      </c>
    </row>
    <row r="52" spans="2:13" x14ac:dyDescent="0.25">
      <c r="B52" s="26"/>
      <c r="C52" s="27"/>
      <c r="D52" s="31"/>
      <c r="E52" s="32"/>
      <c r="I52" s="30">
        <f>SUM(I32:I51)</f>
        <v>0</v>
      </c>
      <c r="J52" s="30"/>
      <c r="K52" s="30">
        <f>SUM(K32:K51)</f>
        <v>0</v>
      </c>
    </row>
    <row r="53" spans="2:13" ht="21.75" thickBot="1" x14ac:dyDescent="0.4">
      <c r="B53" s="33"/>
      <c r="C53" s="34" t="s">
        <v>15</v>
      </c>
      <c r="D53" s="35">
        <f>E51*0.2</f>
        <v>2874.6379999999995</v>
      </c>
      <c r="F53"/>
      <c r="K53"/>
    </row>
    <row r="54" spans="2:13" ht="21.75" thickBot="1" x14ac:dyDescent="0.4">
      <c r="C54" s="36" t="s">
        <v>16</v>
      </c>
      <c r="D54" s="37">
        <v>3000</v>
      </c>
      <c r="E54" s="38"/>
      <c r="F54" s="85">
        <f>D53+D54</f>
        <v>5874.637999999999</v>
      </c>
      <c r="G54" s="86"/>
      <c r="I54" s="39"/>
      <c r="J54" s="39"/>
      <c r="K54" s="39"/>
      <c r="L54" s="39"/>
      <c r="M54" s="39"/>
    </row>
    <row r="55" spans="2:13" ht="15.75" thickTop="1" x14ac:dyDescent="0.25">
      <c r="I55" s="39"/>
      <c r="J55" s="39"/>
      <c r="K55" s="40"/>
      <c r="L55" s="40"/>
      <c r="M55" s="40"/>
    </row>
    <row r="56" spans="2:13" ht="19.5" thickBot="1" x14ac:dyDescent="0.35">
      <c r="D56" s="55">
        <v>42508</v>
      </c>
      <c r="E56" s="41" t="s">
        <v>17</v>
      </c>
      <c r="F56" s="87"/>
      <c r="G56" s="87"/>
      <c r="I56" s="39"/>
      <c r="J56" s="39"/>
      <c r="K56" s="40"/>
      <c r="L56" s="40"/>
      <c r="M56" s="40"/>
    </row>
    <row r="57" spans="2:13" ht="15.75" thickTop="1" x14ac:dyDescent="0.25">
      <c r="C57"/>
      <c r="F57" s="88">
        <f>F54+F56</f>
        <v>5874.637999999999</v>
      </c>
      <c r="G57" s="88"/>
      <c r="I57" s="39"/>
      <c r="J57" s="39"/>
      <c r="K57" s="40"/>
      <c r="L57" s="40"/>
      <c r="M57" s="40"/>
    </row>
    <row r="58" spans="2:13" ht="18.75" x14ac:dyDescent="0.3">
      <c r="C58"/>
      <c r="E58" s="2" t="s">
        <v>18</v>
      </c>
      <c r="F58" s="89"/>
      <c r="G58" s="89"/>
      <c r="K58"/>
    </row>
  </sheetData>
  <mergeCells count="4">
    <mergeCell ref="B1:C1"/>
    <mergeCell ref="F54:G54"/>
    <mergeCell ref="F56:G56"/>
    <mergeCell ref="F57:G58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M59"/>
  <sheetViews>
    <sheetView workbookViewId="0">
      <selection activeCell="I26" sqref="I2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42522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308</v>
      </c>
      <c r="G2" s="8"/>
      <c r="K2"/>
    </row>
    <row r="3" spans="2:11" ht="15.75" x14ac:dyDescent="0.25">
      <c r="B3" s="9">
        <v>42501</v>
      </c>
      <c r="C3" s="10">
        <v>15975</v>
      </c>
      <c r="D3" s="11" t="s">
        <v>11</v>
      </c>
      <c r="E3" s="12">
        <f>139.8+313.9+115</f>
        <v>568.70000000000005</v>
      </c>
      <c r="F3" s="13">
        <v>20150</v>
      </c>
      <c r="K3"/>
    </row>
    <row r="4" spans="2:11" ht="15.75" x14ac:dyDescent="0.25">
      <c r="B4" s="14">
        <v>42501</v>
      </c>
      <c r="C4" s="15">
        <v>15977</v>
      </c>
      <c r="D4" s="16" t="s">
        <v>20</v>
      </c>
      <c r="E4" s="17">
        <f>62.9+444.4</f>
        <v>507.29999999999995</v>
      </c>
      <c r="F4" s="13">
        <v>17780.8</v>
      </c>
      <c r="K4"/>
    </row>
    <row r="5" spans="2:11" ht="15.75" x14ac:dyDescent="0.25">
      <c r="B5" s="14">
        <v>42501</v>
      </c>
      <c r="C5" s="15">
        <v>15979</v>
      </c>
      <c r="D5" s="16" t="s">
        <v>309</v>
      </c>
      <c r="E5" s="17">
        <v>205.7</v>
      </c>
      <c r="F5" s="13">
        <v>6891</v>
      </c>
      <c r="K5"/>
    </row>
    <row r="6" spans="2:11" ht="15.75" x14ac:dyDescent="0.25">
      <c r="B6" s="14">
        <v>42509</v>
      </c>
      <c r="C6" s="47">
        <v>17055</v>
      </c>
      <c r="D6" s="16" t="s">
        <v>286</v>
      </c>
      <c r="E6" s="56">
        <f>12.8+1.9+4.4</f>
        <v>19.100000000000001</v>
      </c>
      <c r="F6" s="13">
        <v>790.6</v>
      </c>
      <c r="G6" t="s">
        <v>233</v>
      </c>
      <c r="K6" s="3">
        <f t="shared" ref="K6:K17" si="0">J6*I6</f>
        <v>0</v>
      </c>
    </row>
    <row r="7" spans="2:11" ht="15.75" x14ac:dyDescent="0.25">
      <c r="B7" s="14">
        <v>42511</v>
      </c>
      <c r="C7" s="15">
        <v>17348</v>
      </c>
      <c r="D7" s="16" t="s">
        <v>7</v>
      </c>
      <c r="E7" s="17">
        <f>7.8+13.1+1+77.5</f>
        <v>99.4</v>
      </c>
      <c r="F7" s="13">
        <v>3280.35</v>
      </c>
      <c r="K7" s="3">
        <f t="shared" si="0"/>
        <v>0</v>
      </c>
    </row>
    <row r="8" spans="2:11" ht="15.75" x14ac:dyDescent="0.25">
      <c r="B8" s="14">
        <v>42513</v>
      </c>
      <c r="C8" s="15">
        <v>17548</v>
      </c>
      <c r="D8" s="16" t="s">
        <v>192</v>
      </c>
      <c r="E8" s="17">
        <f>105.8+40.4</f>
        <v>146.19999999999999</v>
      </c>
      <c r="F8" s="13">
        <v>3126</v>
      </c>
      <c r="K8" s="3">
        <f t="shared" si="0"/>
        <v>0</v>
      </c>
    </row>
    <row r="9" spans="2:11" ht="15.75" x14ac:dyDescent="0.25">
      <c r="B9" s="14">
        <v>42513</v>
      </c>
      <c r="C9" s="15">
        <v>17552</v>
      </c>
      <c r="D9" s="16" t="s">
        <v>13</v>
      </c>
      <c r="E9" s="17">
        <v>755.4</v>
      </c>
      <c r="F9" s="13">
        <v>26816.7</v>
      </c>
      <c r="K9" s="3">
        <f t="shared" si="0"/>
        <v>0</v>
      </c>
    </row>
    <row r="10" spans="2:11" ht="15.75" x14ac:dyDescent="0.25">
      <c r="B10" s="14">
        <v>42513</v>
      </c>
      <c r="C10" s="15">
        <v>17553</v>
      </c>
      <c r="D10" s="16" t="s">
        <v>7</v>
      </c>
      <c r="E10" s="17">
        <v>191.1</v>
      </c>
      <c r="F10" s="13">
        <v>6784.05</v>
      </c>
      <c r="K10" s="3">
        <f t="shared" si="0"/>
        <v>0</v>
      </c>
    </row>
    <row r="11" spans="2:11" ht="15.75" x14ac:dyDescent="0.25">
      <c r="B11" s="14">
        <v>42513</v>
      </c>
      <c r="C11" s="15">
        <v>17554</v>
      </c>
      <c r="D11" s="16" t="s">
        <v>20</v>
      </c>
      <c r="E11" s="17">
        <f>191.7+333+54.4</f>
        <v>579.1</v>
      </c>
      <c r="F11" s="13">
        <v>23626.75</v>
      </c>
      <c r="K11" s="3">
        <f t="shared" si="0"/>
        <v>0</v>
      </c>
    </row>
    <row r="12" spans="2:11" ht="15.75" x14ac:dyDescent="0.25">
      <c r="B12" s="14">
        <v>42513</v>
      </c>
      <c r="C12" s="44">
        <v>17555</v>
      </c>
      <c r="D12" s="16" t="s">
        <v>11</v>
      </c>
      <c r="E12" s="17">
        <v>105.2</v>
      </c>
      <c r="F12" s="13">
        <v>4628.8</v>
      </c>
      <c r="K12" s="3">
        <f t="shared" si="0"/>
        <v>0</v>
      </c>
    </row>
    <row r="13" spans="2:11" ht="15.75" x14ac:dyDescent="0.25">
      <c r="B13" s="14">
        <v>42514</v>
      </c>
      <c r="C13" s="15">
        <v>17676</v>
      </c>
      <c r="D13" s="16" t="s">
        <v>9</v>
      </c>
      <c r="E13" s="17">
        <v>417.1</v>
      </c>
      <c r="F13" s="13">
        <v>15015.6</v>
      </c>
      <c r="K13" s="3">
        <f t="shared" si="0"/>
        <v>0</v>
      </c>
    </row>
    <row r="14" spans="2:11" ht="15.75" x14ac:dyDescent="0.25">
      <c r="B14" s="14">
        <v>42514</v>
      </c>
      <c r="C14" s="15">
        <v>17678</v>
      </c>
      <c r="D14" s="16" t="s">
        <v>153</v>
      </c>
      <c r="E14" s="17">
        <v>261.39999999999998</v>
      </c>
      <c r="F14" s="13">
        <v>9410.4</v>
      </c>
      <c r="K14" s="3">
        <f t="shared" si="0"/>
        <v>0</v>
      </c>
    </row>
    <row r="15" spans="2:11" ht="15.75" x14ac:dyDescent="0.25">
      <c r="B15" s="14">
        <v>42514</v>
      </c>
      <c r="C15" s="15">
        <v>17679</v>
      </c>
      <c r="D15" s="16" t="s">
        <v>192</v>
      </c>
      <c r="E15" s="17">
        <v>91.3</v>
      </c>
      <c r="F15" s="13">
        <v>3423.75</v>
      </c>
      <c r="K15" s="3">
        <f t="shared" si="0"/>
        <v>0</v>
      </c>
    </row>
    <row r="16" spans="2:11" ht="15.75" x14ac:dyDescent="0.25">
      <c r="B16" s="14">
        <v>42514</v>
      </c>
      <c r="C16" s="15">
        <v>17681</v>
      </c>
      <c r="D16" s="16" t="s">
        <v>192</v>
      </c>
      <c r="E16" s="17">
        <v>91.6</v>
      </c>
      <c r="F16" s="13">
        <v>3297.6</v>
      </c>
      <c r="K16" s="3">
        <f t="shared" si="0"/>
        <v>0</v>
      </c>
    </row>
    <row r="17" spans="1:13" ht="15.75" x14ac:dyDescent="0.25">
      <c r="B17" s="14">
        <v>42514</v>
      </c>
      <c r="C17" s="15">
        <v>17682</v>
      </c>
      <c r="D17" s="16" t="s">
        <v>7</v>
      </c>
      <c r="E17" s="17">
        <v>90.9</v>
      </c>
      <c r="F17" s="13">
        <v>3272.4</v>
      </c>
      <c r="K17" s="3">
        <f t="shared" si="0"/>
        <v>0</v>
      </c>
    </row>
    <row r="18" spans="1:13" ht="15.75" x14ac:dyDescent="0.25">
      <c r="B18" s="14">
        <v>42514</v>
      </c>
      <c r="C18" s="15">
        <v>17683</v>
      </c>
      <c r="D18" s="16" t="s">
        <v>14</v>
      </c>
      <c r="E18" s="17">
        <v>385.6</v>
      </c>
      <c r="F18" s="13">
        <v>14267.2</v>
      </c>
      <c r="I18" s="3">
        <f>SUM(I6:I17)</f>
        <v>0</v>
      </c>
      <c r="J18" s="3"/>
      <c r="K18" s="3">
        <f>SUM(K6:K17)</f>
        <v>0</v>
      </c>
    </row>
    <row r="19" spans="1:13" ht="15.75" x14ac:dyDescent="0.25">
      <c r="B19" s="14">
        <v>42516</v>
      </c>
      <c r="C19" s="15">
        <v>17923</v>
      </c>
      <c r="D19" s="16" t="s">
        <v>12</v>
      </c>
      <c r="E19" s="17">
        <f>908.1+379.6</f>
        <v>1287.7</v>
      </c>
      <c r="F19" s="13">
        <v>46215.65</v>
      </c>
    </row>
    <row r="20" spans="1:13" ht="15.75" x14ac:dyDescent="0.25">
      <c r="B20" s="14">
        <v>42516</v>
      </c>
      <c r="C20" s="15">
        <v>17924</v>
      </c>
      <c r="D20" s="16" t="s">
        <v>192</v>
      </c>
      <c r="E20" s="17">
        <v>928</v>
      </c>
      <c r="F20" s="13">
        <v>30160</v>
      </c>
    </row>
    <row r="21" spans="1:13" ht="15.75" x14ac:dyDescent="0.25">
      <c r="A21" s="18"/>
      <c r="B21" s="14">
        <v>42516</v>
      </c>
      <c r="C21" s="15">
        <v>17927</v>
      </c>
      <c r="D21" s="16" t="s">
        <v>7</v>
      </c>
      <c r="E21" s="17">
        <v>92.4</v>
      </c>
      <c r="F21" s="13">
        <v>3326.4</v>
      </c>
    </row>
    <row r="22" spans="1:13" ht="15.75" x14ac:dyDescent="0.25">
      <c r="B22" s="14">
        <v>42516</v>
      </c>
      <c r="C22" s="15">
        <v>17932</v>
      </c>
      <c r="D22" s="16" t="s">
        <v>6</v>
      </c>
      <c r="E22" s="17">
        <f>27.4+15.5+20.9+69.2+179.5</f>
        <v>312.5</v>
      </c>
      <c r="F22" s="13">
        <v>12755.6</v>
      </c>
      <c r="I22" s="48"/>
      <c r="J22" s="49"/>
      <c r="K22" s="50"/>
      <c r="L22" s="51"/>
      <c r="M22" s="52"/>
    </row>
    <row r="23" spans="1:13" ht="15.75" x14ac:dyDescent="0.25">
      <c r="B23" s="14">
        <v>42516</v>
      </c>
      <c r="C23" s="15">
        <v>17933</v>
      </c>
      <c r="D23" s="16" t="s">
        <v>9</v>
      </c>
      <c r="E23" s="17">
        <v>265.10000000000002</v>
      </c>
      <c r="F23" s="13">
        <v>11664.4</v>
      </c>
      <c r="I23" s="31"/>
      <c r="J23" s="31"/>
      <c r="K23" s="53"/>
      <c r="L23" s="31"/>
      <c r="M23" s="31"/>
    </row>
    <row r="24" spans="1:13" ht="15.75" x14ac:dyDescent="0.25">
      <c r="B24" s="14">
        <v>42516</v>
      </c>
      <c r="C24" s="15">
        <v>17934</v>
      </c>
      <c r="D24" s="16" t="s">
        <v>6</v>
      </c>
      <c r="E24" s="17">
        <v>58.8</v>
      </c>
      <c r="F24" s="13">
        <v>2646</v>
      </c>
    </row>
    <row r="25" spans="1:13" x14ac:dyDescent="0.25">
      <c r="B25" s="14">
        <v>42516</v>
      </c>
      <c r="C25" s="19">
        <v>17935</v>
      </c>
      <c r="D25" s="16" t="s">
        <v>153</v>
      </c>
      <c r="E25" s="17">
        <f>2+14.8+1+183.4</f>
        <v>201.20000000000002</v>
      </c>
      <c r="F25" s="13">
        <v>8092.4</v>
      </c>
    </row>
    <row r="26" spans="1:13" x14ac:dyDescent="0.25">
      <c r="B26" s="14">
        <v>42516</v>
      </c>
      <c r="C26" s="19">
        <v>17936</v>
      </c>
      <c r="D26" s="16" t="s">
        <v>10</v>
      </c>
      <c r="E26" s="17">
        <f>62.7+85.8</f>
        <v>148.5</v>
      </c>
      <c r="F26" s="13">
        <v>6098.4</v>
      </c>
    </row>
    <row r="27" spans="1:13" x14ac:dyDescent="0.25">
      <c r="B27" s="14">
        <v>42516</v>
      </c>
      <c r="C27" s="19">
        <v>17937</v>
      </c>
      <c r="D27" s="16" t="s">
        <v>12</v>
      </c>
      <c r="E27" s="17">
        <v>78.599999999999994</v>
      </c>
      <c r="F27" s="13">
        <v>3615.6</v>
      </c>
    </row>
    <row r="28" spans="1:13" x14ac:dyDescent="0.25">
      <c r="B28" s="14">
        <v>42516</v>
      </c>
      <c r="C28" s="19">
        <v>17938</v>
      </c>
      <c r="D28" s="16" t="s">
        <v>14</v>
      </c>
      <c r="E28" s="17">
        <v>281.39999999999998</v>
      </c>
      <c r="F28" s="13">
        <v>10130.4</v>
      </c>
    </row>
    <row r="29" spans="1:13" x14ac:dyDescent="0.25">
      <c r="B29" s="14">
        <v>42516</v>
      </c>
      <c r="C29" s="19">
        <v>17939</v>
      </c>
      <c r="D29" s="16" t="s">
        <v>6</v>
      </c>
      <c r="E29" s="17">
        <v>86.7</v>
      </c>
      <c r="F29" s="13">
        <v>3121.2</v>
      </c>
    </row>
    <row r="30" spans="1:13" x14ac:dyDescent="0.25">
      <c r="B30" s="14">
        <v>42516</v>
      </c>
      <c r="C30" s="19">
        <v>17940</v>
      </c>
      <c r="D30" s="16" t="s">
        <v>7</v>
      </c>
      <c r="E30" s="17">
        <v>91</v>
      </c>
      <c r="F30" s="13">
        <v>3276</v>
      </c>
    </row>
    <row r="31" spans="1:13" x14ac:dyDescent="0.25">
      <c r="B31" s="14">
        <v>42516</v>
      </c>
      <c r="C31" s="19">
        <v>17941</v>
      </c>
      <c r="D31" s="16" t="s">
        <v>20</v>
      </c>
      <c r="E31" s="17">
        <v>324.10000000000002</v>
      </c>
      <c r="F31" s="13">
        <v>11991.7</v>
      </c>
    </row>
    <row r="32" spans="1:13" x14ac:dyDescent="0.25">
      <c r="B32" s="14">
        <v>42517</v>
      </c>
      <c r="C32" s="19">
        <v>18082</v>
      </c>
      <c r="D32" s="16" t="s">
        <v>10</v>
      </c>
      <c r="E32" s="17">
        <f>118.8+115+20+54.44+5</f>
        <v>313.24</v>
      </c>
      <c r="F32" s="13">
        <v>13178.32</v>
      </c>
      <c r="K32" s="3">
        <f t="shared" ref="K32:K51" si="1">J32*I32</f>
        <v>0</v>
      </c>
    </row>
    <row r="33" spans="2:11" x14ac:dyDescent="0.25">
      <c r="B33" s="14">
        <v>42517</v>
      </c>
      <c r="C33" s="19">
        <v>18083</v>
      </c>
      <c r="D33" s="16" t="s">
        <v>192</v>
      </c>
      <c r="E33" s="17">
        <f>85.3+68.8+18.1+61.5</f>
        <v>233.7</v>
      </c>
      <c r="F33" s="13">
        <v>6255.8</v>
      </c>
      <c r="K33" s="3">
        <f t="shared" si="1"/>
        <v>0</v>
      </c>
    </row>
    <row r="34" spans="2:11" x14ac:dyDescent="0.25">
      <c r="B34" s="14">
        <v>42517</v>
      </c>
      <c r="C34" s="19">
        <v>18084</v>
      </c>
      <c r="D34" s="16" t="s">
        <v>20</v>
      </c>
      <c r="E34" s="17">
        <f>19.6+427</f>
        <v>446.6</v>
      </c>
      <c r="F34" s="13">
        <v>15803.2</v>
      </c>
      <c r="K34" s="3">
        <f t="shared" si="1"/>
        <v>0</v>
      </c>
    </row>
    <row r="35" spans="2:11" x14ac:dyDescent="0.25">
      <c r="B35" s="14">
        <v>42517</v>
      </c>
      <c r="C35" s="19">
        <v>18085</v>
      </c>
      <c r="D35" s="16" t="s">
        <v>13</v>
      </c>
      <c r="E35" s="17">
        <v>62.2</v>
      </c>
      <c r="F35" s="13">
        <v>3296.6</v>
      </c>
      <c r="K35" s="3">
        <f t="shared" si="1"/>
        <v>0</v>
      </c>
    </row>
    <row r="36" spans="2:11" x14ac:dyDescent="0.25">
      <c r="B36" s="14">
        <v>42517</v>
      </c>
      <c r="C36" s="19">
        <v>18086</v>
      </c>
      <c r="D36" s="16" t="s">
        <v>12</v>
      </c>
      <c r="E36" s="17">
        <v>322.89999999999998</v>
      </c>
      <c r="F36" s="13">
        <v>14207.6</v>
      </c>
      <c r="K36" s="3">
        <f t="shared" si="1"/>
        <v>0</v>
      </c>
    </row>
    <row r="37" spans="2:11" x14ac:dyDescent="0.25">
      <c r="B37" s="14">
        <v>42517</v>
      </c>
      <c r="C37" s="19">
        <v>18087</v>
      </c>
      <c r="D37" s="16" t="s">
        <v>9</v>
      </c>
      <c r="E37" s="17">
        <v>424.2</v>
      </c>
      <c r="F37" s="13">
        <v>15271.2</v>
      </c>
      <c r="K37" s="3">
        <f t="shared" si="1"/>
        <v>0</v>
      </c>
    </row>
    <row r="38" spans="2:11" x14ac:dyDescent="0.25">
      <c r="B38" s="14">
        <v>42517</v>
      </c>
      <c r="C38" s="19">
        <v>18088</v>
      </c>
      <c r="D38" s="16" t="s">
        <v>153</v>
      </c>
      <c r="E38" s="17">
        <f>196.1+23.8</f>
        <v>219.9</v>
      </c>
      <c r="F38" s="13">
        <v>7535.6</v>
      </c>
      <c r="K38" s="3">
        <f t="shared" si="1"/>
        <v>0</v>
      </c>
    </row>
    <row r="39" spans="2:11" x14ac:dyDescent="0.25">
      <c r="B39" s="14">
        <v>42517</v>
      </c>
      <c r="C39" s="19">
        <v>18089</v>
      </c>
      <c r="D39" s="16" t="s">
        <v>11</v>
      </c>
      <c r="E39" s="17">
        <v>105.2</v>
      </c>
      <c r="F39" s="13">
        <v>4734</v>
      </c>
      <c r="K39" s="3">
        <f t="shared" si="1"/>
        <v>0</v>
      </c>
    </row>
    <row r="40" spans="2:11" x14ac:dyDescent="0.25">
      <c r="B40" s="14">
        <v>42517</v>
      </c>
      <c r="C40" s="19">
        <v>18090</v>
      </c>
      <c r="D40" s="16" t="s">
        <v>14</v>
      </c>
      <c r="E40" s="17">
        <v>425.7</v>
      </c>
      <c r="F40" s="13">
        <v>15750.9</v>
      </c>
      <c r="K40" s="3">
        <f t="shared" si="1"/>
        <v>0</v>
      </c>
    </row>
    <row r="41" spans="2:11" x14ac:dyDescent="0.25">
      <c r="B41" s="14">
        <v>42518</v>
      </c>
      <c r="C41" s="19">
        <v>18254</v>
      </c>
      <c r="D41" s="16" t="s">
        <v>11</v>
      </c>
      <c r="E41" s="17">
        <f>12.3+246.4</f>
        <v>258.7</v>
      </c>
      <c r="F41" s="13">
        <v>9387.4</v>
      </c>
      <c r="K41" s="3">
        <f t="shared" si="1"/>
        <v>0</v>
      </c>
    </row>
    <row r="42" spans="2:11" x14ac:dyDescent="0.25">
      <c r="B42" s="14">
        <v>42518</v>
      </c>
      <c r="C42" s="19">
        <v>18255</v>
      </c>
      <c r="D42" s="16" t="s">
        <v>12</v>
      </c>
      <c r="E42" s="17">
        <f>19.6+141.4+239.8+27.24</f>
        <v>428.04</v>
      </c>
      <c r="F42" s="13">
        <v>15977.32</v>
      </c>
      <c r="K42" s="3">
        <f t="shared" si="1"/>
        <v>0</v>
      </c>
    </row>
    <row r="43" spans="2:11" x14ac:dyDescent="0.25">
      <c r="B43" s="14">
        <v>42518</v>
      </c>
      <c r="C43" s="19">
        <v>18256</v>
      </c>
      <c r="D43" s="16" t="s">
        <v>10</v>
      </c>
      <c r="E43" s="17">
        <f>16.4+210.6+233.6</f>
        <v>460.6</v>
      </c>
      <c r="F43" s="13">
        <v>18412</v>
      </c>
      <c r="K43" s="3">
        <f t="shared" si="1"/>
        <v>0</v>
      </c>
    </row>
    <row r="44" spans="2:11" x14ac:dyDescent="0.25">
      <c r="B44" s="14">
        <v>42518</v>
      </c>
      <c r="C44" s="19">
        <v>18258</v>
      </c>
      <c r="D44" s="16" t="s">
        <v>20</v>
      </c>
      <c r="E44" s="17">
        <f>15.3+416</f>
        <v>431.3</v>
      </c>
      <c r="F44" s="13">
        <v>15312.6</v>
      </c>
      <c r="K44" s="3">
        <f t="shared" si="1"/>
        <v>0</v>
      </c>
    </row>
    <row r="45" spans="2:11" x14ac:dyDescent="0.25">
      <c r="B45" s="14">
        <v>42518</v>
      </c>
      <c r="C45" s="19">
        <v>18259</v>
      </c>
      <c r="D45" s="16" t="s">
        <v>9</v>
      </c>
      <c r="E45" s="17">
        <v>405</v>
      </c>
      <c r="F45" s="13">
        <v>14580</v>
      </c>
      <c r="K45" s="3">
        <f t="shared" si="1"/>
        <v>0</v>
      </c>
    </row>
    <row r="46" spans="2:11" x14ac:dyDescent="0.25">
      <c r="B46" s="14">
        <v>42518</v>
      </c>
      <c r="C46" s="19">
        <v>18261</v>
      </c>
      <c r="D46" s="16" t="s">
        <v>14</v>
      </c>
      <c r="E46" s="17">
        <v>430</v>
      </c>
      <c r="F46" s="13">
        <v>15910</v>
      </c>
      <c r="K46" s="3">
        <f t="shared" si="1"/>
        <v>0</v>
      </c>
    </row>
    <row r="47" spans="2:11" x14ac:dyDescent="0.25">
      <c r="B47" s="14">
        <v>42518</v>
      </c>
      <c r="C47" s="19">
        <v>18262</v>
      </c>
      <c r="D47" s="16" t="s">
        <v>13</v>
      </c>
      <c r="E47" s="17">
        <v>368.2</v>
      </c>
      <c r="F47" s="13">
        <v>16200.8</v>
      </c>
      <c r="K47" s="3">
        <f t="shared" si="1"/>
        <v>0</v>
      </c>
    </row>
    <row r="48" spans="2:11" x14ac:dyDescent="0.25">
      <c r="B48" s="14">
        <v>42518</v>
      </c>
      <c r="C48" s="19">
        <v>18264</v>
      </c>
      <c r="D48" s="16" t="s">
        <v>7</v>
      </c>
      <c r="E48" s="17">
        <f>10.6+20.5</f>
        <v>31.1</v>
      </c>
      <c r="F48" s="13">
        <v>1351.5</v>
      </c>
      <c r="K48" s="3">
        <f t="shared" si="1"/>
        <v>0</v>
      </c>
    </row>
    <row r="49" spans="2:13" x14ac:dyDescent="0.25">
      <c r="B49" s="14">
        <v>42518</v>
      </c>
      <c r="C49" s="19">
        <v>18269</v>
      </c>
      <c r="D49" s="16" t="s">
        <v>20</v>
      </c>
      <c r="E49" s="17">
        <v>49.9</v>
      </c>
      <c r="F49" s="13">
        <v>998</v>
      </c>
    </row>
    <row r="50" spans="2:13" ht="15.75" thickBot="1" x14ac:dyDescent="0.3">
      <c r="B50" s="14"/>
      <c r="C50" s="19"/>
      <c r="D50" s="16"/>
      <c r="E50" s="17"/>
      <c r="F50" s="13"/>
    </row>
    <row r="51" spans="2:13" ht="15.75" thickBot="1" x14ac:dyDescent="0.3">
      <c r="B51" s="21" t="s">
        <v>233</v>
      </c>
      <c r="C51" s="22"/>
      <c r="D51" s="23"/>
      <c r="E51" s="24">
        <v>0</v>
      </c>
      <c r="F51" s="25">
        <f>SUM(F3:F50)</f>
        <v>519818.59000000008</v>
      </c>
      <c r="K51" s="3">
        <f t="shared" si="1"/>
        <v>0</v>
      </c>
    </row>
    <row r="52" spans="2:13" ht="19.5" thickBot="1" x14ac:dyDescent="0.35">
      <c r="B52" s="26"/>
      <c r="C52" s="27"/>
      <c r="D52" s="28" t="s">
        <v>5</v>
      </c>
      <c r="E52" s="29">
        <f>SUM(E3:E51)</f>
        <v>14087.580000000005</v>
      </c>
      <c r="I52" s="30">
        <f>SUM(I51:I51)</f>
        <v>0</v>
      </c>
      <c r="J52" s="30"/>
      <c r="K52" s="30">
        <f>SUM(K51:K51)</f>
        <v>0</v>
      </c>
    </row>
    <row r="53" spans="2:13" x14ac:dyDescent="0.25">
      <c r="B53" s="26"/>
      <c r="C53" s="27"/>
      <c r="D53" s="31"/>
      <c r="E53" s="32"/>
      <c r="I53" s="30">
        <f>SUM(I32:I52)</f>
        <v>0</v>
      </c>
      <c r="J53" s="30"/>
      <c r="K53" s="30">
        <f>SUM(K32:K52)</f>
        <v>0</v>
      </c>
    </row>
    <row r="54" spans="2:13" ht="21.75" thickBot="1" x14ac:dyDescent="0.4">
      <c r="B54" s="33"/>
      <c r="C54" s="34" t="s">
        <v>15</v>
      </c>
      <c r="D54" s="35">
        <f>E52*0.2</f>
        <v>2817.5160000000014</v>
      </c>
      <c r="F54"/>
      <c r="K54"/>
    </row>
    <row r="55" spans="2:13" ht="21.75" thickBot="1" x14ac:dyDescent="0.4">
      <c r="C55" s="36" t="s">
        <v>16</v>
      </c>
      <c r="D55" s="37">
        <v>3000</v>
      </c>
      <c r="E55" s="38"/>
      <c r="F55" s="85">
        <f>D54+D55</f>
        <v>5817.5160000000014</v>
      </c>
      <c r="G55" s="86"/>
      <c r="I55" s="39"/>
      <c r="J55" s="39"/>
      <c r="K55" s="39"/>
      <c r="L55" s="39"/>
      <c r="M55" s="39"/>
    </row>
    <row r="56" spans="2:13" ht="15.75" thickTop="1" x14ac:dyDescent="0.25">
      <c r="I56" s="39"/>
      <c r="J56" s="39"/>
      <c r="K56" s="40"/>
      <c r="L56" s="40"/>
      <c r="M56" s="40"/>
    </row>
    <row r="57" spans="2:13" ht="19.5" thickBot="1" x14ac:dyDescent="0.35">
      <c r="D57" s="55">
        <v>42508</v>
      </c>
      <c r="E57" s="41" t="s">
        <v>17</v>
      </c>
      <c r="F57" s="87">
        <v>-3000</v>
      </c>
      <c r="G57" s="87"/>
      <c r="I57" s="39"/>
      <c r="J57" s="39"/>
      <c r="K57" s="40"/>
      <c r="L57" s="40"/>
      <c r="M57" s="40"/>
    </row>
    <row r="58" spans="2:13" ht="15.75" thickTop="1" x14ac:dyDescent="0.25">
      <c r="C58"/>
      <c r="F58" s="88">
        <f>F55+F57</f>
        <v>2817.5160000000014</v>
      </c>
      <c r="G58" s="88"/>
      <c r="I58" s="39"/>
      <c r="J58" s="39"/>
      <c r="K58" s="40"/>
      <c r="L58" s="40"/>
      <c r="M58" s="40"/>
    </row>
    <row r="59" spans="2:13" ht="18.75" x14ac:dyDescent="0.3">
      <c r="C59"/>
      <c r="E59" s="2" t="s">
        <v>18</v>
      </c>
      <c r="F59" s="89"/>
      <c r="G59" s="89"/>
      <c r="K59"/>
    </row>
  </sheetData>
  <mergeCells count="4">
    <mergeCell ref="B1:C1"/>
    <mergeCell ref="F55:G55"/>
    <mergeCell ref="F57:G57"/>
    <mergeCell ref="F58:G59"/>
  </mergeCells>
  <pageMargins left="0.70866141732283472" right="0.70866141732283472" top="0.35433070866141736" bottom="0.15748031496062992" header="0.31496062992125984" footer="0.31496062992125984"/>
  <pageSetup scale="8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7"/>
  <sheetViews>
    <sheetView workbookViewId="0">
      <selection activeCell="D19" sqref="D19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42528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310</v>
      </c>
      <c r="G2" s="8"/>
      <c r="K2"/>
    </row>
    <row r="3" spans="2:11" ht="15.75" x14ac:dyDescent="0.25">
      <c r="B3" s="9">
        <v>42520</v>
      </c>
      <c r="C3" s="10">
        <v>18441</v>
      </c>
      <c r="D3" s="11" t="s">
        <v>192</v>
      </c>
      <c r="E3" s="12">
        <f>909+46.1+17.74</f>
        <v>972.84</v>
      </c>
      <c r="F3" s="13">
        <v>31415.599999999999</v>
      </c>
      <c r="K3"/>
    </row>
    <row r="4" spans="2:11" ht="15.75" x14ac:dyDescent="0.25">
      <c r="B4" s="14">
        <v>42520</v>
      </c>
      <c r="C4" s="15">
        <v>18442</v>
      </c>
      <c r="D4" s="16" t="s">
        <v>20</v>
      </c>
      <c r="E4" s="17">
        <f>443.2+15.1</f>
        <v>458.3</v>
      </c>
      <c r="F4" s="13">
        <v>16257.2</v>
      </c>
      <c r="K4"/>
    </row>
    <row r="5" spans="2:11" ht="15.75" x14ac:dyDescent="0.25">
      <c r="B5" s="14">
        <v>42520</v>
      </c>
      <c r="C5" s="15">
        <v>18443</v>
      </c>
      <c r="D5" s="16" t="s">
        <v>153</v>
      </c>
      <c r="E5" s="17">
        <v>282.39999999999998</v>
      </c>
      <c r="F5" s="13">
        <v>10166.4</v>
      </c>
      <c r="K5"/>
    </row>
    <row r="6" spans="2:11" ht="15.75" x14ac:dyDescent="0.25">
      <c r="B6" s="14">
        <v>42520</v>
      </c>
      <c r="C6" s="47">
        <v>18444</v>
      </c>
      <c r="D6" s="16" t="s">
        <v>7</v>
      </c>
      <c r="E6" s="56">
        <f>97+32.7</f>
        <v>129.69999999999999</v>
      </c>
      <c r="F6" s="13">
        <v>5061.6000000000004</v>
      </c>
      <c r="G6" t="s">
        <v>233</v>
      </c>
      <c r="K6" s="3">
        <f t="shared" ref="K6:K17" si="0">J6*I6</f>
        <v>0</v>
      </c>
    </row>
    <row r="7" spans="2:11" ht="15.75" x14ac:dyDescent="0.25">
      <c r="B7" s="14">
        <v>42520</v>
      </c>
      <c r="C7" s="15">
        <v>18445</v>
      </c>
      <c r="D7" s="16" t="s">
        <v>14</v>
      </c>
      <c r="E7" s="17">
        <v>190.4</v>
      </c>
      <c r="F7" s="13">
        <v>8377.6</v>
      </c>
      <c r="K7" s="3">
        <f t="shared" si="0"/>
        <v>0</v>
      </c>
    </row>
    <row r="8" spans="2:11" ht="15.75" x14ac:dyDescent="0.25">
      <c r="B8" s="14">
        <v>42520</v>
      </c>
      <c r="C8" s="15">
        <v>18446</v>
      </c>
      <c r="D8" s="16" t="s">
        <v>9</v>
      </c>
      <c r="E8" s="17">
        <v>443.8</v>
      </c>
      <c r="F8" s="13">
        <v>19527.2</v>
      </c>
      <c r="K8" s="3">
        <f t="shared" si="0"/>
        <v>0</v>
      </c>
    </row>
    <row r="9" spans="2:11" ht="15.75" x14ac:dyDescent="0.25">
      <c r="B9" s="14">
        <v>42520</v>
      </c>
      <c r="C9" s="15">
        <v>18447</v>
      </c>
      <c r="D9" s="16" t="s">
        <v>10</v>
      </c>
      <c r="E9" s="17">
        <v>74.2</v>
      </c>
      <c r="F9" s="13">
        <v>3561.6</v>
      </c>
      <c r="K9" s="3">
        <f t="shared" si="0"/>
        <v>0</v>
      </c>
    </row>
    <row r="10" spans="2:11" ht="15.75" x14ac:dyDescent="0.25">
      <c r="B10" s="14">
        <v>42520</v>
      </c>
      <c r="C10" s="15">
        <v>18470</v>
      </c>
      <c r="D10" s="16" t="s">
        <v>6</v>
      </c>
      <c r="E10" s="17">
        <v>90.7</v>
      </c>
      <c r="F10" s="13">
        <v>3265.2</v>
      </c>
      <c r="K10" s="3">
        <f t="shared" si="0"/>
        <v>0</v>
      </c>
    </row>
    <row r="11" spans="2:11" ht="15.75" x14ac:dyDescent="0.25">
      <c r="B11" s="14">
        <v>42521</v>
      </c>
      <c r="C11" s="15">
        <v>18578</v>
      </c>
      <c r="D11" s="16" t="s">
        <v>7</v>
      </c>
      <c r="E11" s="17">
        <v>74.900000000000006</v>
      </c>
      <c r="F11" s="13">
        <v>2696.4</v>
      </c>
      <c r="K11" s="3">
        <f t="shared" si="0"/>
        <v>0</v>
      </c>
    </row>
    <row r="12" spans="2:11" ht="15.75" x14ac:dyDescent="0.25">
      <c r="B12" s="14">
        <v>42521</v>
      </c>
      <c r="C12" s="44">
        <v>18579</v>
      </c>
      <c r="D12" s="16" t="s">
        <v>9</v>
      </c>
      <c r="E12" s="17">
        <v>365</v>
      </c>
      <c r="F12" s="13">
        <v>16060</v>
      </c>
      <c r="K12" s="3">
        <f t="shared" si="0"/>
        <v>0</v>
      </c>
    </row>
    <row r="13" spans="2:11" ht="15.75" x14ac:dyDescent="0.25">
      <c r="B13" s="14">
        <v>42521</v>
      </c>
      <c r="C13" s="15">
        <v>18580</v>
      </c>
      <c r="D13" s="16" t="s">
        <v>14</v>
      </c>
      <c r="E13" s="17">
        <v>97.8</v>
      </c>
      <c r="F13" s="13">
        <v>3520.8</v>
      </c>
      <c r="K13" s="3">
        <f t="shared" si="0"/>
        <v>0</v>
      </c>
    </row>
    <row r="14" spans="2:11" ht="15.75" x14ac:dyDescent="0.25">
      <c r="B14" s="14">
        <v>42521</v>
      </c>
      <c r="C14" s="15">
        <v>18583</v>
      </c>
      <c r="D14" s="16" t="s">
        <v>20</v>
      </c>
      <c r="E14" s="17">
        <f>394.2</f>
        <v>394.2</v>
      </c>
      <c r="F14" s="13">
        <v>14191.2</v>
      </c>
      <c r="K14" s="3">
        <f t="shared" si="0"/>
        <v>0</v>
      </c>
    </row>
    <row r="15" spans="2:11" ht="15.75" x14ac:dyDescent="0.25">
      <c r="B15" s="14">
        <v>42521</v>
      </c>
      <c r="C15" s="15">
        <v>18585</v>
      </c>
      <c r="D15" s="16" t="s">
        <v>10</v>
      </c>
      <c r="E15" s="17">
        <f>60.8+33.5+125</f>
        <v>219.3</v>
      </c>
      <c r="F15" s="13">
        <v>7905.4</v>
      </c>
      <c r="K15" s="3">
        <f t="shared" si="0"/>
        <v>0</v>
      </c>
    </row>
    <row r="16" spans="2:11" ht="15.75" x14ac:dyDescent="0.25">
      <c r="B16" s="14">
        <v>42521</v>
      </c>
      <c r="C16" s="15">
        <v>18586</v>
      </c>
      <c r="D16" s="16" t="s">
        <v>11</v>
      </c>
      <c r="E16" s="17">
        <f>23.2+175.6+52.7</f>
        <v>251.5</v>
      </c>
      <c r="F16" s="13">
        <v>9431.7999999999993</v>
      </c>
      <c r="K16" s="3">
        <f t="shared" si="0"/>
        <v>0</v>
      </c>
    </row>
    <row r="17" spans="1:13" ht="15.75" x14ac:dyDescent="0.25">
      <c r="B17" s="14">
        <v>42522</v>
      </c>
      <c r="C17" s="15">
        <v>18701</v>
      </c>
      <c r="D17" s="16" t="s">
        <v>20</v>
      </c>
      <c r="E17" s="17">
        <v>413.3</v>
      </c>
      <c r="F17" s="13">
        <v>14878.8</v>
      </c>
      <c r="K17" s="3">
        <f t="shared" si="0"/>
        <v>0</v>
      </c>
    </row>
    <row r="18" spans="1:13" ht="15.75" x14ac:dyDescent="0.25">
      <c r="B18" s="14">
        <v>42522</v>
      </c>
      <c r="C18" s="15">
        <v>18703</v>
      </c>
      <c r="D18" s="16" t="s">
        <v>9</v>
      </c>
      <c r="E18" s="17">
        <v>400.7</v>
      </c>
      <c r="F18" s="13">
        <v>14425.2</v>
      </c>
      <c r="I18" s="3">
        <f>SUM(I6:I17)</f>
        <v>0</v>
      </c>
      <c r="J18" s="3"/>
      <c r="K18" s="3">
        <f>SUM(K6:K17)</f>
        <v>0</v>
      </c>
    </row>
    <row r="19" spans="1:13" ht="15.75" x14ac:dyDescent="0.25">
      <c r="B19" s="14">
        <v>42522</v>
      </c>
      <c r="C19" s="15">
        <v>18707</v>
      </c>
      <c r="D19" s="16" t="s">
        <v>6</v>
      </c>
      <c r="E19" s="17">
        <f>13.7+6.5+9.1+37.2</f>
        <v>66.5</v>
      </c>
      <c r="F19" s="13">
        <v>2741.2</v>
      </c>
    </row>
    <row r="20" spans="1:13" ht="15.75" x14ac:dyDescent="0.25">
      <c r="B20" s="14">
        <v>42522</v>
      </c>
      <c r="C20" s="15">
        <v>18708</v>
      </c>
      <c r="D20" s="16" t="s">
        <v>11</v>
      </c>
      <c r="E20" s="17">
        <f>11.5+87</f>
        <v>98.5</v>
      </c>
      <c r="F20" s="13">
        <v>3748</v>
      </c>
    </row>
    <row r="21" spans="1:13" ht="15.75" x14ac:dyDescent="0.25">
      <c r="A21" s="18"/>
      <c r="B21" s="14">
        <v>42522</v>
      </c>
      <c r="C21" s="15">
        <v>18709</v>
      </c>
      <c r="D21" s="16" t="s">
        <v>10</v>
      </c>
      <c r="E21" s="17">
        <v>56.8</v>
      </c>
      <c r="F21" s="13">
        <v>2726.4</v>
      </c>
    </row>
    <row r="22" spans="1:13" ht="15.75" x14ac:dyDescent="0.25">
      <c r="B22" s="14">
        <v>42522</v>
      </c>
      <c r="C22" s="15">
        <v>18710</v>
      </c>
      <c r="D22" s="16" t="s">
        <v>153</v>
      </c>
      <c r="E22" s="17">
        <v>36.799999999999997</v>
      </c>
      <c r="F22" s="13">
        <v>1766.4</v>
      </c>
      <c r="I22" s="48"/>
      <c r="J22" s="49"/>
      <c r="K22" s="50"/>
      <c r="L22" s="51"/>
      <c r="M22" s="52"/>
    </row>
    <row r="23" spans="1:13" ht="15.75" x14ac:dyDescent="0.25">
      <c r="B23" s="14">
        <v>42522</v>
      </c>
      <c r="C23" s="15">
        <v>18712</v>
      </c>
      <c r="D23" s="16" t="s">
        <v>7</v>
      </c>
      <c r="E23" s="17">
        <f>157.8+73.1</f>
        <v>230.9</v>
      </c>
      <c r="F23" s="13">
        <v>8324</v>
      </c>
      <c r="I23" s="31"/>
      <c r="J23" s="31"/>
      <c r="K23" s="53"/>
      <c r="L23" s="31"/>
      <c r="M23" s="31"/>
    </row>
    <row r="24" spans="1:13" ht="15.75" x14ac:dyDescent="0.25">
      <c r="B24" s="14">
        <v>42522</v>
      </c>
      <c r="C24" s="15">
        <v>18714</v>
      </c>
      <c r="D24" s="16" t="s">
        <v>6</v>
      </c>
      <c r="E24" s="17">
        <v>81.599999999999994</v>
      </c>
      <c r="F24" s="13">
        <v>3019.2</v>
      </c>
    </row>
    <row r="25" spans="1:13" x14ac:dyDescent="0.25">
      <c r="B25" s="14">
        <v>42523</v>
      </c>
      <c r="C25" s="19">
        <v>18830</v>
      </c>
      <c r="D25" s="16" t="s">
        <v>13</v>
      </c>
      <c r="E25" s="17">
        <v>262.60000000000002</v>
      </c>
      <c r="F25" s="13">
        <v>9453.6</v>
      </c>
    </row>
    <row r="26" spans="1:13" x14ac:dyDescent="0.25">
      <c r="B26" s="14">
        <v>42523</v>
      </c>
      <c r="C26" s="19">
        <v>18831</v>
      </c>
      <c r="D26" s="16" t="s">
        <v>14</v>
      </c>
      <c r="E26" s="17">
        <v>468.8</v>
      </c>
      <c r="F26" s="13">
        <v>16876.599999999999</v>
      </c>
    </row>
    <row r="27" spans="1:13" x14ac:dyDescent="0.25">
      <c r="B27" s="14">
        <v>42523</v>
      </c>
      <c r="C27" s="19">
        <v>18832</v>
      </c>
      <c r="D27" s="16" t="s">
        <v>20</v>
      </c>
      <c r="E27" s="17">
        <v>467.9</v>
      </c>
      <c r="F27" s="13">
        <v>16844.400000000001</v>
      </c>
    </row>
    <row r="28" spans="1:13" x14ac:dyDescent="0.25">
      <c r="B28" s="14">
        <v>42523</v>
      </c>
      <c r="C28" s="19">
        <v>18840</v>
      </c>
      <c r="D28" s="16" t="s">
        <v>12</v>
      </c>
      <c r="E28" s="17">
        <f>338.2+195.3+55.8</f>
        <v>589.29999999999995</v>
      </c>
      <c r="F28" s="13">
        <v>21487</v>
      </c>
    </row>
    <row r="29" spans="1:13" x14ac:dyDescent="0.25">
      <c r="B29" s="14">
        <v>42523</v>
      </c>
      <c r="C29" s="19">
        <v>18841</v>
      </c>
      <c r="D29" s="16" t="s">
        <v>192</v>
      </c>
      <c r="E29" s="17">
        <f>13.6+62+67.6</f>
        <v>143.19999999999999</v>
      </c>
      <c r="F29" s="13">
        <v>3650.8</v>
      </c>
    </row>
    <row r="30" spans="1:13" x14ac:dyDescent="0.25">
      <c r="B30" s="14">
        <v>42523</v>
      </c>
      <c r="C30" s="19">
        <v>18844</v>
      </c>
      <c r="D30" s="16" t="s">
        <v>7</v>
      </c>
      <c r="E30" s="17">
        <f>2+27.24+89</f>
        <v>118.24</v>
      </c>
      <c r="F30" s="13">
        <v>4745.32</v>
      </c>
    </row>
    <row r="31" spans="1:13" x14ac:dyDescent="0.25">
      <c r="B31" s="14">
        <v>42523</v>
      </c>
      <c r="C31" s="19">
        <v>18845</v>
      </c>
      <c r="D31" s="16" t="s">
        <v>153</v>
      </c>
      <c r="E31" s="17">
        <v>96</v>
      </c>
      <c r="F31" s="13">
        <v>3456</v>
      </c>
    </row>
    <row r="32" spans="1:13" x14ac:dyDescent="0.25">
      <c r="B32" s="14">
        <v>42523</v>
      </c>
      <c r="C32" s="19">
        <v>18846</v>
      </c>
      <c r="D32" s="16" t="s">
        <v>11</v>
      </c>
      <c r="E32" s="17">
        <v>55.4</v>
      </c>
      <c r="F32" s="13">
        <v>2493</v>
      </c>
      <c r="K32" s="3">
        <f t="shared" ref="K32:K59" si="1">J32*I32</f>
        <v>0</v>
      </c>
    </row>
    <row r="33" spans="2:11" x14ac:dyDescent="0.25">
      <c r="B33" s="14">
        <v>42523</v>
      </c>
      <c r="C33" s="19">
        <v>18847</v>
      </c>
      <c r="D33" s="16" t="s">
        <v>10</v>
      </c>
      <c r="E33" s="17">
        <f>114.2+24.7</f>
        <v>138.9</v>
      </c>
      <c r="F33" s="13">
        <v>4278</v>
      </c>
      <c r="K33" s="3">
        <f t="shared" si="1"/>
        <v>0</v>
      </c>
    </row>
    <row r="34" spans="2:11" x14ac:dyDescent="0.25">
      <c r="B34" s="14">
        <v>42524</v>
      </c>
      <c r="C34" s="19">
        <v>18993</v>
      </c>
      <c r="D34" s="16" t="s">
        <v>6</v>
      </c>
      <c r="E34" s="17">
        <f>32.6+12+189.4+95.8+70.2</f>
        <v>400</v>
      </c>
      <c r="F34" s="13">
        <v>15992.8</v>
      </c>
      <c r="K34" s="3">
        <f t="shared" si="1"/>
        <v>0</v>
      </c>
    </row>
    <row r="35" spans="2:11" x14ac:dyDescent="0.25">
      <c r="B35" s="14">
        <v>42524</v>
      </c>
      <c r="C35" s="19">
        <v>18997</v>
      </c>
      <c r="D35" s="16" t="s">
        <v>20</v>
      </c>
      <c r="E35" s="17">
        <f>55.6+2+46.8+481+202</f>
        <v>787.4</v>
      </c>
      <c r="F35" s="13">
        <v>30800.2</v>
      </c>
      <c r="K35" s="3">
        <f t="shared" si="1"/>
        <v>0</v>
      </c>
    </row>
    <row r="36" spans="2:11" x14ac:dyDescent="0.25">
      <c r="B36" s="14">
        <v>42524</v>
      </c>
      <c r="C36" s="19">
        <v>18998</v>
      </c>
      <c r="D36" s="16" t="s">
        <v>12</v>
      </c>
      <c r="E36" s="17">
        <f>172+266</f>
        <v>438</v>
      </c>
      <c r="F36" s="13">
        <v>15510</v>
      </c>
      <c r="K36" s="3">
        <f t="shared" si="1"/>
        <v>0</v>
      </c>
    </row>
    <row r="37" spans="2:11" x14ac:dyDescent="0.25">
      <c r="B37" s="14">
        <v>42524</v>
      </c>
      <c r="C37" s="19">
        <v>18999</v>
      </c>
      <c r="D37" s="16" t="s">
        <v>9</v>
      </c>
      <c r="E37" s="17">
        <f>136.5+80.7</f>
        <v>217.2</v>
      </c>
      <c r="F37" s="13">
        <v>6323.25</v>
      </c>
      <c r="K37" s="3">
        <f t="shared" si="1"/>
        <v>0</v>
      </c>
    </row>
    <row r="38" spans="2:11" x14ac:dyDescent="0.25">
      <c r="B38" s="14">
        <v>42524</v>
      </c>
      <c r="C38" s="19">
        <v>19000</v>
      </c>
      <c r="D38" s="16" t="s">
        <v>6</v>
      </c>
      <c r="E38" s="17">
        <v>69</v>
      </c>
      <c r="F38" s="13">
        <v>3174</v>
      </c>
      <c r="K38" s="3">
        <f t="shared" si="1"/>
        <v>0</v>
      </c>
    </row>
    <row r="39" spans="2:11" x14ac:dyDescent="0.25">
      <c r="B39" s="14">
        <v>42524</v>
      </c>
      <c r="C39" s="19">
        <v>19001</v>
      </c>
      <c r="D39" s="16" t="s">
        <v>192</v>
      </c>
      <c r="E39" s="17">
        <f>13.6+34.9+31.9</f>
        <v>80.400000000000006</v>
      </c>
      <c r="F39" s="13">
        <v>2103.6999999999998</v>
      </c>
      <c r="K39" s="3">
        <f t="shared" si="1"/>
        <v>0</v>
      </c>
    </row>
    <row r="40" spans="2:11" x14ac:dyDescent="0.25">
      <c r="B40" s="14">
        <v>42524</v>
      </c>
      <c r="C40" s="19">
        <v>19002</v>
      </c>
      <c r="D40" s="16" t="s">
        <v>7</v>
      </c>
      <c r="E40" s="17">
        <f>33.1+1</f>
        <v>34.1</v>
      </c>
      <c r="F40" s="13">
        <v>813.9</v>
      </c>
      <c r="K40" s="3">
        <f t="shared" si="1"/>
        <v>0</v>
      </c>
    </row>
    <row r="41" spans="2:11" x14ac:dyDescent="0.25">
      <c r="B41" s="14">
        <v>42524</v>
      </c>
      <c r="C41" s="19">
        <v>19003</v>
      </c>
      <c r="D41" s="16" t="s">
        <v>153</v>
      </c>
      <c r="E41" s="17">
        <f>268.4</f>
        <v>268.39999999999998</v>
      </c>
      <c r="F41" s="13">
        <v>9662.4</v>
      </c>
      <c r="K41" s="3">
        <f t="shared" si="1"/>
        <v>0</v>
      </c>
    </row>
    <row r="42" spans="2:11" x14ac:dyDescent="0.25">
      <c r="B42" s="14">
        <v>42524</v>
      </c>
      <c r="C42" s="19">
        <v>19004</v>
      </c>
      <c r="D42" s="16" t="s">
        <v>11</v>
      </c>
      <c r="E42" s="17">
        <v>132.80000000000001</v>
      </c>
      <c r="F42" s="13">
        <v>6108.8</v>
      </c>
      <c r="K42" s="3">
        <f t="shared" si="1"/>
        <v>0</v>
      </c>
    </row>
    <row r="43" spans="2:11" x14ac:dyDescent="0.25">
      <c r="B43" s="14">
        <v>42524</v>
      </c>
      <c r="C43" s="19">
        <v>19005</v>
      </c>
      <c r="D43" s="16" t="s">
        <v>14</v>
      </c>
      <c r="E43" s="17">
        <v>79.8</v>
      </c>
      <c r="F43" s="13">
        <v>2872.8</v>
      </c>
      <c r="K43" s="3">
        <f t="shared" si="1"/>
        <v>0</v>
      </c>
    </row>
    <row r="44" spans="2:11" x14ac:dyDescent="0.25">
      <c r="B44" s="14">
        <v>42524</v>
      </c>
      <c r="C44" s="19">
        <v>19006</v>
      </c>
      <c r="D44" s="16" t="s">
        <v>10</v>
      </c>
      <c r="E44" s="17">
        <f>140+27.24+32.2+54.9</f>
        <v>254.34</v>
      </c>
      <c r="F44" s="13">
        <v>10440.57</v>
      </c>
      <c r="K44" s="3">
        <f t="shared" si="1"/>
        <v>0</v>
      </c>
    </row>
    <row r="45" spans="2:11" x14ac:dyDescent="0.25">
      <c r="B45" s="14">
        <v>42524</v>
      </c>
      <c r="C45" s="19">
        <v>19007</v>
      </c>
      <c r="D45" s="16" t="s">
        <v>6</v>
      </c>
      <c r="E45" s="17">
        <v>1</v>
      </c>
      <c r="F45" s="13">
        <v>185</v>
      </c>
      <c r="K45" s="3">
        <f t="shared" si="1"/>
        <v>0</v>
      </c>
    </row>
    <row r="46" spans="2:11" x14ac:dyDescent="0.25">
      <c r="B46" s="14">
        <v>42525</v>
      </c>
      <c r="C46" s="19">
        <v>19153</v>
      </c>
      <c r="D46" s="16" t="s">
        <v>13</v>
      </c>
      <c r="E46" s="17">
        <v>414.6</v>
      </c>
      <c r="F46" s="13">
        <v>15340.2</v>
      </c>
      <c r="K46" s="3">
        <f t="shared" si="1"/>
        <v>0</v>
      </c>
    </row>
    <row r="47" spans="2:11" x14ac:dyDescent="0.25">
      <c r="B47" s="14">
        <v>42525</v>
      </c>
      <c r="C47" s="19">
        <v>19154</v>
      </c>
      <c r="D47" s="16" t="s">
        <v>20</v>
      </c>
      <c r="E47" s="17">
        <v>864</v>
      </c>
      <c r="F47" s="13">
        <v>31104</v>
      </c>
      <c r="K47" s="3">
        <f t="shared" si="1"/>
        <v>0</v>
      </c>
    </row>
    <row r="48" spans="2:11" x14ac:dyDescent="0.25">
      <c r="B48" s="14">
        <v>42525</v>
      </c>
      <c r="C48" s="19">
        <v>19155</v>
      </c>
      <c r="D48" s="16" t="s">
        <v>14</v>
      </c>
      <c r="E48" s="17">
        <v>393.8</v>
      </c>
      <c r="F48" s="13">
        <v>14570.6</v>
      </c>
      <c r="K48" s="3">
        <f t="shared" si="1"/>
        <v>0</v>
      </c>
    </row>
    <row r="49" spans="2:13" x14ac:dyDescent="0.25">
      <c r="B49" s="14">
        <v>42525</v>
      </c>
      <c r="C49" s="19">
        <v>19157</v>
      </c>
      <c r="D49" s="16" t="s">
        <v>14</v>
      </c>
      <c r="E49" s="17">
        <v>207.8</v>
      </c>
      <c r="F49" s="13">
        <v>9351</v>
      </c>
    </row>
    <row r="50" spans="2:13" x14ac:dyDescent="0.25">
      <c r="B50" s="14">
        <v>42525</v>
      </c>
      <c r="C50" s="19">
        <v>19158</v>
      </c>
      <c r="D50" s="16" t="s">
        <v>12</v>
      </c>
      <c r="E50" s="17">
        <f>407.4+16.9+27.24+69.8+288.2+339.1</f>
        <v>1148.6399999999999</v>
      </c>
      <c r="F50" s="13">
        <v>44474.42</v>
      </c>
    </row>
    <row r="51" spans="2:13" x14ac:dyDescent="0.25">
      <c r="B51" s="14">
        <v>42525</v>
      </c>
      <c r="C51" s="19">
        <v>19159</v>
      </c>
      <c r="D51" s="16" t="s">
        <v>192</v>
      </c>
      <c r="E51" s="17">
        <f>934.4+26.2</f>
        <v>960.6</v>
      </c>
      <c r="F51" s="13">
        <v>31826.400000000001</v>
      </c>
    </row>
    <row r="52" spans="2:13" x14ac:dyDescent="0.25">
      <c r="B52" s="14">
        <v>42525</v>
      </c>
      <c r="C52" s="19">
        <v>19160</v>
      </c>
      <c r="D52" s="16" t="s">
        <v>11</v>
      </c>
      <c r="E52" s="17">
        <f>13.5+189.8+147</f>
        <v>350.3</v>
      </c>
      <c r="F52" s="13">
        <v>13744.8</v>
      </c>
    </row>
    <row r="53" spans="2:13" x14ac:dyDescent="0.25">
      <c r="B53" s="14">
        <v>42525</v>
      </c>
      <c r="C53" s="19">
        <v>19161</v>
      </c>
      <c r="D53" s="16" t="s">
        <v>7</v>
      </c>
      <c r="E53" s="17">
        <v>8.8000000000000007</v>
      </c>
      <c r="F53" s="13">
        <v>193.6</v>
      </c>
    </row>
    <row r="54" spans="2:13" x14ac:dyDescent="0.25">
      <c r="B54" s="14">
        <v>42525</v>
      </c>
      <c r="C54" s="19">
        <v>19163</v>
      </c>
      <c r="D54" s="16" t="s">
        <v>9</v>
      </c>
      <c r="E54" s="17">
        <v>159</v>
      </c>
      <c r="F54" s="13">
        <v>3180</v>
      </c>
    </row>
    <row r="55" spans="2:13" x14ac:dyDescent="0.25">
      <c r="B55" s="14">
        <v>42525</v>
      </c>
      <c r="C55" s="19">
        <v>19164</v>
      </c>
      <c r="D55" s="16" t="s">
        <v>20</v>
      </c>
      <c r="E55" s="17">
        <v>100.4</v>
      </c>
      <c r="F55" s="13">
        <v>3463.8</v>
      </c>
    </row>
    <row r="56" spans="2:13" x14ac:dyDescent="0.25">
      <c r="B56" s="14">
        <v>42525</v>
      </c>
      <c r="C56" s="19">
        <v>19171</v>
      </c>
      <c r="D56" s="16" t="s">
        <v>192</v>
      </c>
      <c r="E56" s="17">
        <v>96.3</v>
      </c>
      <c r="F56" s="13">
        <v>4526.1000000000004</v>
      </c>
    </row>
    <row r="57" spans="2:13" x14ac:dyDescent="0.25">
      <c r="B57" s="14">
        <v>42525</v>
      </c>
      <c r="C57" s="19">
        <v>19180</v>
      </c>
      <c r="D57" s="16" t="s">
        <v>7</v>
      </c>
      <c r="E57" s="17">
        <v>38.1</v>
      </c>
      <c r="F57" s="13">
        <v>1866.9</v>
      </c>
    </row>
    <row r="58" spans="2:13" ht="15.75" thickBot="1" x14ac:dyDescent="0.3">
      <c r="B58" s="14">
        <v>42525</v>
      </c>
      <c r="C58" s="19">
        <v>19183</v>
      </c>
      <c r="D58" s="16" t="s">
        <v>10</v>
      </c>
      <c r="E58" s="17">
        <f>234.6+258.8+5+20.5+27.24</f>
        <v>546.14</v>
      </c>
      <c r="F58" s="13">
        <v>22971.32</v>
      </c>
    </row>
    <row r="59" spans="2:13" ht="15.75" thickBot="1" x14ac:dyDescent="0.3">
      <c r="B59" s="21" t="s">
        <v>233</v>
      </c>
      <c r="C59" s="22"/>
      <c r="D59" s="23"/>
      <c r="E59" s="24">
        <v>0</v>
      </c>
      <c r="F59" s="25">
        <f>SUM(F3:F58)</f>
        <v>586952.4800000001</v>
      </c>
      <c r="K59" s="3">
        <f t="shared" si="1"/>
        <v>0</v>
      </c>
    </row>
    <row r="60" spans="2:13" ht="19.5" thickBot="1" x14ac:dyDescent="0.35">
      <c r="B60" s="26"/>
      <c r="C60" s="27"/>
      <c r="D60" s="28" t="s">
        <v>5</v>
      </c>
      <c r="E60" s="29">
        <f>SUM(E3:E59)</f>
        <v>15821.399999999994</v>
      </c>
      <c r="I60" s="30">
        <f>SUM(I59:I59)</f>
        <v>0</v>
      </c>
      <c r="J60" s="30"/>
      <c r="K60" s="30">
        <f>SUM(K59:K59)</f>
        <v>0</v>
      </c>
    </row>
    <row r="61" spans="2:13" x14ac:dyDescent="0.25">
      <c r="B61" s="26"/>
      <c r="C61" s="27"/>
      <c r="D61" s="31"/>
      <c r="E61" s="32"/>
      <c r="I61" s="30">
        <f>SUM(I32:I60)</f>
        <v>0</v>
      </c>
      <c r="J61" s="30"/>
      <c r="K61" s="30">
        <f>SUM(K32:K60)</f>
        <v>0</v>
      </c>
    </row>
    <row r="62" spans="2:13" ht="21.75" thickBot="1" x14ac:dyDescent="0.4">
      <c r="B62" s="33"/>
      <c r="C62" s="34" t="s">
        <v>15</v>
      </c>
      <c r="D62" s="35">
        <f>E60*0.2</f>
        <v>3164.2799999999988</v>
      </c>
      <c r="F62"/>
      <c r="K62"/>
    </row>
    <row r="63" spans="2:13" ht="21.75" thickBot="1" x14ac:dyDescent="0.4">
      <c r="C63" s="36" t="s">
        <v>16</v>
      </c>
      <c r="D63" s="37">
        <v>3000</v>
      </c>
      <c r="E63" s="38"/>
      <c r="F63" s="85">
        <f>D62+D63</f>
        <v>6164.2799999999988</v>
      </c>
      <c r="G63" s="86"/>
      <c r="I63" s="39"/>
      <c r="J63" s="39"/>
      <c r="K63" s="39"/>
      <c r="L63" s="39"/>
      <c r="M63" s="39"/>
    </row>
    <row r="64" spans="2:13" ht="15.75" thickTop="1" x14ac:dyDescent="0.25">
      <c r="I64" s="39"/>
      <c r="J64" s="39"/>
      <c r="K64" s="40"/>
      <c r="L64" s="40"/>
      <c r="M64" s="40"/>
    </row>
    <row r="65" spans="3:13" ht="19.5" thickBot="1" x14ac:dyDescent="0.35">
      <c r="D65" s="55"/>
      <c r="E65" s="41" t="s">
        <v>311</v>
      </c>
      <c r="F65" s="87">
        <v>0</v>
      </c>
      <c r="G65" s="87"/>
      <c r="I65" s="39"/>
      <c r="J65" s="39"/>
      <c r="K65" s="40"/>
      <c r="L65" s="40"/>
      <c r="M65" s="40"/>
    </row>
    <row r="66" spans="3:13" ht="15.75" thickTop="1" x14ac:dyDescent="0.25">
      <c r="C66"/>
      <c r="F66" s="88">
        <f>F63+F65</f>
        <v>6164.2799999999988</v>
      </c>
      <c r="G66" s="88"/>
      <c r="I66" s="39"/>
      <c r="J66" s="39"/>
      <c r="K66" s="40"/>
      <c r="L66" s="40"/>
      <c r="M66" s="40"/>
    </row>
    <row r="67" spans="3:13" ht="18.75" x14ac:dyDescent="0.3">
      <c r="C67"/>
      <c r="E67" s="2" t="s">
        <v>18</v>
      </c>
      <c r="F67" s="89"/>
      <c r="G67" s="89"/>
      <c r="K67"/>
    </row>
  </sheetData>
  <mergeCells count="4">
    <mergeCell ref="B1:C1"/>
    <mergeCell ref="F63:G63"/>
    <mergeCell ref="F65:G65"/>
    <mergeCell ref="F66:G67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61"/>
  <sheetViews>
    <sheetView topLeftCell="A43" workbookViewId="0">
      <selection activeCell="A43" sqref="A1:XFD104857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42535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312</v>
      </c>
      <c r="G2" s="8"/>
      <c r="K2"/>
    </row>
    <row r="3" spans="2:11" ht="15.75" x14ac:dyDescent="0.25">
      <c r="B3" s="9">
        <v>42527</v>
      </c>
      <c r="C3" s="10">
        <v>19378</v>
      </c>
      <c r="D3" s="11" t="s">
        <v>20</v>
      </c>
      <c r="E3" s="12">
        <v>680.6</v>
      </c>
      <c r="F3" s="13">
        <v>24841.9</v>
      </c>
      <c r="K3"/>
    </row>
    <row r="4" spans="2:11" ht="15.75" x14ac:dyDescent="0.25">
      <c r="B4" s="14">
        <v>42527</v>
      </c>
      <c r="C4" s="15">
        <v>19379</v>
      </c>
      <c r="D4" s="16" t="s">
        <v>11</v>
      </c>
      <c r="E4" s="17">
        <f>11.6+97.9+53.4</f>
        <v>162.9</v>
      </c>
      <c r="F4" s="13">
        <v>7505</v>
      </c>
      <c r="K4"/>
    </row>
    <row r="5" spans="2:11" ht="15.75" x14ac:dyDescent="0.25">
      <c r="B5" s="14">
        <v>42527</v>
      </c>
      <c r="C5" s="15">
        <v>19380</v>
      </c>
      <c r="D5" s="16" t="s">
        <v>10</v>
      </c>
      <c r="E5" s="17">
        <f>105.58+119.2</f>
        <v>224.78</v>
      </c>
      <c r="F5" s="13">
        <v>9464.6200000000008</v>
      </c>
      <c r="K5"/>
    </row>
    <row r="6" spans="2:11" ht="15.75" x14ac:dyDescent="0.25">
      <c r="B6" s="14">
        <v>42527</v>
      </c>
      <c r="C6" s="47">
        <v>19381</v>
      </c>
      <c r="D6" s="16" t="s">
        <v>6</v>
      </c>
      <c r="E6" s="56">
        <v>78.2</v>
      </c>
      <c r="F6" s="13">
        <v>5161.2</v>
      </c>
      <c r="G6" t="s">
        <v>233</v>
      </c>
      <c r="K6" s="3">
        <f t="shared" ref="K6:K17" si="0">J6*I6</f>
        <v>0</v>
      </c>
    </row>
    <row r="7" spans="2:11" ht="15.75" x14ac:dyDescent="0.25">
      <c r="B7" s="14">
        <v>42527</v>
      </c>
      <c r="C7" s="15">
        <v>19382</v>
      </c>
      <c r="D7" s="16" t="s">
        <v>7</v>
      </c>
      <c r="E7" s="17">
        <v>160.80000000000001</v>
      </c>
      <c r="F7" s="13">
        <v>6030</v>
      </c>
      <c r="K7" s="3">
        <f t="shared" si="0"/>
        <v>0</v>
      </c>
    </row>
    <row r="8" spans="2:11" ht="15.75" x14ac:dyDescent="0.25">
      <c r="B8" s="14">
        <v>42527</v>
      </c>
      <c r="C8" s="15">
        <v>19383</v>
      </c>
      <c r="D8" s="16" t="s">
        <v>9</v>
      </c>
      <c r="E8" s="17">
        <f>300.3+173</f>
        <v>473.3</v>
      </c>
      <c r="F8" s="13">
        <v>19828</v>
      </c>
      <c r="K8" s="3">
        <f t="shared" si="0"/>
        <v>0</v>
      </c>
    </row>
    <row r="9" spans="2:11" ht="15.75" x14ac:dyDescent="0.25">
      <c r="B9" s="14">
        <v>42527</v>
      </c>
      <c r="C9" s="15">
        <v>19384</v>
      </c>
      <c r="D9" s="16" t="s">
        <v>8</v>
      </c>
      <c r="E9" s="17">
        <v>59.6</v>
      </c>
      <c r="F9" s="13">
        <v>1192</v>
      </c>
      <c r="K9" s="3">
        <f t="shared" si="0"/>
        <v>0</v>
      </c>
    </row>
    <row r="10" spans="2:11" ht="15.75" x14ac:dyDescent="0.25">
      <c r="B10" s="14">
        <v>42527</v>
      </c>
      <c r="C10" s="15">
        <v>19385</v>
      </c>
      <c r="D10" s="16" t="s">
        <v>10</v>
      </c>
      <c r="E10" s="17">
        <v>27.24</v>
      </c>
      <c r="F10" s="13">
        <v>1171.32</v>
      </c>
      <c r="K10" s="3">
        <f t="shared" si="0"/>
        <v>0</v>
      </c>
    </row>
    <row r="11" spans="2:11" ht="15.75" x14ac:dyDescent="0.25">
      <c r="B11" s="14">
        <v>42528</v>
      </c>
      <c r="C11" s="15">
        <v>19495</v>
      </c>
      <c r="D11" s="16" t="s">
        <v>7</v>
      </c>
      <c r="E11" s="17">
        <f>78.6+33</f>
        <v>111.6</v>
      </c>
      <c r="F11" s="13">
        <v>4564.5</v>
      </c>
      <c r="K11" s="3">
        <f t="shared" si="0"/>
        <v>0</v>
      </c>
    </row>
    <row r="12" spans="2:11" ht="15.75" x14ac:dyDescent="0.25">
      <c r="B12" s="14">
        <v>42528</v>
      </c>
      <c r="C12" s="44">
        <v>19496</v>
      </c>
      <c r="D12" s="16" t="s">
        <v>20</v>
      </c>
      <c r="E12" s="17">
        <v>459.4</v>
      </c>
      <c r="F12" s="13">
        <v>16768.099999999999</v>
      </c>
      <c r="K12" s="3">
        <f t="shared" si="0"/>
        <v>0</v>
      </c>
    </row>
    <row r="13" spans="2:11" ht="15.75" x14ac:dyDescent="0.25">
      <c r="B13" s="14">
        <v>42528</v>
      </c>
      <c r="C13" s="15">
        <v>19497</v>
      </c>
      <c r="D13" s="16" t="s">
        <v>6</v>
      </c>
      <c r="E13" s="17">
        <v>196</v>
      </c>
      <c r="F13" s="13">
        <v>7154</v>
      </c>
      <c r="K13" s="3">
        <f t="shared" si="0"/>
        <v>0</v>
      </c>
    </row>
    <row r="14" spans="2:11" ht="15.75" x14ac:dyDescent="0.25">
      <c r="B14" s="14">
        <v>42528</v>
      </c>
      <c r="C14" s="15">
        <v>19498</v>
      </c>
      <c r="D14" s="16" t="s">
        <v>153</v>
      </c>
      <c r="E14" s="17">
        <v>268.39999999999998</v>
      </c>
      <c r="F14" s="13">
        <v>9796.6</v>
      </c>
      <c r="K14" s="3">
        <f t="shared" si="0"/>
        <v>0</v>
      </c>
    </row>
    <row r="15" spans="2:11" ht="15.75" x14ac:dyDescent="0.25">
      <c r="B15" s="14">
        <v>42528</v>
      </c>
      <c r="C15" s="15">
        <v>19499</v>
      </c>
      <c r="D15" s="16" t="s">
        <v>10</v>
      </c>
      <c r="E15" s="17">
        <f>16.8+20.8+72.4+61</f>
        <v>171</v>
      </c>
      <c r="F15" s="13">
        <v>6321.8</v>
      </c>
      <c r="K15" s="3">
        <f t="shared" si="0"/>
        <v>0</v>
      </c>
    </row>
    <row r="16" spans="2:11" ht="15.75" x14ac:dyDescent="0.25">
      <c r="B16" s="14">
        <v>42528</v>
      </c>
      <c r="C16" s="15">
        <v>19500</v>
      </c>
      <c r="D16" s="16" t="s">
        <v>20</v>
      </c>
      <c r="E16" s="17">
        <v>192.6</v>
      </c>
      <c r="F16" s="13">
        <v>8859.6</v>
      </c>
      <c r="K16" s="3">
        <f t="shared" si="0"/>
        <v>0</v>
      </c>
    </row>
    <row r="17" spans="1:13" ht="15.75" x14ac:dyDescent="0.25">
      <c r="B17" s="14">
        <v>42528</v>
      </c>
      <c r="C17" s="15">
        <v>19501</v>
      </c>
      <c r="D17" s="16" t="s">
        <v>8</v>
      </c>
      <c r="E17" s="17">
        <v>9.8000000000000007</v>
      </c>
      <c r="F17" s="13">
        <v>578.20000000000005</v>
      </c>
      <c r="K17" s="3">
        <f t="shared" si="0"/>
        <v>0</v>
      </c>
    </row>
    <row r="18" spans="1:13" ht="15.75" x14ac:dyDescent="0.25">
      <c r="B18" s="14">
        <v>42529</v>
      </c>
      <c r="C18" s="15">
        <v>19627</v>
      </c>
      <c r="D18" s="16" t="s">
        <v>11</v>
      </c>
      <c r="E18" s="17">
        <f>35.1+16.4+136.8</f>
        <v>188.3</v>
      </c>
      <c r="F18" s="13">
        <v>8303.2999999999993</v>
      </c>
      <c r="I18" s="3">
        <f>SUM(I6:I17)</f>
        <v>0</v>
      </c>
      <c r="J18" s="3"/>
      <c r="K18" s="3">
        <f>SUM(K6:K17)</f>
        <v>0</v>
      </c>
    </row>
    <row r="19" spans="1:13" ht="15.75" x14ac:dyDescent="0.25">
      <c r="B19" s="14">
        <v>42529</v>
      </c>
      <c r="C19" s="15">
        <v>19628</v>
      </c>
      <c r="D19" s="16" t="s">
        <v>313</v>
      </c>
      <c r="E19" s="17">
        <v>130.80000000000001</v>
      </c>
      <c r="F19" s="13">
        <v>6147.6</v>
      </c>
    </row>
    <row r="20" spans="1:13" ht="15.75" x14ac:dyDescent="0.25">
      <c r="B20" s="14">
        <v>42529</v>
      </c>
      <c r="C20" s="15">
        <v>19630</v>
      </c>
      <c r="D20" s="16" t="s">
        <v>7</v>
      </c>
      <c r="E20" s="17">
        <v>62.8</v>
      </c>
      <c r="F20" s="13">
        <v>2888.8</v>
      </c>
    </row>
    <row r="21" spans="1:13" ht="15.75" x14ac:dyDescent="0.25">
      <c r="A21" s="18"/>
      <c r="B21" s="14">
        <v>42529</v>
      </c>
      <c r="C21" s="15">
        <v>19631</v>
      </c>
      <c r="D21" s="16" t="s">
        <v>20</v>
      </c>
      <c r="E21" s="17">
        <f>48.6+315</f>
        <v>363.6</v>
      </c>
      <c r="F21" s="13">
        <v>15462</v>
      </c>
    </row>
    <row r="22" spans="1:13" ht="15.75" x14ac:dyDescent="0.25">
      <c r="B22" s="14">
        <v>42529</v>
      </c>
      <c r="C22" s="15">
        <v>19632</v>
      </c>
      <c r="D22" s="16" t="s">
        <v>153</v>
      </c>
      <c r="E22" s="17">
        <v>58.2</v>
      </c>
      <c r="F22" s="13">
        <v>2677.2</v>
      </c>
      <c r="I22" s="48"/>
      <c r="J22" s="49"/>
      <c r="K22" s="50"/>
      <c r="L22" s="51"/>
      <c r="M22" s="52"/>
    </row>
    <row r="23" spans="1:13" ht="15.75" x14ac:dyDescent="0.25">
      <c r="B23" s="14">
        <v>42529</v>
      </c>
      <c r="C23" s="15">
        <v>19633</v>
      </c>
      <c r="D23" s="16" t="s">
        <v>10</v>
      </c>
      <c r="E23" s="17">
        <f>64.6+55.4</f>
        <v>120</v>
      </c>
      <c r="F23" s="13">
        <v>5159.8</v>
      </c>
      <c r="I23" s="31"/>
      <c r="J23" s="31"/>
      <c r="K23" s="53"/>
      <c r="L23" s="31"/>
      <c r="M23" s="31"/>
    </row>
    <row r="24" spans="1:13" ht="15.75" x14ac:dyDescent="0.25">
      <c r="B24" s="14">
        <v>42529</v>
      </c>
      <c r="C24" s="15">
        <v>19634</v>
      </c>
      <c r="D24" s="16" t="s">
        <v>6</v>
      </c>
      <c r="E24" s="17">
        <f>22.8+10.4</f>
        <v>33.200000000000003</v>
      </c>
      <c r="F24" s="13">
        <v>1571.2</v>
      </c>
    </row>
    <row r="25" spans="1:13" x14ac:dyDescent="0.25">
      <c r="B25" s="14">
        <v>42529</v>
      </c>
      <c r="C25" s="19">
        <v>19636</v>
      </c>
      <c r="D25" s="16" t="s">
        <v>153</v>
      </c>
      <c r="E25" s="17">
        <v>11.4</v>
      </c>
      <c r="F25" s="13">
        <v>410.4</v>
      </c>
    </row>
    <row r="26" spans="1:13" x14ac:dyDescent="0.25">
      <c r="B26" s="14">
        <v>42529</v>
      </c>
      <c r="C26" s="19">
        <v>19638</v>
      </c>
      <c r="D26" s="16" t="s">
        <v>286</v>
      </c>
      <c r="E26" s="17">
        <v>15.35</v>
      </c>
      <c r="F26" s="13">
        <v>642</v>
      </c>
    </row>
    <row r="27" spans="1:13" x14ac:dyDescent="0.25">
      <c r="B27" s="14">
        <v>42530</v>
      </c>
      <c r="C27" s="19">
        <v>19756</v>
      </c>
      <c r="D27" s="16" t="s">
        <v>6</v>
      </c>
      <c r="E27" s="17">
        <f>95+174.7+21.1+7+12.4+30+59.9</f>
        <v>400.09999999999997</v>
      </c>
      <c r="F27" s="13">
        <v>15030.85</v>
      </c>
    </row>
    <row r="28" spans="1:13" x14ac:dyDescent="0.25">
      <c r="B28" s="14">
        <v>42530</v>
      </c>
      <c r="C28" s="19">
        <v>19758</v>
      </c>
      <c r="D28" s="16" t="s">
        <v>11</v>
      </c>
      <c r="E28" s="17">
        <f>110+1</f>
        <v>111</v>
      </c>
      <c r="F28" s="13">
        <v>5355</v>
      </c>
    </row>
    <row r="29" spans="1:13" x14ac:dyDescent="0.25">
      <c r="B29" s="14">
        <v>42530</v>
      </c>
      <c r="C29" s="19">
        <v>19759</v>
      </c>
      <c r="D29" s="16" t="s">
        <v>20</v>
      </c>
      <c r="E29" s="17">
        <f>439.3+126.8</f>
        <v>566.1</v>
      </c>
      <c r="F29" s="13">
        <v>20662.650000000001</v>
      </c>
    </row>
    <row r="30" spans="1:13" x14ac:dyDescent="0.25">
      <c r="B30" s="14">
        <v>42530</v>
      </c>
      <c r="C30" s="19">
        <v>19760</v>
      </c>
      <c r="D30" s="16" t="s">
        <v>13</v>
      </c>
      <c r="E30" s="17">
        <v>169.9</v>
      </c>
      <c r="F30" s="13">
        <v>6201.35</v>
      </c>
    </row>
    <row r="31" spans="1:13" x14ac:dyDescent="0.25">
      <c r="B31" s="14">
        <v>42530</v>
      </c>
      <c r="C31" s="19">
        <v>16761</v>
      </c>
      <c r="D31" s="16" t="s">
        <v>8</v>
      </c>
      <c r="E31" s="17">
        <f>55.8+53+13.61+17.6+914.29</f>
        <v>1054.3</v>
      </c>
      <c r="F31" s="13">
        <v>35915.22</v>
      </c>
    </row>
    <row r="32" spans="1:13" x14ac:dyDescent="0.25">
      <c r="B32" s="14">
        <v>42530</v>
      </c>
      <c r="C32" s="19">
        <v>16762</v>
      </c>
      <c r="D32" s="16" t="s">
        <v>7</v>
      </c>
      <c r="E32" s="17">
        <v>78.2</v>
      </c>
      <c r="F32" s="13">
        <v>2854.3</v>
      </c>
      <c r="K32" s="3">
        <f t="shared" ref="K32:K53" si="1">J32*I32</f>
        <v>0</v>
      </c>
    </row>
    <row r="33" spans="2:11" x14ac:dyDescent="0.25">
      <c r="B33" s="14">
        <v>42531</v>
      </c>
      <c r="C33" s="19">
        <v>19892</v>
      </c>
      <c r="D33" s="16" t="s">
        <v>153</v>
      </c>
      <c r="E33" s="17">
        <v>271</v>
      </c>
      <c r="F33" s="13">
        <v>10027</v>
      </c>
      <c r="K33" s="3">
        <f t="shared" si="1"/>
        <v>0</v>
      </c>
    </row>
    <row r="34" spans="2:11" x14ac:dyDescent="0.25">
      <c r="B34" s="14">
        <v>42531</v>
      </c>
      <c r="C34" s="19">
        <v>19893</v>
      </c>
      <c r="D34" s="16" t="s">
        <v>8</v>
      </c>
      <c r="E34" s="17">
        <f>12.6+36.4+92.4</f>
        <v>141.4</v>
      </c>
      <c r="F34" s="13">
        <v>5882.8</v>
      </c>
      <c r="K34" s="3">
        <f t="shared" si="1"/>
        <v>0</v>
      </c>
    </row>
    <row r="35" spans="2:11" x14ac:dyDescent="0.25">
      <c r="B35" s="14">
        <v>42531</v>
      </c>
      <c r="C35" s="19">
        <v>19894</v>
      </c>
      <c r="D35" s="16" t="s">
        <v>14</v>
      </c>
      <c r="E35" s="17">
        <v>89.6</v>
      </c>
      <c r="F35" s="13">
        <v>3315.2</v>
      </c>
      <c r="K35" s="3">
        <f t="shared" si="1"/>
        <v>0</v>
      </c>
    </row>
    <row r="36" spans="2:11" x14ac:dyDescent="0.25">
      <c r="B36" s="14">
        <v>42531</v>
      </c>
      <c r="C36" s="19">
        <v>19895</v>
      </c>
      <c r="D36" s="16" t="s">
        <v>8</v>
      </c>
      <c r="E36" s="17">
        <v>115.9</v>
      </c>
      <c r="F36" s="13">
        <v>4230.3500000000004</v>
      </c>
      <c r="K36" s="3">
        <f t="shared" si="1"/>
        <v>0</v>
      </c>
    </row>
    <row r="37" spans="2:11" x14ac:dyDescent="0.25">
      <c r="B37" s="14">
        <v>42531</v>
      </c>
      <c r="C37" s="19">
        <v>19896</v>
      </c>
      <c r="D37" s="16" t="s">
        <v>8</v>
      </c>
      <c r="E37" s="17">
        <v>27.1</v>
      </c>
      <c r="F37" s="13">
        <v>514.9</v>
      </c>
      <c r="K37" s="3">
        <f t="shared" si="1"/>
        <v>0</v>
      </c>
    </row>
    <row r="38" spans="2:11" x14ac:dyDescent="0.25">
      <c r="B38" s="14">
        <v>42531</v>
      </c>
      <c r="C38" s="19">
        <v>19897</v>
      </c>
      <c r="D38" s="16" t="s">
        <v>20</v>
      </c>
      <c r="E38" s="17">
        <v>766.4</v>
      </c>
      <c r="F38" s="13">
        <v>28356.799999999999</v>
      </c>
      <c r="K38" s="3">
        <f t="shared" si="1"/>
        <v>0</v>
      </c>
    </row>
    <row r="39" spans="2:11" x14ac:dyDescent="0.25">
      <c r="B39" s="14">
        <v>42531</v>
      </c>
      <c r="C39" s="19">
        <v>19899</v>
      </c>
      <c r="D39" s="16" t="s">
        <v>9</v>
      </c>
      <c r="E39" s="17">
        <f>521.4+189.8</f>
        <v>711.2</v>
      </c>
      <c r="F39" s="13">
        <v>28022.6</v>
      </c>
      <c r="K39" s="3">
        <f t="shared" si="1"/>
        <v>0</v>
      </c>
    </row>
    <row r="40" spans="2:11" x14ac:dyDescent="0.25">
      <c r="B40" s="14">
        <v>42531</v>
      </c>
      <c r="C40" s="19">
        <v>19902</v>
      </c>
      <c r="D40" s="16" t="s">
        <v>11</v>
      </c>
      <c r="E40" s="17">
        <v>152.80000000000001</v>
      </c>
      <c r="F40" s="13">
        <v>6577.6</v>
      </c>
      <c r="K40" s="3">
        <f t="shared" si="1"/>
        <v>0</v>
      </c>
    </row>
    <row r="41" spans="2:11" x14ac:dyDescent="0.25">
      <c r="B41" s="14">
        <v>42531</v>
      </c>
      <c r="C41" s="19">
        <v>19903</v>
      </c>
      <c r="D41" s="16" t="s">
        <v>12</v>
      </c>
      <c r="E41" s="17">
        <v>943.5</v>
      </c>
      <c r="F41" s="13">
        <v>33494.25</v>
      </c>
      <c r="K41" s="3">
        <f t="shared" si="1"/>
        <v>0</v>
      </c>
    </row>
    <row r="42" spans="2:11" x14ac:dyDescent="0.25">
      <c r="B42" s="14">
        <v>42531</v>
      </c>
      <c r="C42" s="19">
        <v>19904</v>
      </c>
      <c r="D42" s="16" t="s">
        <v>314</v>
      </c>
      <c r="E42" s="17">
        <f>345.4+18.8+54.48+131.6</f>
        <v>550.28</v>
      </c>
      <c r="F42" s="13">
        <v>21688.94</v>
      </c>
      <c r="K42" s="3">
        <f t="shared" si="1"/>
        <v>0</v>
      </c>
    </row>
    <row r="43" spans="2:11" x14ac:dyDescent="0.25">
      <c r="B43" s="14">
        <v>42532</v>
      </c>
      <c r="C43" s="19">
        <v>20034</v>
      </c>
      <c r="D43" s="16" t="s">
        <v>8</v>
      </c>
      <c r="E43" s="17">
        <f>52.1+12.9+15.5+41.8</f>
        <v>122.3</v>
      </c>
      <c r="F43" s="13">
        <v>3031.6</v>
      </c>
      <c r="K43" s="3">
        <f t="shared" si="1"/>
        <v>0</v>
      </c>
    </row>
    <row r="44" spans="2:11" x14ac:dyDescent="0.25">
      <c r="B44" s="14">
        <v>42532</v>
      </c>
      <c r="C44" s="19">
        <v>20045</v>
      </c>
      <c r="D44" s="16" t="s">
        <v>12</v>
      </c>
      <c r="E44" s="17">
        <f>34.8+887.6+101.4+27.24+92.2</f>
        <v>1143.24</v>
      </c>
      <c r="F44" s="13">
        <v>44621.919999999998</v>
      </c>
      <c r="K44" s="3">
        <f t="shared" si="1"/>
        <v>0</v>
      </c>
    </row>
    <row r="45" spans="2:11" x14ac:dyDescent="0.25">
      <c r="B45" s="14">
        <v>42532</v>
      </c>
      <c r="C45" s="19">
        <v>20046</v>
      </c>
      <c r="D45" s="16" t="s">
        <v>11</v>
      </c>
      <c r="E45" s="17">
        <f>14.1+206.2+113.4</f>
        <v>333.7</v>
      </c>
      <c r="F45" s="13">
        <v>13475.6</v>
      </c>
      <c r="K45" s="3">
        <f t="shared" si="1"/>
        <v>0</v>
      </c>
    </row>
    <row r="46" spans="2:11" x14ac:dyDescent="0.25">
      <c r="B46" s="14">
        <v>42532</v>
      </c>
      <c r="C46" s="19">
        <v>20047</v>
      </c>
      <c r="D46" s="16" t="s">
        <v>10</v>
      </c>
      <c r="E46" s="17">
        <f>15.5+1+105.2+174.4</f>
        <v>296.10000000000002</v>
      </c>
      <c r="F46" s="13">
        <v>13456</v>
      </c>
      <c r="K46" s="3">
        <f t="shared" si="1"/>
        <v>0</v>
      </c>
    </row>
    <row r="47" spans="2:11" x14ac:dyDescent="0.25">
      <c r="B47" s="14">
        <v>42532</v>
      </c>
      <c r="C47" s="19">
        <v>20048</v>
      </c>
      <c r="D47" s="16" t="s">
        <v>20</v>
      </c>
      <c r="E47" s="17">
        <f>109.4+865.8</f>
        <v>975.19999999999993</v>
      </c>
      <c r="F47" s="13">
        <v>36082.400000000001</v>
      </c>
      <c r="K47" s="3">
        <f t="shared" si="1"/>
        <v>0</v>
      </c>
    </row>
    <row r="48" spans="2:11" x14ac:dyDescent="0.25">
      <c r="B48" s="14">
        <v>42532</v>
      </c>
      <c r="C48" s="19">
        <v>20049</v>
      </c>
      <c r="D48" s="16" t="s">
        <v>14</v>
      </c>
      <c r="E48" s="17">
        <f>164.6+349.6+119.6</f>
        <v>633.80000000000007</v>
      </c>
      <c r="F48" s="13">
        <v>27195</v>
      </c>
      <c r="K48" s="3">
        <f t="shared" si="1"/>
        <v>0</v>
      </c>
    </row>
    <row r="49" spans="2:13" x14ac:dyDescent="0.25">
      <c r="B49" s="14">
        <v>42532</v>
      </c>
      <c r="C49" s="19">
        <v>20050</v>
      </c>
      <c r="D49" s="16" t="s">
        <v>9</v>
      </c>
      <c r="E49" s="17">
        <f>82.6+244.6</f>
        <v>327.2</v>
      </c>
      <c r="F49" s="13">
        <v>10702.2</v>
      </c>
    </row>
    <row r="50" spans="2:13" x14ac:dyDescent="0.25">
      <c r="B50" s="14">
        <v>42532</v>
      </c>
      <c r="C50" s="19">
        <v>20051</v>
      </c>
      <c r="D50" s="16" t="s">
        <v>153</v>
      </c>
      <c r="E50" s="17">
        <f>33.4</f>
        <v>33.4</v>
      </c>
      <c r="F50" s="13">
        <v>1636.6</v>
      </c>
    </row>
    <row r="51" spans="2:13" x14ac:dyDescent="0.25">
      <c r="B51" s="14">
        <v>42532</v>
      </c>
      <c r="C51" s="19">
        <v>20052</v>
      </c>
      <c r="D51" s="16" t="s">
        <v>7</v>
      </c>
      <c r="E51" s="17">
        <f>17.5+1</f>
        <v>18.5</v>
      </c>
      <c r="F51" s="13">
        <v>1207.5</v>
      </c>
    </row>
    <row r="52" spans="2:13" ht="15.75" thickBot="1" x14ac:dyDescent="0.3">
      <c r="B52" s="14"/>
      <c r="C52" s="19"/>
      <c r="D52" s="16"/>
      <c r="E52" s="17"/>
      <c r="F52" s="13"/>
    </row>
    <row r="53" spans="2:13" ht="15.75" thickBot="1" x14ac:dyDescent="0.3">
      <c r="B53" s="21" t="s">
        <v>233</v>
      </c>
      <c r="C53" s="22"/>
      <c r="D53" s="23"/>
      <c r="E53" s="24">
        <v>0</v>
      </c>
      <c r="F53" s="25">
        <f>SUM(F3:F52)</f>
        <v>552037.7699999999</v>
      </c>
      <c r="K53" s="3">
        <f t="shared" si="1"/>
        <v>0</v>
      </c>
    </row>
    <row r="54" spans="2:13" ht="19.5" thickBot="1" x14ac:dyDescent="0.35">
      <c r="B54" s="26"/>
      <c r="C54" s="27"/>
      <c r="D54" s="28" t="s">
        <v>5</v>
      </c>
      <c r="E54" s="29">
        <f>SUM(E3:E53)</f>
        <v>14292.09</v>
      </c>
      <c r="I54" s="30">
        <f>SUM(I53:I53)</f>
        <v>0</v>
      </c>
      <c r="J54" s="30"/>
      <c r="K54" s="30">
        <f>SUM(K53:K53)</f>
        <v>0</v>
      </c>
    </row>
    <row r="55" spans="2:13" x14ac:dyDescent="0.25">
      <c r="B55" s="26"/>
      <c r="C55" s="27"/>
      <c r="D55" s="31"/>
      <c r="E55" s="32"/>
      <c r="I55" s="30">
        <f>SUM(I32:I54)</f>
        <v>0</v>
      </c>
      <c r="J55" s="30"/>
      <c r="K55" s="30">
        <f>SUM(K32:K54)</f>
        <v>0</v>
      </c>
    </row>
    <row r="56" spans="2:13" ht="21.75" thickBot="1" x14ac:dyDescent="0.4">
      <c r="B56" s="33"/>
      <c r="C56" s="34" t="s">
        <v>15</v>
      </c>
      <c r="D56" s="35">
        <f>E54*0.2</f>
        <v>2858.4180000000001</v>
      </c>
      <c r="F56"/>
      <c r="K56"/>
    </row>
    <row r="57" spans="2:13" ht="21.75" thickBot="1" x14ac:dyDescent="0.4">
      <c r="C57" s="36" t="s">
        <v>16</v>
      </c>
      <c r="D57" s="37">
        <v>3000</v>
      </c>
      <c r="E57" s="38"/>
      <c r="F57" s="85">
        <f>D56+D57</f>
        <v>5858.4179999999997</v>
      </c>
      <c r="G57" s="86"/>
      <c r="I57" s="39"/>
      <c r="J57" s="39"/>
      <c r="K57" s="39"/>
      <c r="L57" s="39"/>
      <c r="M57" s="39"/>
    </row>
    <row r="58" spans="2:13" ht="15.75" thickTop="1" x14ac:dyDescent="0.25">
      <c r="I58" s="39"/>
      <c r="J58" s="39"/>
      <c r="K58" s="40"/>
      <c r="L58" s="40"/>
      <c r="M58" s="40"/>
    </row>
    <row r="59" spans="2:13" ht="19.5" thickBot="1" x14ac:dyDescent="0.35">
      <c r="D59" s="55"/>
      <c r="E59" s="41" t="s">
        <v>311</v>
      </c>
      <c r="F59" s="87">
        <v>0</v>
      </c>
      <c r="G59" s="87"/>
      <c r="I59" s="39"/>
      <c r="J59" s="39"/>
      <c r="K59" s="40"/>
      <c r="L59" s="40"/>
      <c r="M59" s="40"/>
    </row>
    <row r="60" spans="2:13" ht="15.75" thickTop="1" x14ac:dyDescent="0.25">
      <c r="C60"/>
      <c r="F60" s="88">
        <f>F57+F59</f>
        <v>5858.4179999999997</v>
      </c>
      <c r="G60" s="88"/>
      <c r="I60" s="39"/>
      <c r="J60" s="39"/>
      <c r="K60" s="40"/>
      <c r="L60" s="40"/>
      <c r="M60" s="40"/>
    </row>
    <row r="61" spans="2:13" ht="18.75" x14ac:dyDescent="0.3">
      <c r="C61"/>
      <c r="E61" s="2" t="s">
        <v>18</v>
      </c>
      <c r="F61" s="89"/>
      <c r="G61" s="89"/>
      <c r="K61"/>
    </row>
  </sheetData>
  <mergeCells count="4">
    <mergeCell ref="B1:C1"/>
    <mergeCell ref="F57:G57"/>
    <mergeCell ref="F59:G59"/>
    <mergeCell ref="F60:G61"/>
  </mergeCells>
  <pageMargins left="0.70866141732283472" right="0.70866141732283472" top="0.35433070866141736" bottom="0.15748031496062992" header="0.31496062992125984" footer="0.31496062992125984"/>
  <pageSetup scale="8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66"/>
  <sheetViews>
    <sheetView topLeftCell="A31" workbookViewId="0">
      <selection activeCell="K28" sqref="K28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42543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315</v>
      </c>
      <c r="G2" s="8"/>
      <c r="K2"/>
    </row>
    <row r="3" spans="2:11" ht="15.75" x14ac:dyDescent="0.25">
      <c r="B3" s="9">
        <v>42531</v>
      </c>
      <c r="C3" s="10">
        <v>19900</v>
      </c>
      <c r="D3" s="11" t="s">
        <v>316</v>
      </c>
      <c r="E3" s="12">
        <v>95.2</v>
      </c>
      <c r="F3" s="13">
        <v>3522.4</v>
      </c>
      <c r="K3"/>
    </row>
    <row r="4" spans="2:11" ht="15.75" x14ac:dyDescent="0.25">
      <c r="B4" s="14">
        <v>42534</v>
      </c>
      <c r="C4" s="15">
        <v>20230</v>
      </c>
      <c r="D4" s="16" t="s">
        <v>10</v>
      </c>
      <c r="E4" s="17">
        <f>79.8+27.9</f>
        <v>107.69999999999999</v>
      </c>
      <c r="F4" s="13">
        <v>4319.7</v>
      </c>
      <c r="K4"/>
    </row>
    <row r="5" spans="2:11" ht="15.75" x14ac:dyDescent="0.25">
      <c r="B5" s="14">
        <v>42534</v>
      </c>
      <c r="C5" s="15">
        <v>20232</v>
      </c>
      <c r="D5" s="16" t="s">
        <v>11</v>
      </c>
      <c r="E5" s="17">
        <f>1+17.3+36.7</f>
        <v>55</v>
      </c>
      <c r="F5" s="13">
        <v>2782.8</v>
      </c>
      <c r="K5"/>
    </row>
    <row r="6" spans="2:11" ht="15.75" x14ac:dyDescent="0.25">
      <c r="B6" s="14">
        <v>42534</v>
      </c>
      <c r="C6" s="47">
        <v>20233</v>
      </c>
      <c r="D6" s="16" t="s">
        <v>192</v>
      </c>
      <c r="E6" s="56">
        <v>85.5</v>
      </c>
      <c r="F6" s="13">
        <v>3249</v>
      </c>
      <c r="G6" t="s">
        <v>233</v>
      </c>
      <c r="K6" s="3">
        <f t="shared" ref="K6:K17" si="0">J6*I6</f>
        <v>0</v>
      </c>
    </row>
    <row r="7" spans="2:11" ht="15.75" x14ac:dyDescent="0.25">
      <c r="B7" s="14">
        <v>42534</v>
      </c>
      <c r="C7" s="15">
        <v>20234</v>
      </c>
      <c r="D7" s="16" t="s">
        <v>11</v>
      </c>
      <c r="E7" s="17">
        <v>173.8</v>
      </c>
      <c r="F7" s="13">
        <v>6604.4</v>
      </c>
      <c r="K7" s="3">
        <f t="shared" si="0"/>
        <v>0</v>
      </c>
    </row>
    <row r="8" spans="2:11" ht="15.75" x14ac:dyDescent="0.25">
      <c r="B8" s="14">
        <v>42534</v>
      </c>
      <c r="C8" s="15">
        <v>20235</v>
      </c>
      <c r="D8" s="16" t="s">
        <v>153</v>
      </c>
      <c r="E8" s="17">
        <v>257.5</v>
      </c>
      <c r="F8" s="13">
        <v>9785</v>
      </c>
      <c r="K8" s="3">
        <f t="shared" si="0"/>
        <v>0</v>
      </c>
    </row>
    <row r="9" spans="2:11" ht="15.75" x14ac:dyDescent="0.25">
      <c r="B9" s="14">
        <v>42534</v>
      </c>
      <c r="C9" s="15">
        <v>20236</v>
      </c>
      <c r="D9" s="16" t="s">
        <v>20</v>
      </c>
      <c r="E9" s="17">
        <v>423.4</v>
      </c>
      <c r="F9" s="13">
        <v>16089.2</v>
      </c>
      <c r="K9" s="3">
        <f t="shared" si="0"/>
        <v>0</v>
      </c>
    </row>
    <row r="10" spans="2:11" ht="15.75" x14ac:dyDescent="0.25">
      <c r="B10" s="14">
        <v>42534</v>
      </c>
      <c r="C10" s="15">
        <v>20238</v>
      </c>
      <c r="D10" s="16" t="s">
        <v>7</v>
      </c>
      <c r="E10" s="17">
        <v>47.2</v>
      </c>
      <c r="F10" s="13">
        <v>1746.4</v>
      </c>
      <c r="K10" s="3">
        <f t="shared" si="0"/>
        <v>0</v>
      </c>
    </row>
    <row r="11" spans="2:11" ht="15.75" x14ac:dyDescent="0.25">
      <c r="B11" s="14">
        <v>42534</v>
      </c>
      <c r="C11" s="15">
        <v>20239</v>
      </c>
      <c r="D11" s="16" t="s">
        <v>9</v>
      </c>
      <c r="E11" s="17">
        <v>411.6</v>
      </c>
      <c r="F11" s="13">
        <v>15640.8</v>
      </c>
      <c r="K11" s="3">
        <f t="shared" si="0"/>
        <v>0</v>
      </c>
    </row>
    <row r="12" spans="2:11" ht="15.75" x14ac:dyDescent="0.25">
      <c r="B12" s="14">
        <v>42534</v>
      </c>
      <c r="C12" s="44">
        <v>20241</v>
      </c>
      <c r="D12" s="16" t="s">
        <v>20</v>
      </c>
      <c r="E12" s="17">
        <v>190</v>
      </c>
      <c r="F12" s="13">
        <v>9120</v>
      </c>
      <c r="K12" s="3">
        <f t="shared" si="0"/>
        <v>0</v>
      </c>
    </row>
    <row r="13" spans="2:11" ht="15.75" x14ac:dyDescent="0.25">
      <c r="B13" s="14">
        <v>42535</v>
      </c>
      <c r="C13" s="15">
        <v>20396</v>
      </c>
      <c r="D13" s="16" t="s">
        <v>10</v>
      </c>
      <c r="E13" s="17">
        <f>71.8+27.24+34.5+12.6</f>
        <v>146.13999999999999</v>
      </c>
      <c r="F13" s="13">
        <v>5838.92</v>
      </c>
      <c r="K13" s="3">
        <f t="shared" si="0"/>
        <v>0</v>
      </c>
    </row>
    <row r="14" spans="2:11" ht="15.75" x14ac:dyDescent="0.25">
      <c r="B14" s="14">
        <v>42535</v>
      </c>
      <c r="C14" s="15">
        <v>20397</v>
      </c>
      <c r="D14" s="16" t="s">
        <v>20</v>
      </c>
      <c r="E14" s="17">
        <f>11.5+71.7+401.4</f>
        <v>484.59999999999997</v>
      </c>
      <c r="F14" s="13">
        <v>17304.400000000001</v>
      </c>
      <c r="K14" s="3">
        <f t="shared" si="0"/>
        <v>0</v>
      </c>
    </row>
    <row r="15" spans="2:11" ht="15.75" x14ac:dyDescent="0.25">
      <c r="B15" s="14">
        <v>42522</v>
      </c>
      <c r="C15" s="15">
        <v>20398</v>
      </c>
      <c r="D15" s="16" t="s">
        <v>316</v>
      </c>
      <c r="E15" s="17">
        <f>59.4+8.1</f>
        <v>67.5</v>
      </c>
      <c r="F15" s="13">
        <v>3053.7</v>
      </c>
      <c r="K15" s="3">
        <f t="shared" si="0"/>
        <v>0</v>
      </c>
    </row>
    <row r="16" spans="2:11" ht="15.75" x14ac:dyDescent="0.25">
      <c r="B16" s="14">
        <v>42535</v>
      </c>
      <c r="C16" s="15">
        <v>20399</v>
      </c>
      <c r="D16" s="16" t="s">
        <v>153</v>
      </c>
      <c r="E16" s="17">
        <f>31.2+33.5</f>
        <v>64.7</v>
      </c>
      <c r="F16" s="13">
        <v>2267.8000000000002</v>
      </c>
      <c r="K16" s="3">
        <f t="shared" si="0"/>
        <v>0</v>
      </c>
    </row>
    <row r="17" spans="1:13" ht="15.75" x14ac:dyDescent="0.25">
      <c r="B17" s="14">
        <v>42535</v>
      </c>
      <c r="C17" s="15">
        <v>20400</v>
      </c>
      <c r="D17" s="16" t="s">
        <v>7</v>
      </c>
      <c r="E17" s="17">
        <v>90.2</v>
      </c>
      <c r="F17" s="13">
        <v>3517.8</v>
      </c>
      <c r="K17" s="3">
        <f t="shared" si="0"/>
        <v>0</v>
      </c>
    </row>
    <row r="18" spans="1:13" ht="15.75" x14ac:dyDescent="0.25">
      <c r="B18" s="14">
        <v>42535</v>
      </c>
      <c r="C18" s="15">
        <v>20401</v>
      </c>
      <c r="D18" s="16" t="s">
        <v>192</v>
      </c>
      <c r="E18" s="17">
        <v>367.4</v>
      </c>
      <c r="F18" s="13">
        <v>13961.2</v>
      </c>
      <c r="I18" s="3">
        <f>SUM(I6:I17)</f>
        <v>0</v>
      </c>
      <c r="J18" s="3"/>
      <c r="K18" s="3">
        <f>SUM(K6:K17)</f>
        <v>0</v>
      </c>
    </row>
    <row r="19" spans="1:13" ht="15.75" x14ac:dyDescent="0.25">
      <c r="B19" s="14">
        <v>42535</v>
      </c>
      <c r="C19" s="15">
        <v>20407</v>
      </c>
      <c r="D19" s="16" t="s">
        <v>316</v>
      </c>
      <c r="E19" s="17">
        <v>79.400000000000006</v>
      </c>
      <c r="F19" s="13">
        <v>3811.2</v>
      </c>
    </row>
    <row r="20" spans="1:13" ht="15.75" x14ac:dyDescent="0.25">
      <c r="B20" s="14">
        <v>42536</v>
      </c>
      <c r="C20" s="15">
        <v>20490</v>
      </c>
      <c r="D20" s="16" t="s">
        <v>7</v>
      </c>
      <c r="E20" s="17">
        <f>16.9+61.4</f>
        <v>78.3</v>
      </c>
      <c r="F20" s="13">
        <v>3386.6</v>
      </c>
    </row>
    <row r="21" spans="1:13" ht="15.75" x14ac:dyDescent="0.25">
      <c r="A21" s="18"/>
      <c r="B21" s="14">
        <v>42536</v>
      </c>
      <c r="C21" s="15">
        <v>20492</v>
      </c>
      <c r="D21" s="16" t="s">
        <v>11</v>
      </c>
      <c r="E21" s="17">
        <f>98+63</f>
        <v>161</v>
      </c>
      <c r="F21" s="13">
        <v>6811</v>
      </c>
    </row>
    <row r="22" spans="1:13" ht="15.75" x14ac:dyDescent="0.25">
      <c r="B22" s="14">
        <v>42536</v>
      </c>
      <c r="C22" s="15">
        <v>20494</v>
      </c>
      <c r="D22" s="16" t="s">
        <v>153</v>
      </c>
      <c r="E22" s="17">
        <v>96.4</v>
      </c>
      <c r="F22" s="13">
        <v>3663.2</v>
      </c>
      <c r="I22" s="48"/>
      <c r="J22" s="49"/>
      <c r="K22" s="50"/>
      <c r="L22" s="51"/>
      <c r="M22" s="52"/>
    </row>
    <row r="23" spans="1:13" ht="15.75" x14ac:dyDescent="0.25">
      <c r="B23" s="14">
        <v>42536</v>
      </c>
      <c r="C23" s="15">
        <v>20495</v>
      </c>
      <c r="D23" s="16" t="s">
        <v>20</v>
      </c>
      <c r="E23" s="17">
        <v>444</v>
      </c>
      <c r="F23" s="13">
        <v>16872</v>
      </c>
      <c r="I23" s="31"/>
      <c r="J23" s="31"/>
      <c r="K23" s="53"/>
      <c r="L23" s="31"/>
      <c r="M23" s="31"/>
    </row>
    <row r="24" spans="1:13" ht="15.75" x14ac:dyDescent="0.25">
      <c r="B24" s="14">
        <v>42536</v>
      </c>
      <c r="C24" s="15">
        <v>20496</v>
      </c>
      <c r="D24" s="16" t="s">
        <v>9</v>
      </c>
      <c r="E24" s="17">
        <v>197.2</v>
      </c>
      <c r="F24" s="13">
        <v>9465.6</v>
      </c>
    </row>
    <row r="25" spans="1:13" x14ac:dyDescent="0.25">
      <c r="B25" s="14">
        <v>42536</v>
      </c>
      <c r="C25" s="19">
        <v>20497</v>
      </c>
      <c r="D25" s="16" t="s">
        <v>192</v>
      </c>
      <c r="E25" s="17">
        <f>70.2+9.8</f>
        <v>80</v>
      </c>
      <c r="F25" s="13">
        <v>5172.2</v>
      </c>
    </row>
    <row r="26" spans="1:13" x14ac:dyDescent="0.25">
      <c r="B26" s="14">
        <v>42536</v>
      </c>
      <c r="C26" s="19">
        <v>20556</v>
      </c>
      <c r="D26" s="16" t="s">
        <v>316</v>
      </c>
      <c r="E26" s="17">
        <v>91.6</v>
      </c>
      <c r="F26" s="13">
        <v>3572.4</v>
      </c>
    </row>
    <row r="27" spans="1:13" x14ac:dyDescent="0.25">
      <c r="B27" s="14">
        <v>42537</v>
      </c>
      <c r="C27" s="19">
        <v>20607</v>
      </c>
      <c r="D27" s="16" t="s">
        <v>7</v>
      </c>
      <c r="E27" s="17">
        <f>5.6+6.4</f>
        <v>12</v>
      </c>
      <c r="F27" s="13">
        <v>480</v>
      </c>
    </row>
    <row r="28" spans="1:13" x14ac:dyDescent="0.25">
      <c r="B28" s="14">
        <v>42537</v>
      </c>
      <c r="C28" s="19">
        <v>20610</v>
      </c>
      <c r="D28" s="16" t="s">
        <v>20</v>
      </c>
      <c r="E28" s="17">
        <f>411.7+116.2</f>
        <v>527.9</v>
      </c>
      <c r="F28" s="13">
        <v>20060.2</v>
      </c>
    </row>
    <row r="29" spans="1:13" x14ac:dyDescent="0.25">
      <c r="B29" s="14">
        <v>42537</v>
      </c>
      <c r="C29" s="19">
        <v>20612</v>
      </c>
      <c r="D29" s="16" t="s">
        <v>153</v>
      </c>
      <c r="E29" s="17">
        <v>249.2</v>
      </c>
      <c r="F29" s="13">
        <v>9469.6</v>
      </c>
    </row>
    <row r="30" spans="1:13" x14ac:dyDescent="0.25">
      <c r="B30" s="14">
        <v>42537</v>
      </c>
      <c r="C30" s="19">
        <v>20613</v>
      </c>
      <c r="D30" s="16" t="s">
        <v>11</v>
      </c>
      <c r="E30" s="17">
        <v>68.7</v>
      </c>
      <c r="F30" s="13">
        <v>3297.6</v>
      </c>
    </row>
    <row r="31" spans="1:13" x14ac:dyDescent="0.25">
      <c r="B31" s="14">
        <v>42537</v>
      </c>
      <c r="C31" s="19">
        <v>20614</v>
      </c>
      <c r="D31" s="16" t="s">
        <v>192</v>
      </c>
      <c r="E31" s="17">
        <f>222.8+21.5</f>
        <v>244.3</v>
      </c>
      <c r="F31" s="13">
        <v>8939.4</v>
      </c>
    </row>
    <row r="32" spans="1:13" x14ac:dyDescent="0.25">
      <c r="B32" s="14">
        <v>42537</v>
      </c>
      <c r="C32" s="19">
        <v>20615</v>
      </c>
      <c r="D32" s="16" t="s">
        <v>10</v>
      </c>
      <c r="E32" s="17">
        <f>87.4+27.24+1+117.2</f>
        <v>232.84</v>
      </c>
      <c r="F32" s="13">
        <v>11114.52</v>
      </c>
      <c r="K32" s="3">
        <f t="shared" ref="K32:K58" si="1">J32*I32</f>
        <v>0</v>
      </c>
    </row>
    <row r="33" spans="2:11" x14ac:dyDescent="0.25">
      <c r="B33" s="14">
        <v>42537</v>
      </c>
      <c r="C33" s="19">
        <v>20642</v>
      </c>
      <c r="D33" s="16" t="s">
        <v>0</v>
      </c>
      <c r="E33" s="17">
        <v>34.5</v>
      </c>
      <c r="F33" s="13">
        <v>2311.5</v>
      </c>
      <c r="K33" s="3">
        <f t="shared" si="1"/>
        <v>0</v>
      </c>
    </row>
    <row r="34" spans="2:11" x14ac:dyDescent="0.25">
      <c r="B34" s="14">
        <v>42538</v>
      </c>
      <c r="C34" s="19">
        <v>20741</v>
      </c>
      <c r="D34" s="16" t="s">
        <v>13</v>
      </c>
      <c r="E34" s="17">
        <v>254.2</v>
      </c>
      <c r="F34" s="13">
        <v>9659.6</v>
      </c>
      <c r="K34" s="3">
        <f t="shared" si="1"/>
        <v>0</v>
      </c>
    </row>
    <row r="35" spans="2:11" x14ac:dyDescent="0.25">
      <c r="B35" s="14">
        <v>42538</v>
      </c>
      <c r="C35" s="19">
        <v>20742</v>
      </c>
      <c r="D35" s="16" t="s">
        <v>192</v>
      </c>
      <c r="E35" s="17">
        <f>939.8+54.7+53.6</f>
        <v>1048.0999999999999</v>
      </c>
      <c r="F35" s="13">
        <v>38309.4</v>
      </c>
      <c r="K35" s="3">
        <f t="shared" si="1"/>
        <v>0</v>
      </c>
    </row>
    <row r="36" spans="2:11" x14ac:dyDescent="0.25">
      <c r="B36" s="14">
        <v>42538</v>
      </c>
      <c r="C36" s="19">
        <v>20743</v>
      </c>
      <c r="D36" s="16" t="s">
        <v>20</v>
      </c>
      <c r="E36" s="17">
        <v>491</v>
      </c>
      <c r="F36" s="13">
        <v>23568</v>
      </c>
      <c r="K36" s="3">
        <f t="shared" si="1"/>
        <v>0</v>
      </c>
    </row>
    <row r="37" spans="2:11" x14ac:dyDescent="0.25">
      <c r="B37" s="14">
        <v>42538</v>
      </c>
      <c r="C37" s="19">
        <v>20744</v>
      </c>
      <c r="D37" s="16" t="s">
        <v>10</v>
      </c>
      <c r="E37" s="17">
        <f>19.8+65.9+116.6</f>
        <v>202.3</v>
      </c>
      <c r="F37" s="13">
        <v>8442.6</v>
      </c>
      <c r="K37" s="3">
        <f t="shared" si="1"/>
        <v>0</v>
      </c>
    </row>
    <row r="38" spans="2:11" x14ac:dyDescent="0.25">
      <c r="B38" s="14">
        <v>42538</v>
      </c>
      <c r="C38" s="19">
        <v>20745</v>
      </c>
      <c r="D38" s="16" t="s">
        <v>14</v>
      </c>
      <c r="E38" s="17">
        <v>437.6</v>
      </c>
      <c r="F38" s="13">
        <v>16628.8</v>
      </c>
      <c r="K38" s="3">
        <f t="shared" si="1"/>
        <v>0</v>
      </c>
    </row>
    <row r="39" spans="2:11" x14ac:dyDescent="0.25">
      <c r="B39" s="14">
        <v>42538</v>
      </c>
      <c r="C39" s="19">
        <v>20746</v>
      </c>
      <c r="D39" s="16" t="s">
        <v>12</v>
      </c>
      <c r="E39" s="17">
        <v>429</v>
      </c>
      <c r="F39" s="13">
        <v>16302</v>
      </c>
      <c r="K39" s="3">
        <f t="shared" si="1"/>
        <v>0</v>
      </c>
    </row>
    <row r="40" spans="2:11" x14ac:dyDescent="0.25">
      <c r="B40" s="14">
        <v>42538</v>
      </c>
      <c r="C40" s="19">
        <v>20748</v>
      </c>
      <c r="D40" s="16" t="s">
        <v>153</v>
      </c>
      <c r="E40" s="17">
        <f>91.8+13.6+1+13.6</f>
        <v>119.99999999999999</v>
      </c>
      <c r="F40" s="13">
        <v>5693.6</v>
      </c>
      <c r="K40" s="3">
        <f t="shared" si="1"/>
        <v>0</v>
      </c>
    </row>
    <row r="41" spans="2:11" x14ac:dyDescent="0.25">
      <c r="B41" s="14">
        <v>42538</v>
      </c>
      <c r="C41" s="19">
        <v>20749</v>
      </c>
      <c r="D41" s="16" t="s">
        <v>9</v>
      </c>
      <c r="E41" s="17">
        <f>76.2+192</f>
        <v>268.2</v>
      </c>
      <c r="F41" s="13">
        <v>9164.4</v>
      </c>
      <c r="K41" s="3">
        <f t="shared" si="1"/>
        <v>0</v>
      </c>
    </row>
    <row r="42" spans="2:11" x14ac:dyDescent="0.25">
      <c r="B42" s="14">
        <v>42538</v>
      </c>
      <c r="C42" s="19">
        <v>20750</v>
      </c>
      <c r="D42" s="16" t="s">
        <v>316</v>
      </c>
      <c r="E42" s="17">
        <f>11.7+31.9+174+85.7+66.3</f>
        <v>369.6</v>
      </c>
      <c r="F42" s="13">
        <v>14328.2</v>
      </c>
      <c r="K42" s="3">
        <f t="shared" si="1"/>
        <v>0</v>
      </c>
    </row>
    <row r="43" spans="2:11" x14ac:dyDescent="0.25">
      <c r="B43" s="14">
        <v>42538</v>
      </c>
      <c r="C43" s="19">
        <v>20751</v>
      </c>
      <c r="D43" s="16" t="s">
        <v>7</v>
      </c>
      <c r="E43" s="17">
        <f>35.6+84</f>
        <v>119.6</v>
      </c>
      <c r="F43" s="13">
        <v>5114.3999999999996</v>
      </c>
      <c r="K43" s="3">
        <f t="shared" si="1"/>
        <v>0</v>
      </c>
    </row>
    <row r="44" spans="2:11" x14ac:dyDescent="0.25">
      <c r="B44" s="14">
        <v>42538</v>
      </c>
      <c r="C44" s="19">
        <v>20753</v>
      </c>
      <c r="D44" s="16" t="s">
        <v>11</v>
      </c>
      <c r="E44" s="17">
        <v>99.2</v>
      </c>
      <c r="F44" s="13">
        <v>4860.8</v>
      </c>
      <c r="K44" s="3">
        <f t="shared" si="1"/>
        <v>0</v>
      </c>
    </row>
    <row r="45" spans="2:11" x14ac:dyDescent="0.25">
      <c r="B45" s="14">
        <v>42538</v>
      </c>
      <c r="C45" s="19">
        <v>20754</v>
      </c>
      <c r="D45" s="16" t="s">
        <v>7</v>
      </c>
      <c r="E45" s="17">
        <v>41.1</v>
      </c>
      <c r="F45" s="13">
        <v>1561.8</v>
      </c>
      <c r="K45" s="3">
        <f t="shared" si="1"/>
        <v>0</v>
      </c>
    </row>
    <row r="46" spans="2:11" x14ac:dyDescent="0.25">
      <c r="B46" s="14">
        <v>42538</v>
      </c>
      <c r="C46" s="19">
        <v>20758</v>
      </c>
      <c r="D46" s="16" t="s">
        <v>316</v>
      </c>
      <c r="E46" s="17">
        <v>48.8</v>
      </c>
      <c r="F46" s="13">
        <v>1903.2</v>
      </c>
      <c r="K46" s="3">
        <f t="shared" si="1"/>
        <v>0</v>
      </c>
    </row>
    <row r="47" spans="2:11" x14ac:dyDescent="0.25">
      <c r="B47" s="14">
        <v>42538</v>
      </c>
      <c r="C47" s="19">
        <v>20759</v>
      </c>
      <c r="D47" s="16" t="s">
        <v>316</v>
      </c>
      <c r="E47" s="17">
        <v>24.4</v>
      </c>
      <c r="F47" s="13">
        <v>951.6</v>
      </c>
      <c r="K47" s="3">
        <f t="shared" si="1"/>
        <v>0</v>
      </c>
    </row>
    <row r="48" spans="2:11" x14ac:dyDescent="0.25">
      <c r="B48" s="14">
        <v>42538</v>
      </c>
      <c r="C48" s="19">
        <v>20760</v>
      </c>
      <c r="D48" s="16" t="s">
        <v>316</v>
      </c>
      <c r="E48" s="17">
        <v>47</v>
      </c>
      <c r="F48" s="13">
        <v>1833</v>
      </c>
      <c r="K48" s="3">
        <f t="shared" si="1"/>
        <v>0</v>
      </c>
    </row>
    <row r="49" spans="2:13" x14ac:dyDescent="0.25">
      <c r="B49" s="14">
        <v>42539</v>
      </c>
      <c r="C49" s="19">
        <v>20915</v>
      </c>
      <c r="D49" s="16" t="s">
        <v>11</v>
      </c>
      <c r="E49" s="17">
        <f>14.5+2+111.6+155.6</f>
        <v>283.7</v>
      </c>
      <c r="F49" s="13">
        <v>12269.3</v>
      </c>
    </row>
    <row r="50" spans="2:13" x14ac:dyDescent="0.25">
      <c r="B50" s="14">
        <v>42539</v>
      </c>
      <c r="C50" s="19">
        <v>20918</v>
      </c>
      <c r="D50" s="16" t="s">
        <v>7</v>
      </c>
      <c r="E50" s="17">
        <v>83.8</v>
      </c>
      <c r="F50" s="13">
        <v>3184.4</v>
      </c>
    </row>
    <row r="51" spans="2:13" x14ac:dyDescent="0.25">
      <c r="B51" s="14">
        <v>42539</v>
      </c>
      <c r="C51" s="19">
        <v>20916</v>
      </c>
      <c r="D51" s="16" t="s">
        <v>153</v>
      </c>
      <c r="E51" s="17">
        <v>172.6</v>
      </c>
      <c r="F51" s="13">
        <v>6558.8</v>
      </c>
    </row>
    <row r="52" spans="2:13" x14ac:dyDescent="0.25">
      <c r="B52" s="14">
        <v>42539</v>
      </c>
      <c r="C52" s="19">
        <v>20919</v>
      </c>
      <c r="D52" s="16" t="s">
        <v>7</v>
      </c>
      <c r="E52" s="17">
        <f>13.4+94.3</f>
        <v>107.7</v>
      </c>
      <c r="F52" s="13">
        <v>2636.4</v>
      </c>
    </row>
    <row r="53" spans="2:13" x14ac:dyDescent="0.25">
      <c r="B53" s="14">
        <v>42539</v>
      </c>
      <c r="C53" s="19">
        <v>20920</v>
      </c>
      <c r="D53" s="16" t="s">
        <v>192</v>
      </c>
      <c r="E53" s="17">
        <f>54.6+78.4</f>
        <v>133</v>
      </c>
      <c r="F53" s="13">
        <v>4398.8</v>
      </c>
    </row>
    <row r="54" spans="2:13" x14ac:dyDescent="0.25">
      <c r="B54" s="14">
        <v>42539</v>
      </c>
      <c r="C54" s="19">
        <v>20922</v>
      </c>
      <c r="D54" s="16" t="s">
        <v>20</v>
      </c>
      <c r="E54" s="17">
        <v>682.8</v>
      </c>
      <c r="F54" s="13">
        <v>25946.400000000001</v>
      </c>
    </row>
    <row r="55" spans="2:13" x14ac:dyDescent="0.25">
      <c r="B55" s="14">
        <v>42539</v>
      </c>
      <c r="C55" s="19">
        <v>20923</v>
      </c>
      <c r="D55" s="16" t="s">
        <v>316</v>
      </c>
      <c r="E55" s="17">
        <f>25.6+93</f>
        <v>118.6</v>
      </c>
      <c r="F55" s="13">
        <v>4020.4</v>
      </c>
    </row>
    <row r="56" spans="2:13" x14ac:dyDescent="0.25">
      <c r="B56" s="14">
        <v>42539</v>
      </c>
      <c r="C56" s="19">
        <v>20924</v>
      </c>
      <c r="D56" s="16" t="s">
        <v>14</v>
      </c>
      <c r="E56" s="17">
        <f>59+49.7+135.2</f>
        <v>243.89999999999998</v>
      </c>
      <c r="F56" s="13">
        <v>11086.1</v>
      </c>
    </row>
    <row r="57" spans="2:13" ht="15.75" thickBot="1" x14ac:dyDescent="0.3">
      <c r="B57" s="57">
        <v>42539</v>
      </c>
      <c r="C57" s="58">
        <v>20925</v>
      </c>
      <c r="D57" s="59" t="s">
        <v>10</v>
      </c>
      <c r="E57" s="60">
        <f>401.2+36.8+27.24+25.1+175.8</f>
        <v>666.1400000000001</v>
      </c>
      <c r="F57" s="13">
        <v>28059.22</v>
      </c>
    </row>
    <row r="58" spans="2:13" ht="15.75" thickBot="1" x14ac:dyDescent="0.3">
      <c r="B58" s="21" t="s">
        <v>233</v>
      </c>
      <c r="C58" s="22"/>
      <c r="D58" s="23"/>
      <c r="E58" s="24">
        <v>0</v>
      </c>
      <c r="F58" s="25">
        <f>SUM(F3:F57)</f>
        <v>483711.76</v>
      </c>
      <c r="K58" s="3">
        <f t="shared" si="1"/>
        <v>0</v>
      </c>
    </row>
    <row r="59" spans="2:13" ht="19.5" thickBot="1" x14ac:dyDescent="0.35">
      <c r="B59" s="26"/>
      <c r="C59" s="27"/>
      <c r="D59" s="28" t="s">
        <v>5</v>
      </c>
      <c r="E59" s="29">
        <f>SUM(E3:E58)</f>
        <v>12157.12</v>
      </c>
      <c r="I59" s="30">
        <f>SUM(I58:I58)</f>
        <v>0</v>
      </c>
      <c r="J59" s="30"/>
      <c r="K59" s="30">
        <f>SUM(K58:K58)</f>
        <v>0</v>
      </c>
    </row>
    <row r="60" spans="2:13" x14ac:dyDescent="0.25">
      <c r="B60" s="26"/>
      <c r="C60" s="27"/>
      <c r="D60" s="31"/>
      <c r="E60" s="32"/>
      <c r="I60" s="30">
        <f>SUM(I32:I59)</f>
        <v>0</v>
      </c>
      <c r="J60" s="30"/>
      <c r="K60" s="30">
        <f>SUM(K32:K59)</f>
        <v>0</v>
      </c>
    </row>
    <row r="61" spans="2:13" ht="21.75" thickBot="1" x14ac:dyDescent="0.4">
      <c r="B61" s="33"/>
      <c r="C61" s="34" t="s">
        <v>15</v>
      </c>
      <c r="D61" s="35">
        <f>E59*0.2</f>
        <v>2431.4240000000004</v>
      </c>
      <c r="F61"/>
      <c r="K61"/>
    </row>
    <row r="62" spans="2:13" ht="21.75" thickBot="1" x14ac:dyDescent="0.4">
      <c r="C62" s="36" t="s">
        <v>16</v>
      </c>
      <c r="D62" s="37">
        <v>3000</v>
      </c>
      <c r="E62" s="38"/>
      <c r="F62" s="85">
        <f>D61+D62</f>
        <v>5431.4240000000009</v>
      </c>
      <c r="G62" s="86"/>
      <c r="I62" s="39"/>
      <c r="J62" s="39"/>
      <c r="K62" s="39"/>
      <c r="L62" s="39"/>
      <c r="M62" s="39"/>
    </row>
    <row r="63" spans="2:13" ht="15.75" thickTop="1" x14ac:dyDescent="0.25">
      <c r="I63" s="39"/>
      <c r="J63" s="39"/>
      <c r="K63" s="40"/>
      <c r="L63" s="40"/>
      <c r="M63" s="40"/>
    </row>
    <row r="64" spans="2:13" ht="19.5" thickBot="1" x14ac:dyDescent="0.35">
      <c r="D64" s="55"/>
      <c r="E64" s="41" t="s">
        <v>311</v>
      </c>
      <c r="F64" s="87">
        <v>0</v>
      </c>
      <c r="G64" s="87"/>
      <c r="I64" s="39"/>
      <c r="J64" s="39"/>
      <c r="K64" s="40"/>
      <c r="L64" s="40"/>
      <c r="M64" s="40"/>
    </row>
    <row r="65" spans="3:13" ht="15.75" thickTop="1" x14ac:dyDescent="0.25">
      <c r="C65"/>
      <c r="F65" s="88">
        <f>F62+F64</f>
        <v>5431.4240000000009</v>
      </c>
      <c r="G65" s="88"/>
      <c r="I65" s="39"/>
      <c r="J65" s="39"/>
      <c r="K65" s="40"/>
      <c r="L65" s="40"/>
      <c r="M65" s="40"/>
    </row>
    <row r="66" spans="3:13" ht="18.75" x14ac:dyDescent="0.3">
      <c r="C66"/>
      <c r="E66" s="2" t="s">
        <v>18</v>
      </c>
      <c r="F66" s="89"/>
      <c r="G66" s="89"/>
      <c r="K66"/>
    </row>
  </sheetData>
  <mergeCells count="4">
    <mergeCell ref="B1:C1"/>
    <mergeCell ref="F62:G62"/>
    <mergeCell ref="F64:G64"/>
    <mergeCell ref="F65:G66"/>
  </mergeCells>
  <pageMargins left="0.70866141732283472" right="0.70866141732283472" top="0.35433070866141736" bottom="0.15748031496062992" header="0.31496062992125984" footer="0.31496062992125984"/>
  <pageSetup scale="75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M55"/>
  <sheetViews>
    <sheetView topLeftCell="A25" workbookViewId="0">
      <selection activeCell="A25" sqref="A1:XFD104857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42550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317</v>
      </c>
      <c r="G2" s="8"/>
      <c r="K2"/>
    </row>
    <row r="3" spans="2:11" ht="15.75" x14ac:dyDescent="0.25">
      <c r="B3" s="9">
        <v>42538</v>
      </c>
      <c r="C3" s="10">
        <v>20854</v>
      </c>
      <c r="D3" s="11" t="s">
        <v>12</v>
      </c>
      <c r="E3" s="12">
        <v>915.3</v>
      </c>
      <c r="F3" s="13">
        <v>34781.4</v>
      </c>
      <c r="K3"/>
    </row>
    <row r="4" spans="2:11" ht="15.75" x14ac:dyDescent="0.25">
      <c r="B4" s="14">
        <v>42541</v>
      </c>
      <c r="C4" s="15">
        <v>21154</v>
      </c>
      <c r="D4" s="16" t="s">
        <v>20</v>
      </c>
      <c r="E4" s="17">
        <f>53.3+45.1+320.4</f>
        <v>418.79999999999995</v>
      </c>
      <c r="F4" s="13">
        <v>16603.2</v>
      </c>
      <c r="K4"/>
    </row>
    <row r="5" spans="2:11" ht="15.75" x14ac:dyDescent="0.25">
      <c r="B5" s="14">
        <v>42541</v>
      </c>
      <c r="C5" s="15">
        <v>21155</v>
      </c>
      <c r="D5" s="16" t="s">
        <v>10</v>
      </c>
      <c r="E5" s="17">
        <f>72.8+27.24+118</f>
        <v>218.04</v>
      </c>
      <c r="F5" s="13">
        <v>9940.52</v>
      </c>
      <c r="K5"/>
    </row>
    <row r="6" spans="2:11" ht="15.75" x14ac:dyDescent="0.25">
      <c r="B6" s="14">
        <v>42541</v>
      </c>
      <c r="C6" s="47">
        <v>21156</v>
      </c>
      <c r="D6" s="16" t="s">
        <v>7</v>
      </c>
      <c r="E6" s="56">
        <f>30+80.8+92</f>
        <v>202.8</v>
      </c>
      <c r="F6" s="13">
        <v>8428.7999999999993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42541</v>
      </c>
      <c r="C7" s="15">
        <v>21157</v>
      </c>
      <c r="D7" s="16" t="s">
        <v>153</v>
      </c>
      <c r="E7" s="17">
        <v>171.8</v>
      </c>
      <c r="F7" s="13">
        <v>6528.4</v>
      </c>
      <c r="K7" s="3">
        <f t="shared" si="0"/>
        <v>0</v>
      </c>
    </row>
    <row r="8" spans="2:11" ht="15.75" x14ac:dyDescent="0.25">
      <c r="B8" s="14">
        <v>42541</v>
      </c>
      <c r="C8" s="15">
        <v>21165</v>
      </c>
      <c r="D8" s="16" t="s">
        <v>11</v>
      </c>
      <c r="E8" s="17">
        <f>10.5+119.6</f>
        <v>130.1</v>
      </c>
      <c r="F8" s="13">
        <v>6364.4</v>
      </c>
      <c r="K8" s="3">
        <f t="shared" si="0"/>
        <v>0</v>
      </c>
    </row>
    <row r="9" spans="2:11" ht="15.75" x14ac:dyDescent="0.25">
      <c r="B9" s="14">
        <v>42541</v>
      </c>
      <c r="C9" s="15">
        <v>21166</v>
      </c>
      <c r="D9" s="16" t="s">
        <v>14</v>
      </c>
      <c r="E9" s="17">
        <f>95.2+7+39.4+88.2</f>
        <v>229.8</v>
      </c>
      <c r="F9" s="13">
        <v>9741.2000000000007</v>
      </c>
      <c r="K9" s="3">
        <f t="shared" si="0"/>
        <v>0</v>
      </c>
    </row>
    <row r="10" spans="2:11" ht="15.75" x14ac:dyDescent="0.25">
      <c r="B10" s="14">
        <v>42541</v>
      </c>
      <c r="C10" s="15">
        <v>21167</v>
      </c>
      <c r="D10" s="16" t="s">
        <v>13</v>
      </c>
      <c r="E10" s="17">
        <v>254.4</v>
      </c>
      <c r="F10" s="13">
        <v>12211.2</v>
      </c>
      <c r="K10" s="3">
        <f t="shared" si="0"/>
        <v>0</v>
      </c>
    </row>
    <row r="11" spans="2:11" ht="15.75" x14ac:dyDescent="0.25">
      <c r="B11" s="14">
        <v>42541</v>
      </c>
      <c r="C11" s="44">
        <v>21168</v>
      </c>
      <c r="D11" s="16" t="s">
        <v>192</v>
      </c>
      <c r="E11" s="17">
        <f>41+13.561+13.61+33.1</f>
        <v>101.27099999999999</v>
      </c>
      <c r="F11" s="13">
        <v>3218.87</v>
      </c>
      <c r="I11">
        <v>78.2</v>
      </c>
      <c r="J11">
        <v>38</v>
      </c>
      <c r="K11" s="3">
        <f t="shared" si="0"/>
        <v>2971.6</v>
      </c>
    </row>
    <row r="12" spans="2:11" ht="15.75" x14ac:dyDescent="0.25">
      <c r="B12" s="14">
        <v>42542</v>
      </c>
      <c r="C12" s="15">
        <v>21287</v>
      </c>
      <c r="D12" s="16" t="s">
        <v>10</v>
      </c>
      <c r="E12" s="17">
        <f>31.3+115.8+69.2</f>
        <v>216.3</v>
      </c>
      <c r="F12" s="13">
        <v>9382.9</v>
      </c>
      <c r="K12" s="3">
        <f t="shared" si="0"/>
        <v>0</v>
      </c>
    </row>
    <row r="13" spans="2:11" ht="15.75" x14ac:dyDescent="0.25">
      <c r="B13" s="14">
        <v>42542</v>
      </c>
      <c r="C13" s="15">
        <v>21288</v>
      </c>
      <c r="D13" s="16" t="s">
        <v>20</v>
      </c>
      <c r="E13" s="17">
        <f>118.8+430.9</f>
        <v>549.69999999999993</v>
      </c>
      <c r="F13" s="13">
        <v>22076.6</v>
      </c>
      <c r="K13" s="3">
        <f t="shared" si="0"/>
        <v>0</v>
      </c>
    </row>
    <row r="14" spans="2:11" ht="15.75" x14ac:dyDescent="0.25">
      <c r="B14" s="14">
        <v>42542</v>
      </c>
      <c r="C14" s="15">
        <v>21289</v>
      </c>
      <c r="D14" s="16" t="s">
        <v>12</v>
      </c>
      <c r="E14" s="17">
        <f>103+402.4+88.7+296</f>
        <v>890.1</v>
      </c>
      <c r="F14" s="13">
        <v>41772.800000000003</v>
      </c>
      <c r="K14" s="3">
        <f t="shared" si="0"/>
        <v>0</v>
      </c>
    </row>
    <row r="15" spans="2:11" ht="15.75" x14ac:dyDescent="0.25">
      <c r="B15" s="14">
        <v>42542</v>
      </c>
      <c r="C15" s="15">
        <v>21290</v>
      </c>
      <c r="D15" s="16" t="s">
        <v>9</v>
      </c>
      <c r="E15" s="17">
        <v>347.8</v>
      </c>
      <c r="F15" s="13">
        <v>13216.4</v>
      </c>
      <c r="K15" s="3">
        <f t="shared" si="0"/>
        <v>0</v>
      </c>
    </row>
    <row r="16" spans="2:11" ht="15.75" x14ac:dyDescent="0.25">
      <c r="B16" s="14">
        <v>42542</v>
      </c>
      <c r="C16" s="15">
        <v>21291</v>
      </c>
      <c r="D16" s="16" t="s">
        <v>7</v>
      </c>
      <c r="E16" s="17">
        <f>35.1+32+33.2+31.8+67.1</f>
        <v>199.2</v>
      </c>
      <c r="F16" s="13">
        <v>7944.4</v>
      </c>
      <c r="K16" s="3">
        <f t="shared" si="0"/>
        <v>0</v>
      </c>
    </row>
    <row r="17" spans="1:13" ht="15.75" x14ac:dyDescent="0.25">
      <c r="B17" s="14">
        <v>42542</v>
      </c>
      <c r="C17" s="15">
        <v>21292</v>
      </c>
      <c r="D17" s="16" t="s">
        <v>192</v>
      </c>
      <c r="E17" s="17">
        <f>33.6+25.3+44.7</f>
        <v>103.60000000000001</v>
      </c>
      <c r="F17" s="13">
        <v>4076.4</v>
      </c>
      <c r="I17" s="3">
        <f>SUM(I6:I16)</f>
        <v>78.2</v>
      </c>
      <c r="J17" s="3"/>
      <c r="K17" s="3">
        <f>SUM(K6:K16)</f>
        <v>2971.6</v>
      </c>
    </row>
    <row r="18" spans="1:13" ht="15.75" x14ac:dyDescent="0.25">
      <c r="B18" s="14">
        <v>42543</v>
      </c>
      <c r="C18" s="15">
        <v>21391</v>
      </c>
      <c r="D18" s="16" t="s">
        <v>6</v>
      </c>
      <c r="E18" s="17">
        <f>11.5+11.8+92</f>
        <v>115.3</v>
      </c>
      <c r="F18" s="13">
        <v>4756</v>
      </c>
    </row>
    <row r="19" spans="1:13" ht="15.75" x14ac:dyDescent="0.25">
      <c r="B19" s="14">
        <v>42543</v>
      </c>
      <c r="C19" s="15">
        <v>21392</v>
      </c>
      <c r="D19" s="16" t="s">
        <v>10</v>
      </c>
      <c r="E19" s="17">
        <v>98.2</v>
      </c>
      <c r="F19" s="13">
        <v>5302.8</v>
      </c>
    </row>
    <row r="20" spans="1:13" ht="15.75" x14ac:dyDescent="0.25">
      <c r="A20" s="18"/>
      <c r="B20" s="14">
        <v>42543</v>
      </c>
      <c r="C20" s="15">
        <v>21393</v>
      </c>
      <c r="D20" s="16" t="s">
        <v>153</v>
      </c>
      <c r="E20" s="17">
        <f>61.1+174.2</f>
        <v>235.29999999999998</v>
      </c>
      <c r="F20" s="13">
        <v>9919</v>
      </c>
    </row>
    <row r="21" spans="1:13" ht="15.75" x14ac:dyDescent="0.25">
      <c r="B21" s="14">
        <v>42543</v>
      </c>
      <c r="C21" s="15">
        <v>21394</v>
      </c>
      <c r="D21" s="16" t="s">
        <v>11</v>
      </c>
      <c r="E21" s="17">
        <f>16.6+16.6</f>
        <v>33.200000000000003</v>
      </c>
      <c r="F21" s="13">
        <v>1660</v>
      </c>
      <c r="I21" s="48"/>
      <c r="J21" s="49"/>
      <c r="K21" s="50"/>
      <c r="L21" s="51"/>
      <c r="M21" s="52"/>
    </row>
    <row r="22" spans="1:13" ht="15.75" x14ac:dyDescent="0.25">
      <c r="B22" s="14">
        <v>42543</v>
      </c>
      <c r="C22" s="15">
        <v>21395</v>
      </c>
      <c r="D22" s="16" t="s">
        <v>20</v>
      </c>
      <c r="E22" s="17">
        <v>387.2</v>
      </c>
      <c r="F22" s="13">
        <v>14713.6</v>
      </c>
      <c r="I22" s="31"/>
      <c r="J22" s="31"/>
      <c r="K22" s="53"/>
      <c r="L22" s="31"/>
      <c r="M22" s="31"/>
    </row>
    <row r="23" spans="1:13" ht="15.75" x14ac:dyDescent="0.25">
      <c r="B23" s="14">
        <v>42543</v>
      </c>
      <c r="C23" s="15">
        <v>21396</v>
      </c>
      <c r="D23" s="16" t="s">
        <v>9</v>
      </c>
      <c r="E23" s="17">
        <v>405.2</v>
      </c>
      <c r="F23" s="13">
        <v>15397.6</v>
      </c>
    </row>
    <row r="24" spans="1:13" x14ac:dyDescent="0.25">
      <c r="B24" s="14">
        <v>42543</v>
      </c>
      <c r="C24" s="19">
        <v>21397</v>
      </c>
      <c r="D24" s="16" t="s">
        <v>7</v>
      </c>
      <c r="E24" s="17">
        <v>71</v>
      </c>
      <c r="F24" s="13">
        <v>2698</v>
      </c>
    </row>
    <row r="25" spans="1:13" x14ac:dyDescent="0.25">
      <c r="B25" s="14">
        <v>42543</v>
      </c>
      <c r="C25" s="19">
        <v>21414</v>
      </c>
      <c r="D25" s="16" t="s">
        <v>0</v>
      </c>
      <c r="E25" s="17">
        <f>103.6+13.3</f>
        <v>116.89999999999999</v>
      </c>
      <c r="F25" s="13">
        <v>3645.6</v>
      </c>
    </row>
    <row r="26" spans="1:13" x14ac:dyDescent="0.25">
      <c r="B26" s="14">
        <v>42545</v>
      </c>
      <c r="C26" s="19">
        <v>21652</v>
      </c>
      <c r="D26" s="16" t="s">
        <v>6</v>
      </c>
      <c r="E26" s="17">
        <f>35+20.9</f>
        <v>55.9</v>
      </c>
      <c r="F26" s="13">
        <v>1437.8</v>
      </c>
    </row>
    <row r="27" spans="1:13" x14ac:dyDescent="0.25">
      <c r="B27" s="14">
        <v>42545</v>
      </c>
      <c r="C27" s="19">
        <v>21653</v>
      </c>
      <c r="D27" s="16" t="s">
        <v>153</v>
      </c>
      <c r="E27" s="17">
        <v>167</v>
      </c>
      <c r="F27" s="13">
        <v>6346</v>
      </c>
    </row>
    <row r="28" spans="1:13" x14ac:dyDescent="0.25">
      <c r="B28" s="14">
        <v>42545</v>
      </c>
      <c r="C28" s="19">
        <v>21655</v>
      </c>
      <c r="D28" s="16" t="s">
        <v>14</v>
      </c>
      <c r="E28" s="17">
        <v>82.2</v>
      </c>
      <c r="F28" s="13">
        <v>3123.6</v>
      </c>
    </row>
    <row r="29" spans="1:13" x14ac:dyDescent="0.25">
      <c r="B29" s="14">
        <v>42545</v>
      </c>
      <c r="C29" s="19">
        <v>21656</v>
      </c>
      <c r="D29" s="16" t="s">
        <v>7</v>
      </c>
      <c r="E29" s="17">
        <f>16.6+8.3+27.24+78.2+57.8</f>
        <v>188.14</v>
      </c>
      <c r="F29" s="13">
        <v>7575.36</v>
      </c>
    </row>
    <row r="30" spans="1:13" x14ac:dyDescent="0.25">
      <c r="B30" s="14">
        <v>42545</v>
      </c>
      <c r="C30" s="19">
        <v>21657</v>
      </c>
      <c r="D30" s="16" t="s">
        <v>20</v>
      </c>
      <c r="E30" s="17">
        <v>421.8</v>
      </c>
      <c r="F30" s="13">
        <v>16028.4</v>
      </c>
    </row>
    <row r="31" spans="1:13" x14ac:dyDescent="0.25">
      <c r="B31" s="14">
        <v>42545</v>
      </c>
      <c r="C31" s="19">
        <v>21658</v>
      </c>
      <c r="D31" s="16" t="s">
        <v>6</v>
      </c>
      <c r="E31" s="17">
        <f>54.8+161+89</f>
        <v>304.8</v>
      </c>
      <c r="F31" s="13">
        <v>12346.2</v>
      </c>
      <c r="K31" s="3">
        <f t="shared" ref="K31:K47" si="1">J31*I31</f>
        <v>0</v>
      </c>
    </row>
    <row r="32" spans="1:13" x14ac:dyDescent="0.25">
      <c r="B32" s="14">
        <v>42545</v>
      </c>
      <c r="C32" s="19">
        <v>21659</v>
      </c>
      <c r="D32" s="16" t="s">
        <v>9</v>
      </c>
      <c r="E32" s="17">
        <f>405.8</f>
        <v>405.8</v>
      </c>
      <c r="F32" s="13">
        <v>15826.2</v>
      </c>
      <c r="K32" s="3">
        <f t="shared" si="1"/>
        <v>0</v>
      </c>
    </row>
    <row r="33" spans="2:11" x14ac:dyDescent="0.25">
      <c r="B33" s="14">
        <v>42545</v>
      </c>
      <c r="C33" s="19">
        <v>21660</v>
      </c>
      <c r="D33" s="16" t="s">
        <v>192</v>
      </c>
      <c r="E33" s="17">
        <f>913.5+60.1</f>
        <v>973.6</v>
      </c>
      <c r="F33" s="13">
        <v>38835.800000000003</v>
      </c>
      <c r="K33" s="3">
        <f t="shared" si="1"/>
        <v>0</v>
      </c>
    </row>
    <row r="34" spans="2:11" x14ac:dyDescent="0.25">
      <c r="B34" s="14">
        <v>42545</v>
      </c>
      <c r="C34" s="19">
        <v>21661</v>
      </c>
      <c r="D34" s="16" t="s">
        <v>10</v>
      </c>
      <c r="E34" s="17">
        <f>27.24+21.1+87.4+204.8</f>
        <v>340.54</v>
      </c>
      <c r="F34" s="13">
        <v>15047.26</v>
      </c>
      <c r="K34" s="3">
        <f t="shared" si="1"/>
        <v>0</v>
      </c>
    </row>
    <row r="35" spans="2:11" x14ac:dyDescent="0.25">
      <c r="B35" s="14">
        <v>42545</v>
      </c>
      <c r="C35" s="19">
        <v>21662</v>
      </c>
      <c r="D35" s="16" t="s">
        <v>11</v>
      </c>
      <c r="E35" s="17">
        <f>12+63.5+54.8</f>
        <v>130.30000000000001</v>
      </c>
      <c r="F35" s="13">
        <v>4347.3999999999996</v>
      </c>
      <c r="K35" s="3">
        <f t="shared" si="1"/>
        <v>0</v>
      </c>
    </row>
    <row r="36" spans="2:11" x14ac:dyDescent="0.25">
      <c r="B36" s="14">
        <v>42545</v>
      </c>
      <c r="C36" s="19">
        <v>21663</v>
      </c>
      <c r="D36" s="16" t="s">
        <v>6</v>
      </c>
      <c r="E36" s="17">
        <v>78.599999999999994</v>
      </c>
      <c r="F36" s="13">
        <v>5109</v>
      </c>
      <c r="K36" s="3">
        <f t="shared" si="1"/>
        <v>0</v>
      </c>
    </row>
    <row r="37" spans="2:11" x14ac:dyDescent="0.25">
      <c r="B37" s="14">
        <v>42546</v>
      </c>
      <c r="C37" s="19">
        <v>21823</v>
      </c>
      <c r="D37" s="16" t="s">
        <v>318</v>
      </c>
      <c r="E37" s="17">
        <f>75.6+103.4</f>
        <v>179</v>
      </c>
      <c r="F37" s="13">
        <v>7161</v>
      </c>
      <c r="K37" s="3">
        <f t="shared" si="1"/>
        <v>0</v>
      </c>
    </row>
    <row r="38" spans="2:11" x14ac:dyDescent="0.25">
      <c r="B38" s="14">
        <v>42546</v>
      </c>
      <c r="C38" s="19">
        <v>21827</v>
      </c>
      <c r="D38" s="16" t="s">
        <v>12</v>
      </c>
      <c r="E38" s="17">
        <f>1043+68.2+89.2+17.3+273.4</f>
        <v>1491.1</v>
      </c>
      <c r="F38" s="13">
        <v>64587.5</v>
      </c>
      <c r="K38" s="3">
        <f t="shared" si="1"/>
        <v>0</v>
      </c>
    </row>
    <row r="39" spans="2:11" x14ac:dyDescent="0.25">
      <c r="B39" s="14">
        <v>42546</v>
      </c>
      <c r="C39" s="19">
        <v>21828</v>
      </c>
      <c r="D39" s="16" t="s">
        <v>153</v>
      </c>
      <c r="E39" s="17">
        <v>274.60000000000002</v>
      </c>
      <c r="F39" s="13">
        <v>10434.799999999999</v>
      </c>
      <c r="K39" s="3">
        <f t="shared" si="1"/>
        <v>0</v>
      </c>
    </row>
    <row r="40" spans="2:11" x14ac:dyDescent="0.25">
      <c r="B40" s="14">
        <v>42546</v>
      </c>
      <c r="C40" s="19">
        <v>21830</v>
      </c>
      <c r="D40" s="16" t="s">
        <v>192</v>
      </c>
      <c r="E40" s="17">
        <f>36.8+25.9+83</f>
        <v>145.69999999999999</v>
      </c>
      <c r="F40" s="13">
        <v>4414.8</v>
      </c>
      <c r="K40" s="3">
        <f t="shared" si="1"/>
        <v>0</v>
      </c>
    </row>
    <row r="41" spans="2:11" x14ac:dyDescent="0.25">
      <c r="B41" s="14">
        <v>42546</v>
      </c>
      <c r="C41" s="19">
        <v>21831</v>
      </c>
      <c r="D41" s="16" t="s">
        <v>20</v>
      </c>
      <c r="E41" s="17">
        <f>65.4+19.9+46.2+395.2</f>
        <v>526.70000000000005</v>
      </c>
      <c r="F41" s="13">
        <v>18220.5</v>
      </c>
      <c r="K41" s="3">
        <f t="shared" si="1"/>
        <v>0</v>
      </c>
    </row>
    <row r="42" spans="2:11" x14ac:dyDescent="0.25">
      <c r="B42" s="14">
        <v>42546</v>
      </c>
      <c r="C42" s="19">
        <v>21832</v>
      </c>
      <c r="D42" s="16" t="s">
        <v>9</v>
      </c>
      <c r="E42" s="17">
        <v>424.8</v>
      </c>
      <c r="F42" s="13">
        <v>16142.4</v>
      </c>
      <c r="K42" s="3">
        <f t="shared" si="1"/>
        <v>0</v>
      </c>
    </row>
    <row r="43" spans="2:11" x14ac:dyDescent="0.25">
      <c r="B43" s="14">
        <v>42546</v>
      </c>
      <c r="C43" s="19">
        <v>21833</v>
      </c>
      <c r="D43" s="16" t="s">
        <v>6</v>
      </c>
      <c r="E43" s="17">
        <v>95</v>
      </c>
      <c r="F43" s="13">
        <v>3610</v>
      </c>
      <c r="K43" s="3">
        <f t="shared" si="1"/>
        <v>0</v>
      </c>
    </row>
    <row r="44" spans="2:11" x14ac:dyDescent="0.25">
      <c r="B44" s="14">
        <v>42546</v>
      </c>
      <c r="C44" s="19">
        <v>21834</v>
      </c>
      <c r="D44" s="16" t="s">
        <v>10</v>
      </c>
      <c r="E44" s="17">
        <f>180.6+22.5+148.2+24+3+111.6</f>
        <v>489.9</v>
      </c>
      <c r="F44" s="13">
        <v>22213.5</v>
      </c>
      <c r="K44" s="3">
        <f t="shared" si="1"/>
        <v>0</v>
      </c>
    </row>
    <row r="45" spans="2:11" x14ac:dyDescent="0.25">
      <c r="B45" s="14">
        <v>42546</v>
      </c>
      <c r="C45" s="19">
        <v>21835</v>
      </c>
      <c r="D45" s="16" t="s">
        <v>9</v>
      </c>
      <c r="E45" s="17">
        <v>116</v>
      </c>
      <c r="F45" s="13">
        <v>4872</v>
      </c>
      <c r="K45" s="3">
        <f t="shared" si="1"/>
        <v>0</v>
      </c>
    </row>
    <row r="46" spans="2:11" ht="15.75" thickBot="1" x14ac:dyDescent="0.3">
      <c r="B46" s="14"/>
      <c r="C46" s="19"/>
      <c r="D46" s="16"/>
      <c r="E46" s="17"/>
      <c r="F46" s="13"/>
      <c r="K46" s="3">
        <f t="shared" si="1"/>
        <v>0</v>
      </c>
    </row>
    <row r="47" spans="2:11" ht="15.75" thickBot="1" x14ac:dyDescent="0.3">
      <c r="B47" s="21" t="s">
        <v>233</v>
      </c>
      <c r="C47" s="22"/>
      <c r="D47" s="23"/>
      <c r="E47" s="24">
        <v>0</v>
      </c>
      <c r="F47" s="25">
        <f>SUM(F3:F46)</f>
        <v>542059.61</v>
      </c>
      <c r="K47" s="3">
        <f t="shared" si="1"/>
        <v>0</v>
      </c>
    </row>
    <row r="48" spans="2:11" ht="19.5" thickBot="1" x14ac:dyDescent="0.35">
      <c r="B48" s="26"/>
      <c r="C48" s="27"/>
      <c r="D48" s="28" t="s">
        <v>5</v>
      </c>
      <c r="E48" s="29">
        <f>SUM(E3:E47)</f>
        <v>13302.791000000001</v>
      </c>
      <c r="I48" s="30">
        <f>SUM(I47:I47)</f>
        <v>0</v>
      </c>
      <c r="J48" s="30"/>
      <c r="K48" s="30">
        <f>SUM(K47:K47)</f>
        <v>0</v>
      </c>
    </row>
    <row r="49" spans="2:13" x14ac:dyDescent="0.25">
      <c r="B49" s="26"/>
      <c r="C49" s="27"/>
      <c r="D49" s="31"/>
      <c r="E49" s="32"/>
      <c r="I49" s="30">
        <f>SUM(I31:I48)</f>
        <v>0</v>
      </c>
      <c r="J49" s="30"/>
      <c r="K49" s="30">
        <f>SUM(K31:K48)</f>
        <v>0</v>
      </c>
    </row>
    <row r="50" spans="2:13" ht="21.75" thickBot="1" x14ac:dyDescent="0.4">
      <c r="B50" s="33"/>
      <c r="C50" s="34" t="s">
        <v>15</v>
      </c>
      <c r="D50" s="35">
        <f>E48*0.2</f>
        <v>2660.5582000000004</v>
      </c>
      <c r="F50"/>
      <c r="K50"/>
    </row>
    <row r="51" spans="2:13" ht="21.75" thickBot="1" x14ac:dyDescent="0.4">
      <c r="C51" s="36" t="s">
        <v>16</v>
      </c>
      <c r="D51" s="37">
        <v>3000</v>
      </c>
      <c r="E51" s="38"/>
      <c r="F51" s="85">
        <f>D50+D51</f>
        <v>5660.5582000000004</v>
      </c>
      <c r="G51" s="86"/>
      <c r="I51" s="39"/>
      <c r="J51" s="39"/>
      <c r="K51" s="39"/>
      <c r="L51" s="39"/>
      <c r="M51" s="39"/>
    </row>
    <row r="52" spans="2:13" ht="15.75" thickTop="1" x14ac:dyDescent="0.25">
      <c r="I52" s="39"/>
      <c r="J52" s="39"/>
      <c r="K52" s="40"/>
      <c r="L52" s="40"/>
      <c r="M52" s="40"/>
    </row>
    <row r="53" spans="2:13" ht="19.5" thickBot="1" x14ac:dyDescent="0.35">
      <c r="D53" s="55"/>
      <c r="E53" s="41" t="s">
        <v>311</v>
      </c>
      <c r="F53" s="87">
        <v>0</v>
      </c>
      <c r="G53" s="87"/>
      <c r="I53" s="39"/>
      <c r="J53" s="39"/>
      <c r="K53" s="40"/>
      <c r="L53" s="40"/>
      <c r="M53" s="40"/>
    </row>
    <row r="54" spans="2:13" ht="15.75" thickTop="1" x14ac:dyDescent="0.25">
      <c r="C54"/>
      <c r="F54" s="88">
        <f>F51+F53</f>
        <v>5660.5582000000004</v>
      </c>
      <c r="G54" s="88"/>
      <c r="I54" s="39"/>
      <c r="J54" s="39"/>
      <c r="K54" s="40"/>
      <c r="L54" s="40"/>
      <c r="M54" s="40"/>
    </row>
    <row r="55" spans="2:13" ht="18.75" x14ac:dyDescent="0.3">
      <c r="C55"/>
      <c r="E55" s="2" t="s">
        <v>18</v>
      </c>
      <c r="F55" s="89"/>
      <c r="G55" s="89"/>
      <c r="K55"/>
    </row>
  </sheetData>
  <sortState ref="B11:F12">
    <sortCondition ref="C11:C12"/>
  </sortState>
  <mergeCells count="4">
    <mergeCell ref="B1:C1"/>
    <mergeCell ref="F51:G51"/>
    <mergeCell ref="F53:G53"/>
    <mergeCell ref="F54:G55"/>
  </mergeCells>
  <pageMargins left="0.70866141732283472" right="0.70866141732283472" top="0.15748031496062992" bottom="0.19685039370078741" header="0.31496062992125984" footer="0.31496062992125984"/>
  <pageSetup scale="80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55"/>
  <sheetViews>
    <sheetView workbookViewId="0">
      <selection sqref="A1:XFD104857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42557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319</v>
      </c>
      <c r="G2" s="8"/>
      <c r="K2"/>
    </row>
    <row r="3" spans="2:11" ht="15.75" x14ac:dyDescent="0.25">
      <c r="B3" s="9">
        <v>42542</v>
      </c>
      <c r="C3" s="10">
        <v>21293</v>
      </c>
      <c r="D3" s="11" t="s">
        <v>11</v>
      </c>
      <c r="E3" s="12">
        <f>50+2</f>
        <v>52</v>
      </c>
      <c r="F3" s="13">
        <v>2870</v>
      </c>
      <c r="K3"/>
    </row>
    <row r="4" spans="2:11" ht="15.75" x14ac:dyDescent="0.25">
      <c r="B4" s="14">
        <v>42548</v>
      </c>
      <c r="C4" s="15">
        <v>22041</v>
      </c>
      <c r="D4" s="16" t="s">
        <v>189</v>
      </c>
      <c r="E4" s="17">
        <f>478.8</f>
        <v>478.8</v>
      </c>
      <c r="F4" s="13">
        <v>18595.2</v>
      </c>
      <c r="K4"/>
    </row>
    <row r="5" spans="2:11" ht="15.75" x14ac:dyDescent="0.25">
      <c r="B5" s="14">
        <v>42548</v>
      </c>
      <c r="C5" s="15">
        <v>22042</v>
      </c>
      <c r="D5" s="16" t="s">
        <v>320</v>
      </c>
      <c r="E5" s="17">
        <f>156+239.6</f>
        <v>395.6</v>
      </c>
      <c r="F5" s="13">
        <v>17824.400000000001</v>
      </c>
      <c r="K5"/>
    </row>
    <row r="6" spans="2:11" ht="15.75" x14ac:dyDescent="0.25">
      <c r="B6" s="14">
        <v>42548</v>
      </c>
      <c r="C6" s="47">
        <v>22043</v>
      </c>
      <c r="D6" s="16" t="s">
        <v>7</v>
      </c>
      <c r="E6" s="56">
        <f>31.3+92.6</f>
        <v>123.89999999999999</v>
      </c>
      <c r="F6" s="13">
        <v>5332.9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42548</v>
      </c>
      <c r="C7" s="15">
        <v>22044</v>
      </c>
      <c r="D7" s="16" t="s">
        <v>192</v>
      </c>
      <c r="E7" s="17">
        <f>15.1+40.2+62.9+76</f>
        <v>194.2</v>
      </c>
      <c r="F7" s="13">
        <v>7233.3</v>
      </c>
      <c r="K7" s="3">
        <f t="shared" si="0"/>
        <v>0</v>
      </c>
    </row>
    <row r="8" spans="2:11" ht="15.75" x14ac:dyDescent="0.25">
      <c r="B8" s="14">
        <v>42548</v>
      </c>
      <c r="C8" s="15">
        <v>22046</v>
      </c>
      <c r="D8" s="16" t="s">
        <v>294</v>
      </c>
      <c r="E8" s="17">
        <f>60.4+121.2</f>
        <v>181.6</v>
      </c>
      <c r="F8" s="13">
        <v>8594</v>
      </c>
      <c r="K8" s="3">
        <f t="shared" si="0"/>
        <v>0</v>
      </c>
    </row>
    <row r="9" spans="2:11" ht="15.75" x14ac:dyDescent="0.25">
      <c r="B9" s="14">
        <v>42549</v>
      </c>
      <c r="C9" s="15">
        <v>22181</v>
      </c>
      <c r="D9" s="16" t="s">
        <v>189</v>
      </c>
      <c r="E9" s="17">
        <v>408</v>
      </c>
      <c r="F9" s="13">
        <v>15912</v>
      </c>
      <c r="K9" s="3">
        <f t="shared" si="0"/>
        <v>0</v>
      </c>
    </row>
    <row r="10" spans="2:11" ht="15.75" x14ac:dyDescent="0.25">
      <c r="B10" s="14">
        <v>42549</v>
      </c>
      <c r="C10" s="15">
        <v>22182</v>
      </c>
      <c r="D10" s="16" t="s">
        <v>9</v>
      </c>
      <c r="E10" s="17">
        <v>374.2</v>
      </c>
      <c r="F10" s="13">
        <v>14968</v>
      </c>
      <c r="K10" s="3">
        <f t="shared" si="0"/>
        <v>0</v>
      </c>
    </row>
    <row r="11" spans="2:11" ht="15.75" x14ac:dyDescent="0.25">
      <c r="B11" s="14">
        <v>42549</v>
      </c>
      <c r="C11" s="44">
        <v>22183</v>
      </c>
      <c r="D11" s="16" t="s">
        <v>7</v>
      </c>
      <c r="E11" s="17">
        <v>75.400000000000006</v>
      </c>
      <c r="F11" s="13">
        <v>2940.6</v>
      </c>
      <c r="K11" s="3">
        <f t="shared" si="0"/>
        <v>0</v>
      </c>
    </row>
    <row r="12" spans="2:11" ht="15.75" x14ac:dyDescent="0.25">
      <c r="B12" s="14">
        <v>42549</v>
      </c>
      <c r="C12" s="15">
        <v>22184</v>
      </c>
      <c r="D12" s="16" t="s">
        <v>14</v>
      </c>
      <c r="E12" s="17">
        <f>226.2+102.8</f>
        <v>329</v>
      </c>
      <c r="F12" s="13">
        <v>16121</v>
      </c>
      <c r="K12" s="3">
        <f t="shared" si="0"/>
        <v>0</v>
      </c>
    </row>
    <row r="13" spans="2:11" ht="15.75" x14ac:dyDescent="0.25">
      <c r="B13" s="14">
        <v>42549</v>
      </c>
      <c r="C13" s="15">
        <v>22185</v>
      </c>
      <c r="D13" s="16" t="s">
        <v>6</v>
      </c>
      <c r="E13" s="17">
        <v>62</v>
      </c>
      <c r="F13" s="13">
        <v>3100</v>
      </c>
      <c r="K13" s="3">
        <f t="shared" si="0"/>
        <v>0</v>
      </c>
    </row>
    <row r="14" spans="2:11" ht="15.75" x14ac:dyDescent="0.25">
      <c r="B14" s="14">
        <v>42549</v>
      </c>
      <c r="C14" s="15">
        <v>22186</v>
      </c>
      <c r="D14" s="16" t="s">
        <v>10</v>
      </c>
      <c r="E14" s="17">
        <f>118.4+63.4</f>
        <v>181.8</v>
      </c>
      <c r="F14" s="13">
        <v>8459.7999999999993</v>
      </c>
      <c r="K14" s="3">
        <f t="shared" si="0"/>
        <v>0</v>
      </c>
    </row>
    <row r="15" spans="2:11" ht="15.75" x14ac:dyDescent="0.25">
      <c r="B15" s="14">
        <v>42549</v>
      </c>
      <c r="C15" s="15">
        <v>22187</v>
      </c>
      <c r="D15" s="16" t="s">
        <v>192</v>
      </c>
      <c r="E15" s="17">
        <f>45.4+25.9</f>
        <v>71.3</v>
      </c>
      <c r="F15" s="13">
        <v>3701.2</v>
      </c>
      <c r="K15" s="3">
        <f t="shared" si="0"/>
        <v>0</v>
      </c>
    </row>
    <row r="16" spans="2:11" ht="15.75" x14ac:dyDescent="0.25">
      <c r="B16" s="14">
        <v>42550</v>
      </c>
      <c r="C16" s="15">
        <v>22313</v>
      </c>
      <c r="D16" s="16" t="s">
        <v>11</v>
      </c>
      <c r="E16" s="17">
        <v>91.8</v>
      </c>
      <c r="F16" s="13">
        <v>4590</v>
      </c>
      <c r="K16" s="3">
        <f t="shared" si="0"/>
        <v>0</v>
      </c>
    </row>
    <row r="17" spans="1:13" ht="15.75" x14ac:dyDescent="0.25">
      <c r="B17" s="14">
        <v>42550</v>
      </c>
      <c r="C17" s="15">
        <v>22314</v>
      </c>
      <c r="D17" s="16" t="s">
        <v>189</v>
      </c>
      <c r="E17" s="17">
        <v>235.8</v>
      </c>
      <c r="F17" s="13">
        <v>11554.2</v>
      </c>
      <c r="I17" s="3"/>
      <c r="J17" s="3"/>
      <c r="K17" s="3">
        <f>SUM(K6:K16)</f>
        <v>0</v>
      </c>
    </row>
    <row r="18" spans="1:13" ht="15.75" x14ac:dyDescent="0.25">
      <c r="B18" s="14">
        <v>42550</v>
      </c>
      <c r="C18" s="15">
        <v>22315</v>
      </c>
      <c r="D18" s="16" t="s">
        <v>9</v>
      </c>
      <c r="E18" s="17">
        <v>244.5</v>
      </c>
      <c r="F18" s="13">
        <v>9535.5</v>
      </c>
    </row>
    <row r="19" spans="1:13" ht="15.75" x14ac:dyDescent="0.25">
      <c r="B19" s="14">
        <v>42550</v>
      </c>
      <c r="C19" s="15">
        <v>22316</v>
      </c>
      <c r="D19" s="16" t="s">
        <v>14</v>
      </c>
      <c r="E19" s="17">
        <v>163.6</v>
      </c>
      <c r="F19" s="13">
        <v>6380.4</v>
      </c>
    </row>
    <row r="20" spans="1:13" ht="15.75" x14ac:dyDescent="0.25">
      <c r="A20" s="18"/>
      <c r="B20" s="14">
        <v>42550</v>
      </c>
      <c r="C20" s="15">
        <v>22317</v>
      </c>
      <c r="D20" s="16" t="s">
        <v>153</v>
      </c>
      <c r="E20" s="17">
        <v>76.599999999999994</v>
      </c>
      <c r="F20" s="13">
        <v>2987.4</v>
      </c>
    </row>
    <row r="21" spans="1:13" ht="15.75" x14ac:dyDescent="0.25">
      <c r="B21" s="14">
        <v>42550</v>
      </c>
      <c r="C21" s="15">
        <v>22318</v>
      </c>
      <c r="D21" s="16" t="s">
        <v>192</v>
      </c>
      <c r="E21" s="17">
        <f>13.6+57.2</f>
        <v>70.8</v>
      </c>
      <c r="F21" s="13">
        <v>2404</v>
      </c>
      <c r="I21" s="48"/>
      <c r="J21" s="49"/>
      <c r="K21" s="50"/>
      <c r="L21" s="51"/>
      <c r="M21" s="52"/>
    </row>
    <row r="22" spans="1:13" ht="15.75" x14ac:dyDescent="0.25">
      <c r="B22" s="14">
        <v>42550</v>
      </c>
      <c r="C22" s="15">
        <v>22319</v>
      </c>
      <c r="D22" s="16" t="s">
        <v>6</v>
      </c>
      <c r="E22" s="17">
        <v>53.2</v>
      </c>
      <c r="F22" s="13">
        <v>2660</v>
      </c>
      <c r="I22" s="31"/>
      <c r="J22" s="31"/>
      <c r="K22" s="53"/>
      <c r="L22" s="31"/>
      <c r="M22" s="31"/>
    </row>
    <row r="23" spans="1:13" ht="15.75" x14ac:dyDescent="0.25">
      <c r="B23" s="14">
        <v>42551</v>
      </c>
      <c r="C23" s="15">
        <v>22437</v>
      </c>
      <c r="D23" s="16" t="s">
        <v>192</v>
      </c>
      <c r="E23" s="17">
        <v>911.7</v>
      </c>
      <c r="F23" s="13">
        <v>38291.4</v>
      </c>
    </row>
    <row r="24" spans="1:13" x14ac:dyDescent="0.25">
      <c r="B24" s="14">
        <v>42551</v>
      </c>
      <c r="C24" s="19">
        <v>22439</v>
      </c>
      <c r="D24" s="16" t="s">
        <v>11</v>
      </c>
      <c r="E24" s="17">
        <v>80</v>
      </c>
      <c r="F24" s="13">
        <v>3120</v>
      </c>
    </row>
    <row r="25" spans="1:13" x14ac:dyDescent="0.25">
      <c r="B25" s="14">
        <v>42551</v>
      </c>
      <c r="C25" s="19">
        <v>22440</v>
      </c>
      <c r="D25" s="16" t="s">
        <v>7</v>
      </c>
      <c r="E25" s="17">
        <v>82</v>
      </c>
      <c r="F25" s="13">
        <v>3198</v>
      </c>
    </row>
    <row r="26" spans="1:13" x14ac:dyDescent="0.25">
      <c r="B26" s="14">
        <v>42551</v>
      </c>
      <c r="C26" s="19">
        <v>22449</v>
      </c>
      <c r="D26" s="16" t="s">
        <v>7</v>
      </c>
      <c r="E26" s="17">
        <v>7.9</v>
      </c>
      <c r="F26" s="13">
        <v>213.3</v>
      </c>
    </row>
    <row r="27" spans="1:13" x14ac:dyDescent="0.25">
      <c r="B27" s="14">
        <v>42551</v>
      </c>
      <c r="C27" s="19">
        <v>22451</v>
      </c>
      <c r="D27" s="16" t="s">
        <v>189</v>
      </c>
      <c r="E27" s="17">
        <v>238.4</v>
      </c>
      <c r="F27" s="13">
        <v>11681.6</v>
      </c>
    </row>
    <row r="28" spans="1:13" x14ac:dyDescent="0.25">
      <c r="B28" s="14">
        <v>42551</v>
      </c>
      <c r="C28" s="19">
        <v>22460</v>
      </c>
      <c r="D28" s="16" t="s">
        <v>6</v>
      </c>
      <c r="E28" s="17">
        <f>51.3+20.6+163.5</f>
        <v>235.4</v>
      </c>
      <c r="F28" s="13">
        <v>10056.5</v>
      </c>
    </row>
    <row r="29" spans="1:13" x14ac:dyDescent="0.25">
      <c r="B29" s="14">
        <v>42551</v>
      </c>
      <c r="C29" s="19">
        <v>22461</v>
      </c>
      <c r="D29" s="16" t="s">
        <v>6</v>
      </c>
      <c r="E29" s="17">
        <f>82.6+236</f>
        <v>318.60000000000002</v>
      </c>
      <c r="F29" s="13">
        <v>14809</v>
      </c>
    </row>
    <row r="30" spans="1:13" x14ac:dyDescent="0.25">
      <c r="B30" s="14">
        <v>42552</v>
      </c>
      <c r="C30" s="19">
        <v>22592</v>
      </c>
      <c r="D30" s="16" t="s">
        <v>13</v>
      </c>
      <c r="E30" s="17">
        <f>95.8+287.4</f>
        <v>383.2</v>
      </c>
      <c r="F30" s="13">
        <v>18872.599999999999</v>
      </c>
    </row>
    <row r="31" spans="1:13" x14ac:dyDescent="0.25">
      <c r="B31" s="14">
        <v>42552</v>
      </c>
      <c r="C31" s="19">
        <v>22594</v>
      </c>
      <c r="D31" s="16" t="s">
        <v>189</v>
      </c>
      <c r="E31" s="17">
        <f>117.2+407.5</f>
        <v>524.70000000000005</v>
      </c>
      <c r="F31" s="13">
        <v>20932.099999999999</v>
      </c>
      <c r="K31" s="3">
        <f t="shared" ref="K31:K47" si="1">J31*I31</f>
        <v>0</v>
      </c>
    </row>
    <row r="32" spans="1:13" x14ac:dyDescent="0.25">
      <c r="B32" s="14">
        <v>42552</v>
      </c>
      <c r="C32" s="19">
        <v>22597</v>
      </c>
      <c r="D32" s="16" t="s">
        <v>14</v>
      </c>
      <c r="E32" s="17">
        <f>398.3</f>
        <v>398.3</v>
      </c>
      <c r="F32" s="13">
        <v>15533.7</v>
      </c>
      <c r="K32" s="3">
        <f t="shared" si="1"/>
        <v>0</v>
      </c>
    </row>
    <row r="33" spans="2:11" x14ac:dyDescent="0.25">
      <c r="B33" s="14">
        <v>42552</v>
      </c>
      <c r="C33" s="19">
        <v>22598</v>
      </c>
      <c r="D33" s="16" t="s">
        <v>9</v>
      </c>
      <c r="E33" s="17">
        <v>390.2</v>
      </c>
      <c r="F33" s="13">
        <v>15217.8</v>
      </c>
      <c r="K33" s="3">
        <f t="shared" si="1"/>
        <v>0</v>
      </c>
    </row>
    <row r="34" spans="2:11" x14ac:dyDescent="0.25">
      <c r="B34" s="14">
        <v>42552</v>
      </c>
      <c r="C34" s="19">
        <v>22600</v>
      </c>
      <c r="D34" s="16" t="s">
        <v>12</v>
      </c>
      <c r="E34" s="17">
        <f>12.4+104.6+67.9+101.7+102.6</f>
        <v>389.20000000000005</v>
      </c>
      <c r="F34" s="13">
        <v>20141.3</v>
      </c>
      <c r="K34" s="3">
        <f t="shared" si="1"/>
        <v>0</v>
      </c>
    </row>
    <row r="35" spans="2:11" x14ac:dyDescent="0.25">
      <c r="B35" s="14">
        <v>42552</v>
      </c>
      <c r="C35" s="19">
        <v>22601</v>
      </c>
      <c r="D35" s="16" t="s">
        <v>192</v>
      </c>
      <c r="E35" s="17">
        <f>96.2+61.1+12.2+46.9</f>
        <v>216.4</v>
      </c>
      <c r="F35" s="13">
        <v>7489.9</v>
      </c>
      <c r="K35" s="3">
        <f t="shared" si="1"/>
        <v>0</v>
      </c>
    </row>
    <row r="36" spans="2:11" x14ac:dyDescent="0.25">
      <c r="B36" s="14">
        <v>42552</v>
      </c>
      <c r="C36" s="19">
        <v>22602</v>
      </c>
      <c r="D36" s="16" t="s">
        <v>6</v>
      </c>
      <c r="E36" s="17">
        <v>36.9</v>
      </c>
      <c r="F36" s="13">
        <v>1476</v>
      </c>
      <c r="K36" s="3">
        <f t="shared" si="1"/>
        <v>0</v>
      </c>
    </row>
    <row r="37" spans="2:11" x14ac:dyDescent="0.25">
      <c r="B37" s="14">
        <v>42552</v>
      </c>
      <c r="C37" s="19">
        <v>22603</v>
      </c>
      <c r="D37" s="16" t="s">
        <v>10</v>
      </c>
      <c r="E37" s="17">
        <f>115.6+87.1+1+27.24</f>
        <v>230.94</v>
      </c>
      <c r="F37" s="13">
        <v>11757.1</v>
      </c>
      <c r="K37" s="3">
        <f t="shared" si="1"/>
        <v>0</v>
      </c>
    </row>
    <row r="38" spans="2:11" x14ac:dyDescent="0.25">
      <c r="B38" s="14">
        <v>42553</v>
      </c>
      <c r="C38" s="19">
        <v>22751</v>
      </c>
      <c r="D38" s="16" t="s">
        <v>11</v>
      </c>
      <c r="E38" s="17">
        <f>64.2+123</f>
        <v>187.2</v>
      </c>
      <c r="F38" s="13">
        <v>7369.8</v>
      </c>
      <c r="K38" s="3">
        <f t="shared" si="1"/>
        <v>0</v>
      </c>
    </row>
    <row r="39" spans="2:11" x14ac:dyDescent="0.25">
      <c r="B39" s="14">
        <v>42553</v>
      </c>
      <c r="C39" s="19">
        <v>22752</v>
      </c>
      <c r="D39" s="16" t="s">
        <v>153</v>
      </c>
      <c r="E39" s="17">
        <f>18.8+27.24+1+262.6</f>
        <v>309.64000000000004</v>
      </c>
      <c r="F39" s="13">
        <v>12969.8</v>
      </c>
      <c r="K39" s="3">
        <f t="shared" si="1"/>
        <v>0</v>
      </c>
    </row>
    <row r="40" spans="2:11" x14ac:dyDescent="0.25">
      <c r="B40" s="14">
        <v>42553</v>
      </c>
      <c r="C40" s="19">
        <v>22753</v>
      </c>
      <c r="D40" s="16" t="s">
        <v>10</v>
      </c>
      <c r="E40" s="17">
        <f>363+43.9+11.4+4+25.5+54.48+20.7+25.2+247.6</f>
        <v>795.78000000000009</v>
      </c>
      <c r="F40" s="13">
        <v>36775.199999999997</v>
      </c>
      <c r="K40" s="3">
        <f t="shared" si="1"/>
        <v>0</v>
      </c>
    </row>
    <row r="41" spans="2:11" x14ac:dyDescent="0.25">
      <c r="B41" s="14">
        <v>42553</v>
      </c>
      <c r="C41" s="19">
        <v>22754</v>
      </c>
      <c r="D41" s="16" t="s">
        <v>7</v>
      </c>
      <c r="E41" s="17">
        <f>26.2+73.8+2</f>
        <v>102</v>
      </c>
      <c r="F41" s="13">
        <v>4141.2</v>
      </c>
      <c r="K41" s="3">
        <f t="shared" si="1"/>
        <v>0</v>
      </c>
    </row>
    <row r="42" spans="2:11" x14ac:dyDescent="0.25">
      <c r="B42" s="14">
        <v>42553</v>
      </c>
      <c r="C42" s="19">
        <v>22756</v>
      </c>
      <c r="D42" s="16" t="s">
        <v>9</v>
      </c>
      <c r="E42" s="17">
        <v>428.2</v>
      </c>
      <c r="F42" s="13">
        <v>17128</v>
      </c>
      <c r="K42" s="3">
        <f t="shared" si="1"/>
        <v>0</v>
      </c>
    </row>
    <row r="43" spans="2:11" x14ac:dyDescent="0.25">
      <c r="B43" s="14">
        <v>42553</v>
      </c>
      <c r="C43" s="19">
        <v>22757</v>
      </c>
      <c r="D43" s="16" t="s">
        <v>189</v>
      </c>
      <c r="E43" s="17">
        <v>416.7</v>
      </c>
      <c r="F43" s="13">
        <v>16668</v>
      </c>
      <c r="K43" s="3">
        <f t="shared" si="1"/>
        <v>0</v>
      </c>
    </row>
    <row r="44" spans="2:11" x14ac:dyDescent="0.25">
      <c r="B44" s="14">
        <v>42553</v>
      </c>
      <c r="C44" s="19">
        <v>22759</v>
      </c>
      <c r="D44" s="16" t="s">
        <v>14</v>
      </c>
      <c r="E44" s="17">
        <v>437.5</v>
      </c>
      <c r="F44" s="13">
        <v>17500</v>
      </c>
      <c r="K44" s="3">
        <f t="shared" si="1"/>
        <v>0</v>
      </c>
    </row>
    <row r="45" spans="2:11" x14ac:dyDescent="0.25">
      <c r="B45" s="14">
        <v>42553</v>
      </c>
      <c r="C45" s="19">
        <v>22760</v>
      </c>
      <c r="D45" s="16" t="s">
        <v>6</v>
      </c>
      <c r="E45" s="17">
        <v>15.9</v>
      </c>
      <c r="F45" s="13">
        <v>699.6</v>
      </c>
      <c r="K45" s="3">
        <f t="shared" si="1"/>
        <v>0</v>
      </c>
    </row>
    <row r="46" spans="2:11" ht="15.75" thickBot="1" x14ac:dyDescent="0.3">
      <c r="B46" s="14"/>
      <c r="C46" s="19"/>
      <c r="D46" s="16"/>
      <c r="E46" s="17"/>
      <c r="F46" s="13"/>
      <c r="K46" s="3">
        <f t="shared" si="1"/>
        <v>0</v>
      </c>
    </row>
    <row r="47" spans="2:11" ht="15.75" thickBot="1" x14ac:dyDescent="0.3">
      <c r="B47" s="21" t="s">
        <v>233</v>
      </c>
      <c r="C47" s="22"/>
      <c r="D47" s="23"/>
      <c r="E47" s="24">
        <v>0</v>
      </c>
      <c r="F47" s="25">
        <f>SUM(F3:F46)</f>
        <v>471805.79999999993</v>
      </c>
      <c r="K47" s="3">
        <f t="shared" si="1"/>
        <v>0</v>
      </c>
    </row>
    <row r="48" spans="2:11" ht="19.5" thickBot="1" x14ac:dyDescent="0.35">
      <c r="B48" s="26"/>
      <c r="C48" s="27"/>
      <c r="D48" s="28" t="s">
        <v>5</v>
      </c>
      <c r="E48" s="29">
        <f>SUM(E3:E47)</f>
        <v>11000.86</v>
      </c>
      <c r="I48" s="30">
        <f>SUM(I47:I47)</f>
        <v>0</v>
      </c>
      <c r="J48" s="30"/>
      <c r="K48" s="30">
        <f>SUM(K47:K47)</f>
        <v>0</v>
      </c>
    </row>
    <row r="49" spans="2:13" x14ac:dyDescent="0.25">
      <c r="B49" s="26"/>
      <c r="C49" s="27"/>
      <c r="D49" s="31"/>
      <c r="E49" s="32"/>
      <c r="I49" s="30">
        <f>SUM(I31:I48)</f>
        <v>0</v>
      </c>
      <c r="J49" s="30"/>
      <c r="K49" s="30">
        <f>SUM(K31:K48)</f>
        <v>0</v>
      </c>
    </row>
    <row r="50" spans="2:13" ht="21.75" thickBot="1" x14ac:dyDescent="0.4">
      <c r="B50" s="33"/>
      <c r="C50" s="34" t="s">
        <v>15</v>
      </c>
      <c r="D50" s="35">
        <f>E48*0.2</f>
        <v>2200.172</v>
      </c>
      <c r="F50"/>
      <c r="K50"/>
    </row>
    <row r="51" spans="2:13" ht="21.75" thickBot="1" x14ac:dyDescent="0.4">
      <c r="C51" s="36" t="s">
        <v>16</v>
      </c>
      <c r="D51" s="37">
        <v>3000</v>
      </c>
      <c r="E51" s="38"/>
      <c r="F51" s="85">
        <f>D50+D51</f>
        <v>5200.1720000000005</v>
      </c>
      <c r="G51" s="86"/>
      <c r="I51" s="39"/>
      <c r="J51" s="39"/>
      <c r="K51" s="39"/>
      <c r="L51" s="39"/>
      <c r="M51" s="39"/>
    </row>
    <row r="52" spans="2:13" ht="15.75" thickTop="1" x14ac:dyDescent="0.25">
      <c r="I52" s="39"/>
      <c r="J52" s="39"/>
      <c r="K52" s="40"/>
      <c r="L52" s="40"/>
      <c r="M52" s="40"/>
    </row>
    <row r="53" spans="2:13" ht="19.5" thickBot="1" x14ac:dyDescent="0.35">
      <c r="D53" s="55"/>
      <c r="E53" s="41" t="s">
        <v>311</v>
      </c>
      <c r="F53" s="87">
        <v>0</v>
      </c>
      <c r="G53" s="87"/>
      <c r="I53" s="39"/>
      <c r="J53" s="39"/>
      <c r="K53" s="40"/>
      <c r="L53" s="40"/>
      <c r="M53" s="40"/>
    </row>
    <row r="54" spans="2:13" ht="15.75" thickTop="1" x14ac:dyDescent="0.25">
      <c r="C54"/>
      <c r="F54" s="88">
        <f>F51+F53</f>
        <v>5200.1720000000005</v>
      </c>
      <c r="G54" s="88"/>
      <c r="I54" s="39"/>
      <c r="J54" s="39"/>
      <c r="K54" s="40"/>
      <c r="L54" s="40"/>
      <c r="M54" s="40"/>
    </row>
    <row r="55" spans="2:13" ht="18.75" x14ac:dyDescent="0.3">
      <c r="C55"/>
      <c r="E55" s="2" t="s">
        <v>18</v>
      </c>
      <c r="F55" s="89"/>
      <c r="G55" s="89"/>
      <c r="K55"/>
    </row>
  </sheetData>
  <mergeCells count="4">
    <mergeCell ref="B1:C1"/>
    <mergeCell ref="F51:G51"/>
    <mergeCell ref="F53:G53"/>
    <mergeCell ref="F54:G55"/>
  </mergeCells>
  <pageMargins left="0.70866141732283472" right="0.70866141732283472" top="0.15748031496062992" bottom="0.15748031496062992" header="0.31496062992125984" footer="0.31496062992125984"/>
  <pageSetup scale="85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56"/>
  <sheetViews>
    <sheetView topLeftCell="A31" workbookViewId="0">
      <selection activeCell="D55" sqref="D55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42564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321</v>
      </c>
      <c r="G2" s="8"/>
      <c r="K2"/>
    </row>
    <row r="3" spans="2:11" ht="15.75" x14ac:dyDescent="0.25">
      <c r="B3" s="9">
        <v>42553</v>
      </c>
      <c r="C3" s="10">
        <v>22758</v>
      </c>
      <c r="D3" s="11" t="s">
        <v>13</v>
      </c>
      <c r="E3" s="12">
        <v>443.5</v>
      </c>
      <c r="F3" s="13">
        <v>17756</v>
      </c>
      <c r="K3"/>
    </row>
    <row r="4" spans="2:11" ht="15.75" x14ac:dyDescent="0.25">
      <c r="B4" s="14">
        <v>42555</v>
      </c>
      <c r="C4" s="15">
        <v>22959</v>
      </c>
      <c r="D4" s="16" t="s">
        <v>9</v>
      </c>
      <c r="E4" s="17">
        <v>392.6</v>
      </c>
      <c r="F4" s="13">
        <v>15704</v>
      </c>
      <c r="K4"/>
    </row>
    <row r="5" spans="2:11" ht="15.75" x14ac:dyDescent="0.25">
      <c r="B5" s="14">
        <v>42555</v>
      </c>
      <c r="C5" s="15">
        <v>22958</v>
      </c>
      <c r="D5" s="16" t="s">
        <v>20</v>
      </c>
      <c r="E5" s="17">
        <v>367.8</v>
      </c>
      <c r="F5" s="13">
        <v>14712</v>
      </c>
      <c r="K5"/>
    </row>
    <row r="6" spans="2:11" ht="15.75" x14ac:dyDescent="0.25">
      <c r="B6" s="14">
        <v>42555</v>
      </c>
      <c r="C6" s="47">
        <v>22960</v>
      </c>
      <c r="D6" s="16" t="s">
        <v>7</v>
      </c>
      <c r="E6" s="56">
        <v>81</v>
      </c>
      <c r="F6" s="13">
        <v>3240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42555</v>
      </c>
      <c r="C7" s="15">
        <v>22964</v>
      </c>
      <c r="D7" s="16" t="s">
        <v>153</v>
      </c>
      <c r="E7" s="17">
        <v>30.4</v>
      </c>
      <c r="F7" s="13">
        <v>1672</v>
      </c>
      <c r="K7" s="3">
        <f t="shared" si="0"/>
        <v>0</v>
      </c>
    </row>
    <row r="8" spans="2:11" ht="15.75" x14ac:dyDescent="0.25">
      <c r="B8" s="14">
        <v>42555</v>
      </c>
      <c r="C8" s="15">
        <v>22965</v>
      </c>
      <c r="D8" s="16" t="s">
        <v>10</v>
      </c>
      <c r="E8" s="17">
        <v>126.2</v>
      </c>
      <c r="F8" s="13">
        <v>5552.8</v>
      </c>
      <c r="K8" s="3">
        <f t="shared" si="0"/>
        <v>0</v>
      </c>
    </row>
    <row r="9" spans="2:11" ht="15.75" x14ac:dyDescent="0.25">
      <c r="B9" s="14">
        <v>42555</v>
      </c>
      <c r="C9" s="15">
        <v>22966</v>
      </c>
      <c r="D9" s="16" t="s">
        <v>192</v>
      </c>
      <c r="E9" s="17">
        <f>29.7+24.5+22.6</f>
        <v>76.800000000000011</v>
      </c>
      <c r="F9" s="13">
        <v>1750.2</v>
      </c>
      <c r="K9" s="3">
        <f t="shared" si="0"/>
        <v>0</v>
      </c>
    </row>
    <row r="10" spans="2:11" ht="15.75" x14ac:dyDescent="0.25">
      <c r="B10" s="14">
        <v>42555</v>
      </c>
      <c r="C10" s="15">
        <v>22967</v>
      </c>
      <c r="D10" s="16" t="s">
        <v>12</v>
      </c>
      <c r="E10" s="17">
        <f>97.8+98.4+61.6+105</f>
        <v>362.8</v>
      </c>
      <c r="F10" s="13">
        <v>18464.599999999999</v>
      </c>
      <c r="K10" s="3">
        <f t="shared" si="0"/>
        <v>0</v>
      </c>
    </row>
    <row r="11" spans="2:11" ht="15.75" x14ac:dyDescent="0.25">
      <c r="B11" s="14">
        <v>42556</v>
      </c>
      <c r="C11" s="44">
        <v>23139</v>
      </c>
      <c r="D11" s="16" t="s">
        <v>192</v>
      </c>
      <c r="E11" s="17">
        <f>23.6+38.9+38.1+79.8</f>
        <v>180.39999999999998</v>
      </c>
      <c r="F11" s="13">
        <v>6996.6</v>
      </c>
      <c r="K11" s="3">
        <f t="shared" si="0"/>
        <v>0</v>
      </c>
    </row>
    <row r="12" spans="2:11" ht="15.75" x14ac:dyDescent="0.25">
      <c r="B12" s="14">
        <v>42556</v>
      </c>
      <c r="C12" s="15">
        <v>23140</v>
      </c>
      <c r="D12" s="16" t="s">
        <v>153</v>
      </c>
      <c r="E12" s="17">
        <v>260.8</v>
      </c>
      <c r="F12" s="13">
        <v>10432</v>
      </c>
      <c r="K12" s="3">
        <f t="shared" si="0"/>
        <v>0</v>
      </c>
    </row>
    <row r="13" spans="2:11" ht="15.75" x14ac:dyDescent="0.25">
      <c r="B13" s="14">
        <v>42556</v>
      </c>
      <c r="C13" s="15">
        <v>23141</v>
      </c>
      <c r="D13" s="16" t="s">
        <v>7</v>
      </c>
      <c r="E13" s="17">
        <v>93.8</v>
      </c>
      <c r="F13" s="13">
        <v>3752</v>
      </c>
      <c r="K13" s="3">
        <f t="shared" si="0"/>
        <v>0</v>
      </c>
    </row>
    <row r="14" spans="2:11" ht="15.75" x14ac:dyDescent="0.25">
      <c r="B14" s="14">
        <v>42556</v>
      </c>
      <c r="C14" s="15">
        <v>23142</v>
      </c>
      <c r="D14" s="16" t="s">
        <v>13</v>
      </c>
      <c r="E14" s="17">
        <v>74.8</v>
      </c>
      <c r="F14" s="13">
        <v>2992</v>
      </c>
      <c r="K14" s="3">
        <f t="shared" si="0"/>
        <v>0</v>
      </c>
    </row>
    <row r="15" spans="2:11" ht="15.75" x14ac:dyDescent="0.25">
      <c r="B15" s="14">
        <v>42556</v>
      </c>
      <c r="C15" s="15">
        <v>23144</v>
      </c>
      <c r="D15" s="16" t="s">
        <v>11</v>
      </c>
      <c r="E15" s="17">
        <f>22.7+56+18.5+17.6</f>
        <v>114.80000000000001</v>
      </c>
      <c r="F15" s="13">
        <v>5019</v>
      </c>
      <c r="K15" s="3">
        <f t="shared" si="0"/>
        <v>0</v>
      </c>
    </row>
    <row r="16" spans="2:11" ht="15.75" x14ac:dyDescent="0.25">
      <c r="B16" s="14">
        <v>42557</v>
      </c>
      <c r="C16" s="15">
        <v>23238</v>
      </c>
      <c r="D16" s="16" t="s">
        <v>10</v>
      </c>
      <c r="E16" s="17">
        <v>91.2</v>
      </c>
      <c r="F16" s="13">
        <v>5016</v>
      </c>
      <c r="K16" s="3">
        <f t="shared" si="0"/>
        <v>0</v>
      </c>
    </row>
    <row r="17" spans="1:13" ht="15.75" x14ac:dyDescent="0.25">
      <c r="B17" s="14">
        <v>42557</v>
      </c>
      <c r="C17" s="15">
        <v>23242</v>
      </c>
      <c r="D17" s="16" t="s">
        <v>294</v>
      </c>
      <c r="E17" s="17">
        <f>59.6+12.4</f>
        <v>72</v>
      </c>
      <c r="F17" s="13">
        <v>2942.4</v>
      </c>
      <c r="I17" s="3"/>
      <c r="J17" s="3"/>
      <c r="K17" s="3">
        <f>SUM(K6:K16)</f>
        <v>0</v>
      </c>
    </row>
    <row r="18" spans="1:13" ht="15.75" x14ac:dyDescent="0.25">
      <c r="B18" s="14">
        <v>42557</v>
      </c>
      <c r="C18" s="15">
        <v>23243</v>
      </c>
      <c r="D18" s="16" t="s">
        <v>12</v>
      </c>
      <c r="E18" s="17">
        <f>69.8+330.2</f>
        <v>400</v>
      </c>
      <c r="F18" s="13">
        <v>20000</v>
      </c>
    </row>
    <row r="19" spans="1:13" ht="15.75" x14ac:dyDescent="0.25">
      <c r="B19" s="14">
        <v>42557</v>
      </c>
      <c r="C19" s="15">
        <v>23244</v>
      </c>
      <c r="D19" s="16" t="s">
        <v>11</v>
      </c>
      <c r="E19" s="17">
        <f>32.7+2+127.8</f>
        <v>162.5</v>
      </c>
      <c r="F19" s="13">
        <v>8558.5</v>
      </c>
    </row>
    <row r="20" spans="1:13" ht="15.75" x14ac:dyDescent="0.25">
      <c r="A20" s="18"/>
      <c r="B20" s="14">
        <v>42557</v>
      </c>
      <c r="C20" s="15">
        <v>23245</v>
      </c>
      <c r="D20" s="16" t="s">
        <v>7</v>
      </c>
      <c r="E20" s="17">
        <f>37.8+36.3</f>
        <v>74.099999999999994</v>
      </c>
      <c r="F20" s="13">
        <v>2425.5</v>
      </c>
    </row>
    <row r="21" spans="1:13" ht="15.75" x14ac:dyDescent="0.25">
      <c r="B21" s="14">
        <v>42557</v>
      </c>
      <c r="C21" s="15">
        <v>23246</v>
      </c>
      <c r="D21" s="16" t="s">
        <v>192</v>
      </c>
      <c r="E21" s="17">
        <f>24.6+26.7</f>
        <v>51.3</v>
      </c>
      <c r="F21" s="13">
        <v>1142.7</v>
      </c>
      <c r="I21" s="48"/>
      <c r="J21" s="49"/>
      <c r="K21" s="50"/>
      <c r="L21" s="51"/>
      <c r="M21" s="52"/>
    </row>
    <row r="22" spans="1:13" ht="15.75" x14ac:dyDescent="0.25">
      <c r="B22" s="14">
        <v>42558</v>
      </c>
      <c r="C22" s="15">
        <v>23363</v>
      </c>
      <c r="D22" s="16" t="s">
        <v>192</v>
      </c>
      <c r="E22" s="17">
        <f>959+80.8+41.2</f>
        <v>1081</v>
      </c>
      <c r="F22" s="13">
        <v>44620.800000000003</v>
      </c>
      <c r="I22" s="31"/>
      <c r="J22" s="31"/>
      <c r="K22" s="53"/>
      <c r="L22" s="31"/>
      <c r="M22" s="31"/>
    </row>
    <row r="23" spans="1:13" ht="15.75" x14ac:dyDescent="0.25">
      <c r="B23" s="14">
        <v>42558</v>
      </c>
      <c r="C23" s="15">
        <v>23364</v>
      </c>
      <c r="D23" s="16" t="s">
        <v>20</v>
      </c>
      <c r="E23" s="17">
        <v>429.6</v>
      </c>
      <c r="F23" s="13">
        <v>17184</v>
      </c>
      <c r="I23" s="31"/>
      <c r="J23" s="31"/>
      <c r="K23" s="53"/>
      <c r="L23" s="31"/>
      <c r="M23" s="31"/>
    </row>
    <row r="24" spans="1:13" ht="15.75" x14ac:dyDescent="0.25">
      <c r="B24" s="14">
        <v>42558</v>
      </c>
      <c r="C24" s="15">
        <v>23365</v>
      </c>
      <c r="D24" s="16" t="s">
        <v>153</v>
      </c>
      <c r="E24" s="17">
        <v>169.9</v>
      </c>
      <c r="F24" s="13">
        <v>6965.9</v>
      </c>
    </row>
    <row r="25" spans="1:13" x14ac:dyDescent="0.25">
      <c r="B25" s="14">
        <v>42558</v>
      </c>
      <c r="C25" s="19">
        <v>23366</v>
      </c>
      <c r="D25" s="16" t="s">
        <v>9</v>
      </c>
      <c r="E25" s="17">
        <f>193.1+128.4</f>
        <v>321.5</v>
      </c>
      <c r="F25" s="13">
        <v>16075</v>
      </c>
    </row>
    <row r="26" spans="1:13" x14ac:dyDescent="0.25">
      <c r="B26" s="14">
        <v>42558</v>
      </c>
      <c r="C26" s="19">
        <v>23368</v>
      </c>
      <c r="D26" s="16" t="s">
        <v>6</v>
      </c>
      <c r="E26" s="17">
        <f>135.1+79.2+11.8+64.2</f>
        <v>290.3</v>
      </c>
      <c r="F26" s="13">
        <v>12916.9</v>
      </c>
    </row>
    <row r="27" spans="1:13" x14ac:dyDescent="0.25">
      <c r="B27" s="14">
        <v>42558</v>
      </c>
      <c r="C27" s="19">
        <v>23369</v>
      </c>
      <c r="D27" s="16" t="s">
        <v>11</v>
      </c>
      <c r="E27" s="17">
        <v>121.2</v>
      </c>
      <c r="F27" s="13">
        <v>6060</v>
      </c>
    </row>
    <row r="28" spans="1:13" x14ac:dyDescent="0.25">
      <c r="B28" s="14">
        <v>42558</v>
      </c>
      <c r="C28" s="19">
        <v>23370</v>
      </c>
      <c r="D28" s="16" t="s">
        <v>14</v>
      </c>
      <c r="E28" s="17">
        <v>111</v>
      </c>
      <c r="F28" s="13">
        <v>4773</v>
      </c>
    </row>
    <row r="29" spans="1:13" x14ac:dyDescent="0.25">
      <c r="B29" s="14">
        <v>42559</v>
      </c>
      <c r="C29" s="19">
        <v>23513</v>
      </c>
      <c r="D29" s="16" t="s">
        <v>10</v>
      </c>
      <c r="E29" s="17">
        <f>4+27.24+4+21.7+25+114.8+120.2</f>
        <v>316.94</v>
      </c>
      <c r="F29" s="13">
        <v>17941.2</v>
      </c>
    </row>
    <row r="30" spans="1:13" x14ac:dyDescent="0.25">
      <c r="B30" s="14">
        <v>42559</v>
      </c>
      <c r="C30" s="19">
        <v>23514</v>
      </c>
      <c r="D30" s="16" t="s">
        <v>9</v>
      </c>
      <c r="E30" s="17">
        <f>113.4+104</f>
        <v>217.4</v>
      </c>
      <c r="F30" s="13">
        <v>7476.2</v>
      </c>
    </row>
    <row r="31" spans="1:13" x14ac:dyDescent="0.25">
      <c r="B31" s="14">
        <v>42559</v>
      </c>
      <c r="C31" s="19">
        <v>23515</v>
      </c>
      <c r="D31" s="16" t="s">
        <v>7</v>
      </c>
      <c r="E31" s="17">
        <f>82+1+12.2</f>
        <v>95.2</v>
      </c>
      <c r="F31" s="13">
        <v>4851.8999999999996</v>
      </c>
    </row>
    <row r="32" spans="1:13" x14ac:dyDescent="0.25">
      <c r="B32" s="14">
        <v>42559</v>
      </c>
      <c r="C32" s="19">
        <v>23516</v>
      </c>
      <c r="D32" s="16" t="s">
        <v>14</v>
      </c>
      <c r="E32" s="17">
        <v>404.2</v>
      </c>
      <c r="F32" s="13">
        <v>16572.2</v>
      </c>
      <c r="K32" s="3">
        <f t="shared" ref="K32:K48" si="1">J32*I32</f>
        <v>0</v>
      </c>
    </row>
    <row r="33" spans="2:11" x14ac:dyDescent="0.25">
      <c r="B33" s="14">
        <v>42559</v>
      </c>
      <c r="C33" s="19">
        <v>23517</v>
      </c>
      <c r="D33" s="16" t="s">
        <v>20</v>
      </c>
      <c r="E33" s="17">
        <f>407+97.6</f>
        <v>504.6</v>
      </c>
      <c r="F33" s="13">
        <v>21567</v>
      </c>
      <c r="K33" s="3">
        <f t="shared" si="1"/>
        <v>0</v>
      </c>
    </row>
    <row r="34" spans="2:11" x14ac:dyDescent="0.25">
      <c r="B34" s="14">
        <v>42559</v>
      </c>
      <c r="C34" s="19">
        <v>23518</v>
      </c>
      <c r="D34" s="16" t="s">
        <v>6</v>
      </c>
      <c r="E34" s="17">
        <f>6.3+20.6</f>
        <v>26.900000000000002</v>
      </c>
      <c r="F34" s="13">
        <v>1395.4</v>
      </c>
      <c r="K34" s="3">
        <f t="shared" si="1"/>
        <v>0</v>
      </c>
    </row>
    <row r="35" spans="2:11" x14ac:dyDescent="0.25">
      <c r="B35" s="14">
        <v>42560</v>
      </c>
      <c r="C35" s="19">
        <v>23670</v>
      </c>
      <c r="D35" s="16" t="s">
        <v>10</v>
      </c>
      <c r="E35" s="17">
        <f>23.6+54.48+13.3+27.7+250.4+174.4</f>
        <v>543.88</v>
      </c>
      <c r="F35" s="13">
        <v>25389</v>
      </c>
      <c r="K35" s="3">
        <f t="shared" si="1"/>
        <v>0</v>
      </c>
    </row>
    <row r="36" spans="2:11" x14ac:dyDescent="0.25">
      <c r="B36" s="14">
        <v>42560</v>
      </c>
      <c r="C36" s="19">
        <v>23671</v>
      </c>
      <c r="D36" s="16" t="s">
        <v>12</v>
      </c>
      <c r="E36" s="17">
        <f>148.2+97.6+100.4+103.4</f>
        <v>449.6</v>
      </c>
      <c r="F36" s="13">
        <v>22243.200000000001</v>
      </c>
      <c r="K36" s="3">
        <f t="shared" si="1"/>
        <v>0</v>
      </c>
    </row>
    <row r="37" spans="2:11" x14ac:dyDescent="0.25">
      <c r="B37" s="14">
        <v>42560</v>
      </c>
      <c r="C37" s="19">
        <v>23672</v>
      </c>
      <c r="D37" s="16" t="s">
        <v>20</v>
      </c>
      <c r="E37" s="17">
        <f>61+279+434.1+98.2</f>
        <v>872.30000000000007</v>
      </c>
      <c r="F37" s="13">
        <v>37495.699999999997</v>
      </c>
      <c r="K37" s="3">
        <f t="shared" si="1"/>
        <v>0</v>
      </c>
    </row>
    <row r="38" spans="2:11" x14ac:dyDescent="0.25">
      <c r="B38" s="14">
        <v>42560</v>
      </c>
      <c r="C38" s="19">
        <v>23677</v>
      </c>
      <c r="D38" s="16" t="s">
        <v>153</v>
      </c>
      <c r="E38" s="17">
        <v>258.2</v>
      </c>
      <c r="F38" s="13">
        <v>10586.2</v>
      </c>
      <c r="K38" s="3">
        <f t="shared" si="1"/>
        <v>0</v>
      </c>
    </row>
    <row r="39" spans="2:11" x14ac:dyDescent="0.25">
      <c r="B39" s="14">
        <v>42560</v>
      </c>
      <c r="C39" s="19">
        <v>23678</v>
      </c>
      <c r="D39" s="16" t="s">
        <v>14</v>
      </c>
      <c r="E39" s="17">
        <v>406.1</v>
      </c>
      <c r="F39" s="13">
        <v>16650.099999999999</v>
      </c>
      <c r="K39" s="3">
        <f t="shared" si="1"/>
        <v>0</v>
      </c>
    </row>
    <row r="40" spans="2:11" x14ac:dyDescent="0.25">
      <c r="B40" s="14">
        <v>42560</v>
      </c>
      <c r="C40" s="19">
        <v>23679</v>
      </c>
      <c r="D40" s="16" t="s">
        <v>192</v>
      </c>
      <c r="E40" s="17">
        <v>32.700000000000003</v>
      </c>
      <c r="F40" s="13">
        <v>981</v>
      </c>
      <c r="K40" s="3">
        <f t="shared" si="1"/>
        <v>0</v>
      </c>
    </row>
    <row r="41" spans="2:11" x14ac:dyDescent="0.25">
      <c r="B41" s="14">
        <v>42560</v>
      </c>
      <c r="C41" s="19">
        <v>23680</v>
      </c>
      <c r="D41" s="16" t="s">
        <v>9</v>
      </c>
      <c r="E41" s="17">
        <v>402.6</v>
      </c>
      <c r="F41" s="13">
        <v>16506.599999999999</v>
      </c>
      <c r="K41" s="3">
        <f t="shared" si="1"/>
        <v>0</v>
      </c>
    </row>
    <row r="42" spans="2:11" x14ac:dyDescent="0.25">
      <c r="B42" s="14">
        <v>42560</v>
      </c>
      <c r="C42" s="19">
        <v>23681</v>
      </c>
      <c r="D42" s="16" t="s">
        <v>6</v>
      </c>
      <c r="E42" s="17">
        <f>21+46.8</f>
        <v>67.8</v>
      </c>
      <c r="F42" s="13">
        <v>3289.8</v>
      </c>
      <c r="K42" s="3">
        <f t="shared" si="1"/>
        <v>0</v>
      </c>
    </row>
    <row r="43" spans="2:11" x14ac:dyDescent="0.25">
      <c r="B43" s="14"/>
      <c r="C43" s="19"/>
      <c r="D43" s="16"/>
      <c r="E43" s="17"/>
      <c r="F43" s="13"/>
      <c r="K43" s="3">
        <f t="shared" si="1"/>
        <v>0</v>
      </c>
    </row>
    <row r="44" spans="2:11" x14ac:dyDescent="0.25">
      <c r="B44" s="14"/>
      <c r="C44" s="19"/>
      <c r="D44" s="16"/>
      <c r="E44" s="17"/>
      <c r="F44" s="13"/>
      <c r="K44" s="3">
        <f t="shared" si="1"/>
        <v>0</v>
      </c>
    </row>
    <row r="45" spans="2:11" x14ac:dyDescent="0.25">
      <c r="B45" s="14"/>
      <c r="C45" s="19"/>
      <c r="D45" s="16"/>
      <c r="E45" s="17"/>
      <c r="F45" s="13"/>
      <c r="K45" s="3">
        <f t="shared" si="1"/>
        <v>0</v>
      </c>
    </row>
    <row r="46" spans="2:11" x14ac:dyDescent="0.25">
      <c r="B46" s="14"/>
      <c r="C46" s="19"/>
      <c r="D46" s="16"/>
      <c r="E46" s="17"/>
      <c r="F46" s="13"/>
      <c r="K46" s="3">
        <f t="shared" si="1"/>
        <v>0</v>
      </c>
    </row>
    <row r="47" spans="2:11" ht="15.75" thickBot="1" x14ac:dyDescent="0.3">
      <c r="B47" s="14"/>
      <c r="C47" s="19"/>
      <c r="D47" s="16"/>
      <c r="E47" s="17"/>
      <c r="F47" s="13"/>
      <c r="K47" s="3">
        <f t="shared" si="1"/>
        <v>0</v>
      </c>
    </row>
    <row r="48" spans="2:11" ht="15.75" thickBot="1" x14ac:dyDescent="0.3">
      <c r="B48" s="21" t="s">
        <v>233</v>
      </c>
      <c r="C48" s="22"/>
      <c r="D48" s="23"/>
      <c r="E48" s="24">
        <v>0</v>
      </c>
      <c r="F48" s="25">
        <f>SUM(F3:F47)</f>
        <v>459669.40000000008</v>
      </c>
      <c r="K48" s="3">
        <f t="shared" si="1"/>
        <v>0</v>
      </c>
    </row>
    <row r="49" spans="2:13" ht="19.5" thickBot="1" x14ac:dyDescent="0.35">
      <c r="B49" s="26"/>
      <c r="C49" s="27"/>
      <c r="D49" s="28" t="s">
        <v>5</v>
      </c>
      <c r="E49" s="29">
        <f>SUM(E3:E48)</f>
        <v>10579.720000000001</v>
      </c>
      <c r="I49" s="30">
        <f>SUM(I48:I48)</f>
        <v>0</v>
      </c>
      <c r="J49" s="30"/>
      <c r="K49" s="30">
        <f>SUM(K48:K48)</f>
        <v>0</v>
      </c>
    </row>
    <row r="50" spans="2:13" x14ac:dyDescent="0.25">
      <c r="B50" s="26"/>
      <c r="C50" s="27"/>
      <c r="D50" s="31"/>
      <c r="E50" s="32"/>
      <c r="I50" s="30">
        <f>SUM(I32:I49)</f>
        <v>0</v>
      </c>
      <c r="J50" s="30"/>
      <c r="K50" s="30">
        <f>SUM(K32:K49)</f>
        <v>0</v>
      </c>
    </row>
    <row r="51" spans="2:13" ht="21.75" thickBot="1" x14ac:dyDescent="0.4">
      <c r="B51" s="33"/>
      <c r="C51" s="34" t="s">
        <v>15</v>
      </c>
      <c r="D51" s="35">
        <f>E49*0.2</f>
        <v>2115.9440000000004</v>
      </c>
      <c r="F51"/>
      <c r="K51"/>
    </row>
    <row r="52" spans="2:13" ht="21.75" thickBot="1" x14ac:dyDescent="0.4">
      <c r="C52" s="36" t="s">
        <v>16</v>
      </c>
      <c r="D52" s="37">
        <v>3000</v>
      </c>
      <c r="E52" s="38"/>
      <c r="F52" s="85">
        <f>D51+D52</f>
        <v>5115.9440000000004</v>
      </c>
      <c r="G52" s="86"/>
      <c r="I52" s="39"/>
      <c r="J52" s="39"/>
      <c r="K52" s="39"/>
      <c r="L52" s="39"/>
      <c r="M52" s="39"/>
    </row>
    <row r="53" spans="2:13" ht="15.75" thickTop="1" x14ac:dyDescent="0.25">
      <c r="I53" s="39"/>
      <c r="J53" s="39"/>
      <c r="K53" s="40"/>
      <c r="L53" s="40"/>
      <c r="M53" s="40"/>
    </row>
    <row r="54" spans="2:13" ht="19.5" thickBot="1" x14ac:dyDescent="0.35">
      <c r="D54" s="55"/>
      <c r="E54" s="41" t="s">
        <v>311</v>
      </c>
      <c r="F54" s="87">
        <v>0</v>
      </c>
      <c r="G54" s="87"/>
      <c r="I54" s="39"/>
      <c r="J54" s="39"/>
      <c r="K54" s="40"/>
      <c r="L54" s="40"/>
      <c r="M54" s="40"/>
    </row>
    <row r="55" spans="2:13" ht="15.75" thickTop="1" x14ac:dyDescent="0.25">
      <c r="C55"/>
      <c r="F55" s="88">
        <f>F52+F54</f>
        <v>5115.9440000000004</v>
      </c>
      <c r="G55" s="88"/>
      <c r="I55" s="39"/>
      <c r="J55" s="39"/>
      <c r="K55" s="40"/>
      <c r="L55" s="40"/>
      <c r="M55" s="40"/>
    </row>
    <row r="56" spans="2:13" ht="18.75" x14ac:dyDescent="0.3">
      <c r="C56"/>
      <c r="E56" s="2" t="s">
        <v>18</v>
      </c>
      <c r="F56" s="89"/>
      <c r="G56" s="89"/>
      <c r="K56"/>
    </row>
  </sheetData>
  <mergeCells count="4">
    <mergeCell ref="B1:C1"/>
    <mergeCell ref="F52:G52"/>
    <mergeCell ref="F54:G54"/>
    <mergeCell ref="F55:G56"/>
  </mergeCells>
  <pageMargins left="0.70866141732283472" right="0.70866141732283472" top="0.35433070866141736" bottom="0.15748031496062992" header="0.31496062992125984" footer="0.31496062992125984"/>
  <pageSetup scale="85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28" workbookViewId="0">
      <selection activeCell="D53" sqref="D53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42570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322</v>
      </c>
      <c r="G2" s="8"/>
      <c r="K2"/>
    </row>
    <row r="3" spans="2:11" ht="15.75" x14ac:dyDescent="0.25">
      <c r="B3" s="9">
        <v>42563</v>
      </c>
      <c r="C3" s="10">
        <v>24016</v>
      </c>
      <c r="D3" s="11" t="s">
        <v>12</v>
      </c>
      <c r="E3" s="12">
        <f>91.4+119.8</f>
        <v>211.2</v>
      </c>
      <c r="F3" s="13">
        <v>11017</v>
      </c>
      <c r="K3"/>
    </row>
    <row r="4" spans="2:11" ht="15.75" x14ac:dyDescent="0.25">
      <c r="B4" s="14">
        <v>42563</v>
      </c>
      <c r="C4" s="15">
        <v>24017</v>
      </c>
      <c r="D4" s="16" t="s">
        <v>11</v>
      </c>
      <c r="E4" s="17">
        <f>9.6+117.8</f>
        <v>127.39999999999999</v>
      </c>
      <c r="F4" s="13">
        <v>6158.8</v>
      </c>
      <c r="K4"/>
    </row>
    <row r="5" spans="2:11" ht="15.75" x14ac:dyDescent="0.25">
      <c r="B5" s="14">
        <v>42563</v>
      </c>
      <c r="C5" s="15">
        <v>24019</v>
      </c>
      <c r="D5" s="16" t="s">
        <v>6</v>
      </c>
      <c r="E5" s="17">
        <f>57+23.3</f>
        <v>80.3</v>
      </c>
      <c r="F5" s="13">
        <v>4631.2</v>
      </c>
      <c r="K5"/>
    </row>
    <row r="6" spans="2:11" ht="15.75" x14ac:dyDescent="0.25">
      <c r="B6" s="14">
        <v>42563</v>
      </c>
      <c r="C6" s="47">
        <v>24020</v>
      </c>
      <c r="D6" s="16" t="s">
        <v>10</v>
      </c>
      <c r="E6" s="56">
        <f>166.9+19.4+59.1+107.2</f>
        <v>352.6</v>
      </c>
      <c r="F6" s="13">
        <v>14950.7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42563</v>
      </c>
      <c r="C7" s="15">
        <v>24021</v>
      </c>
      <c r="D7" s="16" t="s">
        <v>189</v>
      </c>
      <c r="E7" s="17">
        <v>409</v>
      </c>
      <c r="F7" s="13">
        <v>16769</v>
      </c>
      <c r="K7" s="3">
        <f t="shared" si="0"/>
        <v>0</v>
      </c>
    </row>
    <row r="8" spans="2:11" ht="15.75" x14ac:dyDescent="0.25">
      <c r="B8" s="14">
        <v>42563</v>
      </c>
      <c r="C8" s="15">
        <v>24022</v>
      </c>
      <c r="D8" s="16" t="s">
        <v>9</v>
      </c>
      <c r="E8" s="17">
        <f>107.4+21.5+117.8+103.2</f>
        <v>349.9</v>
      </c>
      <c r="F8" s="13">
        <v>12779.2</v>
      </c>
      <c r="K8" s="3">
        <f t="shared" si="0"/>
        <v>0</v>
      </c>
    </row>
    <row r="9" spans="2:11" ht="15.75" x14ac:dyDescent="0.25">
      <c r="B9" s="14">
        <v>42564</v>
      </c>
      <c r="C9" s="15">
        <v>24092</v>
      </c>
      <c r="D9" s="16" t="s">
        <v>189</v>
      </c>
      <c r="E9" s="17">
        <v>407.8</v>
      </c>
      <c r="F9" s="13">
        <v>16719.8</v>
      </c>
      <c r="I9">
        <v>919</v>
      </c>
      <c r="J9">
        <v>42</v>
      </c>
      <c r="K9" s="3">
        <f t="shared" si="0"/>
        <v>38598</v>
      </c>
    </row>
    <row r="10" spans="2:11" ht="15.75" x14ac:dyDescent="0.25">
      <c r="B10" s="14">
        <v>42564</v>
      </c>
      <c r="C10" s="15">
        <v>24093</v>
      </c>
      <c r="D10" s="16" t="s">
        <v>9</v>
      </c>
      <c r="E10" s="17">
        <v>399.8</v>
      </c>
      <c r="F10" s="13">
        <v>16391.8</v>
      </c>
      <c r="K10" s="3">
        <f t="shared" si="0"/>
        <v>0</v>
      </c>
    </row>
    <row r="11" spans="2:11" ht="15.75" x14ac:dyDescent="0.25">
      <c r="B11" s="14">
        <v>42564</v>
      </c>
      <c r="C11" s="44">
        <v>24094</v>
      </c>
      <c r="D11" s="16" t="s">
        <v>10</v>
      </c>
      <c r="E11" s="17">
        <f>175.8</f>
        <v>175.8</v>
      </c>
      <c r="F11" s="13">
        <v>7207.8</v>
      </c>
      <c r="K11" s="3">
        <f t="shared" si="0"/>
        <v>0</v>
      </c>
    </row>
    <row r="12" spans="2:11" ht="15.75" x14ac:dyDescent="0.25">
      <c r="B12" s="14">
        <v>42564</v>
      </c>
      <c r="C12" s="15">
        <v>24110</v>
      </c>
      <c r="D12" s="16" t="s">
        <v>9</v>
      </c>
      <c r="E12" s="17">
        <v>70.400000000000006</v>
      </c>
      <c r="F12" s="13">
        <v>1760</v>
      </c>
      <c r="K12" s="3">
        <f t="shared" si="0"/>
        <v>0</v>
      </c>
    </row>
    <row r="13" spans="2:11" ht="15.75" x14ac:dyDescent="0.25">
      <c r="B13" s="14">
        <v>42564</v>
      </c>
      <c r="C13" s="15">
        <v>24111</v>
      </c>
      <c r="D13" s="16" t="s">
        <v>12</v>
      </c>
      <c r="E13" s="17">
        <f>78.6+105.6+88.2</f>
        <v>272.39999999999998</v>
      </c>
      <c r="F13" s="13">
        <v>14189.4</v>
      </c>
      <c r="I13">
        <v>61.6</v>
      </c>
      <c r="J13">
        <v>32</v>
      </c>
      <c r="K13" s="3">
        <f t="shared" si="0"/>
        <v>1971.2</v>
      </c>
    </row>
    <row r="14" spans="2:11" ht="15.75" x14ac:dyDescent="0.25">
      <c r="B14" s="14">
        <v>42564</v>
      </c>
      <c r="C14" s="15">
        <v>24112</v>
      </c>
      <c r="D14" s="16" t="s">
        <v>192</v>
      </c>
      <c r="E14" s="17">
        <f>50.2+33</f>
        <v>83.2</v>
      </c>
      <c r="F14" s="13">
        <v>3421.4</v>
      </c>
      <c r="K14" s="3">
        <f t="shared" si="0"/>
        <v>0</v>
      </c>
    </row>
    <row r="15" spans="2:11" ht="15.75" x14ac:dyDescent="0.25">
      <c r="B15" s="14">
        <v>42564</v>
      </c>
      <c r="C15" s="15">
        <v>24114</v>
      </c>
      <c r="D15" s="16" t="s">
        <v>7</v>
      </c>
      <c r="E15" s="17">
        <v>171.8</v>
      </c>
      <c r="F15" s="13">
        <v>7043.8</v>
      </c>
      <c r="K15" s="3">
        <f t="shared" si="0"/>
        <v>0</v>
      </c>
    </row>
    <row r="16" spans="2:11" ht="15.75" x14ac:dyDescent="0.25">
      <c r="B16" s="14">
        <v>42564</v>
      </c>
      <c r="C16" s="15">
        <v>24115</v>
      </c>
      <c r="D16" s="16" t="s">
        <v>153</v>
      </c>
      <c r="E16" s="17">
        <v>331.6</v>
      </c>
      <c r="F16" s="13">
        <v>13595.6</v>
      </c>
      <c r="K16" s="3">
        <f t="shared" si="0"/>
        <v>0</v>
      </c>
    </row>
    <row r="17" spans="1:13" ht="15.75" x14ac:dyDescent="0.25">
      <c r="B17" s="14">
        <v>42564</v>
      </c>
      <c r="C17" s="15">
        <v>24116</v>
      </c>
      <c r="D17" s="16" t="s">
        <v>6</v>
      </c>
      <c r="E17" s="17">
        <f>7.1+11.3+23</f>
        <v>41.4</v>
      </c>
      <c r="F17" s="13">
        <v>2398</v>
      </c>
      <c r="I17" s="3"/>
      <c r="J17" s="3"/>
      <c r="K17" s="3">
        <f>SUM(K6:K16)</f>
        <v>40569.199999999997</v>
      </c>
    </row>
    <row r="18" spans="1:13" ht="15.75" x14ac:dyDescent="0.25">
      <c r="B18" s="14">
        <v>42564</v>
      </c>
      <c r="C18" s="15">
        <v>24120</v>
      </c>
      <c r="D18" s="16" t="s">
        <v>11</v>
      </c>
      <c r="E18" s="17">
        <f>8.5+130.3+79</f>
        <v>217.8</v>
      </c>
      <c r="F18" s="13">
        <v>11177</v>
      </c>
      <c r="I18" s="3"/>
      <c r="J18" s="3"/>
    </row>
    <row r="19" spans="1:13" ht="15.75" x14ac:dyDescent="0.25">
      <c r="B19" s="14">
        <v>42565</v>
      </c>
      <c r="C19" s="15">
        <v>24212</v>
      </c>
      <c r="D19" s="16" t="s">
        <v>192</v>
      </c>
      <c r="E19" s="17">
        <v>919</v>
      </c>
      <c r="F19" s="13">
        <v>38598</v>
      </c>
    </row>
    <row r="20" spans="1:13" ht="15.75" x14ac:dyDescent="0.25">
      <c r="B20" s="14">
        <v>42565</v>
      </c>
      <c r="C20" s="15">
        <v>24213</v>
      </c>
      <c r="D20" s="16" t="s">
        <v>12</v>
      </c>
      <c r="E20" s="17">
        <f>113.4+120+497</f>
        <v>730.4</v>
      </c>
      <c r="F20" s="13">
        <v>33122.300000000003</v>
      </c>
    </row>
    <row r="21" spans="1:13" ht="15.75" x14ac:dyDescent="0.25">
      <c r="A21" s="18"/>
      <c r="B21" s="14">
        <v>42565</v>
      </c>
      <c r="C21" s="15">
        <v>24214</v>
      </c>
      <c r="D21" s="16" t="s">
        <v>13</v>
      </c>
      <c r="E21" s="17">
        <v>405.6</v>
      </c>
      <c r="F21" s="13">
        <v>16832.400000000001</v>
      </c>
    </row>
    <row r="22" spans="1:13" ht="15.75" x14ac:dyDescent="0.25">
      <c r="B22" s="14">
        <v>42565</v>
      </c>
      <c r="C22" s="15">
        <v>24215</v>
      </c>
      <c r="D22" s="16" t="s">
        <v>189</v>
      </c>
      <c r="E22" s="17">
        <v>394</v>
      </c>
      <c r="F22" s="13">
        <v>16351</v>
      </c>
      <c r="I22" s="48"/>
      <c r="J22" s="49"/>
      <c r="K22" s="50"/>
      <c r="L22" s="51"/>
      <c r="M22" s="52"/>
    </row>
    <row r="23" spans="1:13" ht="15.75" x14ac:dyDescent="0.25">
      <c r="B23" s="14">
        <v>42565</v>
      </c>
      <c r="C23" s="15">
        <v>24218</v>
      </c>
      <c r="D23" s="16" t="s">
        <v>6</v>
      </c>
      <c r="E23" s="17">
        <v>66.8</v>
      </c>
      <c r="F23" s="13">
        <v>4342</v>
      </c>
      <c r="I23" s="31"/>
      <c r="J23" s="31"/>
      <c r="K23" s="53"/>
      <c r="L23" s="31"/>
      <c r="M23" s="31"/>
    </row>
    <row r="24" spans="1:13" ht="15.75" x14ac:dyDescent="0.25">
      <c r="B24" s="14">
        <v>42565</v>
      </c>
      <c r="C24" s="15">
        <v>24224</v>
      </c>
      <c r="D24" s="16" t="s">
        <v>6</v>
      </c>
      <c r="E24" s="17">
        <f>216.4+85.6</f>
        <v>302</v>
      </c>
      <c r="F24" s="13">
        <v>12577.2</v>
      </c>
      <c r="I24" s="31"/>
      <c r="J24" s="31"/>
      <c r="K24" s="53"/>
      <c r="L24" s="31"/>
      <c r="M24" s="31"/>
    </row>
    <row r="25" spans="1:13" ht="15.75" x14ac:dyDescent="0.25">
      <c r="B25" s="14">
        <v>42565</v>
      </c>
      <c r="C25" s="15">
        <v>24226</v>
      </c>
      <c r="D25" s="16" t="s">
        <v>189</v>
      </c>
      <c r="E25" s="17">
        <v>116</v>
      </c>
      <c r="F25" s="13">
        <v>4988</v>
      </c>
    </row>
    <row r="26" spans="1:13" x14ac:dyDescent="0.25">
      <c r="B26" s="14">
        <v>42565</v>
      </c>
      <c r="C26" s="19">
        <v>24227</v>
      </c>
      <c r="D26" s="16" t="s">
        <v>192</v>
      </c>
      <c r="E26" s="17">
        <v>61.6</v>
      </c>
      <c r="F26" s="13">
        <v>1971.2</v>
      </c>
    </row>
    <row r="27" spans="1:13" x14ac:dyDescent="0.25">
      <c r="B27" s="14">
        <v>42565</v>
      </c>
      <c r="C27" s="19">
        <v>24228</v>
      </c>
      <c r="D27" s="16" t="s">
        <v>9</v>
      </c>
      <c r="E27" s="17">
        <f>116+62.4</f>
        <v>178.4</v>
      </c>
      <c r="F27" s="13">
        <v>6548</v>
      </c>
    </row>
    <row r="28" spans="1:13" x14ac:dyDescent="0.25">
      <c r="B28" s="14">
        <v>42565</v>
      </c>
      <c r="C28" s="19">
        <v>24229</v>
      </c>
      <c r="D28" s="16" t="s">
        <v>11</v>
      </c>
      <c r="E28" s="17">
        <v>49.3</v>
      </c>
      <c r="F28" s="13">
        <v>2760.8</v>
      </c>
    </row>
    <row r="29" spans="1:13" x14ac:dyDescent="0.25">
      <c r="B29" s="14">
        <v>42565</v>
      </c>
      <c r="C29" s="19">
        <v>24230</v>
      </c>
      <c r="D29" s="16" t="s">
        <v>153</v>
      </c>
      <c r="E29" s="17">
        <v>55.6</v>
      </c>
      <c r="F29" s="13">
        <v>2780</v>
      </c>
    </row>
    <row r="30" spans="1:13" x14ac:dyDescent="0.25">
      <c r="B30" s="14">
        <v>42566</v>
      </c>
      <c r="C30" s="19">
        <v>24358</v>
      </c>
      <c r="D30" s="16" t="s">
        <v>10</v>
      </c>
      <c r="E30" s="17">
        <f>322+115.4+54.48+88.2+5+118.8</f>
        <v>703.88</v>
      </c>
      <c r="F30" s="13">
        <v>33012.199999999997</v>
      </c>
    </row>
    <row r="31" spans="1:13" x14ac:dyDescent="0.25">
      <c r="B31" s="14">
        <v>42566</v>
      </c>
      <c r="C31" s="19">
        <v>24359</v>
      </c>
      <c r="D31" s="16" t="s">
        <v>14</v>
      </c>
      <c r="E31" s="17">
        <v>382.8</v>
      </c>
      <c r="F31" s="13">
        <v>15886.2</v>
      </c>
    </row>
    <row r="32" spans="1:13" x14ac:dyDescent="0.25">
      <c r="B32" s="14">
        <v>42566</v>
      </c>
      <c r="C32" s="19">
        <v>24360</v>
      </c>
      <c r="D32" s="16" t="s">
        <v>11</v>
      </c>
      <c r="E32" s="17">
        <f>122.8+49.1+10.9</f>
        <v>182.8</v>
      </c>
      <c r="F32" s="13">
        <v>9434.6</v>
      </c>
    </row>
    <row r="33" spans="2:11" x14ac:dyDescent="0.25">
      <c r="B33" s="14">
        <v>42566</v>
      </c>
      <c r="C33" s="19">
        <v>24362</v>
      </c>
      <c r="D33" s="16" t="s">
        <v>9</v>
      </c>
      <c r="E33" s="17">
        <v>372.4</v>
      </c>
      <c r="F33" s="13">
        <v>15454.6</v>
      </c>
      <c r="K33" s="3">
        <f t="shared" ref="K33:K45" si="1">J33*I33</f>
        <v>0</v>
      </c>
    </row>
    <row r="34" spans="2:11" x14ac:dyDescent="0.25">
      <c r="B34" s="14">
        <v>42566</v>
      </c>
      <c r="C34" s="19">
        <v>24363</v>
      </c>
      <c r="D34" s="16" t="s">
        <v>189</v>
      </c>
      <c r="E34" s="17">
        <v>402</v>
      </c>
      <c r="F34" s="13">
        <v>16683</v>
      </c>
      <c r="K34" s="3">
        <f t="shared" si="1"/>
        <v>0</v>
      </c>
    </row>
    <row r="35" spans="2:11" x14ac:dyDescent="0.25">
      <c r="B35" s="14">
        <v>42566</v>
      </c>
      <c r="C35" s="19">
        <v>24364</v>
      </c>
      <c r="D35" s="16" t="s">
        <v>153</v>
      </c>
      <c r="E35" s="17">
        <f>179.4+13.6+1+13.6</f>
        <v>207.6</v>
      </c>
      <c r="F35" s="13">
        <v>10119.1</v>
      </c>
      <c r="K35" s="3">
        <f t="shared" si="1"/>
        <v>0</v>
      </c>
    </row>
    <row r="36" spans="2:11" x14ac:dyDescent="0.25">
      <c r="B36" s="14">
        <v>42566</v>
      </c>
      <c r="C36" s="19">
        <v>24365</v>
      </c>
      <c r="D36" s="16" t="s">
        <v>192</v>
      </c>
      <c r="E36" s="17">
        <v>58.3</v>
      </c>
      <c r="F36" s="13">
        <v>1865.6</v>
      </c>
      <c r="K36" s="3">
        <f t="shared" si="1"/>
        <v>0</v>
      </c>
    </row>
    <row r="37" spans="2:11" x14ac:dyDescent="0.25">
      <c r="B37" s="14">
        <v>42567</v>
      </c>
      <c r="C37" s="19">
        <v>24522</v>
      </c>
      <c r="D37" s="16" t="s">
        <v>153</v>
      </c>
      <c r="E37" s="17">
        <v>322</v>
      </c>
      <c r="F37" s="13">
        <v>13363</v>
      </c>
      <c r="K37" s="3">
        <f t="shared" si="1"/>
        <v>0</v>
      </c>
    </row>
    <row r="38" spans="2:11" x14ac:dyDescent="0.25">
      <c r="B38" s="14">
        <v>42567</v>
      </c>
      <c r="C38" s="19">
        <v>24523</v>
      </c>
      <c r="D38" s="16" t="s">
        <v>14</v>
      </c>
      <c r="E38" s="17">
        <v>361</v>
      </c>
      <c r="F38" s="13">
        <v>14981.5</v>
      </c>
      <c r="K38" s="3">
        <f t="shared" si="1"/>
        <v>0</v>
      </c>
    </row>
    <row r="39" spans="2:11" x14ac:dyDescent="0.25">
      <c r="B39" s="14">
        <v>42567</v>
      </c>
      <c r="C39" s="19">
        <v>24524</v>
      </c>
      <c r="D39" s="16" t="s">
        <v>13</v>
      </c>
      <c r="E39" s="17">
        <v>346.5</v>
      </c>
      <c r="F39" s="13">
        <v>14379.75</v>
      </c>
      <c r="K39" s="3">
        <f t="shared" si="1"/>
        <v>0</v>
      </c>
    </row>
    <row r="40" spans="2:11" x14ac:dyDescent="0.25">
      <c r="B40" s="14">
        <v>42567</v>
      </c>
      <c r="C40" s="19">
        <v>24525</v>
      </c>
      <c r="D40" s="16" t="s">
        <v>189</v>
      </c>
      <c r="E40" s="17">
        <v>357.4</v>
      </c>
      <c r="F40" s="13">
        <v>14832.1</v>
      </c>
      <c r="K40" s="3">
        <f t="shared" si="1"/>
        <v>0</v>
      </c>
    </row>
    <row r="41" spans="2:11" x14ac:dyDescent="0.25">
      <c r="B41" s="14">
        <v>42567</v>
      </c>
      <c r="C41" s="19">
        <v>24526</v>
      </c>
      <c r="D41" s="16" t="s">
        <v>9</v>
      </c>
      <c r="E41" s="17">
        <f>356.8+104.6</f>
        <v>461.4</v>
      </c>
      <c r="F41" s="13">
        <v>19305</v>
      </c>
      <c r="K41" s="3">
        <f t="shared" si="1"/>
        <v>0</v>
      </c>
    </row>
    <row r="42" spans="2:11" x14ac:dyDescent="0.25">
      <c r="B42" s="14">
        <v>42567</v>
      </c>
      <c r="C42" s="19">
        <v>24527</v>
      </c>
      <c r="D42" s="16" t="s">
        <v>10</v>
      </c>
      <c r="E42" s="17">
        <f>227.6+30.7</f>
        <v>258.3</v>
      </c>
      <c r="F42" s="13">
        <v>10646.4</v>
      </c>
      <c r="K42" s="3">
        <f t="shared" si="1"/>
        <v>0</v>
      </c>
    </row>
    <row r="43" spans="2:11" x14ac:dyDescent="0.25">
      <c r="B43" s="14">
        <v>42567</v>
      </c>
      <c r="C43" s="19">
        <v>24529</v>
      </c>
      <c r="D43" s="16" t="s">
        <v>7</v>
      </c>
      <c r="E43" s="17">
        <f>31+9.3+15</f>
        <v>55.3</v>
      </c>
      <c r="F43" s="13">
        <v>2500.6</v>
      </c>
      <c r="K43" s="3">
        <f t="shared" si="1"/>
        <v>0</v>
      </c>
    </row>
    <row r="44" spans="2:11" ht="15.75" thickBot="1" x14ac:dyDescent="0.3">
      <c r="B44" s="57">
        <v>42567</v>
      </c>
      <c r="C44" s="58">
        <v>24531</v>
      </c>
      <c r="D44" s="59" t="s">
        <v>6</v>
      </c>
      <c r="E44" s="60">
        <f>34.7+28.3</f>
        <v>63</v>
      </c>
      <c r="F44" s="13">
        <v>3484.2</v>
      </c>
    </row>
    <row r="45" spans="2:11" ht="15.75" thickBot="1" x14ac:dyDescent="0.3">
      <c r="B45" s="21" t="s">
        <v>233</v>
      </c>
      <c r="C45" s="22"/>
      <c r="D45" s="23"/>
      <c r="E45" s="24">
        <v>0</v>
      </c>
      <c r="F45" s="25">
        <f>SUM(F3:F44)</f>
        <v>497029.24999999988</v>
      </c>
      <c r="K45" s="3">
        <f t="shared" si="1"/>
        <v>0</v>
      </c>
    </row>
    <row r="46" spans="2:11" ht="19.5" thickBot="1" x14ac:dyDescent="0.35">
      <c r="B46" s="26"/>
      <c r="C46" s="27"/>
      <c r="D46" s="28" t="s">
        <v>5</v>
      </c>
      <c r="E46" s="29">
        <f>SUM(E3:E45)</f>
        <v>11515.779999999999</v>
      </c>
      <c r="I46" s="30">
        <f>SUM(I45:I45)</f>
        <v>0</v>
      </c>
      <c r="J46" s="30"/>
      <c r="K46" s="30">
        <f>SUM(K45:K45)</f>
        <v>0</v>
      </c>
    </row>
    <row r="47" spans="2:11" x14ac:dyDescent="0.25">
      <c r="B47" s="26"/>
      <c r="C47" s="27"/>
      <c r="D47" s="31"/>
      <c r="E47" s="32"/>
      <c r="I47" s="30">
        <f>SUM(I33:I46)</f>
        <v>0</v>
      </c>
      <c r="J47" s="30"/>
      <c r="K47" s="30">
        <f>SUM(K33:K46)</f>
        <v>0</v>
      </c>
    </row>
    <row r="48" spans="2:11" ht="21.75" thickBot="1" x14ac:dyDescent="0.4">
      <c r="B48" s="33"/>
      <c r="C48" s="34" t="s">
        <v>15</v>
      </c>
      <c r="D48" s="35">
        <f>E46*0.2</f>
        <v>2303.1559999999999</v>
      </c>
      <c r="F48"/>
      <c r="K48"/>
    </row>
    <row r="49" spans="3:13" ht="21.75" thickBot="1" x14ac:dyDescent="0.4">
      <c r="C49" s="36" t="s">
        <v>16</v>
      </c>
      <c r="D49" s="37">
        <v>3000</v>
      </c>
      <c r="E49" s="38"/>
      <c r="F49" s="85">
        <f>D48+D49</f>
        <v>5303.1559999999999</v>
      </c>
      <c r="G49" s="86"/>
      <c r="I49" s="39"/>
      <c r="J49" s="39"/>
      <c r="K49" s="39"/>
      <c r="L49" s="39"/>
      <c r="M49" s="39"/>
    </row>
    <row r="50" spans="3:13" ht="15.75" thickTop="1" x14ac:dyDescent="0.25">
      <c r="I50" s="39"/>
      <c r="J50" s="39"/>
      <c r="K50" s="40"/>
      <c r="L50" s="40"/>
      <c r="M50" s="40"/>
    </row>
    <row r="51" spans="3:13" ht="19.5" thickBot="1" x14ac:dyDescent="0.35">
      <c r="D51" s="61" t="s">
        <v>323</v>
      </c>
      <c r="E51" s="41" t="s">
        <v>311</v>
      </c>
      <c r="F51" s="87">
        <v>0</v>
      </c>
      <c r="G51" s="87"/>
      <c r="I51" s="39"/>
      <c r="J51" s="39"/>
      <c r="K51" s="40"/>
      <c r="L51" s="40"/>
      <c r="M51" s="40"/>
    </row>
    <row r="52" spans="3:13" ht="15.75" thickTop="1" x14ac:dyDescent="0.25">
      <c r="C52"/>
      <c r="F52" s="88">
        <f>F49+F51</f>
        <v>5303.1559999999999</v>
      </c>
      <c r="G52" s="88"/>
      <c r="I52" s="39"/>
      <c r="J52" s="39"/>
      <c r="K52" s="40"/>
      <c r="L52" s="40"/>
      <c r="M52" s="40"/>
    </row>
    <row r="53" spans="3:13" ht="18.75" x14ac:dyDescent="0.3">
      <c r="C53"/>
      <c r="E53" s="2" t="s">
        <v>18</v>
      </c>
      <c r="F53" s="89"/>
      <c r="G53" s="89"/>
      <c r="K53"/>
    </row>
  </sheetData>
  <mergeCells count="4">
    <mergeCell ref="B1:C1"/>
    <mergeCell ref="F49:G49"/>
    <mergeCell ref="F51:G51"/>
    <mergeCell ref="F52:G53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43" workbookViewId="0">
      <selection activeCell="D65" sqref="D65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42578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324</v>
      </c>
      <c r="G2" s="8"/>
      <c r="K2"/>
    </row>
    <row r="3" spans="2:11" ht="15.75" x14ac:dyDescent="0.25">
      <c r="B3" s="9">
        <v>42562</v>
      </c>
      <c r="C3" s="10">
        <v>23861</v>
      </c>
      <c r="D3" s="11" t="s">
        <v>10</v>
      </c>
      <c r="E3" s="12">
        <f>56.6+180.4+49.2</f>
        <v>286.2</v>
      </c>
      <c r="F3" s="13">
        <v>12290.2</v>
      </c>
      <c r="K3"/>
    </row>
    <row r="4" spans="2:11" ht="15.75" x14ac:dyDescent="0.25">
      <c r="B4" s="14">
        <v>42562</v>
      </c>
      <c r="C4" s="15">
        <v>23862</v>
      </c>
      <c r="D4" s="16" t="s">
        <v>20</v>
      </c>
      <c r="E4" s="17">
        <v>411.7</v>
      </c>
      <c r="F4" s="13">
        <v>16879.7</v>
      </c>
      <c r="K4"/>
    </row>
    <row r="5" spans="2:11" ht="15.75" x14ac:dyDescent="0.25">
      <c r="B5" s="14">
        <v>42562</v>
      </c>
      <c r="C5" s="15">
        <v>23863</v>
      </c>
      <c r="D5" s="16" t="s">
        <v>7</v>
      </c>
      <c r="E5" s="17">
        <f>24.8+87.2</f>
        <v>112</v>
      </c>
      <c r="F5" s="13">
        <v>5137.6000000000004</v>
      </c>
      <c r="K5"/>
    </row>
    <row r="6" spans="2:11" ht="15.75" x14ac:dyDescent="0.25">
      <c r="B6" s="14">
        <v>42562</v>
      </c>
      <c r="C6" s="47">
        <v>23864</v>
      </c>
      <c r="D6" s="16" t="s">
        <v>153</v>
      </c>
      <c r="E6" s="56">
        <v>88.8</v>
      </c>
      <c r="F6" s="13">
        <v>3640.8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42562</v>
      </c>
      <c r="C7" s="15">
        <v>23865</v>
      </c>
      <c r="D7" s="16" t="s">
        <v>11</v>
      </c>
      <c r="E7" s="17">
        <v>127.9</v>
      </c>
      <c r="F7" s="13">
        <v>6395</v>
      </c>
      <c r="K7" s="3">
        <f t="shared" si="0"/>
        <v>0</v>
      </c>
    </row>
    <row r="8" spans="2:11" ht="15.75" x14ac:dyDescent="0.25">
      <c r="B8" s="14">
        <v>42562</v>
      </c>
      <c r="C8" s="15">
        <v>23866</v>
      </c>
      <c r="D8" s="16" t="s">
        <v>14</v>
      </c>
      <c r="E8" s="17">
        <v>412.3</v>
      </c>
      <c r="F8" s="13">
        <v>16904.3</v>
      </c>
      <c r="K8" s="3">
        <f t="shared" si="0"/>
        <v>0</v>
      </c>
    </row>
    <row r="9" spans="2:11" ht="15.75" x14ac:dyDescent="0.25">
      <c r="B9" s="14">
        <v>42562</v>
      </c>
      <c r="C9" s="15">
        <v>23867</v>
      </c>
      <c r="D9" s="16" t="s">
        <v>9</v>
      </c>
      <c r="E9" s="17">
        <v>406.6</v>
      </c>
      <c r="F9" s="13">
        <v>16670.599999999999</v>
      </c>
      <c r="K9" s="3">
        <f t="shared" si="0"/>
        <v>0</v>
      </c>
    </row>
    <row r="10" spans="2:11" ht="15.75" x14ac:dyDescent="0.25">
      <c r="B10" s="14">
        <v>42562</v>
      </c>
      <c r="C10" s="15">
        <v>23868</v>
      </c>
      <c r="D10" s="16" t="s">
        <v>8</v>
      </c>
      <c r="E10" s="17">
        <f>27+30.2+33.1</f>
        <v>90.300000000000011</v>
      </c>
      <c r="F10" s="13">
        <v>2181.1</v>
      </c>
      <c r="K10" s="3">
        <f t="shared" si="0"/>
        <v>0</v>
      </c>
    </row>
    <row r="11" spans="2:11" ht="15.75" x14ac:dyDescent="0.25">
      <c r="B11" s="14">
        <v>42562</v>
      </c>
      <c r="C11" s="44">
        <v>23869</v>
      </c>
      <c r="D11" s="16" t="s">
        <v>11</v>
      </c>
      <c r="E11" s="17">
        <v>44.4</v>
      </c>
      <c r="F11" s="13">
        <v>2353.1999999999998</v>
      </c>
      <c r="K11" s="3">
        <f t="shared" si="0"/>
        <v>0</v>
      </c>
    </row>
    <row r="12" spans="2:11" ht="15.75" x14ac:dyDescent="0.25">
      <c r="B12" s="14">
        <v>42567</v>
      </c>
      <c r="C12" s="15">
        <v>24528</v>
      </c>
      <c r="D12" s="16" t="s">
        <v>11</v>
      </c>
      <c r="E12" s="17">
        <f>15.2+184+58.7+50</f>
        <v>307.89999999999998</v>
      </c>
      <c r="F12" s="13">
        <v>13599.6</v>
      </c>
      <c r="K12" s="3">
        <f t="shared" si="0"/>
        <v>0</v>
      </c>
    </row>
    <row r="13" spans="2:11" ht="15.75" x14ac:dyDescent="0.25">
      <c r="B13" s="14">
        <v>42569</v>
      </c>
      <c r="C13" s="15">
        <v>24778</v>
      </c>
      <c r="D13" s="16" t="s">
        <v>286</v>
      </c>
      <c r="E13" s="17">
        <f>15+4.61</f>
        <v>19.61</v>
      </c>
      <c r="F13" s="13">
        <v>1298.94</v>
      </c>
      <c r="K13" s="3">
        <f t="shared" si="0"/>
        <v>0</v>
      </c>
    </row>
    <row r="14" spans="2:11" ht="15.75" x14ac:dyDescent="0.25">
      <c r="B14" s="14">
        <v>42569</v>
      </c>
      <c r="C14" s="15">
        <v>24788</v>
      </c>
      <c r="D14" s="16" t="s">
        <v>11</v>
      </c>
      <c r="E14" s="17">
        <f>13.6+114</f>
        <v>127.6</v>
      </c>
      <c r="F14" s="13">
        <v>6080.8</v>
      </c>
      <c r="K14" s="3">
        <f t="shared" si="0"/>
        <v>0</v>
      </c>
    </row>
    <row r="15" spans="2:11" ht="15.75" x14ac:dyDescent="0.25">
      <c r="B15" s="14">
        <v>42569</v>
      </c>
      <c r="C15" s="15">
        <v>24789</v>
      </c>
      <c r="D15" s="16" t="s">
        <v>153</v>
      </c>
      <c r="E15" s="17">
        <v>86</v>
      </c>
      <c r="F15" s="13">
        <v>3569</v>
      </c>
      <c r="K15" s="3">
        <f t="shared" si="0"/>
        <v>0</v>
      </c>
    </row>
    <row r="16" spans="2:11" ht="15.75" x14ac:dyDescent="0.25">
      <c r="B16" s="14">
        <v>42569</v>
      </c>
      <c r="C16" s="15">
        <v>24790</v>
      </c>
      <c r="D16" s="16" t="s">
        <v>10</v>
      </c>
      <c r="E16" s="17">
        <v>260.3</v>
      </c>
      <c r="F16" s="13">
        <v>10802.45</v>
      </c>
      <c r="K16" s="3">
        <f t="shared" si="0"/>
        <v>0</v>
      </c>
    </row>
    <row r="17" spans="1:13" ht="15.75" x14ac:dyDescent="0.25">
      <c r="B17" s="14">
        <v>42569</v>
      </c>
      <c r="C17" s="15">
        <v>24793</v>
      </c>
      <c r="D17" s="16" t="s">
        <v>8</v>
      </c>
      <c r="E17" s="17">
        <v>48.5</v>
      </c>
      <c r="F17" s="13">
        <v>1552</v>
      </c>
      <c r="I17" s="3"/>
      <c r="J17" s="3"/>
      <c r="K17" s="3">
        <f>SUM(K6:K16)</f>
        <v>0</v>
      </c>
    </row>
    <row r="18" spans="1:13" ht="15.75" x14ac:dyDescent="0.25">
      <c r="B18" s="14">
        <v>42569</v>
      </c>
      <c r="C18" s="15">
        <v>24794</v>
      </c>
      <c r="D18" s="16" t="s">
        <v>20</v>
      </c>
      <c r="E18" s="17">
        <v>403.4</v>
      </c>
      <c r="F18" s="13">
        <v>16741.099999999999</v>
      </c>
      <c r="I18" s="3"/>
      <c r="J18" s="3"/>
    </row>
    <row r="19" spans="1:13" ht="15.75" x14ac:dyDescent="0.25">
      <c r="B19" s="14">
        <v>42569</v>
      </c>
      <c r="C19" s="15">
        <v>24795</v>
      </c>
      <c r="D19" s="16" t="s">
        <v>9</v>
      </c>
      <c r="E19" s="17">
        <v>426</v>
      </c>
      <c r="F19" s="13">
        <v>17679</v>
      </c>
    </row>
    <row r="20" spans="1:13" ht="15.75" x14ac:dyDescent="0.25">
      <c r="B20" s="14">
        <v>42569</v>
      </c>
      <c r="C20" s="15">
        <v>24796</v>
      </c>
      <c r="D20" s="16" t="s">
        <v>7</v>
      </c>
      <c r="E20" s="17">
        <v>73.599999999999994</v>
      </c>
      <c r="F20" s="13">
        <v>3054.4</v>
      </c>
    </row>
    <row r="21" spans="1:13" ht="15.75" x14ac:dyDescent="0.25">
      <c r="B21" s="14">
        <v>42569</v>
      </c>
      <c r="C21" s="15">
        <v>24799</v>
      </c>
      <c r="D21" s="16" t="s">
        <v>11</v>
      </c>
      <c r="E21" s="17">
        <v>51.5</v>
      </c>
      <c r="F21" s="13">
        <v>2884</v>
      </c>
    </row>
    <row r="22" spans="1:13" ht="15.75" x14ac:dyDescent="0.25">
      <c r="A22" s="18"/>
      <c r="B22" s="14">
        <v>42569</v>
      </c>
      <c r="C22" s="15">
        <v>24904</v>
      </c>
      <c r="D22" s="16" t="s">
        <v>10</v>
      </c>
      <c r="E22" s="17">
        <f>60.7+165.8+19.7+27.24</f>
        <v>273.44</v>
      </c>
      <c r="F22" s="13">
        <v>12118</v>
      </c>
    </row>
    <row r="23" spans="1:13" ht="15.75" x14ac:dyDescent="0.25">
      <c r="B23" s="14">
        <v>42570</v>
      </c>
      <c r="C23" s="15">
        <v>24905</v>
      </c>
      <c r="D23" s="16" t="s">
        <v>7</v>
      </c>
      <c r="E23" s="17">
        <v>76.3</v>
      </c>
      <c r="F23" s="13">
        <v>3166.45</v>
      </c>
      <c r="I23" s="48"/>
      <c r="J23" s="49"/>
      <c r="K23" s="50"/>
      <c r="L23" s="51"/>
      <c r="M23" s="52"/>
    </row>
    <row r="24" spans="1:13" ht="15.75" x14ac:dyDescent="0.25">
      <c r="B24" s="14">
        <v>42570</v>
      </c>
      <c r="C24" s="15">
        <v>24906</v>
      </c>
      <c r="D24" s="16" t="s">
        <v>11</v>
      </c>
      <c r="E24" s="17">
        <f>123.1+12.9+33.8</f>
        <v>169.8</v>
      </c>
      <c r="F24" s="13">
        <v>8409</v>
      </c>
      <c r="I24" s="31"/>
      <c r="J24" s="31"/>
      <c r="K24" s="53"/>
      <c r="L24" s="31"/>
      <c r="M24" s="31"/>
    </row>
    <row r="25" spans="1:13" ht="15.75" x14ac:dyDescent="0.25">
      <c r="B25" s="14">
        <v>42570</v>
      </c>
      <c r="C25" s="15">
        <v>24907</v>
      </c>
      <c r="D25" s="16" t="s">
        <v>12</v>
      </c>
      <c r="E25" s="17">
        <f>91.4+96+104.8+115.2</f>
        <v>407.4</v>
      </c>
      <c r="F25" s="13">
        <v>20279.599999999999</v>
      </c>
      <c r="I25" s="31"/>
      <c r="J25" s="31"/>
      <c r="K25" s="53"/>
      <c r="L25" s="31"/>
      <c r="M25" s="31"/>
    </row>
    <row r="26" spans="1:13" ht="15.75" x14ac:dyDescent="0.25">
      <c r="B26" s="14">
        <v>42570</v>
      </c>
      <c r="C26" s="15">
        <v>24908</v>
      </c>
      <c r="D26" s="16" t="s">
        <v>8</v>
      </c>
      <c r="E26" s="17">
        <f>23.9+31.7</f>
        <v>55.599999999999994</v>
      </c>
      <c r="F26" s="13">
        <v>1444.6</v>
      </c>
    </row>
    <row r="27" spans="1:13" x14ac:dyDescent="0.25">
      <c r="B27" s="14">
        <v>42570</v>
      </c>
      <c r="C27" s="19">
        <v>24909</v>
      </c>
      <c r="D27" s="16" t="s">
        <v>20</v>
      </c>
      <c r="E27" s="17">
        <f>111+63.2</f>
        <v>174.2</v>
      </c>
      <c r="F27" s="13">
        <v>6289.8</v>
      </c>
    </row>
    <row r="28" spans="1:13" x14ac:dyDescent="0.25">
      <c r="B28" s="14">
        <v>42570</v>
      </c>
      <c r="C28" s="19">
        <v>24910</v>
      </c>
      <c r="D28" s="16" t="s">
        <v>7</v>
      </c>
      <c r="E28" s="17">
        <v>47.6</v>
      </c>
      <c r="F28" s="13">
        <v>2046.8</v>
      </c>
    </row>
    <row r="29" spans="1:13" x14ac:dyDescent="0.25">
      <c r="B29" s="14">
        <v>42570</v>
      </c>
      <c r="C29" s="19">
        <v>24911</v>
      </c>
      <c r="D29" s="16" t="s">
        <v>8</v>
      </c>
      <c r="E29" s="17">
        <f>16.2+13.4</f>
        <v>29.6</v>
      </c>
      <c r="F29" s="13">
        <v>1217.5999999999999</v>
      </c>
    </row>
    <row r="30" spans="1:13" x14ac:dyDescent="0.25">
      <c r="B30" s="14">
        <v>42571</v>
      </c>
      <c r="C30" s="19">
        <v>40</v>
      </c>
      <c r="D30" s="16" t="s">
        <v>10</v>
      </c>
      <c r="E30" s="17">
        <v>72.400000000000006</v>
      </c>
      <c r="F30" s="13">
        <v>3040.8</v>
      </c>
    </row>
    <row r="31" spans="1:13" x14ac:dyDescent="0.25">
      <c r="B31" s="14">
        <v>42571</v>
      </c>
      <c r="C31" s="19">
        <v>41</v>
      </c>
      <c r="D31" s="16" t="s">
        <v>11</v>
      </c>
      <c r="E31" s="17">
        <v>61.9</v>
      </c>
      <c r="F31" s="13">
        <v>3899.7</v>
      </c>
    </row>
    <row r="32" spans="1:13" x14ac:dyDescent="0.25">
      <c r="B32" s="14">
        <v>42571</v>
      </c>
      <c r="C32" s="19">
        <v>42</v>
      </c>
      <c r="D32" s="16" t="s">
        <v>20</v>
      </c>
      <c r="E32" s="17">
        <v>559.4</v>
      </c>
      <c r="F32" s="13">
        <v>23215.1</v>
      </c>
    </row>
    <row r="33" spans="2:11" x14ac:dyDescent="0.25">
      <c r="B33" s="14">
        <v>42572</v>
      </c>
      <c r="C33" s="19">
        <v>116</v>
      </c>
      <c r="D33" s="16" t="s">
        <v>8</v>
      </c>
      <c r="E33" s="17">
        <v>894.33</v>
      </c>
      <c r="F33" s="13">
        <v>36667.53</v>
      </c>
    </row>
    <row r="34" spans="2:11" x14ac:dyDescent="0.25">
      <c r="B34" s="14">
        <v>42572</v>
      </c>
      <c r="C34" s="19">
        <v>117</v>
      </c>
      <c r="D34" s="16" t="s">
        <v>8</v>
      </c>
      <c r="E34" s="17">
        <f>12.2+30.8</f>
        <v>43</v>
      </c>
      <c r="F34" s="13">
        <v>1254</v>
      </c>
      <c r="K34" s="3">
        <f t="shared" ref="K34:K59" si="1">J34*I34</f>
        <v>0</v>
      </c>
    </row>
    <row r="35" spans="2:11" x14ac:dyDescent="0.25">
      <c r="B35" s="14">
        <v>42572</v>
      </c>
      <c r="C35" s="19">
        <v>118</v>
      </c>
      <c r="D35" s="16" t="s">
        <v>7</v>
      </c>
      <c r="E35" s="17">
        <v>85</v>
      </c>
      <c r="F35" s="13">
        <v>3527.5</v>
      </c>
      <c r="K35" s="3">
        <f t="shared" si="1"/>
        <v>0</v>
      </c>
    </row>
    <row r="36" spans="2:11" x14ac:dyDescent="0.25">
      <c r="B36" s="14">
        <v>42572</v>
      </c>
      <c r="C36" s="19">
        <v>119</v>
      </c>
      <c r="D36" s="16" t="s">
        <v>153</v>
      </c>
      <c r="E36" s="17">
        <v>167</v>
      </c>
      <c r="F36" s="13">
        <v>6930.5</v>
      </c>
      <c r="K36" s="3">
        <f t="shared" si="1"/>
        <v>0</v>
      </c>
    </row>
    <row r="37" spans="2:11" x14ac:dyDescent="0.25">
      <c r="B37" s="14">
        <v>42572</v>
      </c>
      <c r="C37" s="19">
        <v>120</v>
      </c>
      <c r="D37" s="16" t="s">
        <v>20</v>
      </c>
      <c r="E37" s="17">
        <v>388.1</v>
      </c>
      <c r="F37" s="13">
        <v>16106.15</v>
      </c>
      <c r="K37" s="3">
        <f t="shared" si="1"/>
        <v>0</v>
      </c>
    </row>
    <row r="38" spans="2:11" x14ac:dyDescent="0.25">
      <c r="B38" s="14">
        <v>42572</v>
      </c>
      <c r="C38" s="19">
        <v>121</v>
      </c>
      <c r="D38" s="16" t="s">
        <v>9</v>
      </c>
      <c r="E38" s="17">
        <v>405.4</v>
      </c>
      <c r="F38" s="13">
        <v>16824.099999999999</v>
      </c>
      <c r="K38" s="3">
        <f t="shared" si="1"/>
        <v>0</v>
      </c>
    </row>
    <row r="39" spans="2:11" x14ac:dyDescent="0.25">
      <c r="B39" s="14">
        <v>42573</v>
      </c>
      <c r="C39" s="19">
        <v>272</v>
      </c>
      <c r="D39" s="16" t="s">
        <v>10</v>
      </c>
      <c r="E39" s="17">
        <f>36.5+118.2+4+65.8+27.24+102.2+448</f>
        <v>801.94</v>
      </c>
      <c r="F39" s="13">
        <v>36031.199999999997</v>
      </c>
      <c r="K39" s="3">
        <f t="shared" si="1"/>
        <v>0</v>
      </c>
    </row>
    <row r="40" spans="2:11" x14ac:dyDescent="0.25">
      <c r="B40" s="14">
        <v>42573</v>
      </c>
      <c r="C40" s="19">
        <v>273</v>
      </c>
      <c r="D40" s="16" t="s">
        <v>11</v>
      </c>
      <c r="E40" s="17">
        <f>18.3+97.3+49.2</f>
        <v>164.8</v>
      </c>
      <c r="F40" s="13">
        <v>7305.55</v>
      </c>
      <c r="K40" s="3">
        <f t="shared" si="1"/>
        <v>0</v>
      </c>
    </row>
    <row r="41" spans="2:11" x14ac:dyDescent="0.25">
      <c r="B41" s="14">
        <v>42573</v>
      </c>
      <c r="C41" s="19">
        <v>274</v>
      </c>
      <c r="D41" s="16" t="s">
        <v>153</v>
      </c>
      <c r="E41" s="17">
        <f>26.9+340.9</f>
        <v>367.79999999999995</v>
      </c>
      <c r="F41" s="13">
        <v>16003.45</v>
      </c>
      <c r="K41" s="3">
        <f t="shared" si="1"/>
        <v>0</v>
      </c>
    </row>
    <row r="42" spans="2:11" x14ac:dyDescent="0.25">
      <c r="B42" s="14">
        <v>42573</v>
      </c>
      <c r="C42" s="19">
        <v>276</v>
      </c>
      <c r="D42" s="16" t="s">
        <v>9</v>
      </c>
      <c r="E42" s="17">
        <v>152.6</v>
      </c>
      <c r="F42" s="13">
        <v>6409.2</v>
      </c>
      <c r="K42" s="3">
        <f t="shared" si="1"/>
        <v>0</v>
      </c>
    </row>
    <row r="43" spans="2:11" x14ac:dyDescent="0.25">
      <c r="B43" s="14">
        <v>42573</v>
      </c>
      <c r="C43" s="19">
        <v>277</v>
      </c>
      <c r="D43" s="16" t="s">
        <v>14</v>
      </c>
      <c r="E43" s="17">
        <v>392.9</v>
      </c>
      <c r="F43" s="13">
        <v>16305.35</v>
      </c>
      <c r="K43" s="3">
        <f t="shared" si="1"/>
        <v>0</v>
      </c>
    </row>
    <row r="44" spans="2:11" x14ac:dyDescent="0.25">
      <c r="B44" s="14">
        <v>42573</v>
      </c>
      <c r="C44" s="19">
        <v>278</v>
      </c>
      <c r="D44" s="16" t="s">
        <v>7</v>
      </c>
      <c r="E44" s="17">
        <f>39.8+85.8+7+30.3</f>
        <v>162.9</v>
      </c>
      <c r="F44" s="13">
        <v>7507.9</v>
      </c>
    </row>
    <row r="45" spans="2:11" x14ac:dyDescent="0.25">
      <c r="B45" s="14">
        <v>42573</v>
      </c>
      <c r="C45" s="19">
        <v>279</v>
      </c>
      <c r="D45" s="16" t="s">
        <v>20</v>
      </c>
      <c r="E45" s="17">
        <v>384.2</v>
      </c>
      <c r="F45" s="13">
        <v>15944.3</v>
      </c>
    </row>
    <row r="46" spans="2:11" x14ac:dyDescent="0.25">
      <c r="B46" s="14">
        <v>42573</v>
      </c>
      <c r="C46" s="19">
        <v>280</v>
      </c>
      <c r="D46" s="16" t="s">
        <v>6</v>
      </c>
      <c r="E46" s="17">
        <f>44.5+8.4+71.6+49.8+111.4</f>
        <v>285.70000000000005</v>
      </c>
      <c r="F46" s="13">
        <v>10837.2</v>
      </c>
    </row>
    <row r="47" spans="2:11" x14ac:dyDescent="0.25">
      <c r="B47" s="14">
        <v>42573</v>
      </c>
      <c r="C47" s="19">
        <v>287</v>
      </c>
      <c r="D47" s="16" t="s">
        <v>20</v>
      </c>
      <c r="E47" s="17">
        <v>189</v>
      </c>
      <c r="F47" s="13">
        <v>9450</v>
      </c>
    </row>
    <row r="48" spans="2:11" x14ac:dyDescent="0.25">
      <c r="B48" s="14">
        <v>42573</v>
      </c>
      <c r="C48" s="19">
        <v>329</v>
      </c>
      <c r="D48" s="16" t="s">
        <v>6</v>
      </c>
      <c r="E48" s="17">
        <v>78.5</v>
      </c>
      <c r="F48" s="13">
        <v>5102.5</v>
      </c>
    </row>
    <row r="49" spans="2:13" x14ac:dyDescent="0.25">
      <c r="B49" s="14">
        <v>42574</v>
      </c>
      <c r="C49" s="19">
        <v>402</v>
      </c>
      <c r="D49" s="16" t="s">
        <v>7</v>
      </c>
      <c r="E49" s="17">
        <f>8.6+6.2</f>
        <v>14.8</v>
      </c>
      <c r="F49" s="13">
        <v>634.79999999999995</v>
      </c>
    </row>
    <row r="50" spans="2:13" x14ac:dyDescent="0.25">
      <c r="B50" s="14">
        <v>42574</v>
      </c>
      <c r="C50" s="19">
        <v>404</v>
      </c>
      <c r="D50" s="16" t="s">
        <v>10</v>
      </c>
      <c r="E50" s="17">
        <v>185.4</v>
      </c>
      <c r="F50" s="13">
        <v>7601.4</v>
      </c>
    </row>
    <row r="51" spans="2:13" x14ac:dyDescent="0.25">
      <c r="B51" s="14">
        <v>42574</v>
      </c>
      <c r="C51" s="19">
        <v>405</v>
      </c>
      <c r="D51" s="16" t="s">
        <v>8</v>
      </c>
      <c r="E51" s="17">
        <f>55.1+109.2</f>
        <v>164.3</v>
      </c>
      <c r="F51" s="13">
        <v>3728.8</v>
      </c>
    </row>
    <row r="52" spans="2:13" x14ac:dyDescent="0.25">
      <c r="B52" s="14">
        <v>42574</v>
      </c>
      <c r="C52" s="19">
        <v>406</v>
      </c>
      <c r="D52" s="16" t="s">
        <v>14</v>
      </c>
      <c r="E52" s="17">
        <v>298.39999999999998</v>
      </c>
      <c r="F52" s="13">
        <v>14920</v>
      </c>
    </row>
    <row r="53" spans="2:13" x14ac:dyDescent="0.25">
      <c r="B53" s="14">
        <v>42574</v>
      </c>
      <c r="C53" s="19">
        <v>407</v>
      </c>
      <c r="D53" s="16" t="s">
        <v>9</v>
      </c>
      <c r="E53" s="17">
        <v>424.8</v>
      </c>
      <c r="F53" s="13">
        <v>17629.2</v>
      </c>
    </row>
    <row r="54" spans="2:13" x14ac:dyDescent="0.25">
      <c r="B54" s="14">
        <v>42574</v>
      </c>
      <c r="C54" s="19">
        <v>408</v>
      </c>
      <c r="D54" s="16" t="s">
        <v>20</v>
      </c>
      <c r="E54" s="17">
        <v>423.6</v>
      </c>
      <c r="F54" s="13">
        <v>17579.400000000001</v>
      </c>
    </row>
    <row r="55" spans="2:13" x14ac:dyDescent="0.25">
      <c r="B55" s="14">
        <v>42574</v>
      </c>
      <c r="C55" s="19">
        <v>416</v>
      </c>
      <c r="D55" s="16" t="s">
        <v>20</v>
      </c>
      <c r="E55" s="17">
        <v>106.8</v>
      </c>
      <c r="F55" s="13">
        <v>5340</v>
      </c>
    </row>
    <row r="56" spans="2:13" x14ac:dyDescent="0.25">
      <c r="B56" s="14"/>
      <c r="C56" s="19"/>
      <c r="D56" s="16"/>
      <c r="E56" s="17"/>
      <c r="F56" s="13"/>
    </row>
    <row r="57" spans="2:13" x14ac:dyDescent="0.25">
      <c r="B57" s="14"/>
      <c r="C57" s="19"/>
      <c r="D57" s="16"/>
      <c r="E57" s="17"/>
      <c r="F57" s="13"/>
      <c r="K57" s="3">
        <f t="shared" si="1"/>
        <v>0</v>
      </c>
    </row>
    <row r="58" spans="2:13" ht="15.75" thickBot="1" x14ac:dyDescent="0.3">
      <c r="B58" s="57"/>
      <c r="C58" s="58"/>
      <c r="D58" s="59"/>
      <c r="E58" s="60"/>
      <c r="F58" s="13"/>
    </row>
    <row r="59" spans="2:13" ht="15.75" thickBot="1" x14ac:dyDescent="0.3">
      <c r="B59" s="21" t="s">
        <v>233</v>
      </c>
      <c r="C59" s="22"/>
      <c r="D59" s="23"/>
      <c r="E59" s="24">
        <v>0</v>
      </c>
      <c r="F59" s="25">
        <f>SUM(F3:F58)</f>
        <v>524481.27</v>
      </c>
      <c r="K59" s="3">
        <f t="shared" si="1"/>
        <v>0</v>
      </c>
    </row>
    <row r="60" spans="2:13" ht="19.5" thickBot="1" x14ac:dyDescent="0.35">
      <c r="B60" s="26"/>
      <c r="C60" s="27"/>
      <c r="D60" s="28" t="s">
        <v>5</v>
      </c>
      <c r="E60" s="29">
        <f>SUM(E3:E59)</f>
        <v>12293.519999999997</v>
      </c>
      <c r="I60" s="30">
        <f>SUM(I59:I59)</f>
        <v>0</v>
      </c>
      <c r="J60" s="30"/>
      <c r="K60" s="30">
        <f>SUM(K59:K59)</f>
        <v>0</v>
      </c>
    </row>
    <row r="61" spans="2:13" x14ac:dyDescent="0.25">
      <c r="B61" s="26"/>
      <c r="C61" s="27"/>
      <c r="D61" s="31"/>
      <c r="E61" s="32"/>
      <c r="I61" s="30">
        <f>SUM(I34:I60)</f>
        <v>0</v>
      </c>
      <c r="J61" s="30"/>
      <c r="K61" s="30">
        <f>SUM(K34:K60)</f>
        <v>0</v>
      </c>
    </row>
    <row r="62" spans="2:13" ht="21.75" thickBot="1" x14ac:dyDescent="0.4">
      <c r="B62" s="33"/>
      <c r="C62" s="34" t="s">
        <v>15</v>
      </c>
      <c r="D62" s="35">
        <f>E60*0.2</f>
        <v>2458.7039999999997</v>
      </c>
      <c r="F62"/>
      <c r="K62"/>
    </row>
    <row r="63" spans="2:13" ht="21.75" thickBot="1" x14ac:dyDescent="0.4">
      <c r="C63" s="36" t="s">
        <v>16</v>
      </c>
      <c r="D63" s="37">
        <v>3000</v>
      </c>
      <c r="E63" s="38"/>
      <c r="F63" s="85">
        <f>D62+D63</f>
        <v>5458.7039999999997</v>
      </c>
      <c r="G63" s="86"/>
      <c r="I63" s="39"/>
      <c r="J63" s="39"/>
      <c r="K63" s="39"/>
      <c r="L63" s="39"/>
      <c r="M63" s="39"/>
    </row>
    <row r="64" spans="2:13" ht="15.75" thickTop="1" x14ac:dyDescent="0.25">
      <c r="I64" s="39"/>
      <c r="J64" s="39"/>
      <c r="K64" s="40"/>
      <c r="L64" s="40"/>
      <c r="M64" s="40"/>
    </row>
    <row r="65" spans="3:13" ht="19.5" thickBot="1" x14ac:dyDescent="0.35">
      <c r="D65" s="62"/>
      <c r="E65" s="41" t="s">
        <v>311</v>
      </c>
      <c r="F65" s="87">
        <v>0</v>
      </c>
      <c r="G65" s="87"/>
      <c r="I65" s="39"/>
      <c r="J65" s="39"/>
      <c r="K65" s="40"/>
      <c r="L65" s="40"/>
      <c r="M65" s="40"/>
    </row>
    <row r="66" spans="3:13" ht="15.75" thickTop="1" x14ac:dyDescent="0.25">
      <c r="C66"/>
      <c r="F66" s="88">
        <f>F63+F65</f>
        <v>5458.7039999999997</v>
      </c>
      <c r="G66" s="88"/>
      <c r="I66" s="39"/>
      <c r="J66" s="39"/>
      <c r="K66" s="40"/>
      <c r="L66" s="40"/>
      <c r="M66" s="40"/>
    </row>
    <row r="67" spans="3:13" ht="18.75" x14ac:dyDescent="0.3">
      <c r="C67"/>
      <c r="E67" s="2" t="s">
        <v>18</v>
      </c>
      <c r="F67" s="89"/>
      <c r="G67" s="89"/>
      <c r="K67"/>
    </row>
  </sheetData>
  <mergeCells count="4">
    <mergeCell ref="B1:C1"/>
    <mergeCell ref="F63:G63"/>
    <mergeCell ref="F65:G65"/>
    <mergeCell ref="F66:G67"/>
  </mergeCells>
  <pageMargins left="0.31496062992125984" right="0.11811023622047245" top="0.74803149606299213" bottom="0.74803149606299213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53"/>
  <sheetViews>
    <sheetView topLeftCell="A22" workbookViewId="0">
      <selection activeCell="D26" sqref="D2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11" max="11" width="11.42578125" style="3"/>
  </cols>
  <sheetData>
    <row r="1" spans="2:11" ht="19.5" thickBot="1" x14ac:dyDescent="0.35">
      <c r="B1" s="84">
        <v>42395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7" t="s">
        <v>81</v>
      </c>
      <c r="G2" s="8"/>
      <c r="K2"/>
    </row>
    <row r="3" spans="2:11" ht="15.75" x14ac:dyDescent="0.25">
      <c r="B3" s="9">
        <v>42387</v>
      </c>
      <c r="C3" s="10" t="s">
        <v>82</v>
      </c>
      <c r="D3" s="11" t="s">
        <v>20</v>
      </c>
      <c r="E3" s="12">
        <f>453</f>
        <v>453</v>
      </c>
      <c r="F3" s="13">
        <v>14949</v>
      </c>
      <c r="K3"/>
    </row>
    <row r="4" spans="2:11" ht="15.75" x14ac:dyDescent="0.25">
      <c r="B4" s="14">
        <v>42387</v>
      </c>
      <c r="C4" s="15" t="s">
        <v>83</v>
      </c>
      <c r="D4" s="16" t="s">
        <v>14</v>
      </c>
      <c r="E4" s="17">
        <v>273</v>
      </c>
      <c r="F4" s="13">
        <v>9009</v>
      </c>
      <c r="K4"/>
    </row>
    <row r="5" spans="2:11" ht="15.75" x14ac:dyDescent="0.25">
      <c r="B5" s="14">
        <v>42387</v>
      </c>
      <c r="C5" s="15" t="s">
        <v>84</v>
      </c>
      <c r="D5" s="16" t="s">
        <v>9</v>
      </c>
      <c r="E5" s="17">
        <v>267.2</v>
      </c>
      <c r="F5" s="13">
        <v>8016</v>
      </c>
      <c r="K5"/>
    </row>
    <row r="6" spans="2:11" ht="15.75" x14ac:dyDescent="0.25">
      <c r="B6" s="14">
        <v>42387</v>
      </c>
      <c r="C6" s="15" t="s">
        <v>85</v>
      </c>
      <c r="D6" s="16" t="s">
        <v>38</v>
      </c>
      <c r="E6" s="17">
        <v>33.799999999999997</v>
      </c>
      <c r="F6" s="13">
        <v>1588.6</v>
      </c>
      <c r="K6" s="3">
        <f t="shared" ref="K6:K18" si="0">J6*I6</f>
        <v>0</v>
      </c>
    </row>
    <row r="7" spans="2:11" ht="15.75" x14ac:dyDescent="0.25">
      <c r="B7" s="14">
        <v>42387</v>
      </c>
      <c r="C7" s="15" t="s">
        <v>86</v>
      </c>
      <c r="D7" s="16" t="s">
        <v>6</v>
      </c>
      <c r="E7" s="17">
        <f>41.7+10.5+6.3+62.4</f>
        <v>120.9</v>
      </c>
      <c r="F7" s="13">
        <v>4928.1000000000004</v>
      </c>
      <c r="K7" s="3">
        <f t="shared" si="0"/>
        <v>0</v>
      </c>
    </row>
    <row r="8" spans="2:11" ht="15.75" x14ac:dyDescent="0.25">
      <c r="B8" s="14">
        <v>42387</v>
      </c>
      <c r="C8" s="15" t="s">
        <v>87</v>
      </c>
      <c r="D8" s="16" t="s">
        <v>8</v>
      </c>
      <c r="E8" s="17">
        <v>989</v>
      </c>
      <c r="F8" s="13">
        <v>28681</v>
      </c>
      <c r="K8" s="3">
        <f t="shared" si="0"/>
        <v>0</v>
      </c>
    </row>
    <row r="9" spans="2:11" ht="15.75" x14ac:dyDescent="0.25">
      <c r="B9" s="14">
        <v>42387</v>
      </c>
      <c r="C9" s="15" t="s">
        <v>88</v>
      </c>
      <c r="D9" s="16" t="s">
        <v>9</v>
      </c>
      <c r="E9" s="17">
        <v>332</v>
      </c>
      <c r="F9" s="13">
        <v>13944</v>
      </c>
      <c r="K9" s="3">
        <f t="shared" si="0"/>
        <v>0</v>
      </c>
    </row>
    <row r="10" spans="2:11" ht="15.75" x14ac:dyDescent="0.25">
      <c r="B10" s="14">
        <v>42387</v>
      </c>
      <c r="C10" s="15" t="s">
        <v>89</v>
      </c>
      <c r="D10" s="16" t="s">
        <v>13</v>
      </c>
      <c r="E10" s="17">
        <v>995</v>
      </c>
      <c r="F10" s="13">
        <v>28855</v>
      </c>
      <c r="K10" s="3">
        <f t="shared" si="0"/>
        <v>0</v>
      </c>
    </row>
    <row r="11" spans="2:11" ht="15.75" x14ac:dyDescent="0.25">
      <c r="B11" s="14">
        <v>42387</v>
      </c>
      <c r="C11" s="15" t="s">
        <v>90</v>
      </c>
      <c r="D11" s="16" t="s">
        <v>20</v>
      </c>
      <c r="E11" s="17">
        <v>219.4</v>
      </c>
      <c r="F11" s="13">
        <v>9214.7999999999993</v>
      </c>
      <c r="K11" s="3">
        <f t="shared" si="0"/>
        <v>0</v>
      </c>
    </row>
    <row r="12" spans="2:11" ht="15.75" x14ac:dyDescent="0.25">
      <c r="B12" s="14">
        <v>42388</v>
      </c>
      <c r="C12" s="15" t="s">
        <v>91</v>
      </c>
      <c r="D12" s="16" t="s">
        <v>10</v>
      </c>
      <c r="E12" s="17">
        <f>188.8+12.3+137.6+102.8</f>
        <v>441.50000000000006</v>
      </c>
      <c r="F12" s="13">
        <v>15718.2</v>
      </c>
      <c r="K12" s="3">
        <f t="shared" si="0"/>
        <v>0</v>
      </c>
    </row>
    <row r="13" spans="2:11" ht="15.75" x14ac:dyDescent="0.25">
      <c r="B13" s="14">
        <v>42388</v>
      </c>
      <c r="C13" s="15" t="s">
        <v>92</v>
      </c>
      <c r="D13" s="16" t="s">
        <v>14</v>
      </c>
      <c r="E13" s="17">
        <f>116.8+29.2+282.6</f>
        <v>428.6</v>
      </c>
      <c r="F13" s="13">
        <v>14236.1</v>
      </c>
      <c r="K13" s="3">
        <f t="shared" si="0"/>
        <v>0</v>
      </c>
    </row>
    <row r="14" spans="2:11" ht="15.75" x14ac:dyDescent="0.25">
      <c r="B14" s="14">
        <v>42388</v>
      </c>
      <c r="C14" s="15" t="s">
        <v>93</v>
      </c>
      <c r="D14" s="16" t="s">
        <v>20</v>
      </c>
      <c r="E14" s="17">
        <f>2+412.8</f>
        <v>414.8</v>
      </c>
      <c r="F14" s="13">
        <v>14956</v>
      </c>
      <c r="K14" s="3">
        <f t="shared" si="0"/>
        <v>0</v>
      </c>
    </row>
    <row r="15" spans="2:11" ht="15.75" x14ac:dyDescent="0.25">
      <c r="B15" s="14">
        <v>42388</v>
      </c>
      <c r="C15" s="15" t="s">
        <v>94</v>
      </c>
      <c r="D15" s="16" t="s">
        <v>9</v>
      </c>
      <c r="E15" s="17">
        <f>678.4</f>
        <v>678.4</v>
      </c>
      <c r="F15" s="13">
        <v>22048</v>
      </c>
      <c r="K15" s="3">
        <f t="shared" si="0"/>
        <v>0</v>
      </c>
    </row>
    <row r="16" spans="2:11" ht="15.75" x14ac:dyDescent="0.25">
      <c r="B16" s="14">
        <v>42388</v>
      </c>
      <c r="C16" s="15" t="s">
        <v>95</v>
      </c>
      <c r="D16" s="16" t="s">
        <v>11</v>
      </c>
      <c r="E16" s="17">
        <f>8.1+26.5</f>
        <v>34.6</v>
      </c>
      <c r="F16" s="13">
        <v>1381</v>
      </c>
      <c r="K16" s="3">
        <f t="shared" si="0"/>
        <v>0</v>
      </c>
    </row>
    <row r="17" spans="1:11" ht="15.75" x14ac:dyDescent="0.25">
      <c r="B17" s="14">
        <v>42388</v>
      </c>
      <c r="C17" s="15" t="s">
        <v>96</v>
      </c>
      <c r="D17" s="16" t="s">
        <v>6</v>
      </c>
      <c r="E17" s="17">
        <v>107.2</v>
      </c>
      <c r="F17" s="13">
        <v>4502.3999999999996</v>
      </c>
      <c r="K17" s="3">
        <f t="shared" si="0"/>
        <v>0</v>
      </c>
    </row>
    <row r="18" spans="1:11" ht="15.75" x14ac:dyDescent="0.25">
      <c r="B18" s="14">
        <v>42389</v>
      </c>
      <c r="C18" s="15" t="s">
        <v>97</v>
      </c>
      <c r="D18" s="16" t="s">
        <v>14</v>
      </c>
      <c r="E18" s="17">
        <v>345.4</v>
      </c>
      <c r="F18" s="13">
        <v>11225.5</v>
      </c>
      <c r="K18" s="3">
        <f t="shared" si="0"/>
        <v>0</v>
      </c>
    </row>
    <row r="19" spans="1:11" ht="15.75" x14ac:dyDescent="0.25">
      <c r="B19" s="14">
        <v>42389</v>
      </c>
      <c r="C19" s="15" t="s">
        <v>98</v>
      </c>
      <c r="D19" s="16" t="s">
        <v>20</v>
      </c>
      <c r="E19" s="17">
        <f>58+120+242.6</f>
        <v>420.6</v>
      </c>
      <c r="F19" s="13">
        <v>13978.5</v>
      </c>
      <c r="I19" s="3">
        <f t="shared" ref="I19" si="1">SUM(I6:I18)</f>
        <v>0</v>
      </c>
      <c r="J19" s="3"/>
      <c r="K19" s="3">
        <f>SUM(K6:K18)</f>
        <v>0</v>
      </c>
    </row>
    <row r="20" spans="1:11" ht="15.75" x14ac:dyDescent="0.25">
      <c r="B20" s="14">
        <v>42389</v>
      </c>
      <c r="C20" s="15" t="s">
        <v>99</v>
      </c>
      <c r="D20" s="16" t="s">
        <v>8</v>
      </c>
      <c r="E20" s="17">
        <v>164.4</v>
      </c>
      <c r="F20" s="13">
        <v>5343</v>
      </c>
    </row>
    <row r="21" spans="1:11" ht="15.75" x14ac:dyDescent="0.25">
      <c r="B21" s="14">
        <v>42389</v>
      </c>
      <c r="C21" s="15" t="s">
        <v>100</v>
      </c>
      <c r="D21" s="16" t="s">
        <v>7</v>
      </c>
      <c r="E21" s="17">
        <f>10.9+4.1</f>
        <v>15</v>
      </c>
      <c r="F21" s="13">
        <v>409</v>
      </c>
    </row>
    <row r="22" spans="1:11" ht="15.75" x14ac:dyDescent="0.25">
      <c r="A22" s="18"/>
      <c r="B22" s="14">
        <v>42389</v>
      </c>
      <c r="C22" s="15" t="s">
        <v>101</v>
      </c>
      <c r="D22" s="16" t="s">
        <v>11</v>
      </c>
      <c r="E22" s="17">
        <v>28.3</v>
      </c>
      <c r="F22" s="13">
        <v>1330.1</v>
      </c>
    </row>
    <row r="23" spans="1:11" ht="15.75" x14ac:dyDescent="0.25">
      <c r="B23" s="14">
        <v>42390</v>
      </c>
      <c r="C23" s="15" t="s">
        <v>102</v>
      </c>
      <c r="D23" s="16" t="s">
        <v>10</v>
      </c>
      <c r="E23" s="17">
        <f>19.5+221.4+130.4+190</f>
        <v>561.29999999999995</v>
      </c>
      <c r="F23" s="13">
        <v>27600.799999999999</v>
      </c>
    </row>
    <row r="24" spans="1:11" x14ac:dyDescent="0.25">
      <c r="B24" s="14">
        <v>42390</v>
      </c>
      <c r="C24" s="19" t="s">
        <v>103</v>
      </c>
      <c r="D24" s="16" t="s">
        <v>14</v>
      </c>
      <c r="E24" s="17">
        <v>206.2</v>
      </c>
      <c r="F24" s="13">
        <v>6701.5</v>
      </c>
    </row>
    <row r="25" spans="1:11" x14ac:dyDescent="0.25">
      <c r="B25" s="14">
        <v>42390</v>
      </c>
      <c r="C25" s="19" t="s">
        <v>104</v>
      </c>
      <c r="D25" s="16" t="s">
        <v>105</v>
      </c>
      <c r="E25" s="17">
        <v>336</v>
      </c>
      <c r="F25" s="13">
        <v>10920</v>
      </c>
    </row>
    <row r="26" spans="1:11" x14ac:dyDescent="0.25">
      <c r="B26" s="14">
        <v>42390</v>
      </c>
      <c r="C26" s="19" t="s">
        <v>106</v>
      </c>
      <c r="D26" s="16" t="s">
        <v>20</v>
      </c>
      <c r="E26" s="17">
        <f>329.2+63</f>
        <v>392.2</v>
      </c>
      <c r="F26" s="13">
        <v>15186.2</v>
      </c>
    </row>
    <row r="27" spans="1:11" x14ac:dyDescent="0.25">
      <c r="B27" s="14">
        <v>42390</v>
      </c>
      <c r="C27" s="19" t="s">
        <v>107</v>
      </c>
      <c r="D27" s="16" t="s">
        <v>9</v>
      </c>
      <c r="E27" s="17">
        <f>39.6+13.6+696.4</f>
        <v>749.6</v>
      </c>
      <c r="F27" s="13">
        <v>23941.8</v>
      </c>
    </row>
    <row r="28" spans="1:11" x14ac:dyDescent="0.25">
      <c r="B28" s="14">
        <v>42390</v>
      </c>
      <c r="C28" s="19" t="s">
        <v>108</v>
      </c>
      <c r="D28" s="16" t="s">
        <v>11</v>
      </c>
      <c r="E28" s="17">
        <f>15.8+131.2</f>
        <v>147</v>
      </c>
      <c r="F28" s="13">
        <v>4711.2</v>
      </c>
    </row>
    <row r="29" spans="1:11" x14ac:dyDescent="0.25">
      <c r="B29" s="14">
        <v>42390</v>
      </c>
      <c r="C29" s="19" t="s">
        <v>109</v>
      </c>
      <c r="D29" s="16" t="s">
        <v>6</v>
      </c>
      <c r="E29" s="17">
        <f>5.2+7.9+9.1</f>
        <v>22.200000000000003</v>
      </c>
      <c r="F29" s="13">
        <v>753.7</v>
      </c>
    </row>
    <row r="30" spans="1:11" x14ac:dyDescent="0.25">
      <c r="B30" s="14">
        <v>42390</v>
      </c>
      <c r="C30" s="19" t="s">
        <v>110</v>
      </c>
      <c r="D30" s="16" t="s">
        <v>13</v>
      </c>
      <c r="E30" s="17">
        <f>292+863.1+44.1+27.24+13.61+39.1</f>
        <v>1279.1499999999996</v>
      </c>
      <c r="F30" s="13">
        <v>34580.639999999999</v>
      </c>
    </row>
    <row r="31" spans="1:11" x14ac:dyDescent="0.25">
      <c r="B31" s="14">
        <v>42391</v>
      </c>
      <c r="C31" s="19" t="s">
        <v>111</v>
      </c>
      <c r="D31" s="16" t="s">
        <v>10</v>
      </c>
      <c r="E31" s="17">
        <v>92</v>
      </c>
      <c r="F31" s="13">
        <v>2944</v>
      </c>
    </row>
    <row r="32" spans="1:11" x14ac:dyDescent="0.25">
      <c r="B32" s="14">
        <v>42391</v>
      </c>
      <c r="C32" s="19" t="s">
        <v>112</v>
      </c>
      <c r="D32" s="16" t="s">
        <v>14</v>
      </c>
      <c r="E32" s="17">
        <v>337.4</v>
      </c>
      <c r="F32" s="13">
        <v>10796.8</v>
      </c>
    </row>
    <row r="33" spans="2:11" ht="15.75" x14ac:dyDescent="0.25">
      <c r="B33" s="14">
        <v>42391</v>
      </c>
      <c r="C33" s="15" t="s">
        <v>113</v>
      </c>
      <c r="D33" s="16" t="s">
        <v>20</v>
      </c>
      <c r="E33" s="17">
        <f>65.1+430.6+270.1</f>
        <v>765.80000000000007</v>
      </c>
      <c r="F33" s="13">
        <v>26155.3</v>
      </c>
    </row>
    <row r="34" spans="2:11" x14ac:dyDescent="0.25">
      <c r="B34" s="14">
        <v>42391</v>
      </c>
      <c r="C34" s="19" t="s">
        <v>114</v>
      </c>
      <c r="D34" s="16" t="s">
        <v>6</v>
      </c>
      <c r="E34" s="17">
        <f>115.6+42.3+85.6+137.8</f>
        <v>381.29999999999995</v>
      </c>
      <c r="F34" s="13">
        <v>11394.5</v>
      </c>
      <c r="K34" s="3">
        <f t="shared" ref="K34:K40" si="2">J34*I34</f>
        <v>0</v>
      </c>
    </row>
    <row r="35" spans="2:11" x14ac:dyDescent="0.25">
      <c r="B35" s="14">
        <v>42391</v>
      </c>
      <c r="C35" s="19" t="s">
        <v>115</v>
      </c>
      <c r="D35" s="16" t="s">
        <v>13</v>
      </c>
      <c r="E35" s="17">
        <f>915.8+13.6+40.7</f>
        <v>970.1</v>
      </c>
      <c r="F35" s="13">
        <v>28946.9</v>
      </c>
      <c r="K35" s="3">
        <f t="shared" si="2"/>
        <v>0</v>
      </c>
    </row>
    <row r="36" spans="2:11" x14ac:dyDescent="0.25">
      <c r="B36" s="14">
        <v>42391</v>
      </c>
      <c r="C36" s="19" t="s">
        <v>116</v>
      </c>
      <c r="D36" s="16" t="s">
        <v>11</v>
      </c>
      <c r="E36" s="17">
        <f>3+151.8</f>
        <v>154.80000000000001</v>
      </c>
      <c r="F36" s="13">
        <v>6778.8</v>
      </c>
      <c r="K36" s="3">
        <f t="shared" si="2"/>
        <v>0</v>
      </c>
    </row>
    <row r="37" spans="2:11" ht="15.75" x14ac:dyDescent="0.25">
      <c r="B37" s="14">
        <v>42391</v>
      </c>
      <c r="C37" s="15" t="s">
        <v>117</v>
      </c>
      <c r="D37" s="16" t="s">
        <v>7</v>
      </c>
      <c r="E37" s="17">
        <f>19.9+39.2+1</f>
        <v>60.1</v>
      </c>
      <c r="F37" s="13">
        <v>2415.6999999999998</v>
      </c>
      <c r="K37" s="3">
        <f t="shared" si="2"/>
        <v>0</v>
      </c>
    </row>
    <row r="38" spans="2:11" ht="15.75" x14ac:dyDescent="0.25">
      <c r="B38" s="14">
        <v>42391</v>
      </c>
      <c r="C38" s="15" t="s">
        <v>118</v>
      </c>
      <c r="D38" s="16" t="s">
        <v>8</v>
      </c>
      <c r="E38" s="17">
        <v>64.5</v>
      </c>
      <c r="F38" s="13">
        <v>1935</v>
      </c>
      <c r="K38" s="3">
        <f t="shared" si="2"/>
        <v>0</v>
      </c>
    </row>
    <row r="39" spans="2:11" ht="15.75" x14ac:dyDescent="0.25">
      <c r="B39" s="14">
        <v>42392</v>
      </c>
      <c r="C39" s="15" t="s">
        <v>119</v>
      </c>
      <c r="D39" s="16" t="s">
        <v>11</v>
      </c>
      <c r="E39" s="17">
        <f>137.2+202.2</f>
        <v>339.4</v>
      </c>
      <c r="F39" s="13">
        <v>12297.8</v>
      </c>
      <c r="K39" s="3">
        <f t="shared" si="2"/>
        <v>0</v>
      </c>
    </row>
    <row r="40" spans="2:11" x14ac:dyDescent="0.25">
      <c r="B40" s="14">
        <v>42392</v>
      </c>
      <c r="C40" s="19" t="s">
        <v>120</v>
      </c>
      <c r="D40" s="16" t="s">
        <v>14</v>
      </c>
      <c r="E40" s="17">
        <f>356.6</f>
        <v>356.6</v>
      </c>
      <c r="F40" s="13">
        <v>11411.2</v>
      </c>
      <c r="K40" s="3">
        <f t="shared" si="2"/>
        <v>0</v>
      </c>
    </row>
    <row r="41" spans="2:11" ht="15.75" x14ac:dyDescent="0.25">
      <c r="B41" s="14">
        <v>42392</v>
      </c>
      <c r="C41" s="15" t="s">
        <v>121</v>
      </c>
      <c r="D41" s="16" t="s">
        <v>20</v>
      </c>
      <c r="E41" s="17">
        <f>388.2+117.2</f>
        <v>505.4</v>
      </c>
      <c r="F41" s="13">
        <v>16114.2</v>
      </c>
      <c r="K41" s="3">
        <f>J41*I41</f>
        <v>0</v>
      </c>
    </row>
    <row r="42" spans="2:11" ht="15.75" x14ac:dyDescent="0.25">
      <c r="B42" s="14">
        <v>42392</v>
      </c>
      <c r="C42" s="15" t="s">
        <v>122</v>
      </c>
      <c r="D42" s="16" t="s">
        <v>9</v>
      </c>
      <c r="E42" s="17">
        <f>185+69.4</f>
        <v>254.4</v>
      </c>
      <c r="F42" s="13">
        <v>7215.5</v>
      </c>
      <c r="K42" s="3">
        <f t="shared" ref="K42:K45" si="3">J42*I42</f>
        <v>0</v>
      </c>
    </row>
    <row r="43" spans="2:11" x14ac:dyDescent="0.25">
      <c r="B43" s="14">
        <v>42392</v>
      </c>
      <c r="C43" s="19" t="s">
        <v>123</v>
      </c>
      <c r="D43" s="16" t="s">
        <v>12</v>
      </c>
      <c r="E43" s="17">
        <f>330.4+128+154.4+117.4</f>
        <v>730.19999999999993</v>
      </c>
      <c r="F43" s="13">
        <v>29884.2</v>
      </c>
      <c r="K43" s="3">
        <f t="shared" si="3"/>
        <v>0</v>
      </c>
    </row>
    <row r="44" spans="2:11" ht="16.5" thickBot="1" x14ac:dyDescent="0.3">
      <c r="B44" s="14"/>
      <c r="C44" s="15"/>
      <c r="D44" s="16"/>
      <c r="E44" s="17"/>
      <c r="F44" s="13"/>
      <c r="K44" s="3">
        <f t="shared" si="3"/>
        <v>0</v>
      </c>
    </row>
    <row r="45" spans="2:11" ht="15.75" thickBot="1" x14ac:dyDescent="0.3">
      <c r="B45" s="21"/>
      <c r="C45" s="22"/>
      <c r="D45" s="23"/>
      <c r="E45" s="24">
        <v>0</v>
      </c>
      <c r="F45" s="25">
        <f>SUM(F3:F44)</f>
        <v>516999.04000000004</v>
      </c>
      <c r="K45" s="3">
        <f t="shared" si="3"/>
        <v>0</v>
      </c>
    </row>
    <row r="46" spans="2:11" ht="19.5" thickBot="1" x14ac:dyDescent="0.35">
      <c r="B46" s="26"/>
      <c r="C46" s="27"/>
      <c r="D46" s="28" t="s">
        <v>5</v>
      </c>
      <c r="E46" s="29">
        <f>SUM(E3:E45)</f>
        <v>15467.75</v>
      </c>
      <c r="I46" s="30">
        <f>SUM(I34:I45)</f>
        <v>0</v>
      </c>
      <c r="J46" s="30"/>
      <c r="K46" s="30">
        <f>SUM(K34:K45)</f>
        <v>0</v>
      </c>
    </row>
    <row r="47" spans="2:11" x14ac:dyDescent="0.25">
      <c r="B47" s="26"/>
      <c r="C47" s="27"/>
      <c r="D47" s="31"/>
      <c r="E47" s="32"/>
      <c r="K47"/>
    </row>
    <row r="48" spans="2:11" ht="21.75" thickBot="1" x14ac:dyDescent="0.4">
      <c r="B48" s="33"/>
      <c r="C48" s="34" t="s">
        <v>15</v>
      </c>
      <c r="D48" s="35">
        <f>E46*0.2</f>
        <v>3093.55</v>
      </c>
      <c r="F48"/>
      <c r="K48"/>
    </row>
    <row r="49" spans="3:13" ht="21.75" thickBot="1" x14ac:dyDescent="0.4">
      <c r="C49" s="36" t="s">
        <v>16</v>
      </c>
      <c r="D49" s="37">
        <v>3000</v>
      </c>
      <c r="E49" s="38"/>
      <c r="F49" s="85">
        <f>D48+D49</f>
        <v>6093.55</v>
      </c>
      <c r="G49" s="86"/>
      <c r="I49" s="39"/>
      <c r="J49" s="39"/>
      <c r="K49" s="39"/>
      <c r="L49" s="39"/>
      <c r="M49" s="39"/>
    </row>
    <row r="50" spans="3:13" ht="15.75" thickTop="1" x14ac:dyDescent="0.25">
      <c r="I50" s="39"/>
      <c r="J50" s="39"/>
      <c r="K50" s="40"/>
      <c r="L50" s="40"/>
      <c r="M50" s="40"/>
    </row>
    <row r="51" spans="3:13" ht="19.5" thickBot="1" x14ac:dyDescent="0.35">
      <c r="E51" s="41" t="s">
        <v>17</v>
      </c>
      <c r="F51" s="87">
        <v>0</v>
      </c>
      <c r="G51" s="87"/>
      <c r="I51" s="39"/>
      <c r="J51" s="39"/>
      <c r="K51" s="40"/>
      <c r="L51" s="40"/>
      <c r="M51" s="40"/>
    </row>
    <row r="52" spans="3:13" ht="15.75" thickTop="1" x14ac:dyDescent="0.25">
      <c r="C52"/>
      <c r="F52" s="88">
        <f>F49+F51</f>
        <v>6093.55</v>
      </c>
      <c r="G52" s="88"/>
      <c r="I52" s="39"/>
      <c r="J52" s="39"/>
      <c r="K52" s="40"/>
      <c r="L52" s="40"/>
      <c r="M52" s="40"/>
    </row>
    <row r="53" spans="3:13" ht="18.75" x14ac:dyDescent="0.3">
      <c r="C53"/>
      <c r="E53" s="2" t="s">
        <v>18</v>
      </c>
      <c r="F53" s="89"/>
      <c r="G53" s="89"/>
      <c r="K53"/>
    </row>
  </sheetData>
  <mergeCells count="4">
    <mergeCell ref="B1:C1"/>
    <mergeCell ref="F49:G49"/>
    <mergeCell ref="F51:G51"/>
    <mergeCell ref="F52:G53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C26" sqref="C2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42585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325</v>
      </c>
      <c r="G2" s="8"/>
      <c r="K2"/>
    </row>
    <row r="3" spans="2:11" ht="15.75" x14ac:dyDescent="0.25">
      <c r="B3" s="9">
        <v>42576</v>
      </c>
      <c r="C3" s="10">
        <v>625</v>
      </c>
      <c r="D3" s="11" t="s">
        <v>13</v>
      </c>
      <c r="E3" s="12">
        <f>31.1+963+20.9</f>
        <v>1015</v>
      </c>
      <c r="F3" s="13">
        <v>38929.4</v>
      </c>
      <c r="K3"/>
    </row>
    <row r="4" spans="2:11" ht="15.75" x14ac:dyDescent="0.25">
      <c r="B4" s="14">
        <v>42576</v>
      </c>
      <c r="C4" s="15">
        <v>627</v>
      </c>
      <c r="D4" s="16" t="s">
        <v>153</v>
      </c>
      <c r="E4" s="17">
        <v>147.80000000000001</v>
      </c>
      <c r="F4" s="13">
        <v>7390</v>
      </c>
      <c r="K4"/>
    </row>
    <row r="5" spans="2:11" ht="15.75" x14ac:dyDescent="0.25">
      <c r="B5" s="14">
        <v>42576</v>
      </c>
      <c r="C5" s="15">
        <v>628</v>
      </c>
      <c r="D5" s="16" t="s">
        <v>11</v>
      </c>
      <c r="E5" s="17">
        <v>128.19999999999999</v>
      </c>
      <c r="F5" s="13">
        <v>6410</v>
      </c>
      <c r="K5"/>
    </row>
    <row r="6" spans="2:11" ht="15.75" x14ac:dyDescent="0.25">
      <c r="B6" s="14">
        <v>42576</v>
      </c>
      <c r="C6" s="47">
        <v>629</v>
      </c>
      <c r="D6" s="16" t="s">
        <v>20</v>
      </c>
      <c r="E6" s="56">
        <f>60.5+257.4</f>
        <v>317.89999999999998</v>
      </c>
      <c r="F6" s="13">
        <v>15895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42576</v>
      </c>
      <c r="C7" s="15">
        <v>632</v>
      </c>
      <c r="D7" s="16" t="s">
        <v>9</v>
      </c>
      <c r="E7" s="17">
        <v>203.2</v>
      </c>
      <c r="F7" s="13">
        <v>10160</v>
      </c>
      <c r="K7" s="3">
        <f t="shared" si="0"/>
        <v>0</v>
      </c>
    </row>
    <row r="8" spans="2:11" ht="15.75" x14ac:dyDescent="0.25">
      <c r="B8" s="14">
        <v>42576</v>
      </c>
      <c r="C8" s="15">
        <v>634</v>
      </c>
      <c r="D8" s="16" t="s">
        <v>12</v>
      </c>
      <c r="E8" s="17">
        <f>349.4+254.2</f>
        <v>603.59999999999991</v>
      </c>
      <c r="F8" s="13">
        <v>27638</v>
      </c>
      <c r="K8" s="3">
        <f t="shared" si="0"/>
        <v>0</v>
      </c>
    </row>
    <row r="9" spans="2:11" ht="15.75" x14ac:dyDescent="0.25">
      <c r="B9" s="14">
        <v>42576</v>
      </c>
      <c r="C9" s="15">
        <v>635</v>
      </c>
      <c r="D9" s="16" t="s">
        <v>10</v>
      </c>
      <c r="E9" s="17">
        <f>124.6+36.4+58.8+119.1</f>
        <v>338.9</v>
      </c>
      <c r="F9" s="13">
        <v>13901.8</v>
      </c>
      <c r="K9" s="3">
        <f t="shared" si="0"/>
        <v>0</v>
      </c>
    </row>
    <row r="10" spans="2:11" ht="15.75" x14ac:dyDescent="0.25">
      <c r="B10" s="14">
        <v>42577</v>
      </c>
      <c r="C10" s="15">
        <v>721</v>
      </c>
      <c r="D10" s="16" t="s">
        <v>6</v>
      </c>
      <c r="E10" s="17">
        <f>58+69.2</f>
        <v>127.2</v>
      </c>
      <c r="F10" s="13">
        <v>6418</v>
      </c>
      <c r="K10" s="3">
        <f t="shared" si="0"/>
        <v>0</v>
      </c>
    </row>
    <row r="11" spans="2:11" ht="15.75" x14ac:dyDescent="0.25">
      <c r="B11" s="14">
        <v>42577</v>
      </c>
      <c r="C11" s="44">
        <v>724</v>
      </c>
      <c r="D11" s="16" t="s">
        <v>8</v>
      </c>
      <c r="E11" s="17">
        <v>34.6</v>
      </c>
      <c r="F11" s="13">
        <v>1937.6</v>
      </c>
      <c r="K11" s="3">
        <f t="shared" si="0"/>
        <v>0</v>
      </c>
    </row>
    <row r="12" spans="2:11" ht="15.75" x14ac:dyDescent="0.25">
      <c r="B12" s="14">
        <v>42577</v>
      </c>
      <c r="C12" s="15">
        <v>725</v>
      </c>
      <c r="D12" s="16" t="s">
        <v>9</v>
      </c>
      <c r="E12" s="17">
        <v>405.9</v>
      </c>
      <c r="F12" s="13">
        <v>16844.849999999999</v>
      </c>
      <c r="K12" s="3">
        <f t="shared" si="0"/>
        <v>0</v>
      </c>
    </row>
    <row r="13" spans="2:11" ht="15.75" x14ac:dyDescent="0.25">
      <c r="B13" s="14">
        <v>42577</v>
      </c>
      <c r="C13" s="15">
        <v>726</v>
      </c>
      <c r="D13" s="16" t="s">
        <v>20</v>
      </c>
      <c r="E13" s="17">
        <v>386.9</v>
      </c>
      <c r="F13" s="13">
        <v>16056.35</v>
      </c>
      <c r="K13" s="3">
        <f t="shared" si="0"/>
        <v>0</v>
      </c>
    </row>
    <row r="14" spans="2:11" ht="15.75" x14ac:dyDescent="0.25">
      <c r="B14" s="14">
        <v>42577</v>
      </c>
      <c r="C14" s="15">
        <v>727</v>
      </c>
      <c r="D14" s="16" t="s">
        <v>7</v>
      </c>
      <c r="E14" s="17">
        <v>84.6</v>
      </c>
      <c r="F14" s="13">
        <v>3510.9</v>
      </c>
      <c r="K14" s="3">
        <f t="shared" si="0"/>
        <v>0</v>
      </c>
    </row>
    <row r="15" spans="2:11" ht="15.75" x14ac:dyDescent="0.25">
      <c r="B15" s="14">
        <v>42578</v>
      </c>
      <c r="C15" s="15">
        <v>810</v>
      </c>
      <c r="D15" s="16" t="s">
        <v>12</v>
      </c>
      <c r="E15" s="17">
        <v>93.4</v>
      </c>
      <c r="F15" s="13">
        <v>4670</v>
      </c>
      <c r="K15" s="3">
        <f t="shared" si="0"/>
        <v>0</v>
      </c>
    </row>
    <row r="16" spans="2:11" ht="15.75" x14ac:dyDescent="0.25">
      <c r="B16" s="14">
        <v>42578</v>
      </c>
      <c r="C16" s="15">
        <v>812</v>
      </c>
      <c r="D16" s="16" t="s">
        <v>20</v>
      </c>
      <c r="E16" s="17">
        <v>404.4</v>
      </c>
      <c r="F16" s="13">
        <v>16782.599999999999</v>
      </c>
      <c r="K16" s="3">
        <f t="shared" si="0"/>
        <v>0</v>
      </c>
    </row>
    <row r="17" spans="1:13" ht="15.75" x14ac:dyDescent="0.25">
      <c r="B17" s="14">
        <v>42578</v>
      </c>
      <c r="C17" s="15">
        <v>813</v>
      </c>
      <c r="D17" s="16" t="s">
        <v>9</v>
      </c>
      <c r="E17" s="17">
        <v>407.2</v>
      </c>
      <c r="F17" s="13">
        <v>16898.8</v>
      </c>
      <c r="I17" s="3"/>
      <c r="J17" s="3"/>
      <c r="K17" s="3">
        <f>SUM(K6:K16)</f>
        <v>0</v>
      </c>
    </row>
    <row r="18" spans="1:13" ht="15.75" x14ac:dyDescent="0.25">
      <c r="B18" s="14">
        <v>42578</v>
      </c>
      <c r="C18" s="15">
        <v>814</v>
      </c>
      <c r="D18" s="16" t="s">
        <v>11</v>
      </c>
      <c r="E18" s="17">
        <f>26.6+47+127.6</f>
        <v>201.2</v>
      </c>
      <c r="F18" s="13">
        <v>9597.2000000000007</v>
      </c>
      <c r="I18" s="3"/>
      <c r="J18" s="3"/>
    </row>
    <row r="19" spans="1:13" ht="15.75" x14ac:dyDescent="0.25">
      <c r="B19" s="14">
        <v>42578</v>
      </c>
      <c r="C19" s="15">
        <v>816</v>
      </c>
      <c r="D19" s="16" t="s">
        <v>7</v>
      </c>
      <c r="E19" s="17">
        <f>79.1+45.1</f>
        <v>124.19999999999999</v>
      </c>
      <c r="F19" s="13">
        <v>4996.45</v>
      </c>
    </row>
    <row r="20" spans="1:13" ht="15.75" x14ac:dyDescent="0.25">
      <c r="B20" s="14">
        <v>42578</v>
      </c>
      <c r="C20" s="15">
        <v>817</v>
      </c>
      <c r="D20" s="16" t="s">
        <v>8</v>
      </c>
      <c r="E20" s="17">
        <v>78</v>
      </c>
      <c r="F20" s="13">
        <v>2964</v>
      </c>
    </row>
    <row r="21" spans="1:13" ht="15.75" x14ac:dyDescent="0.25">
      <c r="B21" s="14">
        <v>42578</v>
      </c>
      <c r="C21" s="15">
        <v>821</v>
      </c>
      <c r="D21" s="16" t="s">
        <v>153</v>
      </c>
      <c r="E21" s="17">
        <v>221.6</v>
      </c>
      <c r="F21" s="13">
        <v>11080</v>
      </c>
    </row>
    <row r="22" spans="1:13" ht="15.75" x14ac:dyDescent="0.25">
      <c r="A22" s="18"/>
      <c r="B22" s="14">
        <v>42578</v>
      </c>
      <c r="C22" s="15">
        <v>822</v>
      </c>
      <c r="D22" s="16" t="s">
        <v>6</v>
      </c>
      <c r="E22" s="17">
        <f>6.8+10.9+24.8</f>
        <v>42.5</v>
      </c>
      <c r="F22" s="13">
        <v>2774.6</v>
      </c>
    </row>
    <row r="23" spans="1:13" ht="15.75" x14ac:dyDescent="0.25">
      <c r="B23" s="14">
        <v>42579</v>
      </c>
      <c r="C23" s="15">
        <v>941</v>
      </c>
      <c r="D23" s="16" t="s">
        <v>8</v>
      </c>
      <c r="E23" s="17">
        <v>957.1</v>
      </c>
      <c r="F23" s="13">
        <v>35412.699999999997</v>
      </c>
      <c r="I23" s="48"/>
      <c r="J23" s="49"/>
      <c r="K23" s="50"/>
      <c r="L23" s="51"/>
      <c r="M23" s="52"/>
    </row>
    <row r="24" spans="1:13" ht="15.75" x14ac:dyDescent="0.25">
      <c r="B24" s="14">
        <v>42579</v>
      </c>
      <c r="C24" s="15">
        <v>942</v>
      </c>
      <c r="D24" s="16" t="s">
        <v>8</v>
      </c>
      <c r="E24" s="17">
        <v>40.700000000000003</v>
      </c>
      <c r="F24" s="13">
        <v>1302.4000000000001</v>
      </c>
      <c r="I24" s="31"/>
      <c r="J24" s="31"/>
      <c r="K24" s="53"/>
      <c r="L24" s="31"/>
      <c r="M24" s="31"/>
    </row>
    <row r="25" spans="1:13" ht="15.75" x14ac:dyDescent="0.25">
      <c r="B25" s="14">
        <v>42579</v>
      </c>
      <c r="C25" s="15">
        <v>943</v>
      </c>
      <c r="D25" s="16" t="s">
        <v>20</v>
      </c>
      <c r="E25" s="17">
        <v>314.3</v>
      </c>
      <c r="F25" s="13">
        <v>13043.45</v>
      </c>
      <c r="I25" s="31"/>
      <c r="J25" s="31"/>
      <c r="K25" s="53"/>
      <c r="L25" s="31"/>
      <c r="M25" s="31"/>
    </row>
    <row r="26" spans="1:13" ht="15.75" x14ac:dyDescent="0.25">
      <c r="B26" s="14">
        <v>42579</v>
      </c>
      <c r="C26" s="15">
        <v>944</v>
      </c>
      <c r="D26" s="16" t="s">
        <v>9</v>
      </c>
      <c r="E26" s="17">
        <v>300.5</v>
      </c>
      <c r="F26" s="13">
        <v>12470.75</v>
      </c>
    </row>
    <row r="27" spans="1:13" x14ac:dyDescent="0.25">
      <c r="B27" s="14">
        <v>42579</v>
      </c>
      <c r="C27" s="19">
        <v>945</v>
      </c>
      <c r="D27" s="16" t="s">
        <v>10</v>
      </c>
      <c r="E27" s="17">
        <v>291.10000000000002</v>
      </c>
      <c r="F27" s="13">
        <v>12080.65</v>
      </c>
    </row>
    <row r="28" spans="1:13" x14ac:dyDescent="0.25">
      <c r="B28" s="14">
        <v>42579</v>
      </c>
      <c r="C28" s="19">
        <v>946</v>
      </c>
      <c r="D28" s="16" t="s">
        <v>11</v>
      </c>
      <c r="E28" s="17">
        <f>65.4+74.2</f>
        <v>139.60000000000002</v>
      </c>
      <c r="F28" s="13">
        <v>6980</v>
      </c>
    </row>
    <row r="29" spans="1:13" x14ac:dyDescent="0.25">
      <c r="B29" s="14">
        <v>42579</v>
      </c>
      <c r="C29" s="19">
        <v>949</v>
      </c>
      <c r="D29" s="16" t="s">
        <v>6</v>
      </c>
      <c r="E29" s="17">
        <f>192.2+55.8+90.4+81.4+32.3</f>
        <v>452.09999999999997</v>
      </c>
      <c r="F29" s="13">
        <v>21412</v>
      </c>
    </row>
    <row r="30" spans="1:13" x14ac:dyDescent="0.25">
      <c r="B30" s="14">
        <v>42580</v>
      </c>
      <c r="C30" s="19">
        <v>1092</v>
      </c>
      <c r="D30" s="16" t="s">
        <v>20</v>
      </c>
      <c r="E30" s="17">
        <v>413.6</v>
      </c>
      <c r="F30" s="13">
        <v>17164.400000000001</v>
      </c>
    </row>
    <row r="31" spans="1:13" x14ac:dyDescent="0.25">
      <c r="B31" s="14">
        <v>42580</v>
      </c>
      <c r="C31" s="19">
        <v>1094</v>
      </c>
      <c r="D31" s="16" t="s">
        <v>8</v>
      </c>
      <c r="E31" s="17">
        <f>34.2+13.6+17.8+48.6</f>
        <v>114.20000000000002</v>
      </c>
      <c r="F31" s="13">
        <v>3514.4</v>
      </c>
    </row>
    <row r="32" spans="1:13" x14ac:dyDescent="0.25">
      <c r="B32" s="14">
        <v>42580</v>
      </c>
      <c r="C32" s="19">
        <v>1095</v>
      </c>
      <c r="D32" s="16" t="s">
        <v>6</v>
      </c>
      <c r="E32" s="17">
        <v>84.2</v>
      </c>
      <c r="F32" s="13">
        <v>3494.3</v>
      </c>
    </row>
    <row r="33" spans="2:11" x14ac:dyDescent="0.25">
      <c r="B33" s="14">
        <v>42580</v>
      </c>
      <c r="C33" s="19">
        <v>1097</v>
      </c>
      <c r="D33" s="16" t="s">
        <v>10</v>
      </c>
      <c r="E33" s="17">
        <v>104.4</v>
      </c>
      <c r="F33" s="13">
        <v>3967.2</v>
      </c>
    </row>
    <row r="34" spans="2:11" x14ac:dyDescent="0.25">
      <c r="B34" s="14">
        <v>42580</v>
      </c>
      <c r="C34" s="19">
        <v>1099</v>
      </c>
      <c r="D34" s="16" t="s">
        <v>7</v>
      </c>
      <c r="E34" s="17">
        <f>76.8+23+1</f>
        <v>100.8</v>
      </c>
      <c r="F34" s="13">
        <v>4246.2</v>
      </c>
      <c r="K34" s="3">
        <f t="shared" ref="K34:K49" si="1">J34*I34</f>
        <v>0</v>
      </c>
    </row>
    <row r="35" spans="2:11" x14ac:dyDescent="0.25">
      <c r="B35" s="14">
        <v>42580</v>
      </c>
      <c r="C35" s="19">
        <v>1100</v>
      </c>
      <c r="D35" s="16" t="s">
        <v>9</v>
      </c>
      <c r="E35" s="17">
        <f>92.4+117</f>
        <v>209.4</v>
      </c>
      <c r="F35" s="13">
        <v>6663.6</v>
      </c>
      <c r="K35" s="3">
        <f t="shared" si="1"/>
        <v>0</v>
      </c>
    </row>
    <row r="36" spans="2:11" x14ac:dyDescent="0.25">
      <c r="B36" s="14">
        <v>42580</v>
      </c>
      <c r="C36" s="19">
        <v>1101</v>
      </c>
      <c r="D36" s="16" t="s">
        <v>14</v>
      </c>
      <c r="E36" s="17">
        <f>103+105.2+18.7</f>
        <v>226.89999999999998</v>
      </c>
      <c r="F36" s="13">
        <v>7097.9</v>
      </c>
      <c r="K36" s="3">
        <f t="shared" si="1"/>
        <v>0</v>
      </c>
    </row>
    <row r="37" spans="2:11" x14ac:dyDescent="0.25">
      <c r="B37" s="14">
        <v>42581</v>
      </c>
      <c r="C37" s="19">
        <v>1224</v>
      </c>
      <c r="D37" s="16" t="s">
        <v>10</v>
      </c>
      <c r="E37" s="17">
        <f>287.6+179.6+26+81.72+4+38.7</f>
        <v>617.62000000000012</v>
      </c>
      <c r="F37" s="13">
        <v>27162.799999999999</v>
      </c>
      <c r="K37" s="3">
        <f t="shared" si="1"/>
        <v>0</v>
      </c>
    </row>
    <row r="38" spans="2:11" x14ac:dyDescent="0.25">
      <c r="B38" s="14">
        <v>42581</v>
      </c>
      <c r="C38" s="19">
        <v>1232</v>
      </c>
      <c r="D38" s="16" t="s">
        <v>20</v>
      </c>
      <c r="E38" s="17">
        <v>806.8</v>
      </c>
      <c r="F38" s="13">
        <v>33482.199999999997</v>
      </c>
      <c r="K38" s="3">
        <f t="shared" si="1"/>
        <v>0</v>
      </c>
    </row>
    <row r="39" spans="2:11" x14ac:dyDescent="0.25">
      <c r="B39" s="14">
        <v>42581</v>
      </c>
      <c r="C39" s="19">
        <v>1233</v>
      </c>
      <c r="D39" s="16" t="s">
        <v>9</v>
      </c>
      <c r="E39" s="17">
        <v>785</v>
      </c>
      <c r="F39" s="13">
        <v>33362.5</v>
      </c>
      <c r="K39" s="3">
        <f t="shared" si="1"/>
        <v>0</v>
      </c>
    </row>
    <row r="40" spans="2:11" x14ac:dyDescent="0.25">
      <c r="B40" s="14">
        <v>42581</v>
      </c>
      <c r="C40" s="19">
        <v>1234</v>
      </c>
      <c r="D40" s="16" t="s">
        <v>8</v>
      </c>
      <c r="E40" s="17">
        <f>35.8+55.8</f>
        <v>91.6</v>
      </c>
      <c r="F40" s="13">
        <v>2430</v>
      </c>
      <c r="K40" s="3">
        <f t="shared" si="1"/>
        <v>0</v>
      </c>
    </row>
    <row r="41" spans="2:11" x14ac:dyDescent="0.25">
      <c r="B41" s="14">
        <v>42581</v>
      </c>
      <c r="C41" s="19">
        <v>1237</v>
      </c>
      <c r="D41" s="16" t="s">
        <v>153</v>
      </c>
      <c r="E41" s="17">
        <f>19.5+13.6+271.8</f>
        <v>304.90000000000003</v>
      </c>
      <c r="F41" s="13">
        <v>15010</v>
      </c>
      <c r="K41" s="3">
        <f t="shared" si="1"/>
        <v>0</v>
      </c>
    </row>
    <row r="42" spans="2:11" x14ac:dyDescent="0.25">
      <c r="B42" s="14">
        <v>42581</v>
      </c>
      <c r="C42" s="19">
        <v>1239</v>
      </c>
      <c r="D42" s="16" t="s">
        <v>7</v>
      </c>
      <c r="E42" s="17">
        <f>17.3+13.5+2.3</f>
        <v>33.1</v>
      </c>
      <c r="F42" s="13">
        <v>1576.8</v>
      </c>
      <c r="K42" s="3">
        <f t="shared" si="1"/>
        <v>0</v>
      </c>
    </row>
    <row r="43" spans="2:11" x14ac:dyDescent="0.25">
      <c r="B43" s="14">
        <v>42581</v>
      </c>
      <c r="C43" s="19">
        <v>1240</v>
      </c>
      <c r="D43" s="16" t="s">
        <v>11</v>
      </c>
      <c r="E43" s="17">
        <f>108.4+83.8+50.8+31.3</f>
        <v>274.3</v>
      </c>
      <c r="F43" s="13">
        <v>12431.1</v>
      </c>
      <c r="K43" s="3">
        <f t="shared" si="1"/>
        <v>0</v>
      </c>
    </row>
    <row r="44" spans="2:11" x14ac:dyDescent="0.25">
      <c r="B44" s="14">
        <v>42581</v>
      </c>
      <c r="C44" s="19">
        <v>1247</v>
      </c>
      <c r="D44" s="16" t="s">
        <v>14</v>
      </c>
      <c r="E44" s="17">
        <v>258</v>
      </c>
      <c r="F44" s="13">
        <v>9804</v>
      </c>
    </row>
    <row r="45" spans="2:11" x14ac:dyDescent="0.25">
      <c r="B45" s="14">
        <v>42581</v>
      </c>
      <c r="C45" s="19">
        <v>1249</v>
      </c>
      <c r="D45" s="16" t="s">
        <v>8</v>
      </c>
      <c r="E45" s="17">
        <v>18.3</v>
      </c>
      <c r="F45" s="13">
        <v>512.4</v>
      </c>
    </row>
    <row r="46" spans="2:11" x14ac:dyDescent="0.25">
      <c r="B46" s="14">
        <v>42581</v>
      </c>
      <c r="C46" s="19">
        <v>1250</v>
      </c>
      <c r="D46" s="16" t="s">
        <v>8</v>
      </c>
      <c r="E46" s="17">
        <v>65.900000000000006</v>
      </c>
      <c r="F46" s="13">
        <v>2108.8000000000002</v>
      </c>
    </row>
    <row r="47" spans="2:11" x14ac:dyDescent="0.25">
      <c r="B47" s="14"/>
      <c r="C47" s="19"/>
      <c r="D47" s="16"/>
      <c r="E47" s="17"/>
      <c r="F47" s="13"/>
    </row>
    <row r="48" spans="2:11" ht="15.75" thickBot="1" x14ac:dyDescent="0.3">
      <c r="B48" s="57"/>
      <c r="C48" s="58"/>
      <c r="D48" s="59"/>
      <c r="E48" s="60"/>
      <c r="F48" s="13"/>
    </row>
    <row r="49" spans="2:13" ht="15.75" thickBot="1" x14ac:dyDescent="0.3">
      <c r="B49" s="21" t="s">
        <v>233</v>
      </c>
      <c r="C49" s="22"/>
      <c r="D49" s="23"/>
      <c r="E49" s="24">
        <v>0</v>
      </c>
      <c r="F49" s="25">
        <f>SUM(F3:F48)</f>
        <v>521586.10000000009</v>
      </c>
      <c r="K49" s="3">
        <f t="shared" si="1"/>
        <v>0</v>
      </c>
    </row>
    <row r="50" spans="2:13" ht="19.5" thickBot="1" x14ac:dyDescent="0.35">
      <c r="B50" s="26"/>
      <c r="C50" s="27"/>
      <c r="D50" s="28" t="s">
        <v>5</v>
      </c>
      <c r="E50" s="29">
        <f>SUM(E3:E49)</f>
        <v>12370.72</v>
      </c>
      <c r="I50" s="30">
        <f>SUM(I49:I49)</f>
        <v>0</v>
      </c>
      <c r="J50" s="30"/>
      <c r="K50" s="30">
        <f>SUM(K49:K49)</f>
        <v>0</v>
      </c>
    </row>
    <row r="51" spans="2:13" x14ac:dyDescent="0.25">
      <c r="B51" s="26"/>
      <c r="C51" s="27"/>
      <c r="D51" s="31"/>
      <c r="E51" s="32"/>
      <c r="I51" s="30">
        <f>SUM(I34:I50)</f>
        <v>0</v>
      </c>
      <c r="J51" s="30"/>
      <c r="K51" s="30">
        <f>SUM(K34:K50)</f>
        <v>0</v>
      </c>
    </row>
    <row r="52" spans="2:13" ht="21.75" thickBot="1" x14ac:dyDescent="0.4">
      <c r="B52" s="33"/>
      <c r="C52" s="34" t="s">
        <v>15</v>
      </c>
      <c r="D52" s="35">
        <f>E50*0.2</f>
        <v>2474.1440000000002</v>
      </c>
      <c r="F52"/>
      <c r="K52"/>
    </row>
    <row r="53" spans="2:13" ht="21.75" thickBot="1" x14ac:dyDescent="0.4">
      <c r="C53" s="36" t="s">
        <v>16</v>
      </c>
      <c r="D53" s="37">
        <v>3000</v>
      </c>
      <c r="E53" s="38"/>
      <c r="F53" s="85">
        <f>D52+D53</f>
        <v>5474.1440000000002</v>
      </c>
      <c r="G53" s="86"/>
      <c r="I53" s="39"/>
      <c r="J53" s="39"/>
      <c r="K53" s="39"/>
      <c r="L53" s="39"/>
      <c r="M53" s="39"/>
    </row>
    <row r="54" spans="2:13" ht="15.75" thickTop="1" x14ac:dyDescent="0.25">
      <c r="I54" s="39"/>
      <c r="J54" s="39"/>
      <c r="K54" s="40"/>
      <c r="L54" s="40"/>
      <c r="M54" s="40"/>
    </row>
    <row r="55" spans="2:13" ht="19.5" thickBot="1" x14ac:dyDescent="0.35">
      <c r="D55" s="62"/>
      <c r="E55" s="41" t="s">
        <v>311</v>
      </c>
      <c r="F55" s="87">
        <v>0</v>
      </c>
      <c r="G55" s="87"/>
      <c r="I55" s="39"/>
      <c r="J55" s="39"/>
      <c r="K55" s="40"/>
      <c r="L55" s="40"/>
      <c r="M55" s="40"/>
    </row>
    <row r="56" spans="2:13" ht="15.75" thickTop="1" x14ac:dyDescent="0.25">
      <c r="C56"/>
      <c r="F56" s="88">
        <f>F53+F55</f>
        <v>5474.1440000000002</v>
      </c>
      <c r="G56" s="88"/>
      <c r="I56" s="39"/>
      <c r="J56" s="39"/>
      <c r="K56" s="40"/>
      <c r="L56" s="40"/>
      <c r="M56" s="40"/>
    </row>
    <row r="57" spans="2:13" ht="18.75" x14ac:dyDescent="0.3">
      <c r="C57"/>
      <c r="E57" s="2" t="s">
        <v>18</v>
      </c>
      <c r="F57" s="89"/>
      <c r="G57" s="89"/>
      <c r="K57"/>
    </row>
  </sheetData>
  <mergeCells count="4">
    <mergeCell ref="B1:C1"/>
    <mergeCell ref="F53:G53"/>
    <mergeCell ref="F55:G55"/>
    <mergeCell ref="F56:G57"/>
  </mergeCells>
  <pageMargins left="0.70866141732283472" right="0.70866141732283472" top="0.35433070866141736" bottom="0.15748031496062992" header="0.31496062992125984" footer="0.31496062992125984"/>
  <pageSetup scale="80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37" workbookViewId="0">
      <selection activeCell="A37" sqref="A1:XFD104857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42592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326</v>
      </c>
      <c r="G2" s="8"/>
      <c r="K2"/>
    </row>
    <row r="3" spans="2:11" ht="15.75" x14ac:dyDescent="0.25">
      <c r="B3" s="9">
        <v>42584</v>
      </c>
      <c r="C3" s="10">
        <v>1574</v>
      </c>
      <c r="D3" s="11" t="s">
        <v>20</v>
      </c>
      <c r="E3" s="12">
        <v>393.9</v>
      </c>
      <c r="F3" s="13">
        <v>16346.85</v>
      </c>
      <c r="K3"/>
    </row>
    <row r="4" spans="2:11" ht="15.75" x14ac:dyDescent="0.25">
      <c r="B4" s="14">
        <v>42584</v>
      </c>
      <c r="C4" s="15">
        <v>1575</v>
      </c>
      <c r="D4" s="16" t="s">
        <v>9</v>
      </c>
      <c r="E4" s="17">
        <v>415.8</v>
      </c>
      <c r="F4" s="13">
        <v>17255.7</v>
      </c>
      <c r="K4"/>
    </row>
    <row r="5" spans="2:11" ht="15.75" x14ac:dyDescent="0.25">
      <c r="B5" s="14">
        <v>42584</v>
      </c>
      <c r="C5" s="15">
        <v>1576</v>
      </c>
      <c r="D5" s="16" t="s">
        <v>7</v>
      </c>
      <c r="E5" s="17">
        <v>83.1</v>
      </c>
      <c r="F5" s="13">
        <v>3448.65</v>
      </c>
      <c r="K5"/>
    </row>
    <row r="6" spans="2:11" ht="15.75" x14ac:dyDescent="0.25">
      <c r="B6" s="14">
        <v>42584</v>
      </c>
      <c r="C6" s="47">
        <v>1577</v>
      </c>
      <c r="D6" s="16" t="s">
        <v>153</v>
      </c>
      <c r="E6" s="56">
        <v>254.3</v>
      </c>
      <c r="F6" s="13">
        <v>10553.45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42584</v>
      </c>
      <c r="C7" s="15">
        <v>1579</v>
      </c>
      <c r="D7" s="16" t="s">
        <v>10</v>
      </c>
      <c r="E7" s="17">
        <v>252.3</v>
      </c>
      <c r="F7" s="13">
        <v>10470.450000000001</v>
      </c>
      <c r="K7" s="3">
        <f t="shared" si="0"/>
        <v>0</v>
      </c>
    </row>
    <row r="8" spans="2:11" ht="15.75" x14ac:dyDescent="0.25">
      <c r="B8" s="14">
        <v>42584</v>
      </c>
      <c r="C8" s="15">
        <v>1580</v>
      </c>
      <c r="D8" s="16" t="s">
        <v>8</v>
      </c>
      <c r="E8" s="17">
        <f>81.4+48.8</f>
        <v>130.19999999999999</v>
      </c>
      <c r="F8" s="13">
        <v>4939.7</v>
      </c>
      <c r="K8" s="3">
        <f t="shared" si="0"/>
        <v>0</v>
      </c>
    </row>
    <row r="9" spans="2:11" ht="15.75" x14ac:dyDescent="0.25">
      <c r="B9" s="14">
        <v>42584</v>
      </c>
      <c r="C9" s="15">
        <v>1581</v>
      </c>
      <c r="D9" s="16" t="s">
        <v>12</v>
      </c>
      <c r="E9" s="17">
        <f>329.3+60.3</f>
        <v>389.6</v>
      </c>
      <c r="F9" s="13">
        <v>16680.95</v>
      </c>
      <c r="K9" s="3">
        <f t="shared" si="0"/>
        <v>0</v>
      </c>
    </row>
    <row r="10" spans="2:11" ht="15.75" x14ac:dyDescent="0.25">
      <c r="B10" s="14">
        <v>42584</v>
      </c>
      <c r="C10" s="15">
        <v>1584</v>
      </c>
      <c r="D10" s="16" t="s">
        <v>11</v>
      </c>
      <c r="E10" s="17">
        <f>29+12+134.4</f>
        <v>175.4</v>
      </c>
      <c r="F10" s="13">
        <v>7723</v>
      </c>
      <c r="K10" s="3">
        <f t="shared" si="0"/>
        <v>0</v>
      </c>
    </row>
    <row r="11" spans="2:11" ht="15.75" x14ac:dyDescent="0.25">
      <c r="B11" s="14">
        <v>42585</v>
      </c>
      <c r="C11" s="44">
        <v>1685</v>
      </c>
      <c r="D11" s="16" t="s">
        <v>6</v>
      </c>
      <c r="E11" s="17">
        <v>60.2</v>
      </c>
      <c r="F11" s="13">
        <v>3070.2</v>
      </c>
      <c r="K11" s="3">
        <f t="shared" si="0"/>
        <v>0</v>
      </c>
    </row>
    <row r="12" spans="2:11" ht="15.75" x14ac:dyDescent="0.25">
      <c r="B12" s="14">
        <v>42585</v>
      </c>
      <c r="C12" s="15">
        <v>1687</v>
      </c>
      <c r="D12" s="16" t="s">
        <v>8</v>
      </c>
      <c r="E12" s="17">
        <v>129.80000000000001</v>
      </c>
      <c r="F12" s="13">
        <v>4672.8</v>
      </c>
      <c r="K12" s="3">
        <f t="shared" si="0"/>
        <v>0</v>
      </c>
    </row>
    <row r="13" spans="2:11" ht="15.75" x14ac:dyDescent="0.25">
      <c r="B13" s="14">
        <v>42585</v>
      </c>
      <c r="C13" s="15">
        <v>1688</v>
      </c>
      <c r="D13" s="16" t="s">
        <v>9</v>
      </c>
      <c r="E13" s="17">
        <v>389.7</v>
      </c>
      <c r="F13" s="13">
        <v>16172.55</v>
      </c>
      <c r="K13" s="3">
        <f t="shared" si="0"/>
        <v>0</v>
      </c>
    </row>
    <row r="14" spans="2:11" ht="15.75" x14ac:dyDescent="0.25">
      <c r="B14" s="14">
        <v>42585</v>
      </c>
      <c r="C14" s="15">
        <v>1689</v>
      </c>
      <c r="D14" s="16" t="s">
        <v>7</v>
      </c>
      <c r="E14" s="17">
        <v>94.9</v>
      </c>
      <c r="F14" s="13">
        <v>3938.35</v>
      </c>
      <c r="K14" s="3">
        <f t="shared" si="0"/>
        <v>0</v>
      </c>
    </row>
    <row r="15" spans="2:11" ht="15.75" x14ac:dyDescent="0.25">
      <c r="B15" s="14">
        <v>42585</v>
      </c>
      <c r="C15" s="15">
        <v>1690</v>
      </c>
      <c r="D15" s="16" t="s">
        <v>20</v>
      </c>
      <c r="E15" s="17">
        <v>400.8</v>
      </c>
      <c r="F15" s="13">
        <v>16633.2</v>
      </c>
      <c r="K15" s="3">
        <f t="shared" si="0"/>
        <v>0</v>
      </c>
    </row>
    <row r="16" spans="2:11" ht="15.75" x14ac:dyDescent="0.25">
      <c r="B16" s="14">
        <v>42585</v>
      </c>
      <c r="C16" s="15">
        <v>1692</v>
      </c>
      <c r="D16" s="16" t="s">
        <v>10</v>
      </c>
      <c r="E16" s="17">
        <f>129.4+43.7</f>
        <v>173.10000000000002</v>
      </c>
      <c r="F16" s="13">
        <v>6930.8</v>
      </c>
      <c r="K16" s="3">
        <f t="shared" si="0"/>
        <v>0</v>
      </c>
    </row>
    <row r="17" spans="1:13" ht="15.75" x14ac:dyDescent="0.25">
      <c r="B17" s="14">
        <v>42585</v>
      </c>
      <c r="C17" s="15">
        <v>1693</v>
      </c>
      <c r="D17" s="16" t="s">
        <v>11</v>
      </c>
      <c r="E17" s="17">
        <f>30.9+29.8+2</f>
        <v>62.7</v>
      </c>
      <c r="F17" s="13">
        <v>2785.8</v>
      </c>
      <c r="I17" s="3"/>
      <c r="J17" s="3"/>
      <c r="K17" s="3">
        <f>SUM(K6:K16)</f>
        <v>0</v>
      </c>
    </row>
    <row r="18" spans="1:13" ht="15.75" x14ac:dyDescent="0.25">
      <c r="B18" s="14">
        <v>42586</v>
      </c>
      <c r="C18" s="15">
        <v>1801</v>
      </c>
      <c r="D18" s="16" t="s">
        <v>8</v>
      </c>
      <c r="E18" s="17">
        <f>932.6+44.1+13.6</f>
        <v>990.30000000000007</v>
      </c>
      <c r="F18" s="13">
        <v>34386.800000000003</v>
      </c>
      <c r="I18" s="3"/>
      <c r="J18" s="3"/>
    </row>
    <row r="19" spans="1:13" ht="15.75" x14ac:dyDescent="0.25">
      <c r="B19" s="14">
        <v>42586</v>
      </c>
      <c r="C19" s="15">
        <v>1810</v>
      </c>
      <c r="D19" s="16" t="s">
        <v>6</v>
      </c>
      <c r="E19" s="17">
        <f>48.6</f>
        <v>48.6</v>
      </c>
      <c r="F19" s="13">
        <v>2478.6</v>
      </c>
    </row>
    <row r="20" spans="1:13" ht="15.75" x14ac:dyDescent="0.25">
      <c r="B20" s="14">
        <v>42586</v>
      </c>
      <c r="C20" s="15">
        <v>1811</v>
      </c>
      <c r="D20" s="16" t="s">
        <v>20</v>
      </c>
      <c r="E20" s="17">
        <v>382.3</v>
      </c>
      <c r="F20" s="13">
        <v>15865.45</v>
      </c>
    </row>
    <row r="21" spans="1:13" ht="15.75" x14ac:dyDescent="0.25">
      <c r="B21" s="14">
        <v>42586</v>
      </c>
      <c r="C21" s="15">
        <v>1812</v>
      </c>
      <c r="D21" s="16" t="s">
        <v>7</v>
      </c>
      <c r="E21" s="17">
        <v>68.099999999999994</v>
      </c>
      <c r="F21" s="13">
        <v>2826.15</v>
      </c>
    </row>
    <row r="22" spans="1:13" ht="15.75" x14ac:dyDescent="0.25">
      <c r="A22" s="18"/>
      <c r="B22" s="14">
        <v>42586</v>
      </c>
      <c r="C22" s="15">
        <v>1813</v>
      </c>
      <c r="D22" s="16" t="s">
        <v>153</v>
      </c>
      <c r="E22" s="17">
        <v>160.4</v>
      </c>
      <c r="F22" s="13">
        <v>6656.6</v>
      </c>
    </row>
    <row r="23" spans="1:13" ht="15.75" x14ac:dyDescent="0.25">
      <c r="B23" s="14">
        <v>42586</v>
      </c>
      <c r="C23" s="15">
        <v>1814</v>
      </c>
      <c r="D23" s="16" t="s">
        <v>9</v>
      </c>
      <c r="E23" s="17">
        <v>342.8</v>
      </c>
      <c r="F23" s="13">
        <v>14569</v>
      </c>
      <c r="I23" s="48"/>
      <c r="J23" s="49"/>
      <c r="K23" s="50"/>
      <c r="L23" s="51"/>
      <c r="M23" s="52"/>
    </row>
    <row r="24" spans="1:13" ht="15.75" x14ac:dyDescent="0.25">
      <c r="B24" s="14">
        <v>42586</v>
      </c>
      <c r="C24" s="15">
        <v>1816</v>
      </c>
      <c r="D24" s="16" t="s">
        <v>10</v>
      </c>
      <c r="E24" s="17">
        <f>156.8+58.4+19.8</f>
        <v>235.00000000000003</v>
      </c>
      <c r="F24" s="13">
        <v>10390.4</v>
      </c>
      <c r="I24" s="31"/>
      <c r="J24" s="31"/>
      <c r="K24" s="53"/>
      <c r="L24" s="31"/>
      <c r="M24" s="31"/>
    </row>
    <row r="25" spans="1:13" ht="15.75" x14ac:dyDescent="0.25">
      <c r="B25" s="14">
        <v>42586</v>
      </c>
      <c r="C25" s="15">
        <v>1817</v>
      </c>
      <c r="D25" s="16" t="s">
        <v>327</v>
      </c>
      <c r="E25" s="17">
        <v>51.3</v>
      </c>
      <c r="F25" s="13">
        <v>923.4</v>
      </c>
      <c r="I25" s="31"/>
      <c r="J25" s="31"/>
      <c r="K25" s="53"/>
      <c r="L25" s="31"/>
      <c r="M25" s="31"/>
    </row>
    <row r="26" spans="1:13" ht="15.75" x14ac:dyDescent="0.25">
      <c r="B26" s="14">
        <v>42586</v>
      </c>
      <c r="C26" s="15">
        <v>1819</v>
      </c>
      <c r="D26" s="16" t="s">
        <v>20</v>
      </c>
      <c r="E26" s="17">
        <v>57.5</v>
      </c>
      <c r="F26" s="13">
        <v>2070</v>
      </c>
    </row>
    <row r="27" spans="1:13" x14ac:dyDescent="0.25">
      <c r="B27" s="14">
        <v>42586</v>
      </c>
      <c r="C27" s="19">
        <v>1874</v>
      </c>
      <c r="D27" s="16" t="s">
        <v>11</v>
      </c>
      <c r="E27" s="17">
        <f>50.6+34.91</f>
        <v>85.509999999999991</v>
      </c>
      <c r="F27" s="13">
        <v>4484.96</v>
      </c>
    </row>
    <row r="28" spans="1:13" x14ac:dyDescent="0.25">
      <c r="B28" s="14">
        <v>42587</v>
      </c>
      <c r="C28" s="19">
        <v>1974</v>
      </c>
      <c r="D28" s="16" t="s">
        <v>10</v>
      </c>
      <c r="E28" s="17">
        <f>356.6+4+54.48+143.4</f>
        <v>558.48</v>
      </c>
      <c r="F28" s="13">
        <v>24203</v>
      </c>
    </row>
    <row r="29" spans="1:13" x14ac:dyDescent="0.25">
      <c r="B29" s="14">
        <v>42587</v>
      </c>
      <c r="C29" s="19">
        <v>1975</v>
      </c>
      <c r="D29" s="16" t="s">
        <v>10</v>
      </c>
      <c r="E29" s="17">
        <v>227.7</v>
      </c>
      <c r="F29" s="13">
        <v>9449.5499999999993</v>
      </c>
    </row>
    <row r="30" spans="1:13" x14ac:dyDescent="0.25">
      <c r="B30" s="14">
        <v>42587</v>
      </c>
      <c r="C30" s="19">
        <v>1977</v>
      </c>
      <c r="D30" s="16" t="s">
        <v>20</v>
      </c>
      <c r="E30" s="17">
        <f>101+355.5</f>
        <v>456.5</v>
      </c>
      <c r="F30" s="13">
        <v>18744.75</v>
      </c>
    </row>
    <row r="31" spans="1:13" x14ac:dyDescent="0.25">
      <c r="B31" s="14">
        <v>42587</v>
      </c>
      <c r="C31" s="19">
        <v>1978</v>
      </c>
      <c r="D31" s="16" t="s">
        <v>9</v>
      </c>
      <c r="E31" s="17">
        <f>386.6+156.6+47.5</f>
        <v>590.70000000000005</v>
      </c>
      <c r="F31" s="13">
        <v>22821.5</v>
      </c>
    </row>
    <row r="32" spans="1:13" x14ac:dyDescent="0.25">
      <c r="B32" s="14">
        <v>42587</v>
      </c>
      <c r="C32" s="19">
        <v>1979</v>
      </c>
      <c r="D32" s="16" t="s">
        <v>7</v>
      </c>
      <c r="E32" s="17">
        <f>78.1+29.9+1</f>
        <v>109</v>
      </c>
      <c r="F32" s="13">
        <v>4502.55</v>
      </c>
    </row>
    <row r="33" spans="2:11" x14ac:dyDescent="0.25">
      <c r="B33" s="14">
        <v>42587</v>
      </c>
      <c r="C33" s="19">
        <v>1980</v>
      </c>
      <c r="D33" s="16" t="s">
        <v>8</v>
      </c>
      <c r="E33" s="17">
        <f>18.6+55.7</f>
        <v>74.300000000000011</v>
      </c>
      <c r="F33" s="13">
        <v>2210.1999999999998</v>
      </c>
    </row>
    <row r="34" spans="2:11" x14ac:dyDescent="0.25">
      <c r="B34" s="14">
        <v>42587</v>
      </c>
      <c r="C34" s="19">
        <v>1981</v>
      </c>
      <c r="D34" s="16" t="s">
        <v>6</v>
      </c>
      <c r="E34" s="17">
        <f>158.9+79.2+6.9+78.3+5.4+9.1+55.2+10.1+64.5+51.7</f>
        <v>519.30000000000007</v>
      </c>
      <c r="F34" s="13">
        <v>22541</v>
      </c>
      <c r="K34" s="3">
        <f t="shared" ref="K34:K45" si="1">J34*I34</f>
        <v>0</v>
      </c>
    </row>
    <row r="35" spans="2:11" x14ac:dyDescent="0.25">
      <c r="B35" s="14">
        <v>42587</v>
      </c>
      <c r="C35" s="19">
        <v>2021</v>
      </c>
      <c r="D35" s="16" t="s">
        <v>11</v>
      </c>
      <c r="E35" s="17">
        <f>62.2+17.8</f>
        <v>80</v>
      </c>
      <c r="F35" s="13">
        <v>4195.8</v>
      </c>
      <c r="K35" s="3">
        <f t="shared" si="1"/>
        <v>0</v>
      </c>
    </row>
    <row r="36" spans="2:11" x14ac:dyDescent="0.25">
      <c r="B36" s="14">
        <v>42588</v>
      </c>
      <c r="C36" s="19">
        <v>2105</v>
      </c>
      <c r="D36" s="16" t="s">
        <v>11</v>
      </c>
      <c r="E36" s="17">
        <f>14.4+46.9+114</f>
        <v>175.3</v>
      </c>
      <c r="F36" s="13">
        <v>8729.6</v>
      </c>
      <c r="K36" s="3">
        <f t="shared" si="1"/>
        <v>0</v>
      </c>
    </row>
    <row r="37" spans="2:11" x14ac:dyDescent="0.25">
      <c r="B37" s="14">
        <v>42588</v>
      </c>
      <c r="C37" s="19">
        <v>2106</v>
      </c>
      <c r="D37" s="16" t="s">
        <v>12</v>
      </c>
      <c r="E37" s="17">
        <f>17.8+84.2+115.1+847.9</f>
        <v>1065</v>
      </c>
      <c r="F37" s="13">
        <v>46456.95</v>
      </c>
      <c r="K37" s="3">
        <f t="shared" si="1"/>
        <v>0</v>
      </c>
    </row>
    <row r="38" spans="2:11" x14ac:dyDescent="0.25">
      <c r="B38" s="14">
        <v>42588</v>
      </c>
      <c r="C38" s="19">
        <v>2107</v>
      </c>
      <c r="D38" s="16" t="s">
        <v>10</v>
      </c>
      <c r="E38" s="17">
        <v>29.9</v>
      </c>
      <c r="F38" s="13">
        <v>837.2</v>
      </c>
      <c r="K38" s="3">
        <f t="shared" si="1"/>
        <v>0</v>
      </c>
    </row>
    <row r="39" spans="2:11" x14ac:dyDescent="0.25">
      <c r="B39" s="14">
        <v>42588</v>
      </c>
      <c r="C39" s="19">
        <v>2108</v>
      </c>
      <c r="D39" s="16" t="s">
        <v>153</v>
      </c>
      <c r="E39" s="17">
        <f>1+161.7</f>
        <v>162.69999999999999</v>
      </c>
      <c r="F39" s="13">
        <v>7480.55</v>
      </c>
      <c r="K39" s="3">
        <f t="shared" si="1"/>
        <v>0</v>
      </c>
    </row>
    <row r="40" spans="2:11" x14ac:dyDescent="0.25">
      <c r="B40" s="14">
        <v>42588</v>
      </c>
      <c r="C40" s="19">
        <v>2109</v>
      </c>
      <c r="D40" s="16" t="s">
        <v>7</v>
      </c>
      <c r="E40" s="17">
        <f>15.3+19.9+27.9+1+29.5</f>
        <v>93.6</v>
      </c>
      <c r="F40" s="13">
        <v>4076.8</v>
      </c>
      <c r="K40" s="3">
        <f t="shared" si="1"/>
        <v>0</v>
      </c>
    </row>
    <row r="41" spans="2:11" x14ac:dyDescent="0.25">
      <c r="B41" s="14">
        <v>42588</v>
      </c>
      <c r="C41" s="19">
        <v>2110</v>
      </c>
      <c r="D41" s="16" t="s">
        <v>20</v>
      </c>
      <c r="E41" s="17">
        <f>407.6+120</f>
        <v>527.6</v>
      </c>
      <c r="F41" s="13">
        <v>21235.4</v>
      </c>
      <c r="K41" s="3">
        <f t="shared" si="1"/>
        <v>0</v>
      </c>
    </row>
    <row r="42" spans="2:11" x14ac:dyDescent="0.25">
      <c r="B42" s="14">
        <v>42588</v>
      </c>
      <c r="C42" s="19">
        <v>2111</v>
      </c>
      <c r="D42" s="16" t="s">
        <v>9</v>
      </c>
      <c r="E42" s="17">
        <v>355.5</v>
      </c>
      <c r="F42" s="13">
        <v>15108.75</v>
      </c>
      <c r="K42" s="3">
        <f t="shared" si="1"/>
        <v>0</v>
      </c>
    </row>
    <row r="43" spans="2:11" x14ac:dyDescent="0.25">
      <c r="B43" s="14">
        <v>42588</v>
      </c>
      <c r="C43" s="19">
        <v>2112</v>
      </c>
      <c r="D43" s="16" t="s">
        <v>14</v>
      </c>
      <c r="E43" s="17">
        <v>376.6</v>
      </c>
      <c r="F43" s="13">
        <v>16005.5</v>
      </c>
      <c r="K43" s="3">
        <f t="shared" si="1"/>
        <v>0</v>
      </c>
    </row>
    <row r="44" spans="2:11" ht="15.75" thickBot="1" x14ac:dyDescent="0.3">
      <c r="B44" s="14">
        <v>42588</v>
      </c>
      <c r="C44" s="19">
        <v>2113</v>
      </c>
      <c r="D44" s="16" t="s">
        <v>8</v>
      </c>
      <c r="E44" s="17">
        <f>73.4+29.3</f>
        <v>102.7</v>
      </c>
      <c r="F44" s="13">
        <v>2215.6</v>
      </c>
    </row>
    <row r="45" spans="2:11" ht="15.75" thickBot="1" x14ac:dyDescent="0.3">
      <c r="B45" s="21" t="s">
        <v>233</v>
      </c>
      <c r="C45" s="22"/>
      <c r="D45" s="23"/>
      <c r="E45" s="24">
        <v>0</v>
      </c>
      <c r="F45" s="25">
        <f>SUM(F3:F44)</f>
        <v>467088.50999999995</v>
      </c>
      <c r="K45" s="3">
        <f t="shared" si="1"/>
        <v>0</v>
      </c>
    </row>
    <row r="46" spans="2:11" ht="19.5" thickBot="1" x14ac:dyDescent="0.35">
      <c r="B46" s="26"/>
      <c r="C46" s="27"/>
      <c r="D46" s="28" t="s">
        <v>5</v>
      </c>
      <c r="E46" s="29">
        <f>SUM(E3:E45)</f>
        <v>11332.490000000003</v>
      </c>
      <c r="I46" s="30">
        <f>SUM(I45:I45)</f>
        <v>0</v>
      </c>
      <c r="J46" s="30"/>
      <c r="K46" s="30">
        <f>SUM(K45:K45)</f>
        <v>0</v>
      </c>
    </row>
    <row r="47" spans="2:11" x14ac:dyDescent="0.25">
      <c r="B47" s="26"/>
      <c r="C47" s="27"/>
      <c r="D47" s="31"/>
      <c r="E47" s="32"/>
      <c r="I47" s="30">
        <f>SUM(I34:I46)</f>
        <v>0</v>
      </c>
      <c r="J47" s="30"/>
      <c r="K47" s="30">
        <f>SUM(K34:K46)</f>
        <v>0</v>
      </c>
    </row>
    <row r="48" spans="2:11" ht="21.75" thickBot="1" x14ac:dyDescent="0.4">
      <c r="B48" s="33"/>
      <c r="C48" s="34" t="s">
        <v>15</v>
      </c>
      <c r="D48" s="35">
        <f>E46*0.2</f>
        <v>2266.498000000001</v>
      </c>
      <c r="F48"/>
      <c r="K48"/>
    </row>
    <row r="49" spans="3:13" ht="21.75" thickBot="1" x14ac:dyDescent="0.4">
      <c r="C49" s="36" t="s">
        <v>16</v>
      </c>
      <c r="D49" s="37">
        <v>3000</v>
      </c>
      <c r="E49" s="38"/>
      <c r="F49" s="85">
        <f>D48+D49</f>
        <v>5266.4980000000014</v>
      </c>
      <c r="G49" s="86"/>
      <c r="I49" s="39"/>
      <c r="J49" s="39"/>
      <c r="K49" s="39"/>
      <c r="L49" s="39"/>
      <c r="M49" s="39"/>
    </row>
    <row r="50" spans="3:13" ht="15.75" thickTop="1" x14ac:dyDescent="0.25">
      <c r="I50" s="39"/>
      <c r="J50" s="39"/>
      <c r="K50" s="40"/>
      <c r="L50" s="40"/>
      <c r="M50" s="40"/>
    </row>
    <row r="51" spans="3:13" ht="19.5" thickBot="1" x14ac:dyDescent="0.35">
      <c r="D51" s="62"/>
      <c r="E51" s="41" t="s">
        <v>311</v>
      </c>
      <c r="F51" s="87">
        <v>0</v>
      </c>
      <c r="G51" s="87"/>
      <c r="I51" s="39"/>
      <c r="J51" s="39"/>
      <c r="K51" s="40"/>
      <c r="L51" s="40"/>
      <c r="M51" s="40"/>
    </row>
    <row r="52" spans="3:13" ht="15.75" thickTop="1" x14ac:dyDescent="0.25">
      <c r="C52"/>
      <c r="F52" s="88">
        <f>F49+F51</f>
        <v>5266.4980000000014</v>
      </c>
      <c r="G52" s="88"/>
      <c r="I52" s="39"/>
      <c r="J52" s="39"/>
      <c r="K52" s="40"/>
      <c r="L52" s="40"/>
      <c r="M52" s="40"/>
    </row>
    <row r="53" spans="3:13" ht="18.75" x14ac:dyDescent="0.3">
      <c r="C53"/>
      <c r="E53" s="2" t="s">
        <v>18</v>
      </c>
      <c r="F53" s="89"/>
      <c r="G53" s="89"/>
      <c r="K53"/>
    </row>
  </sheetData>
  <mergeCells count="4">
    <mergeCell ref="B1:C1"/>
    <mergeCell ref="F49:G49"/>
    <mergeCell ref="F51:G51"/>
    <mergeCell ref="F52:G53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25" workbookViewId="0">
      <selection activeCell="D52" sqref="D52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42600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328</v>
      </c>
      <c r="G2" s="8"/>
      <c r="K2"/>
    </row>
    <row r="3" spans="2:11" ht="15.75" x14ac:dyDescent="0.25">
      <c r="B3" s="9">
        <v>42590</v>
      </c>
      <c r="C3" s="10">
        <v>2300</v>
      </c>
      <c r="D3" s="11" t="s">
        <v>20</v>
      </c>
      <c r="E3" s="12">
        <v>533</v>
      </c>
      <c r="F3" s="13">
        <v>21853</v>
      </c>
      <c r="K3"/>
    </row>
    <row r="4" spans="2:11" ht="15.75" x14ac:dyDescent="0.25">
      <c r="B4" s="14">
        <v>42590</v>
      </c>
      <c r="C4" s="15">
        <v>2301</v>
      </c>
      <c r="D4" s="16" t="s">
        <v>13</v>
      </c>
      <c r="E4" s="17">
        <v>407.4</v>
      </c>
      <c r="F4" s="13">
        <v>17110.8</v>
      </c>
      <c r="K4"/>
    </row>
    <row r="5" spans="2:11" ht="15.75" x14ac:dyDescent="0.25">
      <c r="B5" s="14">
        <v>42590</v>
      </c>
      <c r="C5" s="15">
        <v>2302</v>
      </c>
      <c r="D5" s="16" t="s">
        <v>7</v>
      </c>
      <c r="E5" s="17">
        <v>89.4</v>
      </c>
      <c r="F5" s="13">
        <v>3754.8</v>
      </c>
      <c r="K5"/>
    </row>
    <row r="6" spans="2:11" ht="15.75" x14ac:dyDescent="0.25">
      <c r="B6" s="14">
        <v>42590</v>
      </c>
      <c r="C6" s="47">
        <v>2303</v>
      </c>
      <c r="D6" s="16" t="s">
        <v>153</v>
      </c>
      <c r="E6" s="56">
        <v>97.4</v>
      </c>
      <c r="F6" s="13">
        <v>3993.4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42590</v>
      </c>
      <c r="C7" s="15">
        <v>2304</v>
      </c>
      <c r="D7" s="16" t="s">
        <v>11</v>
      </c>
      <c r="E7" s="17">
        <f>135+12.2</f>
        <v>147.19999999999999</v>
      </c>
      <c r="F7" s="13">
        <v>7091.6</v>
      </c>
      <c r="K7" s="3">
        <f t="shared" si="0"/>
        <v>0</v>
      </c>
    </row>
    <row r="8" spans="2:11" ht="15.75" x14ac:dyDescent="0.25">
      <c r="B8" s="14">
        <v>42591</v>
      </c>
      <c r="C8" s="15">
        <v>2455</v>
      </c>
      <c r="D8" s="16" t="s">
        <v>153</v>
      </c>
      <c r="E8" s="17">
        <v>174.6</v>
      </c>
      <c r="F8" s="13">
        <v>7158.6</v>
      </c>
      <c r="K8" s="3">
        <f t="shared" si="0"/>
        <v>0</v>
      </c>
    </row>
    <row r="9" spans="2:11" ht="15.75" x14ac:dyDescent="0.25">
      <c r="B9" s="14">
        <v>42591</v>
      </c>
      <c r="C9" s="15">
        <v>2456</v>
      </c>
      <c r="D9" s="16" t="s">
        <v>20</v>
      </c>
      <c r="E9" s="17">
        <f>479.4+101</f>
        <v>580.4</v>
      </c>
      <c r="F9" s="13">
        <v>21978.400000000001</v>
      </c>
      <c r="K9" s="3">
        <f t="shared" si="0"/>
        <v>0</v>
      </c>
    </row>
    <row r="10" spans="2:11" ht="15.75" x14ac:dyDescent="0.25">
      <c r="B10" s="14">
        <v>42591</v>
      </c>
      <c r="C10" s="15">
        <v>2457</v>
      </c>
      <c r="D10" s="16" t="s">
        <v>8</v>
      </c>
      <c r="E10" s="17">
        <f>70.8+158.4</f>
        <v>229.2</v>
      </c>
      <c r="F10" s="13">
        <v>8446.7999999999993</v>
      </c>
      <c r="K10" s="3">
        <f t="shared" si="0"/>
        <v>0</v>
      </c>
    </row>
    <row r="11" spans="2:11" ht="15.75" x14ac:dyDescent="0.25">
      <c r="B11" s="14">
        <v>42591</v>
      </c>
      <c r="C11" s="44">
        <v>2458</v>
      </c>
      <c r="D11" s="16" t="s">
        <v>7</v>
      </c>
      <c r="E11" s="17">
        <f>48.4+22.2+6.9+3</f>
        <v>80.5</v>
      </c>
      <c r="F11" s="13">
        <v>2975</v>
      </c>
      <c r="K11" s="3">
        <f t="shared" si="0"/>
        <v>0</v>
      </c>
    </row>
    <row r="12" spans="2:11" ht="15.75" x14ac:dyDescent="0.25">
      <c r="B12" s="14">
        <v>42591</v>
      </c>
      <c r="C12" s="15">
        <v>2460</v>
      </c>
      <c r="D12" s="16" t="s">
        <v>10</v>
      </c>
      <c r="E12" s="17">
        <f>54.48+182</f>
        <v>236.48</v>
      </c>
      <c r="F12" s="13">
        <v>8821.6</v>
      </c>
      <c r="K12" s="3">
        <f t="shared" si="0"/>
        <v>0</v>
      </c>
    </row>
    <row r="13" spans="2:11" ht="15.75" x14ac:dyDescent="0.25">
      <c r="B13" s="14">
        <v>42591</v>
      </c>
      <c r="C13" s="15">
        <v>2461</v>
      </c>
      <c r="D13" s="16" t="s">
        <v>6</v>
      </c>
      <c r="E13" s="17">
        <v>11.7</v>
      </c>
      <c r="F13" s="13">
        <v>713.7</v>
      </c>
      <c r="K13" s="3">
        <f t="shared" si="0"/>
        <v>0</v>
      </c>
    </row>
    <row r="14" spans="2:11" ht="15.75" x14ac:dyDescent="0.25">
      <c r="B14" s="14">
        <v>42591</v>
      </c>
      <c r="C14" s="15">
        <v>2463</v>
      </c>
      <c r="D14" s="16" t="s">
        <v>6</v>
      </c>
      <c r="E14" s="17">
        <v>8.15</v>
      </c>
      <c r="F14" s="13">
        <v>603.1</v>
      </c>
      <c r="K14" s="3">
        <f t="shared" si="0"/>
        <v>0</v>
      </c>
    </row>
    <row r="15" spans="2:11" ht="15.75" x14ac:dyDescent="0.25">
      <c r="B15" s="14">
        <v>42592</v>
      </c>
      <c r="C15" s="15">
        <v>2537</v>
      </c>
      <c r="D15" s="16" t="s">
        <v>286</v>
      </c>
      <c r="E15" s="17">
        <v>22.6</v>
      </c>
      <c r="F15" s="13">
        <v>1447.2</v>
      </c>
      <c r="K15" s="3">
        <f t="shared" si="0"/>
        <v>0</v>
      </c>
    </row>
    <row r="16" spans="2:11" ht="15.75" x14ac:dyDescent="0.25">
      <c r="B16" s="14">
        <v>42592</v>
      </c>
      <c r="C16" s="15">
        <v>2543</v>
      </c>
      <c r="D16" s="16" t="s">
        <v>20</v>
      </c>
      <c r="E16" s="17">
        <v>401.8</v>
      </c>
      <c r="F16" s="13">
        <v>16473.8</v>
      </c>
      <c r="K16" s="3">
        <f t="shared" si="0"/>
        <v>0</v>
      </c>
    </row>
    <row r="17" spans="1:13" ht="15.75" x14ac:dyDescent="0.25">
      <c r="B17" s="14">
        <v>42592</v>
      </c>
      <c r="C17" s="15">
        <v>2544</v>
      </c>
      <c r="D17" s="16" t="s">
        <v>9</v>
      </c>
      <c r="E17" s="17">
        <v>374.8</v>
      </c>
      <c r="F17" s="13">
        <v>15741.6</v>
      </c>
      <c r="I17" s="3"/>
      <c r="J17" s="3"/>
      <c r="K17" s="3">
        <f>SUM(K6:K16)</f>
        <v>0</v>
      </c>
    </row>
    <row r="18" spans="1:13" ht="15.75" x14ac:dyDescent="0.25">
      <c r="B18" s="14">
        <v>42592</v>
      </c>
      <c r="C18" s="15">
        <v>2545</v>
      </c>
      <c r="D18" s="16" t="s">
        <v>11</v>
      </c>
      <c r="E18" s="17">
        <f>121+50.5+17.4</f>
        <v>188.9</v>
      </c>
      <c r="F18" s="13">
        <v>9365.2000000000007</v>
      </c>
      <c r="I18" s="3"/>
      <c r="J18" s="3"/>
    </row>
    <row r="19" spans="1:13" ht="15.75" x14ac:dyDescent="0.25">
      <c r="B19" s="14">
        <v>42592</v>
      </c>
      <c r="C19" s="15">
        <v>2550</v>
      </c>
      <c r="D19" s="16" t="s">
        <v>8</v>
      </c>
      <c r="E19" s="17">
        <f>34.2+71.7</f>
        <v>105.9</v>
      </c>
      <c r="F19" s="13">
        <v>3125.1</v>
      </c>
    </row>
    <row r="20" spans="1:13" ht="15.75" x14ac:dyDescent="0.25">
      <c r="B20" s="14">
        <v>42592</v>
      </c>
      <c r="C20" s="15">
        <v>2551</v>
      </c>
      <c r="D20" s="16" t="s">
        <v>10</v>
      </c>
      <c r="E20" s="17">
        <f>132+100.8+35.3</f>
        <v>268.10000000000002</v>
      </c>
      <c r="F20" s="13">
        <v>11899.2</v>
      </c>
    </row>
    <row r="21" spans="1:13" ht="15.75" x14ac:dyDescent="0.25">
      <c r="B21" s="14">
        <v>42592</v>
      </c>
      <c r="C21" s="15">
        <v>2573</v>
      </c>
      <c r="D21" s="16" t="s">
        <v>6</v>
      </c>
      <c r="E21" s="17">
        <f>17.9+74.3</f>
        <v>92.199999999999989</v>
      </c>
      <c r="F21" s="13">
        <v>5042.3</v>
      </c>
    </row>
    <row r="22" spans="1:13" ht="15.75" x14ac:dyDescent="0.25">
      <c r="A22" s="18"/>
      <c r="B22" s="14">
        <v>42593</v>
      </c>
      <c r="C22" s="15">
        <v>2647</v>
      </c>
      <c r="D22" s="16" t="s">
        <v>9</v>
      </c>
      <c r="E22" s="17">
        <v>386.5</v>
      </c>
      <c r="F22" s="13">
        <v>16233</v>
      </c>
    </row>
    <row r="23" spans="1:13" ht="15.75" x14ac:dyDescent="0.25">
      <c r="B23" s="14">
        <v>42593</v>
      </c>
      <c r="C23" s="15">
        <v>2648</v>
      </c>
      <c r="D23" s="16" t="s">
        <v>14</v>
      </c>
      <c r="E23" s="17">
        <v>394.2</v>
      </c>
      <c r="F23" s="13">
        <v>16556.400000000001</v>
      </c>
      <c r="I23" s="48"/>
      <c r="J23" s="49"/>
      <c r="K23" s="50"/>
      <c r="L23" s="51"/>
      <c r="M23" s="52"/>
    </row>
    <row r="24" spans="1:13" ht="15.75" x14ac:dyDescent="0.25">
      <c r="B24" s="14">
        <v>42593</v>
      </c>
      <c r="C24" s="15">
        <v>2649</v>
      </c>
      <c r="D24" s="16" t="s">
        <v>153</v>
      </c>
      <c r="E24" s="17">
        <v>175.6</v>
      </c>
      <c r="F24" s="13">
        <v>7199.6</v>
      </c>
      <c r="I24" s="31"/>
      <c r="J24" s="31"/>
      <c r="K24" s="53"/>
      <c r="L24" s="31"/>
      <c r="M24" s="31"/>
    </row>
    <row r="25" spans="1:13" ht="15.75" x14ac:dyDescent="0.25">
      <c r="B25" s="14">
        <v>42593</v>
      </c>
      <c r="C25" s="15">
        <v>2651</v>
      </c>
      <c r="D25" s="16" t="s">
        <v>8</v>
      </c>
      <c r="E25" s="17">
        <v>895.4</v>
      </c>
      <c r="F25" s="13">
        <v>30443.599999999999</v>
      </c>
      <c r="I25" s="31"/>
      <c r="J25" s="31"/>
      <c r="K25" s="53"/>
      <c r="L25" s="31"/>
      <c r="M25" s="31"/>
    </row>
    <row r="26" spans="1:13" ht="15.75" x14ac:dyDescent="0.25">
      <c r="B26" s="14">
        <v>42593</v>
      </c>
      <c r="C26" s="15">
        <v>2652</v>
      </c>
      <c r="D26" s="16" t="s">
        <v>20</v>
      </c>
      <c r="E26" s="17">
        <f>401.5+100.4+126</f>
        <v>627.9</v>
      </c>
      <c r="F26" s="13">
        <v>22678.7</v>
      </c>
    </row>
    <row r="27" spans="1:13" x14ac:dyDescent="0.25">
      <c r="B27" s="14">
        <v>42594</v>
      </c>
      <c r="C27" s="19">
        <v>2814</v>
      </c>
      <c r="D27" s="16" t="s">
        <v>9</v>
      </c>
      <c r="E27" s="17">
        <v>403</v>
      </c>
      <c r="F27" s="13">
        <v>16523</v>
      </c>
    </row>
    <row r="28" spans="1:13" x14ac:dyDescent="0.25">
      <c r="B28" s="14">
        <v>42594</v>
      </c>
      <c r="C28" s="19">
        <v>2815</v>
      </c>
      <c r="D28" s="16" t="s">
        <v>14</v>
      </c>
      <c r="E28" s="17">
        <v>402.4</v>
      </c>
      <c r="F28" s="13">
        <v>16900.599999999999</v>
      </c>
    </row>
    <row r="29" spans="1:13" x14ac:dyDescent="0.25">
      <c r="B29" s="14">
        <v>42594</v>
      </c>
      <c r="C29" s="19">
        <v>2817</v>
      </c>
      <c r="D29" s="16" t="s">
        <v>7</v>
      </c>
      <c r="E29" s="17">
        <v>89.8</v>
      </c>
      <c r="F29" s="13">
        <v>3681.8</v>
      </c>
    </row>
    <row r="30" spans="1:13" x14ac:dyDescent="0.25">
      <c r="B30" s="14">
        <v>42594</v>
      </c>
      <c r="C30" s="19">
        <v>2818</v>
      </c>
      <c r="D30" s="16" t="s">
        <v>10</v>
      </c>
      <c r="E30" s="17">
        <f>207.4+234.6+230.4+36.2+54.48+37.5</f>
        <v>800.58</v>
      </c>
      <c r="F30" s="13">
        <v>32981.480000000003</v>
      </c>
    </row>
    <row r="31" spans="1:13" x14ac:dyDescent="0.25">
      <c r="B31" s="14">
        <v>42594</v>
      </c>
      <c r="C31" s="19">
        <v>2821</v>
      </c>
      <c r="D31" s="16" t="s">
        <v>20</v>
      </c>
      <c r="E31" s="17">
        <f>402.6+62.2</f>
        <v>464.8</v>
      </c>
      <c r="F31" s="13">
        <v>19616.599999999999</v>
      </c>
    </row>
    <row r="32" spans="1:13" x14ac:dyDescent="0.25">
      <c r="B32" s="14">
        <v>42594</v>
      </c>
      <c r="C32" s="19">
        <v>2828</v>
      </c>
      <c r="D32" s="16" t="s">
        <v>12</v>
      </c>
      <c r="E32" s="17">
        <v>118.8</v>
      </c>
      <c r="F32" s="13">
        <v>5940</v>
      </c>
    </row>
    <row r="33" spans="2:11" x14ac:dyDescent="0.25">
      <c r="B33" s="14">
        <v>42594</v>
      </c>
      <c r="C33" s="19">
        <v>2830</v>
      </c>
      <c r="D33" s="16" t="s">
        <v>6</v>
      </c>
      <c r="E33" s="17">
        <f>292.4+85+84.7+84.1+16</f>
        <v>562.19999999999993</v>
      </c>
      <c r="F33" s="13">
        <v>25400.7</v>
      </c>
    </row>
    <row r="34" spans="2:11" x14ac:dyDescent="0.25">
      <c r="B34" s="14">
        <v>42594</v>
      </c>
      <c r="C34" s="19">
        <v>2868</v>
      </c>
      <c r="D34" s="16" t="s">
        <v>0</v>
      </c>
      <c r="E34" s="17">
        <f>61.6+22.6+79.2</f>
        <v>163.4</v>
      </c>
      <c r="F34" s="13">
        <v>7307.6</v>
      </c>
      <c r="K34" s="3">
        <f t="shared" ref="K34:K45" si="1">J34*I34</f>
        <v>0</v>
      </c>
    </row>
    <row r="35" spans="2:11" x14ac:dyDescent="0.25">
      <c r="B35" s="14">
        <v>42595</v>
      </c>
      <c r="C35" s="19">
        <v>2958</v>
      </c>
      <c r="D35" s="16" t="s">
        <v>6</v>
      </c>
      <c r="E35" s="17">
        <f>284.1+13.8</f>
        <v>297.90000000000003</v>
      </c>
      <c r="F35" s="13">
        <v>12338.1</v>
      </c>
      <c r="K35" s="3">
        <f t="shared" si="1"/>
        <v>0</v>
      </c>
    </row>
    <row r="36" spans="2:11" x14ac:dyDescent="0.25">
      <c r="B36" s="14">
        <v>42595</v>
      </c>
      <c r="C36" s="19">
        <v>2959</v>
      </c>
      <c r="D36" s="16" t="s">
        <v>20</v>
      </c>
      <c r="E36" s="17">
        <v>407.4</v>
      </c>
      <c r="F36" s="13">
        <v>16703.400000000001</v>
      </c>
      <c r="K36" s="3">
        <f t="shared" si="1"/>
        <v>0</v>
      </c>
    </row>
    <row r="37" spans="2:11" x14ac:dyDescent="0.25">
      <c r="B37" s="14">
        <v>42595</v>
      </c>
      <c r="C37" s="19">
        <v>2960</v>
      </c>
      <c r="D37" s="16" t="s">
        <v>9</v>
      </c>
      <c r="E37" s="17">
        <v>391.7</v>
      </c>
      <c r="F37" s="13">
        <v>16451.400000000001</v>
      </c>
      <c r="K37" s="3">
        <f t="shared" si="1"/>
        <v>0</v>
      </c>
    </row>
    <row r="38" spans="2:11" x14ac:dyDescent="0.25">
      <c r="B38" s="14">
        <v>42595</v>
      </c>
      <c r="C38" s="19">
        <v>2961</v>
      </c>
      <c r="D38" s="16" t="s">
        <v>153</v>
      </c>
      <c r="E38" s="17">
        <f>177.5+1</f>
        <v>178.5</v>
      </c>
      <c r="F38" s="13">
        <v>8027.5</v>
      </c>
      <c r="K38" s="3">
        <f t="shared" si="1"/>
        <v>0</v>
      </c>
    </row>
    <row r="39" spans="2:11" x14ac:dyDescent="0.25">
      <c r="B39" s="14">
        <v>42595</v>
      </c>
      <c r="C39" s="19">
        <v>2964</v>
      </c>
      <c r="D39" s="16" t="s">
        <v>7</v>
      </c>
      <c r="E39" s="17">
        <f>24.5+8.8+1+38.2</f>
        <v>72.5</v>
      </c>
      <c r="F39" s="13">
        <v>3336.3</v>
      </c>
      <c r="K39" s="3">
        <f t="shared" si="1"/>
        <v>0</v>
      </c>
    </row>
    <row r="40" spans="2:11" x14ac:dyDescent="0.25">
      <c r="B40" s="14">
        <v>42595</v>
      </c>
      <c r="C40" s="19">
        <v>2970</v>
      </c>
      <c r="D40" s="16" t="s">
        <v>20</v>
      </c>
      <c r="E40" s="17">
        <f>63.1+26.6</f>
        <v>89.7</v>
      </c>
      <c r="F40" s="13">
        <v>2259.1999999999998</v>
      </c>
      <c r="K40" s="3">
        <f t="shared" si="1"/>
        <v>0</v>
      </c>
    </row>
    <row r="41" spans="2:11" x14ac:dyDescent="0.25">
      <c r="B41" s="14">
        <v>42595</v>
      </c>
      <c r="C41" s="19">
        <v>2973</v>
      </c>
      <c r="D41" s="16" t="s">
        <v>20</v>
      </c>
      <c r="E41" s="17">
        <v>98.9</v>
      </c>
      <c r="F41" s="13">
        <v>4945</v>
      </c>
      <c r="K41" s="3">
        <f t="shared" si="1"/>
        <v>0</v>
      </c>
    </row>
    <row r="42" spans="2:11" x14ac:dyDescent="0.25">
      <c r="B42" s="14"/>
      <c r="C42" s="19"/>
      <c r="D42" s="16"/>
      <c r="E42" s="17"/>
      <c r="F42" s="13"/>
      <c r="K42" s="3">
        <f t="shared" si="1"/>
        <v>0</v>
      </c>
    </row>
    <row r="43" spans="2:11" x14ac:dyDescent="0.25">
      <c r="B43" s="14"/>
      <c r="C43" s="19"/>
      <c r="D43" s="16"/>
      <c r="E43" s="17"/>
      <c r="F43" s="13"/>
      <c r="K43" s="3">
        <f t="shared" si="1"/>
        <v>0</v>
      </c>
    </row>
    <row r="44" spans="2:11" ht="15.75" thickBot="1" x14ac:dyDescent="0.3">
      <c r="B44" s="14"/>
      <c r="C44" s="19"/>
      <c r="D44" s="16"/>
      <c r="E44" s="17"/>
      <c r="F44" s="13"/>
    </row>
    <row r="45" spans="2:11" ht="15.75" thickBot="1" x14ac:dyDescent="0.3">
      <c r="B45" s="21" t="s">
        <v>233</v>
      </c>
      <c r="C45" s="22"/>
      <c r="D45" s="23"/>
      <c r="E45" s="24">
        <v>0</v>
      </c>
      <c r="F45" s="25">
        <f>SUM(F3:F44)</f>
        <v>453119.18</v>
      </c>
      <c r="K45" s="3">
        <f t="shared" si="1"/>
        <v>0</v>
      </c>
    </row>
    <row r="46" spans="2:11" ht="19.5" thickBot="1" x14ac:dyDescent="0.35">
      <c r="B46" s="26"/>
      <c r="C46" s="27"/>
      <c r="D46" s="28" t="s">
        <v>5</v>
      </c>
      <c r="E46" s="29">
        <f>SUM(E3:E45)</f>
        <v>11070.909999999998</v>
      </c>
      <c r="I46" s="30">
        <f>SUM(I45:I45)</f>
        <v>0</v>
      </c>
      <c r="J46" s="30"/>
      <c r="K46" s="30">
        <f>SUM(K45:K45)</f>
        <v>0</v>
      </c>
    </row>
    <row r="47" spans="2:11" x14ac:dyDescent="0.25">
      <c r="B47" s="26"/>
      <c r="C47" s="27"/>
      <c r="D47" s="31"/>
      <c r="E47" s="32"/>
      <c r="I47" s="30">
        <f>SUM(I34:I46)</f>
        <v>0</v>
      </c>
      <c r="J47" s="30"/>
      <c r="K47" s="30">
        <f>SUM(K34:K46)</f>
        <v>0</v>
      </c>
    </row>
    <row r="48" spans="2:11" ht="21.75" thickBot="1" x14ac:dyDescent="0.4">
      <c r="B48" s="33"/>
      <c r="C48" s="34" t="s">
        <v>15</v>
      </c>
      <c r="D48" s="35">
        <f>E46*0.2</f>
        <v>2214.1819999999998</v>
      </c>
      <c r="F48"/>
      <c r="K48"/>
    </row>
    <row r="49" spans="3:13" ht="21.75" thickBot="1" x14ac:dyDescent="0.4">
      <c r="C49" s="36" t="s">
        <v>16</v>
      </c>
      <c r="D49" s="37">
        <v>3000</v>
      </c>
      <c r="E49" s="38"/>
      <c r="F49" s="85">
        <f>D48+D49</f>
        <v>5214.1819999999998</v>
      </c>
      <c r="G49" s="86"/>
      <c r="I49" s="39"/>
      <c r="J49" s="39"/>
      <c r="K49" s="39"/>
      <c r="L49" s="39"/>
      <c r="M49" s="39"/>
    </row>
    <row r="50" spans="3:13" ht="15.75" thickTop="1" x14ac:dyDescent="0.25">
      <c r="I50" s="39"/>
      <c r="J50" s="39"/>
      <c r="K50" s="40"/>
      <c r="L50" s="40"/>
      <c r="M50" s="40"/>
    </row>
    <row r="51" spans="3:13" ht="19.5" thickBot="1" x14ac:dyDescent="0.35">
      <c r="D51" s="62"/>
      <c r="E51" s="41" t="s">
        <v>311</v>
      </c>
      <c r="F51" s="87">
        <v>0</v>
      </c>
      <c r="G51" s="87"/>
      <c r="I51" s="39"/>
      <c r="J51" s="39"/>
      <c r="K51" s="40"/>
      <c r="L51" s="40"/>
      <c r="M51" s="40"/>
    </row>
    <row r="52" spans="3:13" ht="15.75" thickTop="1" x14ac:dyDescent="0.25">
      <c r="C52"/>
      <c r="F52" s="88">
        <f>F49+F51</f>
        <v>5214.1819999999998</v>
      </c>
      <c r="G52" s="88"/>
      <c r="I52" s="39"/>
      <c r="J52" s="39"/>
      <c r="K52" s="40"/>
      <c r="L52" s="40"/>
      <c r="M52" s="40"/>
    </row>
    <row r="53" spans="3:13" ht="18.75" x14ac:dyDescent="0.3">
      <c r="C53"/>
      <c r="E53" s="2" t="s">
        <v>18</v>
      </c>
      <c r="F53" s="89"/>
      <c r="G53" s="89"/>
      <c r="K53"/>
    </row>
  </sheetData>
  <mergeCells count="4">
    <mergeCell ref="B1:C1"/>
    <mergeCell ref="F49:G49"/>
    <mergeCell ref="F51:G51"/>
    <mergeCell ref="F52:G53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22" workbookViewId="0">
      <selection activeCell="D49" sqref="D49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42607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329</v>
      </c>
      <c r="G2" s="8"/>
      <c r="K2"/>
    </row>
    <row r="3" spans="2:11" ht="15.75" x14ac:dyDescent="0.25">
      <c r="B3" s="9">
        <v>42595</v>
      </c>
      <c r="C3" s="10">
        <v>2975</v>
      </c>
      <c r="D3" s="11" t="s">
        <v>11</v>
      </c>
      <c r="E3" s="12">
        <f>145.6+21.7+65.5+2+100+41.8</f>
        <v>376.59999999999997</v>
      </c>
      <c r="F3" s="13">
        <v>1516</v>
      </c>
      <c r="K3"/>
    </row>
    <row r="4" spans="2:11" ht="15.75" x14ac:dyDescent="0.25">
      <c r="B4" s="14">
        <v>42597</v>
      </c>
      <c r="C4" s="15">
        <v>3177</v>
      </c>
      <c r="D4" s="16" t="s">
        <v>10</v>
      </c>
      <c r="E4" s="17">
        <v>113.8</v>
      </c>
      <c r="F4" s="13">
        <v>6486.6</v>
      </c>
      <c r="K4"/>
    </row>
    <row r="5" spans="2:11" ht="15.75" x14ac:dyDescent="0.25">
      <c r="B5" s="14">
        <v>42597</v>
      </c>
      <c r="C5" s="15">
        <v>3178</v>
      </c>
      <c r="D5" s="16" t="s">
        <v>20</v>
      </c>
      <c r="E5" s="17">
        <v>369.2</v>
      </c>
      <c r="F5" s="13">
        <v>14768</v>
      </c>
      <c r="K5"/>
    </row>
    <row r="6" spans="2:11" ht="15.75" x14ac:dyDescent="0.25">
      <c r="B6" s="14">
        <v>42597</v>
      </c>
      <c r="C6" s="47">
        <v>3179</v>
      </c>
      <c r="D6" s="16" t="s">
        <v>9</v>
      </c>
      <c r="E6" s="56">
        <v>341.2</v>
      </c>
      <c r="F6" s="13">
        <v>13989.2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42597</v>
      </c>
      <c r="C7" s="15">
        <v>3180</v>
      </c>
      <c r="D7" s="16" t="s">
        <v>7</v>
      </c>
      <c r="E7" s="17">
        <v>78</v>
      </c>
      <c r="F7" s="13">
        <v>3120</v>
      </c>
      <c r="K7" s="3">
        <f t="shared" si="0"/>
        <v>0</v>
      </c>
    </row>
    <row r="8" spans="2:11" ht="15.75" x14ac:dyDescent="0.25">
      <c r="B8" s="14">
        <v>42597</v>
      </c>
      <c r="C8" s="15">
        <v>3181</v>
      </c>
      <c r="D8" s="16" t="s">
        <v>8</v>
      </c>
      <c r="E8" s="17">
        <f>185.4+24.9</f>
        <v>210.3</v>
      </c>
      <c r="F8" s="13">
        <v>7471.2</v>
      </c>
      <c r="K8" s="3">
        <f t="shared" si="0"/>
        <v>0</v>
      </c>
    </row>
    <row r="9" spans="2:11" ht="15.75" x14ac:dyDescent="0.25">
      <c r="B9" s="14">
        <v>42598</v>
      </c>
      <c r="C9" s="15">
        <v>3297</v>
      </c>
      <c r="D9" s="16" t="s">
        <v>20</v>
      </c>
      <c r="E9" s="17">
        <v>538</v>
      </c>
      <c r="F9" s="13">
        <v>21520</v>
      </c>
      <c r="K9" s="3">
        <f t="shared" si="0"/>
        <v>0</v>
      </c>
    </row>
    <row r="10" spans="2:11" ht="15.75" x14ac:dyDescent="0.25">
      <c r="B10" s="14">
        <v>42598</v>
      </c>
      <c r="C10" s="15">
        <v>3298</v>
      </c>
      <c r="D10" s="16" t="s">
        <v>153</v>
      </c>
      <c r="E10" s="17">
        <v>169.9</v>
      </c>
      <c r="F10" s="13">
        <v>6796</v>
      </c>
      <c r="K10" s="3">
        <f t="shared" si="0"/>
        <v>0</v>
      </c>
    </row>
    <row r="11" spans="2:11" ht="15.75" x14ac:dyDescent="0.25">
      <c r="B11" s="14">
        <v>42598</v>
      </c>
      <c r="C11" s="44">
        <v>3299</v>
      </c>
      <c r="D11" s="16" t="s">
        <v>7</v>
      </c>
      <c r="E11" s="17">
        <v>80.7</v>
      </c>
      <c r="F11" s="13">
        <v>3228</v>
      </c>
      <c r="K11" s="3">
        <f t="shared" si="0"/>
        <v>0</v>
      </c>
    </row>
    <row r="12" spans="2:11" ht="15.75" x14ac:dyDescent="0.25">
      <c r="B12" s="14">
        <v>42598</v>
      </c>
      <c r="C12" s="15">
        <v>3304</v>
      </c>
      <c r="D12" s="16" t="s">
        <v>8</v>
      </c>
      <c r="E12" s="17">
        <v>166.4</v>
      </c>
      <c r="F12" s="13">
        <v>6156.8</v>
      </c>
      <c r="K12" s="3">
        <f t="shared" si="0"/>
        <v>0</v>
      </c>
    </row>
    <row r="13" spans="2:11" ht="15.75" x14ac:dyDescent="0.25">
      <c r="B13" s="14">
        <v>42598</v>
      </c>
      <c r="C13" s="15">
        <v>3305</v>
      </c>
      <c r="D13" s="16" t="s">
        <v>9</v>
      </c>
      <c r="E13" s="17">
        <f>54.2+362.8</f>
        <v>417</v>
      </c>
      <c r="F13" s="13">
        <v>16880.2</v>
      </c>
      <c r="I13">
        <v>259.60000000000002</v>
      </c>
      <c r="J13">
        <v>37</v>
      </c>
      <c r="K13" s="3">
        <f t="shared" si="0"/>
        <v>9605.2000000000007</v>
      </c>
    </row>
    <row r="14" spans="2:11" ht="15.75" x14ac:dyDescent="0.25">
      <c r="B14" s="14">
        <v>42598</v>
      </c>
      <c r="C14" s="15">
        <v>3306</v>
      </c>
      <c r="D14" s="16" t="s">
        <v>6</v>
      </c>
      <c r="E14" s="17">
        <v>48.7</v>
      </c>
      <c r="F14" s="13">
        <v>2483.6999999999998</v>
      </c>
      <c r="I14">
        <v>13.61</v>
      </c>
      <c r="J14">
        <v>70</v>
      </c>
      <c r="K14" s="3">
        <f t="shared" si="0"/>
        <v>952.69999999999993</v>
      </c>
    </row>
    <row r="15" spans="2:11" ht="15.75" x14ac:dyDescent="0.25">
      <c r="B15" s="14">
        <v>42598</v>
      </c>
      <c r="C15" s="15">
        <v>3313</v>
      </c>
      <c r="D15" s="16" t="s">
        <v>11</v>
      </c>
      <c r="E15" s="17">
        <f>100+84</f>
        <v>184</v>
      </c>
      <c r="F15" s="13">
        <v>8208</v>
      </c>
      <c r="K15" s="3">
        <f t="shared" si="0"/>
        <v>0</v>
      </c>
    </row>
    <row r="16" spans="2:11" ht="15.75" x14ac:dyDescent="0.25">
      <c r="B16" s="14">
        <v>42598</v>
      </c>
      <c r="C16" s="15">
        <v>3314</v>
      </c>
      <c r="D16" s="16" t="s">
        <v>9</v>
      </c>
      <c r="E16" s="17">
        <v>54.4</v>
      </c>
      <c r="F16" s="13">
        <v>2720</v>
      </c>
      <c r="K16" s="3">
        <f t="shared" si="0"/>
        <v>0</v>
      </c>
    </row>
    <row r="17" spans="1:13" ht="15.75" x14ac:dyDescent="0.25">
      <c r="B17" s="14">
        <v>42599</v>
      </c>
      <c r="C17" s="15">
        <v>3428</v>
      </c>
      <c r="D17" s="16" t="s">
        <v>8</v>
      </c>
      <c r="E17" s="17">
        <v>242.2</v>
      </c>
      <c r="F17" s="13">
        <v>8961.4</v>
      </c>
      <c r="I17" s="3"/>
      <c r="J17" s="3"/>
      <c r="K17" s="3">
        <f>SUM(K6:K16)</f>
        <v>10557.900000000001</v>
      </c>
    </row>
    <row r="18" spans="1:13" ht="15.75" x14ac:dyDescent="0.25">
      <c r="B18" s="14">
        <v>42599</v>
      </c>
      <c r="C18" s="15">
        <v>3429</v>
      </c>
      <c r="D18" s="16" t="s">
        <v>9</v>
      </c>
      <c r="E18" s="17">
        <v>380.3</v>
      </c>
      <c r="F18" s="13">
        <v>15592.3</v>
      </c>
      <c r="I18" s="3"/>
      <c r="J18" s="3"/>
    </row>
    <row r="19" spans="1:13" ht="15.75" x14ac:dyDescent="0.25">
      <c r="B19" s="14">
        <v>42599</v>
      </c>
      <c r="C19" s="15">
        <v>3430</v>
      </c>
      <c r="D19" s="16" t="s">
        <v>20</v>
      </c>
      <c r="E19" s="17">
        <f>408.4+60.8</f>
        <v>469.2</v>
      </c>
      <c r="F19" s="13">
        <v>18585.599999999999</v>
      </c>
    </row>
    <row r="20" spans="1:13" ht="15.75" x14ac:dyDescent="0.25">
      <c r="B20" s="14">
        <v>42599</v>
      </c>
      <c r="C20" s="15">
        <v>3431</v>
      </c>
      <c r="D20" s="16" t="s">
        <v>10</v>
      </c>
      <c r="E20" s="17">
        <f>123+2</f>
        <v>125</v>
      </c>
      <c r="F20" s="13">
        <v>4921</v>
      </c>
    </row>
    <row r="21" spans="1:13" ht="15.75" x14ac:dyDescent="0.25">
      <c r="B21" s="14">
        <v>42599</v>
      </c>
      <c r="C21" s="15">
        <v>3434</v>
      </c>
      <c r="D21" s="16" t="s">
        <v>20</v>
      </c>
      <c r="E21" s="17">
        <v>47.7</v>
      </c>
      <c r="F21" s="13">
        <v>2385</v>
      </c>
    </row>
    <row r="22" spans="1:13" ht="15.75" x14ac:dyDescent="0.25">
      <c r="A22" s="18"/>
      <c r="B22" s="14">
        <v>42599</v>
      </c>
      <c r="C22" s="15">
        <v>3435</v>
      </c>
      <c r="D22" s="16" t="s">
        <v>10</v>
      </c>
      <c r="E22" s="17">
        <v>89.8</v>
      </c>
      <c r="F22" s="13">
        <v>5118.8</v>
      </c>
    </row>
    <row r="23" spans="1:13" ht="15.75" x14ac:dyDescent="0.25">
      <c r="B23" s="14">
        <v>42599</v>
      </c>
      <c r="C23" s="15">
        <v>3436</v>
      </c>
      <c r="D23" s="16" t="s">
        <v>11</v>
      </c>
      <c r="E23" s="17">
        <v>56.8</v>
      </c>
      <c r="F23" s="13">
        <v>3237.6</v>
      </c>
      <c r="I23" s="48"/>
      <c r="J23" s="49"/>
      <c r="K23" s="50"/>
      <c r="L23" s="51"/>
      <c r="M23" s="52"/>
    </row>
    <row r="24" spans="1:13" ht="15.75" x14ac:dyDescent="0.25">
      <c r="B24" s="14">
        <v>42600</v>
      </c>
      <c r="C24" s="15">
        <v>3526</v>
      </c>
      <c r="D24" s="16" t="s">
        <v>9</v>
      </c>
      <c r="E24" s="17">
        <v>406.2</v>
      </c>
      <c r="F24" s="13">
        <v>16654.2</v>
      </c>
      <c r="I24" s="31"/>
      <c r="J24" s="31"/>
      <c r="K24" s="53"/>
      <c r="L24" s="31"/>
      <c r="M24" s="31"/>
    </row>
    <row r="25" spans="1:13" ht="15.75" x14ac:dyDescent="0.25">
      <c r="B25" s="14">
        <v>42600</v>
      </c>
      <c r="C25" s="15">
        <v>3527</v>
      </c>
      <c r="D25" s="16" t="s">
        <v>8</v>
      </c>
      <c r="E25" s="17">
        <f>259.6+13.61</f>
        <v>273.21000000000004</v>
      </c>
      <c r="F25" s="13">
        <v>10557.9</v>
      </c>
      <c r="I25" s="31"/>
      <c r="J25" s="31"/>
      <c r="K25" s="53"/>
      <c r="L25" s="31"/>
      <c r="M25" s="31"/>
    </row>
    <row r="26" spans="1:13" ht="15.75" x14ac:dyDescent="0.25">
      <c r="B26" s="14">
        <v>42600</v>
      </c>
      <c r="C26" s="15">
        <v>3528</v>
      </c>
      <c r="D26" s="16" t="s">
        <v>153</v>
      </c>
      <c r="E26" s="17">
        <v>181.5</v>
      </c>
      <c r="F26" s="13">
        <v>7260</v>
      </c>
    </row>
    <row r="27" spans="1:13" x14ac:dyDescent="0.25">
      <c r="B27" s="14">
        <v>42600</v>
      </c>
      <c r="C27" s="19">
        <v>3539</v>
      </c>
      <c r="D27" s="16" t="s">
        <v>6</v>
      </c>
      <c r="E27" s="17">
        <v>54.4</v>
      </c>
      <c r="F27" s="13">
        <v>2720</v>
      </c>
    </row>
    <row r="28" spans="1:13" x14ac:dyDescent="0.25">
      <c r="B28" s="14">
        <v>42600</v>
      </c>
      <c r="C28" s="19">
        <v>3552</v>
      </c>
      <c r="D28" s="16" t="s">
        <v>20</v>
      </c>
      <c r="E28" s="17">
        <f>56.2+411.1</f>
        <v>467.3</v>
      </c>
      <c r="F28" s="13">
        <v>18523.400000000001</v>
      </c>
    </row>
    <row r="29" spans="1:13" x14ac:dyDescent="0.25">
      <c r="B29" s="14">
        <v>42600</v>
      </c>
      <c r="C29" s="19">
        <v>3553</v>
      </c>
      <c r="D29" s="16" t="s">
        <v>20</v>
      </c>
      <c r="E29" s="17">
        <v>51.3</v>
      </c>
      <c r="F29" s="13">
        <v>2565</v>
      </c>
    </row>
    <row r="30" spans="1:13" x14ac:dyDescent="0.25">
      <c r="B30" s="14">
        <v>42601</v>
      </c>
      <c r="C30" s="19">
        <v>3672</v>
      </c>
      <c r="D30" s="16" t="s">
        <v>8</v>
      </c>
      <c r="E30" s="17">
        <f>29.5+13.3+938.9</f>
        <v>981.69999999999993</v>
      </c>
      <c r="F30" s="13">
        <v>35076.9</v>
      </c>
    </row>
    <row r="31" spans="1:13" x14ac:dyDescent="0.25">
      <c r="B31" s="14">
        <v>42601</v>
      </c>
      <c r="C31" s="19">
        <v>3673</v>
      </c>
      <c r="D31" s="16" t="s">
        <v>10</v>
      </c>
      <c r="E31" s="17">
        <f>2+54.48+307.4+41.1+35.4+14.2+390.6+60.5</f>
        <v>905.68000000000006</v>
      </c>
      <c r="F31" s="13">
        <v>42426.48</v>
      </c>
    </row>
    <row r="32" spans="1:13" x14ac:dyDescent="0.25">
      <c r="B32" s="14">
        <v>42601</v>
      </c>
      <c r="C32" s="19">
        <v>3675</v>
      </c>
      <c r="D32" s="16" t="s">
        <v>9</v>
      </c>
      <c r="E32" s="17">
        <f>153.8+55.4</f>
        <v>209.20000000000002</v>
      </c>
      <c r="F32" s="13">
        <v>6909.4</v>
      </c>
    </row>
    <row r="33" spans="2:11" x14ac:dyDescent="0.25">
      <c r="B33" s="14">
        <v>42601</v>
      </c>
      <c r="C33" s="19">
        <v>3676</v>
      </c>
      <c r="D33" s="16" t="s">
        <v>9</v>
      </c>
      <c r="E33" s="17">
        <v>428.1</v>
      </c>
      <c r="F33" s="13">
        <v>17124</v>
      </c>
    </row>
    <row r="34" spans="2:11" x14ac:dyDescent="0.25">
      <c r="B34" s="14">
        <v>42601</v>
      </c>
      <c r="C34" s="19">
        <v>3677</v>
      </c>
      <c r="D34" s="16" t="s">
        <v>6</v>
      </c>
      <c r="E34" s="17">
        <f>268.6+77.1+32.3+35.8+17.5+77</f>
        <v>508.30000000000007</v>
      </c>
      <c r="F34" s="13">
        <v>22268.6</v>
      </c>
      <c r="K34" s="3">
        <f t="shared" ref="K34:K45" si="1">J34*I34</f>
        <v>0</v>
      </c>
    </row>
    <row r="35" spans="2:11" x14ac:dyDescent="0.25">
      <c r="B35" s="14">
        <v>42601</v>
      </c>
      <c r="C35" s="19">
        <v>3678</v>
      </c>
      <c r="D35" s="16" t="s">
        <v>14</v>
      </c>
      <c r="E35" s="17">
        <f>40.8+16.1+139.2</f>
        <v>196.1</v>
      </c>
      <c r="F35" s="13">
        <v>8416.4</v>
      </c>
      <c r="K35" s="3">
        <f t="shared" si="1"/>
        <v>0</v>
      </c>
    </row>
    <row r="36" spans="2:11" x14ac:dyDescent="0.25">
      <c r="B36" s="14">
        <v>42601</v>
      </c>
      <c r="C36" s="19">
        <v>3680</v>
      </c>
      <c r="D36" s="16" t="s">
        <v>20</v>
      </c>
      <c r="E36" s="17">
        <v>443.8</v>
      </c>
      <c r="F36" s="13">
        <v>17752</v>
      </c>
      <c r="K36" s="3">
        <f t="shared" si="1"/>
        <v>0</v>
      </c>
    </row>
    <row r="37" spans="2:11" x14ac:dyDescent="0.25">
      <c r="B37" s="14">
        <v>42601</v>
      </c>
      <c r="C37" s="19">
        <v>3681</v>
      </c>
      <c r="D37" s="16" t="s">
        <v>7</v>
      </c>
      <c r="E37" s="17">
        <v>93.6</v>
      </c>
      <c r="F37" s="13">
        <v>3744</v>
      </c>
      <c r="K37" s="3">
        <f t="shared" si="1"/>
        <v>0</v>
      </c>
    </row>
    <row r="38" spans="2:11" x14ac:dyDescent="0.25">
      <c r="B38" s="14">
        <v>42601</v>
      </c>
      <c r="C38" s="19">
        <v>3682</v>
      </c>
      <c r="D38" s="16" t="s">
        <v>6</v>
      </c>
      <c r="E38" s="17">
        <v>5.6</v>
      </c>
      <c r="F38" s="13">
        <v>414.4</v>
      </c>
      <c r="K38" s="3">
        <f t="shared" si="1"/>
        <v>0</v>
      </c>
    </row>
    <row r="39" spans="2:11" x14ac:dyDescent="0.25">
      <c r="B39" s="14">
        <v>42602</v>
      </c>
      <c r="C39" s="19">
        <v>3802</v>
      </c>
      <c r="D39" s="16" t="s">
        <v>9</v>
      </c>
      <c r="E39" s="17">
        <v>404.8</v>
      </c>
      <c r="F39" s="13">
        <v>16192</v>
      </c>
      <c r="K39" s="3">
        <f t="shared" si="1"/>
        <v>0</v>
      </c>
    </row>
    <row r="40" spans="2:11" x14ac:dyDescent="0.25">
      <c r="B40" s="14">
        <v>42602</v>
      </c>
      <c r="C40" s="19">
        <v>3803</v>
      </c>
      <c r="D40" s="16" t="s">
        <v>153</v>
      </c>
      <c r="E40" s="17">
        <f>329.7+27.24</f>
        <v>356.94</v>
      </c>
      <c r="F40" s="13">
        <v>14441.04</v>
      </c>
      <c r="K40" s="3">
        <f t="shared" si="1"/>
        <v>0</v>
      </c>
    </row>
    <row r="41" spans="2:11" x14ac:dyDescent="0.25">
      <c r="B41" s="14">
        <v>42602</v>
      </c>
      <c r="C41" s="19">
        <v>3804</v>
      </c>
      <c r="D41" s="16" t="s">
        <v>20</v>
      </c>
      <c r="E41" s="17">
        <v>414.8</v>
      </c>
      <c r="F41" s="13">
        <v>16592</v>
      </c>
      <c r="K41" s="3">
        <f t="shared" si="1"/>
        <v>0</v>
      </c>
    </row>
    <row r="42" spans="2:11" x14ac:dyDescent="0.25">
      <c r="B42" s="14">
        <v>42602</v>
      </c>
      <c r="C42" s="19">
        <v>3805</v>
      </c>
      <c r="D42" s="16" t="s">
        <v>14</v>
      </c>
      <c r="E42" s="17">
        <v>389.7</v>
      </c>
      <c r="F42" s="13">
        <v>15588</v>
      </c>
      <c r="K42" s="3">
        <f t="shared" si="1"/>
        <v>0</v>
      </c>
    </row>
    <row r="43" spans="2:11" x14ac:dyDescent="0.25">
      <c r="B43" s="14">
        <v>42602</v>
      </c>
      <c r="C43" s="19">
        <v>3814</v>
      </c>
      <c r="D43" s="16" t="s">
        <v>10</v>
      </c>
      <c r="E43" s="17">
        <f>102+2</f>
        <v>104</v>
      </c>
      <c r="F43" s="13">
        <v>4144</v>
      </c>
      <c r="K43" s="3">
        <f t="shared" si="1"/>
        <v>0</v>
      </c>
    </row>
    <row r="44" spans="2:11" ht="15.75" thickBot="1" x14ac:dyDescent="0.3">
      <c r="B44" s="14">
        <v>42602</v>
      </c>
      <c r="C44" s="19">
        <v>3815</v>
      </c>
      <c r="D44" s="16" t="s">
        <v>13</v>
      </c>
      <c r="E44" s="17">
        <f>267.8+2+16.9</f>
        <v>286.7</v>
      </c>
      <c r="F44" s="13">
        <v>13965.4</v>
      </c>
    </row>
    <row r="45" spans="2:11" ht="15.75" thickBot="1" x14ac:dyDescent="0.3">
      <c r="B45" s="21" t="s">
        <v>233</v>
      </c>
      <c r="C45" s="22"/>
      <c r="D45" s="23"/>
      <c r="E45" s="24">
        <v>0</v>
      </c>
      <c r="F45" s="25">
        <f>SUM(F3:F44)</f>
        <v>467480.52</v>
      </c>
      <c r="K45" s="3">
        <f t="shared" si="1"/>
        <v>0</v>
      </c>
    </row>
    <row r="46" spans="2:11" ht="19.5" thickBot="1" x14ac:dyDescent="0.35">
      <c r="B46" s="26"/>
      <c r="C46" s="27"/>
      <c r="D46" s="28" t="s">
        <v>5</v>
      </c>
      <c r="E46" s="29">
        <f>SUM(E3:E45)</f>
        <v>11722.13</v>
      </c>
      <c r="I46" s="30">
        <f>SUM(I45:I45)</f>
        <v>0</v>
      </c>
      <c r="J46" s="30"/>
      <c r="K46" s="30">
        <f>SUM(K45:K45)</f>
        <v>0</v>
      </c>
    </row>
    <row r="47" spans="2:11" x14ac:dyDescent="0.25">
      <c r="B47" s="26"/>
      <c r="C47" s="27"/>
      <c r="D47" s="31"/>
      <c r="E47" s="32"/>
      <c r="I47" s="30">
        <f>SUM(I34:I46)</f>
        <v>0</v>
      </c>
      <c r="J47" s="30"/>
      <c r="K47" s="30">
        <f>SUM(K34:K46)</f>
        <v>0</v>
      </c>
    </row>
    <row r="48" spans="2:11" ht="21.75" thickBot="1" x14ac:dyDescent="0.4">
      <c r="B48" s="33"/>
      <c r="C48" s="34" t="s">
        <v>15</v>
      </c>
      <c r="D48" s="35">
        <f>E46*0.2</f>
        <v>2344.4259999999999</v>
      </c>
      <c r="F48"/>
      <c r="K48"/>
    </row>
    <row r="49" spans="3:13" ht="21.75" thickBot="1" x14ac:dyDescent="0.4">
      <c r="C49" s="36" t="s">
        <v>16</v>
      </c>
      <c r="D49" s="37">
        <v>3000</v>
      </c>
      <c r="E49" s="38"/>
      <c r="F49" s="85">
        <f>D48+D49</f>
        <v>5344.4259999999995</v>
      </c>
      <c r="G49" s="86"/>
      <c r="I49" s="39"/>
      <c r="J49" s="39"/>
      <c r="K49" s="39"/>
      <c r="L49" s="39"/>
      <c r="M49" s="39"/>
    </row>
    <row r="50" spans="3:13" ht="15.75" thickTop="1" x14ac:dyDescent="0.25">
      <c r="I50" s="39"/>
      <c r="J50" s="39"/>
      <c r="K50" s="40"/>
      <c r="L50" s="40"/>
      <c r="M50" s="40"/>
    </row>
    <row r="51" spans="3:13" ht="19.5" thickBot="1" x14ac:dyDescent="0.35">
      <c r="D51" s="62"/>
      <c r="E51" s="41" t="s">
        <v>311</v>
      </c>
      <c r="F51" s="87">
        <v>0</v>
      </c>
      <c r="G51" s="87"/>
      <c r="I51" s="39"/>
      <c r="J51" s="39"/>
      <c r="K51" s="40"/>
      <c r="L51" s="40"/>
      <c r="M51" s="40"/>
    </row>
    <row r="52" spans="3:13" ht="15.75" thickTop="1" x14ac:dyDescent="0.25">
      <c r="C52"/>
      <c r="F52" s="88">
        <f>F49+F51</f>
        <v>5344.4259999999995</v>
      </c>
      <c r="G52" s="88"/>
      <c r="I52" s="39"/>
      <c r="J52" s="39"/>
      <c r="K52" s="40"/>
      <c r="L52" s="40"/>
      <c r="M52" s="40"/>
    </row>
    <row r="53" spans="3:13" ht="18.75" x14ac:dyDescent="0.3">
      <c r="C53"/>
      <c r="E53" s="2" t="s">
        <v>18</v>
      </c>
      <c r="F53" s="89"/>
      <c r="G53" s="89"/>
      <c r="K53"/>
    </row>
  </sheetData>
  <mergeCells count="4">
    <mergeCell ref="B1:C1"/>
    <mergeCell ref="F49:G49"/>
    <mergeCell ref="F51:G51"/>
    <mergeCell ref="F52:G53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B52" sqref="B52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42614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330</v>
      </c>
      <c r="G2" s="8"/>
      <c r="K2"/>
    </row>
    <row r="3" spans="2:11" ht="15.75" x14ac:dyDescent="0.25">
      <c r="B3" s="9">
        <v>42600</v>
      </c>
      <c r="C3" s="10">
        <v>3538</v>
      </c>
      <c r="D3" s="11" t="s">
        <v>11</v>
      </c>
      <c r="E3" s="12">
        <v>132.30000000000001</v>
      </c>
      <c r="F3" s="13">
        <v>6482.7</v>
      </c>
      <c r="K3"/>
    </row>
    <row r="4" spans="2:11" ht="15.75" x14ac:dyDescent="0.25">
      <c r="B4" s="14">
        <v>42602</v>
      </c>
      <c r="C4" s="15">
        <v>3813</v>
      </c>
      <c r="D4" s="16" t="s">
        <v>11</v>
      </c>
      <c r="E4" s="17">
        <f>33.5+11.8+2</f>
        <v>47.3</v>
      </c>
      <c r="F4" s="13">
        <v>1537.9</v>
      </c>
      <c r="K4"/>
    </row>
    <row r="5" spans="2:11" ht="15.75" x14ac:dyDescent="0.25">
      <c r="B5" s="14">
        <v>42604</v>
      </c>
      <c r="C5" s="15">
        <v>4030</v>
      </c>
      <c r="D5" s="16" t="s">
        <v>12</v>
      </c>
      <c r="E5" s="17">
        <f>73.7+934.4+120.2</f>
        <v>1128.3</v>
      </c>
      <c r="F5" s="13">
        <v>44415.199999999997</v>
      </c>
      <c r="K5"/>
    </row>
    <row r="6" spans="2:11" ht="15.75" x14ac:dyDescent="0.25">
      <c r="B6" s="14">
        <v>42604</v>
      </c>
      <c r="C6" s="47">
        <v>4031</v>
      </c>
      <c r="D6" s="16" t="s">
        <v>10</v>
      </c>
      <c r="E6" s="56">
        <v>129</v>
      </c>
      <c r="F6" s="13">
        <v>4773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42604</v>
      </c>
      <c r="C7" s="15">
        <v>4032</v>
      </c>
      <c r="D7" s="16" t="s">
        <v>189</v>
      </c>
      <c r="E7" s="17">
        <f>56.2+55.4+379.9</f>
        <v>491.5</v>
      </c>
      <c r="F7" s="13">
        <v>18628.75</v>
      </c>
      <c r="K7" s="3">
        <f t="shared" si="0"/>
        <v>0</v>
      </c>
    </row>
    <row r="8" spans="2:11" ht="15.75" x14ac:dyDescent="0.25">
      <c r="B8" s="14">
        <v>42604</v>
      </c>
      <c r="C8" s="15">
        <v>4033</v>
      </c>
      <c r="D8" s="16" t="s">
        <v>153</v>
      </c>
      <c r="E8" s="17">
        <v>76.8</v>
      </c>
      <c r="F8" s="13">
        <v>3033.6</v>
      </c>
      <c r="K8" s="3">
        <f t="shared" si="0"/>
        <v>0</v>
      </c>
    </row>
    <row r="9" spans="2:11" ht="15.75" x14ac:dyDescent="0.25">
      <c r="B9" s="14">
        <v>42604</v>
      </c>
      <c r="C9" s="15">
        <v>4034</v>
      </c>
      <c r="D9" s="16" t="s">
        <v>11</v>
      </c>
      <c r="E9" s="17">
        <f>68+35.6+13.4</f>
        <v>117</v>
      </c>
      <c r="F9" s="13">
        <v>3781.2</v>
      </c>
      <c r="K9" s="3">
        <f t="shared" si="0"/>
        <v>0</v>
      </c>
    </row>
    <row r="10" spans="2:11" ht="15.75" x14ac:dyDescent="0.25">
      <c r="B10" s="14">
        <v>42604</v>
      </c>
      <c r="C10" s="15">
        <v>4035</v>
      </c>
      <c r="D10" s="16" t="s">
        <v>9</v>
      </c>
      <c r="E10" s="17">
        <v>338.5</v>
      </c>
      <c r="F10" s="13">
        <v>13709.25</v>
      </c>
      <c r="K10" s="3">
        <f t="shared" si="0"/>
        <v>0</v>
      </c>
    </row>
    <row r="11" spans="2:11" ht="15.75" x14ac:dyDescent="0.25">
      <c r="B11" s="14">
        <v>42604</v>
      </c>
      <c r="C11" s="44">
        <v>4036</v>
      </c>
      <c r="D11" s="16" t="s">
        <v>7</v>
      </c>
      <c r="E11" s="17">
        <v>86.3</v>
      </c>
      <c r="F11" s="13">
        <v>3408.85</v>
      </c>
      <c r="K11" s="3">
        <f t="shared" si="0"/>
        <v>0</v>
      </c>
    </row>
    <row r="12" spans="2:11" ht="15.75" x14ac:dyDescent="0.25">
      <c r="B12" s="14">
        <v>42604</v>
      </c>
      <c r="C12" s="15">
        <v>4037</v>
      </c>
      <c r="D12" s="16" t="s">
        <v>8</v>
      </c>
      <c r="E12" s="17">
        <v>36.799999999999997</v>
      </c>
      <c r="F12" s="13">
        <v>809.6</v>
      </c>
      <c r="K12" s="3">
        <f t="shared" si="0"/>
        <v>0</v>
      </c>
    </row>
    <row r="13" spans="2:11" ht="15.75" x14ac:dyDescent="0.25">
      <c r="B13" s="14">
        <v>42605</v>
      </c>
      <c r="C13" s="15">
        <v>4131</v>
      </c>
      <c r="D13" s="16" t="s">
        <v>9</v>
      </c>
      <c r="E13" s="17">
        <v>244.5</v>
      </c>
      <c r="F13" s="13">
        <v>9657.75</v>
      </c>
      <c r="K13" s="3">
        <f t="shared" si="0"/>
        <v>0</v>
      </c>
    </row>
    <row r="14" spans="2:11" ht="15.75" x14ac:dyDescent="0.25">
      <c r="B14" s="14">
        <v>42605</v>
      </c>
      <c r="C14" s="15">
        <v>4132</v>
      </c>
      <c r="D14" s="16" t="s">
        <v>189</v>
      </c>
      <c r="E14" s="17">
        <v>335.7</v>
      </c>
      <c r="F14" s="13">
        <v>13260.15</v>
      </c>
      <c r="K14" s="3">
        <f t="shared" si="0"/>
        <v>0</v>
      </c>
    </row>
    <row r="15" spans="2:11" ht="15.75" x14ac:dyDescent="0.25">
      <c r="B15" s="14">
        <v>42605</v>
      </c>
      <c r="C15" s="15">
        <v>4135</v>
      </c>
      <c r="D15" s="16" t="s">
        <v>8</v>
      </c>
      <c r="E15" s="17">
        <v>154</v>
      </c>
      <c r="F15" s="13">
        <v>5698</v>
      </c>
      <c r="K15" s="3">
        <f t="shared" si="0"/>
        <v>0</v>
      </c>
    </row>
    <row r="16" spans="2:11" ht="15.75" x14ac:dyDescent="0.25">
      <c r="B16" s="14">
        <v>42605</v>
      </c>
      <c r="C16" s="15">
        <v>4136</v>
      </c>
      <c r="D16" s="16" t="s">
        <v>6</v>
      </c>
      <c r="E16" s="17">
        <f>10.5+34.9</f>
        <v>45.4</v>
      </c>
      <c r="F16" s="13">
        <v>2479.4</v>
      </c>
      <c r="K16" s="3">
        <f t="shared" si="0"/>
        <v>0</v>
      </c>
    </row>
    <row r="17" spans="1:13" ht="15.75" x14ac:dyDescent="0.25">
      <c r="B17" s="14">
        <v>42605</v>
      </c>
      <c r="C17" s="15">
        <v>4138</v>
      </c>
      <c r="D17" s="16" t="s">
        <v>7</v>
      </c>
      <c r="E17" s="17">
        <v>74.2</v>
      </c>
      <c r="F17" s="13">
        <v>2930.9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42605</v>
      </c>
      <c r="C18" s="15">
        <v>4142</v>
      </c>
      <c r="D18" s="16" t="s">
        <v>7</v>
      </c>
      <c r="E18" s="17">
        <v>17.3</v>
      </c>
      <c r="F18" s="13">
        <v>553.6</v>
      </c>
      <c r="I18" s="3"/>
      <c r="J18" s="3"/>
    </row>
    <row r="19" spans="1:13" ht="15.75" x14ac:dyDescent="0.25">
      <c r="B19" s="14">
        <v>42605</v>
      </c>
      <c r="C19" s="15">
        <v>4145</v>
      </c>
      <c r="D19" s="16" t="s">
        <v>14</v>
      </c>
      <c r="E19" s="17">
        <f>43.5+115.8</f>
        <v>159.30000000000001</v>
      </c>
      <c r="F19" s="13">
        <v>4722.6000000000004</v>
      </c>
    </row>
    <row r="20" spans="1:13" ht="15.75" x14ac:dyDescent="0.25">
      <c r="B20" s="14">
        <v>42605</v>
      </c>
      <c r="C20" s="15">
        <v>4146</v>
      </c>
      <c r="D20" s="16" t="s">
        <v>153</v>
      </c>
      <c r="E20" s="17">
        <v>29.4</v>
      </c>
      <c r="F20" s="13">
        <v>1734.6</v>
      </c>
    </row>
    <row r="21" spans="1:13" ht="15.75" x14ac:dyDescent="0.25">
      <c r="B21" s="14">
        <v>42605</v>
      </c>
      <c r="C21" s="15">
        <v>4147</v>
      </c>
      <c r="D21" s="16" t="s">
        <v>331</v>
      </c>
      <c r="E21" s="17">
        <v>37.200000000000003</v>
      </c>
      <c r="F21" s="13">
        <v>2046</v>
      </c>
    </row>
    <row r="22" spans="1:13" ht="15.75" x14ac:dyDescent="0.25">
      <c r="A22" s="18"/>
      <c r="B22" s="14">
        <v>42606</v>
      </c>
      <c r="C22" s="15">
        <v>4266</v>
      </c>
      <c r="D22" s="16" t="s">
        <v>153</v>
      </c>
      <c r="E22" s="17">
        <v>59</v>
      </c>
      <c r="F22" s="13">
        <v>2891</v>
      </c>
    </row>
    <row r="23" spans="1:13" ht="15.75" x14ac:dyDescent="0.25">
      <c r="B23" s="14">
        <v>42606</v>
      </c>
      <c r="C23" s="15">
        <v>4272</v>
      </c>
      <c r="D23" s="16" t="s">
        <v>6</v>
      </c>
      <c r="E23" s="17">
        <f>70.3+14.5+19.1</f>
        <v>103.9</v>
      </c>
      <c r="F23" s="13">
        <v>5255.2</v>
      </c>
      <c r="I23" s="48"/>
      <c r="J23" s="49"/>
      <c r="K23" s="50"/>
      <c r="L23" s="51"/>
      <c r="M23" s="52"/>
    </row>
    <row r="24" spans="1:13" ht="15.75" x14ac:dyDescent="0.25">
      <c r="B24" s="14">
        <v>42606</v>
      </c>
      <c r="C24" s="15">
        <v>4274</v>
      </c>
      <c r="D24" s="16" t="s">
        <v>189</v>
      </c>
      <c r="E24" s="17">
        <f>119.2+65.4+60.4</f>
        <v>245.00000000000003</v>
      </c>
      <c r="F24" s="13">
        <v>10299.6</v>
      </c>
      <c r="I24" s="31"/>
      <c r="J24" s="31"/>
      <c r="K24" s="53"/>
      <c r="L24" s="31"/>
      <c r="M24" s="31"/>
    </row>
    <row r="25" spans="1:13" ht="15.75" x14ac:dyDescent="0.25">
      <c r="B25" s="14">
        <v>42606</v>
      </c>
      <c r="C25" s="15">
        <v>4276</v>
      </c>
      <c r="D25" s="16" t="s">
        <v>10</v>
      </c>
      <c r="E25" s="17">
        <f>2+98.2+122.2</f>
        <v>222.4</v>
      </c>
      <c r="F25" s="13">
        <v>10846.6</v>
      </c>
      <c r="I25" s="31"/>
      <c r="J25" s="31"/>
      <c r="K25" s="53"/>
      <c r="L25" s="31"/>
      <c r="M25" s="31"/>
    </row>
    <row r="26" spans="1:13" ht="15.75" x14ac:dyDescent="0.25">
      <c r="B26" s="14">
        <v>42606</v>
      </c>
      <c r="C26" s="15">
        <v>4279</v>
      </c>
      <c r="D26" s="16" t="s">
        <v>11</v>
      </c>
      <c r="E26" s="17">
        <f>48.9+30.2</f>
        <v>79.099999999999994</v>
      </c>
      <c r="F26" s="13">
        <v>3200</v>
      </c>
    </row>
    <row r="27" spans="1:13" x14ac:dyDescent="0.25">
      <c r="B27" s="14">
        <v>42606</v>
      </c>
      <c r="C27" s="19">
        <v>4280</v>
      </c>
      <c r="D27" s="16" t="s">
        <v>8</v>
      </c>
      <c r="E27" s="17">
        <v>80.900000000000006</v>
      </c>
      <c r="F27" s="13">
        <v>2993.3</v>
      </c>
    </row>
    <row r="28" spans="1:13" x14ac:dyDescent="0.25">
      <c r="B28" s="14">
        <v>42606</v>
      </c>
      <c r="C28" s="19">
        <v>4281</v>
      </c>
      <c r="D28" s="16" t="s">
        <v>8</v>
      </c>
      <c r="E28" s="17">
        <v>33.299999999999997</v>
      </c>
      <c r="F28" s="13">
        <v>732.6</v>
      </c>
    </row>
    <row r="29" spans="1:13" x14ac:dyDescent="0.25">
      <c r="B29" s="14">
        <v>42606</v>
      </c>
      <c r="C29" s="19">
        <v>4282</v>
      </c>
      <c r="D29" s="16" t="s">
        <v>6</v>
      </c>
      <c r="E29" s="17">
        <v>8.4</v>
      </c>
      <c r="F29" s="13">
        <v>621.6</v>
      </c>
    </row>
    <row r="30" spans="1:13" x14ac:dyDescent="0.25">
      <c r="B30" s="14">
        <v>42607</v>
      </c>
      <c r="C30" s="19">
        <v>4360</v>
      </c>
      <c r="D30" s="16" t="s">
        <v>9</v>
      </c>
      <c r="E30" s="17">
        <v>415.6</v>
      </c>
      <c r="F30" s="13">
        <v>16208.4</v>
      </c>
    </row>
    <row r="31" spans="1:13" x14ac:dyDescent="0.25">
      <c r="B31" s="14">
        <v>42607</v>
      </c>
      <c r="C31" s="19">
        <v>4361</v>
      </c>
      <c r="D31" s="16" t="s">
        <v>189</v>
      </c>
      <c r="E31" s="17">
        <v>426.5</v>
      </c>
      <c r="F31" s="13">
        <v>16633.5</v>
      </c>
    </row>
    <row r="32" spans="1:13" x14ac:dyDescent="0.25">
      <c r="B32" s="14">
        <v>42607</v>
      </c>
      <c r="C32" s="19">
        <v>4363</v>
      </c>
      <c r="D32" s="16" t="s">
        <v>153</v>
      </c>
      <c r="E32" s="17">
        <v>180.8</v>
      </c>
      <c r="F32" s="13">
        <v>7051.2</v>
      </c>
    </row>
    <row r="33" spans="2:11" x14ac:dyDescent="0.25">
      <c r="B33" s="14">
        <v>42607</v>
      </c>
      <c r="C33" s="19">
        <v>4364</v>
      </c>
      <c r="D33" s="16" t="s">
        <v>10</v>
      </c>
      <c r="E33" s="17">
        <f>80.4+41+4</f>
        <v>125.4</v>
      </c>
      <c r="F33" s="13">
        <v>3205.8</v>
      </c>
    </row>
    <row r="34" spans="2:11" x14ac:dyDescent="0.25">
      <c r="B34" s="14">
        <v>42607</v>
      </c>
      <c r="C34" s="19">
        <v>4365</v>
      </c>
      <c r="D34" s="16" t="s">
        <v>8</v>
      </c>
      <c r="E34" s="17">
        <f>188.8+38.9</f>
        <v>227.70000000000002</v>
      </c>
      <c r="F34" s="13">
        <v>7835.7</v>
      </c>
      <c r="K34" s="3">
        <f t="shared" ref="K34:K52" si="2">J34*I34</f>
        <v>0</v>
      </c>
    </row>
    <row r="35" spans="2:11" x14ac:dyDescent="0.25">
      <c r="B35" s="14">
        <v>42607</v>
      </c>
      <c r="C35" s="19">
        <v>4366</v>
      </c>
      <c r="D35" s="16" t="s">
        <v>7</v>
      </c>
      <c r="E35" s="17">
        <f>82.8+40.7</f>
        <v>123.5</v>
      </c>
      <c r="F35" s="13">
        <v>4857.2</v>
      </c>
      <c r="K35" s="3">
        <f t="shared" si="2"/>
        <v>0</v>
      </c>
    </row>
    <row r="36" spans="2:11" x14ac:dyDescent="0.25">
      <c r="B36" s="14">
        <v>42607</v>
      </c>
      <c r="C36" s="19">
        <v>4367</v>
      </c>
      <c r="D36" s="16" t="s">
        <v>11</v>
      </c>
      <c r="E36" s="17">
        <f>17.2+123.4+48.1</f>
        <v>188.7</v>
      </c>
      <c r="F36" s="13">
        <v>8479.4</v>
      </c>
      <c r="K36" s="3">
        <f t="shared" si="2"/>
        <v>0</v>
      </c>
    </row>
    <row r="37" spans="2:11" x14ac:dyDescent="0.25">
      <c r="B37" s="14">
        <v>42608</v>
      </c>
      <c r="C37" s="19">
        <v>4498</v>
      </c>
      <c r="D37" s="16" t="s">
        <v>8</v>
      </c>
      <c r="E37" s="17">
        <f>919.4+41.1+13.61</f>
        <v>974.11</v>
      </c>
      <c r="F37" s="13">
        <v>36285.699999999997</v>
      </c>
      <c r="K37" s="3">
        <f t="shared" si="2"/>
        <v>0</v>
      </c>
    </row>
    <row r="38" spans="2:11" x14ac:dyDescent="0.25">
      <c r="B38" s="14">
        <v>42608</v>
      </c>
      <c r="C38" s="19">
        <v>4505</v>
      </c>
      <c r="D38" s="16" t="s">
        <v>7</v>
      </c>
      <c r="E38" s="17">
        <v>75.099999999999994</v>
      </c>
      <c r="F38" s="13">
        <v>2928.9</v>
      </c>
      <c r="K38" s="3">
        <f t="shared" si="2"/>
        <v>0</v>
      </c>
    </row>
    <row r="39" spans="2:11" x14ac:dyDescent="0.25">
      <c r="B39" s="14">
        <v>42608</v>
      </c>
      <c r="C39" s="19">
        <v>4506</v>
      </c>
      <c r="D39" s="16" t="s">
        <v>10</v>
      </c>
      <c r="E39" s="17">
        <f>341.8+49+143.4+54.48+47.1+16.2+245.8</f>
        <v>897.7800000000002</v>
      </c>
      <c r="F39" s="13">
        <v>37347.839999999997</v>
      </c>
      <c r="K39" s="3">
        <f t="shared" si="2"/>
        <v>0</v>
      </c>
    </row>
    <row r="40" spans="2:11" x14ac:dyDescent="0.25">
      <c r="B40" s="14">
        <v>42608</v>
      </c>
      <c r="C40" s="19">
        <v>4508</v>
      </c>
      <c r="D40" s="16" t="s">
        <v>8</v>
      </c>
      <c r="E40" s="17">
        <f>21.6+13.61</f>
        <v>35.21</v>
      </c>
      <c r="F40" s="13">
        <v>1643.9</v>
      </c>
      <c r="K40" s="3">
        <f t="shared" si="2"/>
        <v>0</v>
      </c>
    </row>
    <row r="41" spans="2:11" x14ac:dyDescent="0.25">
      <c r="B41" s="14">
        <v>42608</v>
      </c>
      <c r="C41" s="19">
        <v>4509</v>
      </c>
      <c r="D41" s="16" t="s">
        <v>189</v>
      </c>
      <c r="E41" s="17">
        <v>798.4</v>
      </c>
      <c r="F41" s="13">
        <v>31137.599999999999</v>
      </c>
      <c r="K41" s="3">
        <f t="shared" si="2"/>
        <v>0</v>
      </c>
    </row>
    <row r="42" spans="2:11" x14ac:dyDescent="0.25">
      <c r="B42" s="14">
        <v>42608</v>
      </c>
      <c r="C42" s="19">
        <v>4510</v>
      </c>
      <c r="D42" s="16" t="s">
        <v>9</v>
      </c>
      <c r="E42" s="17">
        <v>809.5</v>
      </c>
      <c r="F42" s="13">
        <v>31570.5</v>
      </c>
    </row>
    <row r="43" spans="2:11" x14ac:dyDescent="0.25">
      <c r="B43" s="14">
        <v>42608</v>
      </c>
      <c r="C43" s="19">
        <v>4511</v>
      </c>
      <c r="D43" s="16" t="s">
        <v>14</v>
      </c>
      <c r="E43" s="17">
        <f>53.8+54.7</f>
        <v>108.5</v>
      </c>
      <c r="F43" s="13">
        <v>4714.8</v>
      </c>
    </row>
    <row r="44" spans="2:11" x14ac:dyDescent="0.25">
      <c r="B44" s="14">
        <v>42608</v>
      </c>
      <c r="C44" s="19">
        <v>4515</v>
      </c>
      <c r="D44" s="16" t="s">
        <v>6</v>
      </c>
      <c r="E44" s="17">
        <f>30.1+8.9+44.1+137.6+74.1+251.6</f>
        <v>546.4</v>
      </c>
      <c r="F44" s="13">
        <v>24332.5</v>
      </c>
    </row>
    <row r="45" spans="2:11" x14ac:dyDescent="0.25">
      <c r="B45" s="14">
        <v>42608</v>
      </c>
      <c r="C45" s="19">
        <v>4517</v>
      </c>
      <c r="D45" s="16" t="s">
        <v>6</v>
      </c>
      <c r="E45" s="17">
        <f>14.2+5.9</f>
        <v>20.100000000000001</v>
      </c>
      <c r="F45" s="13">
        <v>1216</v>
      </c>
    </row>
    <row r="46" spans="2:11" x14ac:dyDescent="0.25">
      <c r="B46" s="14">
        <v>42609</v>
      </c>
      <c r="C46" s="19">
        <v>4627</v>
      </c>
      <c r="D46" s="16" t="s">
        <v>153</v>
      </c>
      <c r="E46" s="17">
        <v>298.5</v>
      </c>
      <c r="F46" s="13">
        <v>11641.5</v>
      </c>
    </row>
    <row r="47" spans="2:11" x14ac:dyDescent="0.25">
      <c r="B47" s="14">
        <v>42609</v>
      </c>
      <c r="C47" s="19">
        <v>4628</v>
      </c>
      <c r="D47" s="16" t="s">
        <v>14</v>
      </c>
      <c r="E47" s="17">
        <v>433.5</v>
      </c>
      <c r="F47" s="13">
        <v>16906.5</v>
      </c>
    </row>
    <row r="48" spans="2:11" x14ac:dyDescent="0.25">
      <c r="B48" s="14">
        <v>42609</v>
      </c>
      <c r="C48" s="19">
        <v>4629</v>
      </c>
      <c r="D48" s="16" t="s">
        <v>9</v>
      </c>
      <c r="E48" s="17">
        <v>437.8</v>
      </c>
      <c r="F48" s="13">
        <v>17074.2</v>
      </c>
    </row>
    <row r="49" spans="2:13" x14ac:dyDescent="0.25">
      <c r="B49" s="14">
        <v>42609</v>
      </c>
      <c r="C49" s="19">
        <v>4633</v>
      </c>
      <c r="D49" s="16" t="s">
        <v>189</v>
      </c>
      <c r="E49" s="17">
        <f>96.7+98.2+423.3</f>
        <v>618.20000000000005</v>
      </c>
      <c r="F49" s="13">
        <v>26959.1</v>
      </c>
    </row>
    <row r="50" spans="2:13" x14ac:dyDescent="0.25">
      <c r="B50" s="14">
        <v>42609</v>
      </c>
      <c r="C50" s="19">
        <v>4634</v>
      </c>
      <c r="D50" s="16" t="s">
        <v>11</v>
      </c>
      <c r="E50" s="17">
        <f>20.4+68.4+59.4+121.2+2</f>
        <v>271.40000000000003</v>
      </c>
      <c r="F50" s="13">
        <v>10726</v>
      </c>
    </row>
    <row r="51" spans="2:13" ht="15.75" thickBot="1" x14ac:dyDescent="0.3">
      <c r="B51" s="14">
        <v>42609</v>
      </c>
      <c r="C51" s="19">
        <v>4635</v>
      </c>
      <c r="D51" s="16" t="s">
        <v>8</v>
      </c>
      <c r="E51" s="17">
        <v>35.9</v>
      </c>
      <c r="F51" s="13">
        <v>610.29999999999995</v>
      </c>
    </row>
    <row r="52" spans="2:13" ht="15.75" thickBot="1" x14ac:dyDescent="0.3">
      <c r="B52" s="21" t="s">
        <v>233</v>
      </c>
      <c r="C52" s="22"/>
      <c r="D52" s="23"/>
      <c r="E52" s="24">
        <v>0</v>
      </c>
      <c r="F52" s="25">
        <f>SUM(F3:F51)</f>
        <v>499869.49000000005</v>
      </c>
      <c r="K52" s="3">
        <f t="shared" si="2"/>
        <v>0</v>
      </c>
    </row>
    <row r="53" spans="2:13" ht="19.5" thickBot="1" x14ac:dyDescent="0.35">
      <c r="B53" s="26"/>
      <c r="C53" s="27"/>
      <c r="D53" s="28" t="s">
        <v>5</v>
      </c>
      <c r="E53" s="29">
        <f>SUM(E3:E52)</f>
        <v>12561.4</v>
      </c>
      <c r="I53" s="30">
        <f>SUM(I52:I52)</f>
        <v>0</v>
      </c>
      <c r="J53" s="30"/>
      <c r="K53" s="30">
        <f>SUM(K52:K52)</f>
        <v>0</v>
      </c>
    </row>
    <row r="54" spans="2:13" x14ac:dyDescent="0.25">
      <c r="B54" s="26"/>
      <c r="C54" s="27"/>
      <c r="D54" s="31"/>
      <c r="E54" s="32"/>
      <c r="I54" s="30">
        <f>SUM(I34:I53)</f>
        <v>0</v>
      </c>
      <c r="J54" s="30"/>
      <c r="K54" s="30">
        <f>SUM(K34:K53)</f>
        <v>0</v>
      </c>
    </row>
    <row r="55" spans="2:13" ht="21.75" thickBot="1" x14ac:dyDescent="0.4">
      <c r="B55" s="33"/>
      <c r="C55" s="34" t="s">
        <v>15</v>
      </c>
      <c r="D55" s="35">
        <f>E53*0.2</f>
        <v>2512.2800000000002</v>
      </c>
      <c r="F55"/>
      <c r="K55"/>
    </row>
    <row r="56" spans="2:13" ht="21.75" thickBot="1" x14ac:dyDescent="0.4">
      <c r="C56" s="36" t="s">
        <v>16</v>
      </c>
      <c r="D56" s="37">
        <v>3000</v>
      </c>
      <c r="E56" s="38"/>
      <c r="F56" s="85">
        <f>D55+D56</f>
        <v>5512.2800000000007</v>
      </c>
      <c r="G56" s="86"/>
      <c r="I56" s="39"/>
      <c r="J56" s="39"/>
      <c r="K56" s="39"/>
      <c r="L56" s="39"/>
      <c r="M56" s="39"/>
    </row>
    <row r="57" spans="2:13" ht="15.75" thickTop="1" x14ac:dyDescent="0.25">
      <c r="I57" s="39"/>
      <c r="J57" s="39"/>
      <c r="K57" s="40"/>
      <c r="L57" s="40"/>
      <c r="M57" s="40"/>
    </row>
    <row r="58" spans="2:13" ht="19.5" thickBot="1" x14ac:dyDescent="0.35">
      <c r="D58" s="62"/>
      <c r="E58" s="41" t="s">
        <v>311</v>
      </c>
      <c r="F58" s="87">
        <v>0</v>
      </c>
      <c r="G58" s="87"/>
      <c r="I58" s="39"/>
      <c r="J58" s="39"/>
      <c r="K58" s="40"/>
      <c r="L58" s="40"/>
      <c r="M58" s="40"/>
    </row>
    <row r="59" spans="2:13" ht="15.75" thickTop="1" x14ac:dyDescent="0.25">
      <c r="C59"/>
      <c r="F59" s="88">
        <f>F56+F58</f>
        <v>5512.2800000000007</v>
      </c>
      <c r="G59" s="88"/>
      <c r="I59" s="39"/>
      <c r="J59" s="39"/>
      <c r="K59" s="40"/>
      <c r="L59" s="40"/>
      <c r="M59" s="40"/>
    </row>
    <row r="60" spans="2:13" ht="18.75" x14ac:dyDescent="0.3">
      <c r="C60"/>
      <c r="E60" s="2" t="s">
        <v>18</v>
      </c>
      <c r="F60" s="89"/>
      <c r="G60" s="89"/>
      <c r="K60"/>
    </row>
  </sheetData>
  <mergeCells count="4">
    <mergeCell ref="B1:C1"/>
    <mergeCell ref="F56:G56"/>
    <mergeCell ref="F58:G58"/>
    <mergeCell ref="F59:G60"/>
  </mergeCells>
  <pageMargins left="0.70866141732283472" right="0.70866141732283472" top="0.35433070866141736" bottom="0.15748031496062992" header="0.31496062992125984" footer="0.31496062992125984"/>
  <pageSetup scale="80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G23" sqref="G23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42620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332</v>
      </c>
      <c r="G2" s="8"/>
      <c r="K2"/>
    </row>
    <row r="3" spans="2:11" ht="15.75" x14ac:dyDescent="0.25">
      <c r="B3" s="9">
        <v>42611</v>
      </c>
      <c r="C3" s="10">
        <v>4880</v>
      </c>
      <c r="D3" s="11" t="s">
        <v>153</v>
      </c>
      <c r="E3" s="12">
        <v>84.2</v>
      </c>
      <c r="F3" s="13">
        <v>3283.8</v>
      </c>
      <c r="K3"/>
    </row>
    <row r="4" spans="2:11" ht="15.75" x14ac:dyDescent="0.25">
      <c r="B4" s="14">
        <v>42611</v>
      </c>
      <c r="C4" s="15">
        <v>4881</v>
      </c>
      <c r="D4" s="16" t="s">
        <v>7</v>
      </c>
      <c r="E4" s="17">
        <v>77.2</v>
      </c>
      <c r="F4" s="13">
        <v>3010.8</v>
      </c>
      <c r="K4"/>
    </row>
    <row r="5" spans="2:11" ht="15.75" x14ac:dyDescent="0.25">
      <c r="B5" s="14">
        <v>42611</v>
      </c>
      <c r="C5" s="15">
        <v>4882</v>
      </c>
      <c r="D5" s="16" t="s">
        <v>192</v>
      </c>
      <c r="E5" s="17">
        <v>75.599999999999994</v>
      </c>
      <c r="F5" s="13">
        <v>2948.4</v>
      </c>
      <c r="K5"/>
    </row>
    <row r="6" spans="2:11" ht="15.75" x14ac:dyDescent="0.25">
      <c r="B6" s="14">
        <v>42611</v>
      </c>
      <c r="C6" s="47">
        <v>4886</v>
      </c>
      <c r="D6" s="16" t="s">
        <v>20</v>
      </c>
      <c r="E6" s="56">
        <v>117.1</v>
      </c>
      <c r="F6" s="13">
        <v>5737.9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42611</v>
      </c>
      <c r="C7" s="15">
        <v>4887</v>
      </c>
      <c r="D7" s="16" t="s">
        <v>10</v>
      </c>
      <c r="E7" s="17">
        <f>113.8+71.6</f>
        <v>185.39999999999998</v>
      </c>
      <c r="F7" s="13">
        <v>8447.7999999999993</v>
      </c>
      <c r="K7" s="3">
        <f t="shared" si="0"/>
        <v>0</v>
      </c>
    </row>
    <row r="8" spans="2:11" ht="15.75" x14ac:dyDescent="0.25">
      <c r="B8" s="14">
        <v>42611</v>
      </c>
      <c r="C8" s="15">
        <v>4888</v>
      </c>
      <c r="D8" s="16" t="s">
        <v>11</v>
      </c>
      <c r="E8" s="17">
        <f>58.8+12.9+123</f>
        <v>194.7</v>
      </c>
      <c r="F8" s="13">
        <v>8558.4</v>
      </c>
      <c r="K8" s="3">
        <f t="shared" si="0"/>
        <v>0</v>
      </c>
    </row>
    <row r="9" spans="2:11" ht="15.75" x14ac:dyDescent="0.25">
      <c r="B9" s="14">
        <v>42612</v>
      </c>
      <c r="C9" s="15">
        <v>4979</v>
      </c>
      <c r="D9" s="16" t="s">
        <v>20</v>
      </c>
      <c r="E9" s="17">
        <f>264+149.8</f>
        <v>413.8</v>
      </c>
      <c r="F9" s="13">
        <v>13459.6</v>
      </c>
      <c r="K9" s="3">
        <f t="shared" si="0"/>
        <v>0</v>
      </c>
    </row>
    <row r="10" spans="2:11" ht="15.75" x14ac:dyDescent="0.25">
      <c r="B10" s="14">
        <v>42612</v>
      </c>
      <c r="C10" s="15">
        <v>4980</v>
      </c>
      <c r="D10" s="16" t="s">
        <v>9</v>
      </c>
      <c r="E10" s="17">
        <v>194.1</v>
      </c>
      <c r="F10" s="13">
        <v>7472.85</v>
      </c>
      <c r="K10" s="3">
        <f t="shared" si="0"/>
        <v>0</v>
      </c>
    </row>
    <row r="11" spans="2:11" ht="15.75" x14ac:dyDescent="0.25">
      <c r="B11" s="14">
        <v>42612</v>
      </c>
      <c r="C11" s="44">
        <v>4981</v>
      </c>
      <c r="D11" s="16" t="s">
        <v>11</v>
      </c>
      <c r="E11" s="17">
        <v>110.7</v>
      </c>
      <c r="F11" s="13">
        <v>5424.3</v>
      </c>
      <c r="K11" s="3">
        <f t="shared" si="0"/>
        <v>0</v>
      </c>
    </row>
    <row r="12" spans="2:11" ht="15.75" x14ac:dyDescent="0.25">
      <c r="B12" s="14">
        <v>42612</v>
      </c>
      <c r="C12" s="15">
        <v>4982</v>
      </c>
      <c r="D12" s="16" t="s">
        <v>14</v>
      </c>
      <c r="E12" s="17">
        <v>167.6</v>
      </c>
      <c r="F12" s="13">
        <v>6452.6</v>
      </c>
      <c r="K12" s="3">
        <f t="shared" si="0"/>
        <v>0</v>
      </c>
    </row>
    <row r="13" spans="2:11" ht="15.75" x14ac:dyDescent="0.25">
      <c r="B13" s="14">
        <v>42612</v>
      </c>
      <c r="C13" s="15">
        <v>4983</v>
      </c>
      <c r="D13" s="16" t="s">
        <v>153</v>
      </c>
      <c r="E13" s="17">
        <v>12.8</v>
      </c>
      <c r="F13" s="13">
        <v>755.2</v>
      </c>
      <c r="K13" s="3">
        <f t="shared" si="0"/>
        <v>0</v>
      </c>
    </row>
    <row r="14" spans="2:11" ht="15.75" x14ac:dyDescent="0.25">
      <c r="B14" s="14">
        <v>42612</v>
      </c>
      <c r="C14" s="15">
        <v>4988</v>
      </c>
      <c r="D14" s="16" t="s">
        <v>11</v>
      </c>
      <c r="E14" s="17">
        <v>57.4</v>
      </c>
      <c r="F14" s="13">
        <v>2296</v>
      </c>
      <c r="K14" s="3">
        <f t="shared" si="0"/>
        <v>0</v>
      </c>
    </row>
    <row r="15" spans="2:11" ht="15.75" x14ac:dyDescent="0.25">
      <c r="B15" s="14">
        <v>42613</v>
      </c>
      <c r="C15" s="15">
        <v>5058</v>
      </c>
      <c r="D15" s="16" t="s">
        <v>10</v>
      </c>
      <c r="E15" s="17">
        <v>112.6</v>
      </c>
      <c r="F15" s="13">
        <v>4504</v>
      </c>
      <c r="K15" s="3">
        <f t="shared" si="0"/>
        <v>0</v>
      </c>
    </row>
    <row r="16" spans="2:11" ht="15.75" x14ac:dyDescent="0.25">
      <c r="B16" s="14">
        <v>42613</v>
      </c>
      <c r="C16" s="15">
        <v>5059</v>
      </c>
      <c r="D16" s="16" t="s">
        <v>11</v>
      </c>
      <c r="E16" s="17">
        <v>60.9</v>
      </c>
      <c r="F16" s="13">
        <v>2436</v>
      </c>
      <c r="K16" s="3">
        <f t="shared" si="0"/>
        <v>0</v>
      </c>
    </row>
    <row r="17" spans="1:13" ht="15.75" x14ac:dyDescent="0.25">
      <c r="B17" s="14">
        <v>42613</v>
      </c>
      <c r="C17" s="15">
        <v>5070</v>
      </c>
      <c r="D17" s="16" t="s">
        <v>20</v>
      </c>
      <c r="E17" s="17">
        <v>437.7</v>
      </c>
      <c r="F17" s="13">
        <v>16851.45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42613</v>
      </c>
      <c r="C18" s="15">
        <v>5071</v>
      </c>
      <c r="D18" s="16" t="s">
        <v>9</v>
      </c>
      <c r="E18" s="17">
        <v>458.6</v>
      </c>
      <c r="F18" s="13">
        <v>17656.099999999999</v>
      </c>
      <c r="I18" s="3"/>
      <c r="J18" s="3"/>
    </row>
    <row r="19" spans="1:13" ht="15.75" x14ac:dyDescent="0.25">
      <c r="B19" s="14">
        <v>42613</v>
      </c>
      <c r="C19" s="15">
        <v>5072</v>
      </c>
      <c r="D19" s="16" t="s">
        <v>153</v>
      </c>
      <c r="E19" s="17">
        <v>277.39999999999998</v>
      </c>
      <c r="F19" s="13">
        <v>10679.9</v>
      </c>
    </row>
    <row r="20" spans="1:13" ht="15.75" x14ac:dyDescent="0.25">
      <c r="B20" s="14">
        <v>42613</v>
      </c>
      <c r="C20" s="15">
        <v>5074</v>
      </c>
      <c r="D20" s="16" t="s">
        <v>11</v>
      </c>
      <c r="E20" s="17">
        <f>124.8+16.2</f>
        <v>141</v>
      </c>
      <c r="F20" s="13">
        <v>6416</v>
      </c>
    </row>
    <row r="21" spans="1:13" ht="15.75" x14ac:dyDescent="0.25">
      <c r="B21" s="14">
        <v>42613</v>
      </c>
      <c r="C21" s="15">
        <v>5075</v>
      </c>
      <c r="D21" s="16" t="s">
        <v>6</v>
      </c>
      <c r="E21" s="17">
        <v>92</v>
      </c>
      <c r="F21" s="13">
        <v>3542</v>
      </c>
    </row>
    <row r="22" spans="1:13" ht="15.75" x14ac:dyDescent="0.25">
      <c r="A22" s="18"/>
      <c r="B22" s="14">
        <v>42613</v>
      </c>
      <c r="C22" s="15">
        <v>5077</v>
      </c>
      <c r="D22" s="16" t="s">
        <v>10</v>
      </c>
      <c r="E22" s="17">
        <f>186.7+120.6+18.7</f>
        <v>325.99999999999994</v>
      </c>
      <c r="F22" s="13">
        <v>14465.15</v>
      </c>
    </row>
    <row r="23" spans="1:13" ht="15.75" x14ac:dyDescent="0.25">
      <c r="B23" s="14">
        <v>42614</v>
      </c>
      <c r="C23" s="15">
        <v>5223</v>
      </c>
      <c r="D23" s="16" t="s">
        <v>9</v>
      </c>
      <c r="E23" s="17">
        <v>387</v>
      </c>
      <c r="F23" s="13">
        <v>15286.5</v>
      </c>
      <c r="I23" s="48"/>
      <c r="J23" s="49"/>
      <c r="K23" s="50"/>
      <c r="L23" s="51"/>
      <c r="M23" s="52"/>
    </row>
    <row r="24" spans="1:13" ht="15.75" x14ac:dyDescent="0.25">
      <c r="B24" s="14">
        <v>42614</v>
      </c>
      <c r="C24" s="15">
        <v>5224</v>
      </c>
      <c r="D24" s="16" t="s">
        <v>20</v>
      </c>
      <c r="E24" s="17">
        <v>405.5</v>
      </c>
      <c r="F24" s="13">
        <v>15611.75</v>
      </c>
      <c r="I24" s="31"/>
      <c r="J24" s="31"/>
      <c r="K24" s="53"/>
      <c r="L24" s="31"/>
      <c r="M24" s="31"/>
    </row>
    <row r="25" spans="1:13" ht="15.75" x14ac:dyDescent="0.25">
      <c r="B25" s="14">
        <v>42614</v>
      </c>
      <c r="C25" s="15">
        <v>5228</v>
      </c>
      <c r="D25" s="16" t="s">
        <v>192</v>
      </c>
      <c r="E25" s="17">
        <v>26.3</v>
      </c>
      <c r="F25" s="13">
        <v>447.1</v>
      </c>
      <c r="I25" s="31"/>
      <c r="J25" s="31"/>
      <c r="K25" s="53"/>
      <c r="L25" s="31"/>
      <c r="M25" s="31"/>
    </row>
    <row r="26" spans="1:13" ht="15.75" x14ac:dyDescent="0.25">
      <c r="B26" s="14">
        <v>42614</v>
      </c>
      <c r="C26" s="15">
        <v>5229</v>
      </c>
      <c r="D26" s="16" t="s">
        <v>11</v>
      </c>
      <c r="E26" s="17">
        <f>58.5+60.6</f>
        <v>119.1</v>
      </c>
      <c r="F26" s="13">
        <v>5290.5</v>
      </c>
    </row>
    <row r="27" spans="1:13" x14ac:dyDescent="0.25">
      <c r="B27" s="14">
        <v>42614</v>
      </c>
      <c r="C27" s="19">
        <v>5234</v>
      </c>
      <c r="D27" s="16" t="s">
        <v>153</v>
      </c>
      <c r="E27" s="17">
        <v>17</v>
      </c>
      <c r="F27" s="13">
        <v>544</v>
      </c>
    </row>
    <row r="28" spans="1:13" x14ac:dyDescent="0.25">
      <c r="B28" s="14">
        <v>42614</v>
      </c>
      <c r="C28" s="19">
        <v>5241</v>
      </c>
      <c r="D28" s="16" t="s">
        <v>7</v>
      </c>
      <c r="E28" s="17">
        <v>90.2</v>
      </c>
      <c r="F28" s="13">
        <v>3472.7</v>
      </c>
    </row>
    <row r="29" spans="1:13" x14ac:dyDescent="0.25">
      <c r="B29" s="14">
        <v>42615</v>
      </c>
      <c r="C29" s="19">
        <v>5322</v>
      </c>
      <c r="D29" s="16" t="s">
        <v>153</v>
      </c>
      <c r="E29" s="17">
        <v>364.2</v>
      </c>
      <c r="F29" s="13">
        <v>14021.7</v>
      </c>
    </row>
    <row r="30" spans="1:13" x14ac:dyDescent="0.25">
      <c r="B30" s="14">
        <v>42615</v>
      </c>
      <c r="C30" s="19">
        <v>5323</v>
      </c>
      <c r="D30" s="16" t="s">
        <v>192</v>
      </c>
      <c r="E30" s="17">
        <v>921.7</v>
      </c>
      <c r="F30" s="13">
        <v>36868</v>
      </c>
    </row>
    <row r="31" spans="1:13" x14ac:dyDescent="0.25">
      <c r="B31" s="14">
        <v>42615</v>
      </c>
      <c r="C31" s="19">
        <v>5326</v>
      </c>
      <c r="D31" s="16" t="s">
        <v>9</v>
      </c>
      <c r="E31" s="17">
        <v>439.8</v>
      </c>
      <c r="F31" s="13">
        <v>16932.3</v>
      </c>
    </row>
    <row r="32" spans="1:13" x14ac:dyDescent="0.25">
      <c r="B32" s="14">
        <v>42615</v>
      </c>
      <c r="C32" s="19">
        <v>5331</v>
      </c>
      <c r="D32" s="16" t="s">
        <v>11</v>
      </c>
      <c r="E32" s="17">
        <f>15.1+75.9+126.6+43.2</f>
        <v>260.8</v>
      </c>
      <c r="F32" s="13">
        <v>11711.35</v>
      </c>
    </row>
    <row r="33" spans="2:13" x14ac:dyDescent="0.25">
      <c r="B33" s="14">
        <v>42615</v>
      </c>
      <c r="C33" s="19">
        <v>5333</v>
      </c>
      <c r="D33" s="16" t="s">
        <v>20</v>
      </c>
      <c r="E33" s="17">
        <f>54.6+458.9+44.3</f>
        <v>557.79999999999995</v>
      </c>
      <c r="F33" s="13">
        <v>20126.75</v>
      </c>
    </row>
    <row r="34" spans="2:13" x14ac:dyDescent="0.25">
      <c r="B34" s="14">
        <v>42615</v>
      </c>
      <c r="C34" s="19">
        <v>5334</v>
      </c>
      <c r="D34" s="16" t="s">
        <v>6</v>
      </c>
      <c r="E34" s="17">
        <f>19.2+22.6+197.5+34.2+66.2+65.2</f>
        <v>404.9</v>
      </c>
      <c r="F34" s="13">
        <v>18909.150000000001</v>
      </c>
      <c r="K34" s="3">
        <f t="shared" ref="K34:K43" si="2">J34*I34</f>
        <v>0</v>
      </c>
    </row>
    <row r="35" spans="2:13" x14ac:dyDescent="0.25">
      <c r="B35" s="14">
        <v>42615</v>
      </c>
      <c r="C35" s="19">
        <v>5335</v>
      </c>
      <c r="D35" s="16" t="s">
        <v>10</v>
      </c>
      <c r="E35" s="17">
        <f>54.48+3+119.5+877.2</f>
        <v>1054.18</v>
      </c>
      <c r="F35" s="13">
        <v>41841.74</v>
      </c>
      <c r="K35" s="3">
        <f t="shared" si="2"/>
        <v>0</v>
      </c>
    </row>
    <row r="36" spans="2:13" x14ac:dyDescent="0.25">
      <c r="B36" s="14">
        <v>42616</v>
      </c>
      <c r="C36" s="19">
        <v>5448</v>
      </c>
      <c r="D36" s="16" t="s">
        <v>12</v>
      </c>
      <c r="E36" s="17">
        <f>84.2+434.2</f>
        <v>518.4</v>
      </c>
      <c r="F36" s="13">
        <v>21684.5</v>
      </c>
      <c r="K36" s="3">
        <f t="shared" si="2"/>
        <v>0</v>
      </c>
    </row>
    <row r="37" spans="2:13" x14ac:dyDescent="0.25">
      <c r="B37" s="14">
        <v>42616</v>
      </c>
      <c r="C37" s="19">
        <v>5454</v>
      </c>
      <c r="D37" s="16" t="s">
        <v>6</v>
      </c>
      <c r="E37" s="17">
        <v>196.6</v>
      </c>
      <c r="F37" s="13">
        <v>7569.1</v>
      </c>
      <c r="K37" s="3">
        <f t="shared" si="2"/>
        <v>0</v>
      </c>
    </row>
    <row r="38" spans="2:13" x14ac:dyDescent="0.25">
      <c r="B38" s="14">
        <v>42616</v>
      </c>
      <c r="C38" s="19">
        <v>5455</v>
      </c>
      <c r="D38" s="16" t="s">
        <v>20</v>
      </c>
      <c r="E38" s="17">
        <f>123.4+408.2</f>
        <v>531.6</v>
      </c>
      <c r="F38" s="13">
        <v>21183.3</v>
      </c>
      <c r="K38" s="3">
        <f t="shared" si="2"/>
        <v>0</v>
      </c>
    </row>
    <row r="39" spans="2:13" x14ac:dyDescent="0.25">
      <c r="B39" s="14">
        <v>42616</v>
      </c>
      <c r="C39" s="19">
        <v>5465</v>
      </c>
      <c r="D39" s="16" t="s">
        <v>11</v>
      </c>
      <c r="E39" s="17">
        <f>69.5+17.6+44.4+127.8</f>
        <v>259.3</v>
      </c>
      <c r="F39" s="13">
        <v>10787.4</v>
      </c>
      <c r="K39" s="3">
        <f t="shared" si="2"/>
        <v>0</v>
      </c>
    </row>
    <row r="40" spans="2:13" x14ac:dyDescent="0.25">
      <c r="B40" s="14">
        <v>42616</v>
      </c>
      <c r="C40" s="19">
        <v>5466</v>
      </c>
      <c r="D40" s="16" t="s">
        <v>14</v>
      </c>
      <c r="E40" s="17">
        <v>435.6</v>
      </c>
      <c r="F40" s="13">
        <v>16770.599999999999</v>
      </c>
      <c r="K40" s="3">
        <f t="shared" si="2"/>
        <v>0</v>
      </c>
    </row>
    <row r="41" spans="2:13" x14ac:dyDescent="0.25">
      <c r="B41" s="14">
        <v>42616</v>
      </c>
      <c r="C41" s="19">
        <v>5467</v>
      </c>
      <c r="D41" s="16" t="s">
        <v>9</v>
      </c>
      <c r="E41" s="17">
        <v>438.1</v>
      </c>
      <c r="F41" s="13">
        <v>16866.849999999999</v>
      </c>
      <c r="K41" s="3">
        <f t="shared" si="2"/>
        <v>0</v>
      </c>
    </row>
    <row r="42" spans="2:13" ht="15.75" thickBot="1" x14ac:dyDescent="0.3">
      <c r="B42" s="14"/>
      <c r="C42" s="19"/>
      <c r="D42" s="16"/>
      <c r="E42" s="17"/>
      <c r="F42" s="13"/>
    </row>
    <row r="43" spans="2:13" ht="15.75" thickBot="1" x14ac:dyDescent="0.3">
      <c r="B43" s="21" t="s">
        <v>233</v>
      </c>
      <c r="C43" s="22"/>
      <c r="D43" s="23"/>
      <c r="E43" s="24">
        <v>0</v>
      </c>
      <c r="F43" s="25">
        <f>SUM(F3:F42)</f>
        <v>440323.53999999992</v>
      </c>
      <c r="K43" s="3">
        <f t="shared" si="2"/>
        <v>0</v>
      </c>
    </row>
    <row r="44" spans="2:13" ht="19.5" thickBot="1" x14ac:dyDescent="0.35">
      <c r="B44" s="26"/>
      <c r="C44" s="27"/>
      <c r="D44" s="28" t="s">
        <v>5</v>
      </c>
      <c r="E44" s="29">
        <f>SUM(E3:E43)</f>
        <v>11024.88</v>
      </c>
      <c r="I44" s="30">
        <f>SUM(I43:I43)</f>
        <v>0</v>
      </c>
      <c r="J44" s="30"/>
      <c r="K44" s="30">
        <f>SUM(K43:K43)</f>
        <v>0</v>
      </c>
    </row>
    <row r="45" spans="2:13" x14ac:dyDescent="0.25">
      <c r="B45" s="26"/>
      <c r="C45" s="27"/>
      <c r="D45" s="31"/>
      <c r="E45" s="32"/>
      <c r="I45" s="30">
        <f>SUM(I34:I44)</f>
        <v>0</v>
      </c>
      <c r="J45" s="30"/>
      <c r="K45" s="30">
        <f>SUM(K34:K44)</f>
        <v>0</v>
      </c>
    </row>
    <row r="46" spans="2:13" ht="21.75" thickBot="1" x14ac:dyDescent="0.4">
      <c r="B46" s="33"/>
      <c r="C46" s="34" t="s">
        <v>15</v>
      </c>
      <c r="D46" s="35">
        <f>E44*0.2</f>
        <v>2204.9760000000001</v>
      </c>
      <c r="F46"/>
      <c r="K46"/>
    </row>
    <row r="47" spans="2:13" ht="21.75" thickBot="1" x14ac:dyDescent="0.4">
      <c r="C47" s="36" t="s">
        <v>16</v>
      </c>
      <c r="D47" s="37">
        <v>3000</v>
      </c>
      <c r="E47" s="38"/>
      <c r="F47" s="85">
        <f>D46+D47</f>
        <v>5204.9760000000006</v>
      </c>
      <c r="G47" s="86"/>
      <c r="I47" s="39"/>
      <c r="J47" s="39"/>
      <c r="K47" s="39"/>
      <c r="L47" s="39"/>
      <c r="M47" s="39"/>
    </row>
    <row r="48" spans="2:13" ht="15.75" thickTop="1" x14ac:dyDescent="0.25">
      <c r="I48" s="39"/>
      <c r="J48" s="39"/>
      <c r="K48" s="40"/>
      <c r="L48" s="40"/>
      <c r="M48" s="40"/>
    </row>
    <row r="49" spans="3:13" ht="19.5" thickBot="1" x14ac:dyDescent="0.35">
      <c r="D49" s="62"/>
      <c r="E49" s="41" t="s">
        <v>311</v>
      </c>
      <c r="F49" s="87">
        <v>0</v>
      </c>
      <c r="G49" s="87"/>
      <c r="I49" s="39"/>
      <c r="J49" s="39"/>
      <c r="K49" s="40"/>
      <c r="L49" s="40"/>
      <c r="M49" s="40"/>
    </row>
    <row r="50" spans="3:13" ht="15.75" thickTop="1" x14ac:dyDescent="0.25">
      <c r="C50"/>
      <c r="F50" s="88">
        <f>F47+F49</f>
        <v>5204.9760000000006</v>
      </c>
      <c r="G50" s="88"/>
      <c r="I50" s="39"/>
      <c r="J50" s="39"/>
      <c r="K50" s="40"/>
      <c r="L50" s="40"/>
      <c r="M50" s="40"/>
    </row>
    <row r="51" spans="3:13" ht="18.75" x14ac:dyDescent="0.3">
      <c r="C51"/>
      <c r="E51" s="2" t="s">
        <v>18</v>
      </c>
      <c r="F51" s="89"/>
      <c r="G51" s="89"/>
      <c r="K51"/>
    </row>
  </sheetData>
  <mergeCells count="4">
    <mergeCell ref="B1:C1"/>
    <mergeCell ref="F47:G47"/>
    <mergeCell ref="F49:G49"/>
    <mergeCell ref="F50:G51"/>
  </mergeCells>
  <pageMargins left="0.31496062992125984" right="0.11811023622047245" top="0.74803149606299213" bottom="0.15748031496062992" header="0.31496062992125984" footer="0.31496062992125984"/>
  <pageSetup scale="80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2" workbookViewId="0">
      <selection activeCell="A22" sqref="A1:XFD104857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42628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333</v>
      </c>
      <c r="G2" s="8"/>
      <c r="K2"/>
    </row>
    <row r="3" spans="2:11" ht="15.75" x14ac:dyDescent="0.25">
      <c r="B3" s="9">
        <v>42618</v>
      </c>
      <c r="C3" s="10">
        <v>5665</v>
      </c>
      <c r="D3" s="11" t="s">
        <v>334</v>
      </c>
      <c r="E3" s="12">
        <v>82.8</v>
      </c>
      <c r="F3" s="13">
        <v>3187.8</v>
      </c>
      <c r="K3"/>
    </row>
    <row r="4" spans="2:11" ht="15.75" x14ac:dyDescent="0.25">
      <c r="B4" s="14">
        <v>42618</v>
      </c>
      <c r="C4" s="15">
        <v>5667</v>
      </c>
      <c r="D4" s="16" t="s">
        <v>189</v>
      </c>
      <c r="E4" s="17">
        <v>393.3</v>
      </c>
      <c r="F4" s="13">
        <v>15142.05</v>
      </c>
      <c r="K4"/>
    </row>
    <row r="5" spans="2:11" ht="15.75" x14ac:dyDescent="0.25">
      <c r="B5" s="14">
        <v>42618</v>
      </c>
      <c r="C5" s="15">
        <v>5668</v>
      </c>
      <c r="D5" s="16" t="s">
        <v>9</v>
      </c>
      <c r="E5" s="17">
        <v>416.2</v>
      </c>
      <c r="F5" s="13">
        <v>16023.7</v>
      </c>
      <c r="K5"/>
    </row>
    <row r="6" spans="2:11" ht="15.75" x14ac:dyDescent="0.25">
      <c r="B6" s="14">
        <v>42618</v>
      </c>
      <c r="C6" s="47">
        <v>5670</v>
      </c>
      <c r="D6" s="16" t="s">
        <v>8</v>
      </c>
      <c r="E6" s="56">
        <v>39.299999999999997</v>
      </c>
      <c r="F6" s="13">
        <v>668.1</v>
      </c>
      <c r="G6" t="s">
        <v>233</v>
      </c>
      <c r="I6">
        <v>543</v>
      </c>
      <c r="J6">
        <v>38</v>
      </c>
      <c r="K6" s="3">
        <f t="shared" ref="K6:K16" si="0">J6*I6</f>
        <v>20634</v>
      </c>
    </row>
    <row r="7" spans="2:11" ht="15.75" x14ac:dyDescent="0.25">
      <c r="B7" s="14">
        <v>42618</v>
      </c>
      <c r="C7" s="15">
        <v>5676</v>
      </c>
      <c r="D7" s="16" t="s">
        <v>11</v>
      </c>
      <c r="E7" s="17">
        <f>142.6+14.1+56.5</f>
        <v>213.2</v>
      </c>
      <c r="F7" s="13">
        <v>10091.5</v>
      </c>
      <c r="I7">
        <v>173.8</v>
      </c>
      <c r="J7">
        <v>41.5</v>
      </c>
      <c r="K7" s="3">
        <f t="shared" si="0"/>
        <v>7212.7000000000007</v>
      </c>
    </row>
    <row r="8" spans="2:11" ht="15.75" x14ac:dyDescent="0.25">
      <c r="B8" s="14">
        <v>42619</v>
      </c>
      <c r="C8" s="15">
        <v>5774</v>
      </c>
      <c r="D8" s="16" t="s">
        <v>8</v>
      </c>
      <c r="E8" s="17">
        <f>37.3+148.6+1</f>
        <v>186.89999999999998</v>
      </c>
      <c r="F8" s="13">
        <v>7098.2</v>
      </c>
      <c r="I8">
        <v>2</v>
      </c>
      <c r="J8">
        <v>185</v>
      </c>
      <c r="K8" s="3">
        <f t="shared" si="0"/>
        <v>370</v>
      </c>
    </row>
    <row r="9" spans="2:11" ht="15.75" x14ac:dyDescent="0.25">
      <c r="B9" s="14">
        <v>42619</v>
      </c>
      <c r="C9" s="15">
        <v>5779</v>
      </c>
      <c r="D9" s="16" t="s">
        <v>334</v>
      </c>
      <c r="E9" s="17">
        <f>78+41.1+1</f>
        <v>120.1</v>
      </c>
      <c r="F9" s="13">
        <v>4834.1000000000004</v>
      </c>
      <c r="I9">
        <v>19.100000000000001</v>
      </c>
      <c r="J9">
        <v>28</v>
      </c>
      <c r="K9" s="3">
        <f t="shared" si="0"/>
        <v>534.80000000000007</v>
      </c>
    </row>
    <row r="10" spans="2:11" ht="15.75" x14ac:dyDescent="0.25">
      <c r="B10" s="14">
        <v>42619</v>
      </c>
      <c r="C10" s="15">
        <v>5780</v>
      </c>
      <c r="D10" s="16" t="s">
        <v>189</v>
      </c>
      <c r="E10" s="17">
        <v>601.9</v>
      </c>
      <c r="F10" s="13">
        <v>22872.2</v>
      </c>
      <c r="K10" s="3">
        <f t="shared" si="0"/>
        <v>0</v>
      </c>
    </row>
    <row r="11" spans="2:11" ht="15.75" x14ac:dyDescent="0.25">
      <c r="B11" s="14">
        <v>42619</v>
      </c>
      <c r="C11" s="44">
        <v>5784</v>
      </c>
      <c r="D11" s="16" t="s">
        <v>9</v>
      </c>
      <c r="E11" s="17">
        <f>359+134.4</f>
        <v>493.4</v>
      </c>
      <c r="F11" s="13">
        <v>20317.8</v>
      </c>
      <c r="K11" s="3">
        <f t="shared" si="0"/>
        <v>0</v>
      </c>
    </row>
    <row r="12" spans="2:11" ht="15.75" x14ac:dyDescent="0.25">
      <c r="B12" s="14">
        <v>42619</v>
      </c>
      <c r="C12" s="15">
        <v>5794</v>
      </c>
      <c r="D12" s="16" t="s">
        <v>11</v>
      </c>
      <c r="E12" s="17">
        <f>15.7+85.7+46.4</f>
        <v>147.80000000000001</v>
      </c>
      <c r="F12" s="13">
        <v>6155.4</v>
      </c>
      <c r="K12" s="3">
        <f t="shared" si="0"/>
        <v>0</v>
      </c>
    </row>
    <row r="13" spans="2:11" ht="15.75" x14ac:dyDescent="0.25">
      <c r="B13" s="14">
        <v>42620</v>
      </c>
      <c r="C13" s="15">
        <v>5871</v>
      </c>
      <c r="D13" s="16" t="s">
        <v>10</v>
      </c>
      <c r="E13" s="17">
        <f>121.8+54.48+2+165.8</f>
        <v>344.08000000000004</v>
      </c>
      <c r="F13" s="13">
        <v>14340.14</v>
      </c>
      <c r="K13" s="3">
        <f t="shared" si="0"/>
        <v>0</v>
      </c>
    </row>
    <row r="14" spans="2:11" ht="15.75" x14ac:dyDescent="0.25">
      <c r="B14" s="14">
        <v>42620</v>
      </c>
      <c r="C14" s="15">
        <v>5872</v>
      </c>
      <c r="D14" s="16" t="s">
        <v>14</v>
      </c>
      <c r="E14" s="17">
        <v>409.3</v>
      </c>
      <c r="F14" s="13">
        <v>15553.4</v>
      </c>
      <c r="K14" s="3">
        <f t="shared" si="0"/>
        <v>0</v>
      </c>
    </row>
    <row r="15" spans="2:11" ht="15.75" x14ac:dyDescent="0.25">
      <c r="B15" s="14">
        <v>42620</v>
      </c>
      <c r="C15" s="15">
        <v>5873</v>
      </c>
      <c r="D15" s="16" t="s">
        <v>9</v>
      </c>
      <c r="E15" s="17">
        <v>420</v>
      </c>
      <c r="F15" s="13">
        <v>15960</v>
      </c>
      <c r="K15" s="3">
        <f t="shared" si="0"/>
        <v>0</v>
      </c>
    </row>
    <row r="16" spans="2:11" ht="15.75" x14ac:dyDescent="0.25">
      <c r="B16" s="14">
        <v>42620</v>
      </c>
      <c r="C16" s="15">
        <v>5874</v>
      </c>
      <c r="D16" s="16" t="s">
        <v>189</v>
      </c>
      <c r="E16" s="17">
        <v>431.6</v>
      </c>
      <c r="F16" s="13">
        <v>16400.8</v>
      </c>
      <c r="K16" s="3">
        <f t="shared" si="0"/>
        <v>0</v>
      </c>
    </row>
    <row r="17" spans="1:13" ht="15.75" x14ac:dyDescent="0.25">
      <c r="B17" s="14">
        <v>42620</v>
      </c>
      <c r="C17" s="15">
        <v>5875</v>
      </c>
      <c r="D17" s="16" t="s">
        <v>8</v>
      </c>
      <c r="E17" s="17">
        <v>134.6</v>
      </c>
      <c r="F17" s="13">
        <v>5585.9</v>
      </c>
      <c r="I17" s="3">
        <f t="shared" ref="I17" si="1">SUM(I6:I16)</f>
        <v>737.9</v>
      </c>
      <c r="J17" s="3"/>
      <c r="K17" s="3">
        <f>SUM(K6:K16)</f>
        <v>28751.5</v>
      </c>
    </row>
    <row r="18" spans="1:13" ht="15.75" x14ac:dyDescent="0.25">
      <c r="B18" s="14">
        <v>42620</v>
      </c>
      <c r="C18" s="15">
        <v>5878</v>
      </c>
      <c r="D18" s="16" t="s">
        <v>6</v>
      </c>
      <c r="E18" s="17">
        <f>83.2+81</f>
        <v>164.2</v>
      </c>
      <c r="F18" s="13">
        <v>6320.6</v>
      </c>
      <c r="I18" s="3"/>
      <c r="J18" s="3"/>
    </row>
    <row r="19" spans="1:13" ht="15.75" x14ac:dyDescent="0.25">
      <c r="B19" s="14">
        <v>42621</v>
      </c>
      <c r="C19" s="15">
        <v>6000</v>
      </c>
      <c r="D19" s="16" t="s">
        <v>189</v>
      </c>
      <c r="E19" s="17">
        <v>419</v>
      </c>
      <c r="F19" s="13">
        <v>15922</v>
      </c>
    </row>
    <row r="20" spans="1:13" ht="15.75" x14ac:dyDescent="0.25">
      <c r="B20" s="14">
        <v>42621</v>
      </c>
      <c r="C20" s="15">
        <v>6001</v>
      </c>
      <c r="D20" s="16" t="s">
        <v>9</v>
      </c>
      <c r="E20" s="17">
        <v>399</v>
      </c>
      <c r="F20" s="13">
        <v>15162</v>
      </c>
    </row>
    <row r="21" spans="1:13" ht="15.75" x14ac:dyDescent="0.25">
      <c r="B21" s="14">
        <v>42621</v>
      </c>
      <c r="C21" s="15">
        <v>6002</v>
      </c>
      <c r="D21" s="16" t="s">
        <v>334</v>
      </c>
      <c r="E21" s="17">
        <f>10.7+4.8</f>
        <v>15.5</v>
      </c>
      <c r="F21" s="13">
        <v>683.6</v>
      </c>
    </row>
    <row r="22" spans="1:13" ht="15.75" x14ac:dyDescent="0.25">
      <c r="A22" s="18"/>
      <c r="B22" s="14">
        <v>42621</v>
      </c>
      <c r="C22" s="15">
        <v>6004</v>
      </c>
      <c r="D22" s="16" t="s">
        <v>8</v>
      </c>
      <c r="E22" s="17">
        <f>35.4+49+58.7</f>
        <v>143.10000000000002</v>
      </c>
      <c r="F22" s="13">
        <v>4684.8500000000004</v>
      </c>
    </row>
    <row r="23" spans="1:13" ht="15.75" x14ac:dyDescent="0.25">
      <c r="B23" s="14">
        <v>42621</v>
      </c>
      <c r="C23" s="15">
        <v>6011</v>
      </c>
      <c r="D23" s="16" t="s">
        <v>11</v>
      </c>
      <c r="E23" s="17">
        <f>15+24.5+29.8</f>
        <v>69.3</v>
      </c>
      <c r="F23" s="13">
        <v>3016.15</v>
      </c>
      <c r="I23" s="48"/>
      <c r="J23" s="49"/>
      <c r="K23" s="50"/>
      <c r="L23" s="51"/>
      <c r="M23" s="52"/>
    </row>
    <row r="24" spans="1:13" ht="15.75" x14ac:dyDescent="0.25">
      <c r="B24" s="14">
        <v>42621</v>
      </c>
      <c r="C24" s="15">
        <v>6072</v>
      </c>
      <c r="D24" s="16" t="s">
        <v>12</v>
      </c>
      <c r="E24" s="17">
        <v>308.8</v>
      </c>
      <c r="F24" s="13">
        <v>16366.4</v>
      </c>
      <c r="I24" s="31"/>
      <c r="J24" s="31"/>
      <c r="K24" s="53"/>
      <c r="L24" s="31"/>
      <c r="M24" s="31"/>
    </row>
    <row r="25" spans="1:13" ht="15.75" x14ac:dyDescent="0.25">
      <c r="B25" s="14">
        <v>42622</v>
      </c>
      <c r="C25" s="15">
        <v>6127</v>
      </c>
      <c r="D25" s="16" t="s">
        <v>10</v>
      </c>
      <c r="E25" s="17">
        <f>543+173.8+2+19.1</f>
        <v>737.9</v>
      </c>
      <c r="F25" s="13">
        <v>28751.5</v>
      </c>
      <c r="I25" s="31"/>
      <c r="J25" s="31"/>
      <c r="K25" s="53"/>
      <c r="L25" s="31"/>
      <c r="M25" s="31"/>
    </row>
    <row r="26" spans="1:13" ht="15.75" x14ac:dyDescent="0.25">
      <c r="B26" s="14">
        <v>42622</v>
      </c>
      <c r="C26" s="15">
        <v>6129</v>
      </c>
      <c r="D26" s="16" t="s">
        <v>8</v>
      </c>
      <c r="E26" s="17">
        <f>125.5+13.61+914</f>
        <v>1053.1100000000001</v>
      </c>
      <c r="F26" s="13">
        <v>40103.199999999997</v>
      </c>
    </row>
    <row r="27" spans="1:13" x14ac:dyDescent="0.25">
      <c r="B27" s="14">
        <v>42622</v>
      </c>
      <c r="C27" s="19">
        <v>6133</v>
      </c>
      <c r="D27" s="16" t="s">
        <v>9</v>
      </c>
      <c r="E27" s="17">
        <v>408.2</v>
      </c>
      <c r="F27" s="13">
        <v>15511.6</v>
      </c>
    </row>
    <row r="28" spans="1:13" x14ac:dyDescent="0.25">
      <c r="B28" s="14">
        <v>42622</v>
      </c>
      <c r="C28" s="19">
        <v>6134</v>
      </c>
      <c r="D28" s="16" t="s">
        <v>189</v>
      </c>
      <c r="E28" s="17">
        <f>395.2+117+60.4</f>
        <v>572.6</v>
      </c>
      <c r="F28" s="13">
        <v>21201.9</v>
      </c>
    </row>
    <row r="29" spans="1:13" x14ac:dyDescent="0.25">
      <c r="B29" s="14">
        <v>42622</v>
      </c>
      <c r="C29" s="19">
        <v>6135</v>
      </c>
      <c r="D29" s="16" t="s">
        <v>334</v>
      </c>
      <c r="E29" s="17">
        <v>82</v>
      </c>
      <c r="F29" s="13">
        <v>3116</v>
      </c>
    </row>
    <row r="30" spans="1:13" x14ac:dyDescent="0.25">
      <c r="B30" s="14">
        <v>42622</v>
      </c>
      <c r="C30" s="19">
        <v>6137</v>
      </c>
      <c r="D30" s="16" t="s">
        <v>14</v>
      </c>
      <c r="E30" s="17">
        <f>200.4+111</f>
        <v>311.39999999999998</v>
      </c>
      <c r="F30" s="13">
        <v>10758.6</v>
      </c>
    </row>
    <row r="31" spans="1:13" x14ac:dyDescent="0.25">
      <c r="B31" s="14">
        <v>42622</v>
      </c>
      <c r="C31" s="19">
        <v>6138</v>
      </c>
      <c r="D31" s="16" t="s">
        <v>6</v>
      </c>
      <c r="E31" s="17">
        <f>270+143.8</f>
        <v>413.8</v>
      </c>
      <c r="F31" s="13">
        <v>19175.599999999999</v>
      </c>
    </row>
    <row r="32" spans="1:13" x14ac:dyDescent="0.25">
      <c r="B32" s="14">
        <v>42623</v>
      </c>
      <c r="C32" s="19">
        <v>6248</v>
      </c>
      <c r="D32" s="16" t="s">
        <v>8</v>
      </c>
      <c r="E32" s="17">
        <v>35.700000000000003</v>
      </c>
      <c r="F32" s="13">
        <v>785.4</v>
      </c>
    </row>
    <row r="33" spans="2:13" x14ac:dyDescent="0.25">
      <c r="B33" s="14">
        <v>42623</v>
      </c>
      <c r="C33" s="19">
        <v>6253</v>
      </c>
      <c r="D33" s="16" t="s">
        <v>153</v>
      </c>
      <c r="E33" s="17">
        <f>1+400.1</f>
        <v>401.1</v>
      </c>
      <c r="F33" s="13">
        <v>15923.8</v>
      </c>
    </row>
    <row r="34" spans="2:13" x14ac:dyDescent="0.25">
      <c r="B34" s="14">
        <v>42623</v>
      </c>
      <c r="C34" s="19">
        <v>6254</v>
      </c>
      <c r="D34" s="16" t="s">
        <v>9</v>
      </c>
      <c r="E34" s="17">
        <v>435.4</v>
      </c>
      <c r="F34" s="13">
        <v>16545.2</v>
      </c>
      <c r="K34" s="3">
        <f t="shared" ref="K34:K38" si="2">J34*I34</f>
        <v>0</v>
      </c>
    </row>
    <row r="35" spans="2:13" x14ac:dyDescent="0.25">
      <c r="B35" s="14">
        <v>42623</v>
      </c>
      <c r="C35" s="19">
        <v>6259</v>
      </c>
      <c r="D35" s="16" t="s">
        <v>14</v>
      </c>
      <c r="E35" s="17">
        <v>71</v>
      </c>
      <c r="F35" s="13">
        <v>3763</v>
      </c>
      <c r="K35" s="3">
        <f t="shared" si="2"/>
        <v>0</v>
      </c>
    </row>
    <row r="36" spans="2:13" x14ac:dyDescent="0.25">
      <c r="B36" s="14">
        <v>42623</v>
      </c>
      <c r="C36" s="19">
        <v>6260</v>
      </c>
      <c r="D36" s="16" t="s">
        <v>189</v>
      </c>
      <c r="E36" s="17">
        <v>430.3</v>
      </c>
      <c r="F36" s="13">
        <v>16351.4</v>
      </c>
      <c r="K36" s="3">
        <f t="shared" si="2"/>
        <v>0</v>
      </c>
    </row>
    <row r="37" spans="2:13" ht="15.75" thickBot="1" x14ac:dyDescent="0.3">
      <c r="B37" s="14"/>
      <c r="C37" s="19"/>
      <c r="D37" s="16"/>
      <c r="E37" s="17"/>
      <c r="F37" s="13"/>
    </row>
    <row r="38" spans="2:13" ht="15.75" thickBot="1" x14ac:dyDescent="0.3">
      <c r="B38" s="21" t="s">
        <v>233</v>
      </c>
      <c r="C38" s="22"/>
      <c r="D38" s="23"/>
      <c r="E38" s="24">
        <v>0</v>
      </c>
      <c r="F38" s="25">
        <f>SUM(F3:F37)</f>
        <v>428373.88999999996</v>
      </c>
      <c r="K38" s="3">
        <f t="shared" si="2"/>
        <v>0</v>
      </c>
    </row>
    <row r="39" spans="2:13" ht="19.5" thickBot="1" x14ac:dyDescent="0.35">
      <c r="B39" s="26"/>
      <c r="C39" s="27"/>
      <c r="D39" s="28" t="s">
        <v>5</v>
      </c>
      <c r="E39" s="29">
        <f>SUM(E3:E38)</f>
        <v>10905.89</v>
      </c>
      <c r="I39" s="30">
        <f>SUM(I38:I38)</f>
        <v>0</v>
      </c>
      <c r="J39" s="30"/>
      <c r="K39" s="30">
        <f>SUM(K38:K38)</f>
        <v>0</v>
      </c>
    </row>
    <row r="40" spans="2:13" x14ac:dyDescent="0.25">
      <c r="B40" s="26"/>
      <c r="C40" s="27"/>
      <c r="D40" s="31"/>
      <c r="E40" s="32"/>
      <c r="I40" s="30">
        <f>SUM(I34:I39)</f>
        <v>0</v>
      </c>
      <c r="J40" s="30"/>
      <c r="K40" s="30">
        <f>SUM(K34:K39)</f>
        <v>0</v>
      </c>
    </row>
    <row r="41" spans="2:13" ht="21.75" thickBot="1" x14ac:dyDescent="0.4">
      <c r="B41" s="33"/>
      <c r="C41" s="34" t="s">
        <v>15</v>
      </c>
      <c r="D41" s="35">
        <f>E39*0.2</f>
        <v>2181.1779999999999</v>
      </c>
      <c r="F41"/>
      <c r="K41"/>
    </row>
    <row r="42" spans="2:13" ht="21.75" thickBot="1" x14ac:dyDescent="0.4">
      <c r="C42" s="36" t="s">
        <v>16</v>
      </c>
      <c r="D42" s="37">
        <v>3000</v>
      </c>
      <c r="E42" s="38"/>
      <c r="F42" s="85">
        <f>D41+D42</f>
        <v>5181.1779999999999</v>
      </c>
      <c r="G42" s="86"/>
      <c r="I42" s="39"/>
      <c r="J42" s="39"/>
      <c r="K42" s="39"/>
      <c r="L42" s="39"/>
      <c r="M42" s="39"/>
    </row>
    <row r="43" spans="2:13" ht="15.75" thickTop="1" x14ac:dyDescent="0.25">
      <c r="I43" s="39"/>
      <c r="J43" s="39"/>
      <c r="K43" s="40"/>
      <c r="L43" s="40"/>
      <c r="M43" s="40"/>
    </row>
    <row r="44" spans="2:13" ht="19.5" thickBot="1" x14ac:dyDescent="0.35">
      <c r="D44" s="62"/>
      <c r="E44" s="41" t="s">
        <v>311</v>
      </c>
      <c r="F44" s="87">
        <v>0</v>
      </c>
      <c r="G44" s="87"/>
      <c r="I44" s="39"/>
      <c r="J44" s="39"/>
      <c r="K44" s="40"/>
      <c r="L44" s="40"/>
      <c r="M44" s="40"/>
    </row>
    <row r="45" spans="2:13" ht="15.75" thickTop="1" x14ac:dyDescent="0.25">
      <c r="C45"/>
      <c r="F45" s="88">
        <f>F42+F44</f>
        <v>5181.1779999999999</v>
      </c>
      <c r="G45" s="88"/>
      <c r="I45" s="39"/>
      <c r="J45" s="39"/>
      <c r="K45" s="40"/>
      <c r="L45" s="40"/>
      <c r="M45" s="40"/>
    </row>
    <row r="46" spans="2:13" ht="18.75" x14ac:dyDescent="0.3">
      <c r="C46"/>
      <c r="E46" s="2" t="s">
        <v>18</v>
      </c>
      <c r="F46" s="89"/>
      <c r="G46" s="89"/>
      <c r="K46"/>
    </row>
  </sheetData>
  <mergeCells count="4">
    <mergeCell ref="B1:C1"/>
    <mergeCell ref="F42:G42"/>
    <mergeCell ref="F44:G44"/>
    <mergeCell ref="F45:G46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H23" sqref="H23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42634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335</v>
      </c>
      <c r="G2" s="8"/>
      <c r="K2"/>
    </row>
    <row r="3" spans="2:11" ht="15.75" x14ac:dyDescent="0.25">
      <c r="B3" s="9">
        <v>42622</v>
      </c>
      <c r="C3" s="10">
        <v>6128</v>
      </c>
      <c r="D3" s="11" t="s">
        <v>11</v>
      </c>
      <c r="E3" s="12">
        <f>22.4+42.8+13.6</f>
        <v>78.799999999999983</v>
      </c>
      <c r="F3" s="13">
        <v>3578.8</v>
      </c>
      <c r="K3"/>
    </row>
    <row r="4" spans="2:11" ht="15.75" x14ac:dyDescent="0.25">
      <c r="B4" s="14">
        <v>42625</v>
      </c>
      <c r="C4" s="15">
        <v>6459</v>
      </c>
      <c r="D4" s="16" t="s">
        <v>9</v>
      </c>
      <c r="E4" s="17">
        <f>392</f>
        <v>392</v>
      </c>
      <c r="F4" s="13">
        <v>14896</v>
      </c>
      <c r="K4"/>
    </row>
    <row r="5" spans="2:11" ht="15.75" x14ac:dyDescent="0.25">
      <c r="B5" s="14">
        <v>42625</v>
      </c>
      <c r="C5" s="15">
        <v>6460</v>
      </c>
      <c r="D5" s="16" t="s">
        <v>7</v>
      </c>
      <c r="E5" s="17">
        <v>80.3</v>
      </c>
      <c r="F5" s="13">
        <v>3051.4</v>
      </c>
      <c r="K5"/>
    </row>
    <row r="6" spans="2:11" ht="15.75" x14ac:dyDescent="0.25">
      <c r="B6" s="14">
        <v>42625</v>
      </c>
      <c r="C6" s="47">
        <v>6465</v>
      </c>
      <c r="D6" s="16" t="s">
        <v>20</v>
      </c>
      <c r="E6" s="56">
        <v>416.2</v>
      </c>
      <c r="F6" s="13">
        <v>15815.6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42625</v>
      </c>
      <c r="C7" s="15">
        <v>6466</v>
      </c>
      <c r="D7" s="16" t="s">
        <v>10</v>
      </c>
      <c r="E7" s="17">
        <f>168.6+81.72+2+344.1</f>
        <v>596.42000000000007</v>
      </c>
      <c r="F7" s="13">
        <v>24449.56</v>
      </c>
      <c r="K7" s="3">
        <f t="shared" si="0"/>
        <v>0</v>
      </c>
    </row>
    <row r="8" spans="2:11" ht="15.75" x14ac:dyDescent="0.25">
      <c r="B8" s="14">
        <v>42625</v>
      </c>
      <c r="C8" s="15">
        <v>6467</v>
      </c>
      <c r="D8" s="16" t="s">
        <v>8</v>
      </c>
      <c r="E8" s="17">
        <f>150+44.5</f>
        <v>194.5</v>
      </c>
      <c r="F8" s="13">
        <v>7279</v>
      </c>
      <c r="K8" s="3">
        <f t="shared" si="0"/>
        <v>0</v>
      </c>
    </row>
    <row r="9" spans="2:11" ht="15.75" x14ac:dyDescent="0.25">
      <c r="B9" s="14">
        <v>42626</v>
      </c>
      <c r="C9" s="15">
        <v>6576</v>
      </c>
      <c r="D9" s="16" t="s">
        <v>20</v>
      </c>
      <c r="E9" s="17">
        <v>411.6</v>
      </c>
      <c r="F9" s="13">
        <v>15640.8</v>
      </c>
      <c r="K9" s="3">
        <f t="shared" si="0"/>
        <v>0</v>
      </c>
    </row>
    <row r="10" spans="2:11" ht="15.75" x14ac:dyDescent="0.25">
      <c r="B10" s="14">
        <v>42626</v>
      </c>
      <c r="C10" s="15">
        <v>6577</v>
      </c>
      <c r="D10" s="16" t="s">
        <v>9</v>
      </c>
      <c r="E10" s="17">
        <v>397.1</v>
      </c>
      <c r="F10" s="13">
        <v>15089.8</v>
      </c>
      <c r="K10" s="3">
        <f t="shared" si="0"/>
        <v>0</v>
      </c>
    </row>
    <row r="11" spans="2:11" ht="15.75" x14ac:dyDescent="0.25">
      <c r="B11" s="14">
        <v>42626</v>
      </c>
      <c r="C11" s="44">
        <v>6578</v>
      </c>
      <c r="D11" s="16" t="s">
        <v>153</v>
      </c>
      <c r="E11" s="17">
        <f>169.7</f>
        <v>169.7</v>
      </c>
      <c r="F11" s="13">
        <v>6448.6</v>
      </c>
      <c r="K11" s="3">
        <f t="shared" si="0"/>
        <v>0</v>
      </c>
    </row>
    <row r="12" spans="2:11" ht="15.75" x14ac:dyDescent="0.25">
      <c r="B12" s="14">
        <v>42626</v>
      </c>
      <c r="C12" s="15">
        <v>6579</v>
      </c>
      <c r="D12" s="16" t="s">
        <v>6</v>
      </c>
      <c r="E12" s="17">
        <v>229.4</v>
      </c>
      <c r="F12" s="13">
        <v>8717.2000000000007</v>
      </c>
      <c r="K12" s="3">
        <f t="shared" si="0"/>
        <v>0</v>
      </c>
    </row>
    <row r="13" spans="2:11" ht="15.75" x14ac:dyDescent="0.25">
      <c r="B13" s="14">
        <v>42626</v>
      </c>
      <c r="C13" s="15">
        <v>6583</v>
      </c>
      <c r="D13" s="16" t="s">
        <v>8</v>
      </c>
      <c r="E13" s="17">
        <f>180.8+23</f>
        <v>203.8</v>
      </c>
      <c r="F13" s="13">
        <v>8099.6</v>
      </c>
      <c r="K13" s="3">
        <f t="shared" si="0"/>
        <v>0</v>
      </c>
    </row>
    <row r="14" spans="2:11" ht="15.75" x14ac:dyDescent="0.25">
      <c r="B14" s="14">
        <v>42626</v>
      </c>
      <c r="C14" s="15">
        <v>6585</v>
      </c>
      <c r="D14" s="16" t="s">
        <v>14</v>
      </c>
      <c r="E14" s="17">
        <f>19.2+104.4+127.2</f>
        <v>250.8</v>
      </c>
      <c r="F14" s="13">
        <v>11527.2</v>
      </c>
      <c r="K14" s="3">
        <f t="shared" si="0"/>
        <v>0</v>
      </c>
    </row>
    <row r="15" spans="2:11" ht="15.75" x14ac:dyDescent="0.25">
      <c r="B15" s="63">
        <v>42627</v>
      </c>
      <c r="C15" s="64">
        <v>6715</v>
      </c>
      <c r="D15" s="65" t="s">
        <v>8</v>
      </c>
      <c r="E15" s="17">
        <f>874.5+6.9+81.7</f>
        <v>963.1</v>
      </c>
      <c r="F15" s="13">
        <v>39803.449999999997</v>
      </c>
      <c r="K15" s="3">
        <f t="shared" si="0"/>
        <v>0</v>
      </c>
    </row>
    <row r="16" spans="2:11" ht="15.75" x14ac:dyDescent="0.25">
      <c r="B16" s="14">
        <v>42627</v>
      </c>
      <c r="C16" s="15">
        <v>6716</v>
      </c>
      <c r="D16" s="16" t="s">
        <v>12</v>
      </c>
      <c r="E16" s="17">
        <f>203.4+69+25.4+218.2</f>
        <v>516</v>
      </c>
      <c r="F16" s="13">
        <v>28093.8</v>
      </c>
      <c r="K16" s="3">
        <f t="shared" si="0"/>
        <v>0</v>
      </c>
    </row>
    <row r="17" spans="1:13" ht="15.75" x14ac:dyDescent="0.25">
      <c r="B17" s="14">
        <v>42627</v>
      </c>
      <c r="C17" s="15">
        <v>6717</v>
      </c>
      <c r="D17" s="16" t="s">
        <v>20</v>
      </c>
      <c r="E17" s="17">
        <f>22.7+415.9</f>
        <v>438.59999999999997</v>
      </c>
      <c r="F17" s="13">
        <v>16439.8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42627</v>
      </c>
      <c r="C18" s="15">
        <v>6718</v>
      </c>
      <c r="D18" s="16" t="s">
        <v>6</v>
      </c>
      <c r="E18" s="17">
        <f>43.1+168.4</f>
        <v>211.5</v>
      </c>
      <c r="F18" s="13">
        <v>9071.4</v>
      </c>
      <c r="I18" s="3"/>
      <c r="J18" s="3"/>
    </row>
    <row r="19" spans="1:13" ht="15.75" x14ac:dyDescent="0.25">
      <c r="B19" s="14">
        <v>42627</v>
      </c>
      <c r="C19" s="15">
        <v>6719</v>
      </c>
      <c r="D19" s="16" t="s">
        <v>13</v>
      </c>
      <c r="E19" s="17">
        <v>396.9</v>
      </c>
      <c r="F19" s="13">
        <v>15082.2</v>
      </c>
    </row>
    <row r="20" spans="1:13" ht="15.75" x14ac:dyDescent="0.25">
      <c r="B20" s="14">
        <v>42627</v>
      </c>
      <c r="C20" s="15">
        <v>6720</v>
      </c>
      <c r="D20" s="16" t="s">
        <v>14</v>
      </c>
      <c r="E20" s="17">
        <v>412.2</v>
      </c>
      <c r="F20" s="13">
        <v>15663.6</v>
      </c>
    </row>
    <row r="21" spans="1:13" ht="15.75" x14ac:dyDescent="0.25">
      <c r="B21" s="14">
        <v>42627</v>
      </c>
      <c r="C21" s="15">
        <v>6721</v>
      </c>
      <c r="D21" s="16" t="s">
        <v>10</v>
      </c>
      <c r="E21" s="17">
        <v>169.6</v>
      </c>
      <c r="F21" s="13">
        <v>6444.8</v>
      </c>
    </row>
    <row r="22" spans="1:13" ht="15.75" x14ac:dyDescent="0.25">
      <c r="A22" s="18"/>
      <c r="B22" s="14">
        <v>42627</v>
      </c>
      <c r="C22" s="15">
        <v>6724</v>
      </c>
      <c r="D22" s="16" t="s">
        <v>9</v>
      </c>
      <c r="E22" s="17">
        <v>354.6</v>
      </c>
      <c r="F22" s="13">
        <v>15070.5</v>
      </c>
    </row>
    <row r="23" spans="1:13" ht="15.75" x14ac:dyDescent="0.25">
      <c r="B23" s="14">
        <v>42628</v>
      </c>
      <c r="C23" s="15">
        <v>6893</v>
      </c>
      <c r="D23" s="16" t="s">
        <v>11</v>
      </c>
      <c r="E23" s="17">
        <f>90.6+43.5+123.5</f>
        <v>257.60000000000002</v>
      </c>
      <c r="F23" s="13">
        <v>11552.8</v>
      </c>
      <c r="I23" s="48"/>
      <c r="J23" s="49"/>
      <c r="K23" s="50"/>
      <c r="L23" s="51"/>
      <c r="M23" s="52"/>
    </row>
    <row r="24" spans="1:13" ht="15.75" x14ac:dyDescent="0.25">
      <c r="B24" s="14">
        <v>42628</v>
      </c>
      <c r="C24" s="15">
        <v>6896</v>
      </c>
      <c r="D24" s="16" t="s">
        <v>10</v>
      </c>
      <c r="E24" s="17">
        <f>21.1+54.54+106.2+2+185.8</f>
        <v>369.64</v>
      </c>
      <c r="F24" s="13">
        <v>16824.82</v>
      </c>
      <c r="I24" s="31"/>
      <c r="J24" s="31"/>
      <c r="K24" s="53"/>
      <c r="L24" s="31"/>
      <c r="M24" s="31"/>
    </row>
    <row r="25" spans="1:13" ht="15.75" x14ac:dyDescent="0.25">
      <c r="B25" s="14">
        <v>42628</v>
      </c>
      <c r="C25" s="15">
        <v>6898</v>
      </c>
      <c r="D25" s="16" t="s">
        <v>20</v>
      </c>
      <c r="E25" s="17">
        <f>456.4+28.1+58.6</f>
        <v>543.1</v>
      </c>
      <c r="F25" s="13">
        <v>21292</v>
      </c>
      <c r="I25" s="31"/>
      <c r="J25" s="31"/>
      <c r="K25" s="53"/>
      <c r="L25" s="31"/>
      <c r="M25" s="31"/>
    </row>
    <row r="26" spans="1:13" ht="15.75" x14ac:dyDescent="0.25">
      <c r="B26" s="14">
        <v>42628</v>
      </c>
      <c r="C26" s="15">
        <v>6899</v>
      </c>
      <c r="D26" s="16" t="s">
        <v>9</v>
      </c>
      <c r="E26" s="17">
        <v>477.9</v>
      </c>
      <c r="F26" s="13">
        <v>18160.2</v>
      </c>
    </row>
    <row r="27" spans="1:13" x14ac:dyDescent="0.25">
      <c r="B27" s="14">
        <v>42628</v>
      </c>
      <c r="C27" s="19">
        <v>6900</v>
      </c>
      <c r="D27" s="16" t="s">
        <v>12</v>
      </c>
      <c r="E27" s="17">
        <v>826.5</v>
      </c>
      <c r="F27" s="13">
        <v>31407</v>
      </c>
    </row>
    <row r="28" spans="1:13" x14ac:dyDescent="0.25">
      <c r="B28" s="14">
        <v>42628</v>
      </c>
      <c r="C28" s="19">
        <v>6901</v>
      </c>
      <c r="D28" s="16" t="s">
        <v>153</v>
      </c>
      <c r="E28" s="17">
        <v>181.4</v>
      </c>
      <c r="F28" s="13">
        <v>6893.2</v>
      </c>
    </row>
    <row r="29" spans="1:13" x14ac:dyDescent="0.25">
      <c r="B29" s="14">
        <v>42629</v>
      </c>
      <c r="C29" s="19">
        <v>6991</v>
      </c>
      <c r="D29" s="16" t="s">
        <v>10</v>
      </c>
      <c r="E29" s="17">
        <f>12.8+146.6+471.5</f>
        <v>630.9</v>
      </c>
      <c r="F29" s="13">
        <v>24286</v>
      </c>
    </row>
    <row r="30" spans="1:13" x14ac:dyDescent="0.25">
      <c r="B30" s="14">
        <v>42629</v>
      </c>
      <c r="C30" s="19">
        <v>6992</v>
      </c>
      <c r="D30" s="16" t="s">
        <v>153</v>
      </c>
      <c r="E30" s="17">
        <v>240.8</v>
      </c>
      <c r="F30" s="13">
        <v>9150.4</v>
      </c>
    </row>
    <row r="31" spans="1:13" x14ac:dyDescent="0.25">
      <c r="B31" s="14">
        <v>42629</v>
      </c>
      <c r="C31" s="19">
        <v>6993</v>
      </c>
      <c r="D31" s="16" t="s">
        <v>7</v>
      </c>
      <c r="E31" s="17">
        <f>71.5+13.61</f>
        <v>85.11</v>
      </c>
      <c r="F31" s="13">
        <v>3669.7</v>
      </c>
    </row>
    <row r="32" spans="1:13" x14ac:dyDescent="0.25">
      <c r="B32" s="14">
        <v>42629</v>
      </c>
      <c r="C32" s="19">
        <v>6999</v>
      </c>
      <c r="D32" s="16" t="s">
        <v>20</v>
      </c>
      <c r="E32" s="17">
        <f>388.1+204+10.7</f>
        <v>602.80000000000007</v>
      </c>
      <c r="F32" s="13">
        <v>25267.4</v>
      </c>
    </row>
    <row r="33" spans="2:11" x14ac:dyDescent="0.25">
      <c r="B33" s="14">
        <v>42629</v>
      </c>
      <c r="C33" s="19">
        <v>7000</v>
      </c>
      <c r="D33" s="16" t="s">
        <v>13</v>
      </c>
      <c r="E33" s="17">
        <v>389.9</v>
      </c>
      <c r="F33" s="13">
        <v>14816.2</v>
      </c>
    </row>
    <row r="34" spans="2:11" x14ac:dyDescent="0.25">
      <c r="B34" s="14">
        <v>42629</v>
      </c>
      <c r="C34" s="19">
        <v>7001</v>
      </c>
      <c r="D34" s="16" t="s">
        <v>9</v>
      </c>
      <c r="E34" s="17">
        <v>399.2</v>
      </c>
      <c r="F34" s="13">
        <v>15169.6</v>
      </c>
      <c r="K34" s="3">
        <f t="shared" ref="K34:K46" si="2">J34*I34</f>
        <v>0</v>
      </c>
    </row>
    <row r="35" spans="2:11" x14ac:dyDescent="0.25">
      <c r="B35" s="14">
        <v>42629</v>
      </c>
      <c r="C35" s="19">
        <v>7002</v>
      </c>
      <c r="D35" s="16" t="s">
        <v>11</v>
      </c>
      <c r="E35" s="17">
        <f>17.7+154.7</f>
        <v>172.39999999999998</v>
      </c>
      <c r="F35" s="13">
        <v>6374.2</v>
      </c>
      <c r="K35" s="3">
        <f t="shared" si="2"/>
        <v>0</v>
      </c>
    </row>
    <row r="36" spans="2:11" x14ac:dyDescent="0.25">
      <c r="B36" s="14">
        <v>42629</v>
      </c>
      <c r="C36" s="19">
        <v>7026</v>
      </c>
      <c r="D36" s="16" t="s">
        <v>11</v>
      </c>
      <c r="E36" s="17">
        <v>76.900000000000006</v>
      </c>
      <c r="F36" s="13">
        <v>4075.7</v>
      </c>
    </row>
    <row r="37" spans="2:11" x14ac:dyDescent="0.25">
      <c r="B37" s="14">
        <v>42630</v>
      </c>
      <c r="C37" s="19">
        <v>7059</v>
      </c>
      <c r="D37" s="16" t="s">
        <v>153</v>
      </c>
      <c r="E37" s="17">
        <f>39.9+15.9</f>
        <v>55.8</v>
      </c>
      <c r="F37" s="13">
        <v>2304.9</v>
      </c>
    </row>
    <row r="38" spans="2:11" x14ac:dyDescent="0.25">
      <c r="B38" s="14">
        <v>42630</v>
      </c>
      <c r="C38" s="19">
        <v>7060</v>
      </c>
      <c r="D38" s="16" t="s">
        <v>8</v>
      </c>
      <c r="E38" s="17">
        <f>164.6+19.3</f>
        <v>183.9</v>
      </c>
      <c r="F38" s="13">
        <v>7173.2</v>
      </c>
    </row>
    <row r="39" spans="2:11" x14ac:dyDescent="0.25">
      <c r="B39" s="14">
        <v>42630</v>
      </c>
      <c r="C39" s="19">
        <v>7065</v>
      </c>
      <c r="D39" s="16" t="s">
        <v>11</v>
      </c>
      <c r="E39" s="17">
        <f>169.4+67.4+29.8+46.4</f>
        <v>313</v>
      </c>
      <c r="F39" s="13">
        <v>12898.6</v>
      </c>
    </row>
    <row r="40" spans="2:11" x14ac:dyDescent="0.25">
      <c r="B40" s="14">
        <v>42630</v>
      </c>
      <c r="C40" s="19">
        <v>7066</v>
      </c>
      <c r="D40" s="16" t="s">
        <v>20</v>
      </c>
      <c r="E40" s="17">
        <v>421.6</v>
      </c>
      <c r="F40" s="13">
        <v>16020.8</v>
      </c>
      <c r="K40" s="3">
        <f t="shared" si="2"/>
        <v>0</v>
      </c>
    </row>
    <row r="41" spans="2:11" x14ac:dyDescent="0.25">
      <c r="B41" s="14">
        <v>42630</v>
      </c>
      <c r="C41" s="19">
        <v>7067</v>
      </c>
      <c r="D41" s="16" t="s">
        <v>9</v>
      </c>
      <c r="E41" s="17">
        <v>430.2</v>
      </c>
      <c r="F41" s="13">
        <v>16347.6</v>
      </c>
    </row>
    <row r="42" spans="2:11" x14ac:dyDescent="0.25">
      <c r="B42" s="14">
        <v>42630</v>
      </c>
      <c r="C42" s="19">
        <v>7068</v>
      </c>
      <c r="D42" s="16" t="s">
        <v>14</v>
      </c>
      <c r="E42" s="17">
        <v>413.6</v>
      </c>
      <c r="F42" s="13">
        <v>15716.8</v>
      </c>
    </row>
    <row r="43" spans="2:11" x14ac:dyDescent="0.25">
      <c r="B43" s="14">
        <v>42630</v>
      </c>
      <c r="C43" s="19">
        <v>7069</v>
      </c>
      <c r="D43" s="16" t="s">
        <v>6</v>
      </c>
      <c r="E43" s="17">
        <f>97+31.7</f>
        <v>128.69999999999999</v>
      </c>
      <c r="F43" s="13">
        <v>5366.1</v>
      </c>
    </row>
    <row r="44" spans="2:11" x14ac:dyDescent="0.25">
      <c r="B44" s="14">
        <v>42630</v>
      </c>
      <c r="C44" s="19">
        <v>7070</v>
      </c>
      <c r="D44" s="16" t="s">
        <v>7</v>
      </c>
      <c r="E44" s="17">
        <v>50</v>
      </c>
      <c r="F44" s="13">
        <v>1100</v>
      </c>
    </row>
    <row r="45" spans="2:11" ht="15.75" thickBot="1" x14ac:dyDescent="0.3">
      <c r="B45" s="14"/>
      <c r="C45" s="19"/>
      <c r="D45" s="16"/>
      <c r="E45" s="17"/>
      <c r="F45" s="13"/>
    </row>
    <row r="46" spans="2:11" ht="15.75" thickBot="1" x14ac:dyDescent="0.3">
      <c r="B46" s="21" t="s">
        <v>233</v>
      </c>
      <c r="C46" s="22"/>
      <c r="D46" s="23"/>
      <c r="E46" s="24">
        <v>0</v>
      </c>
      <c r="F46" s="25">
        <f>SUM(F3:F45)</f>
        <v>566130.33000000007</v>
      </c>
      <c r="K46" s="3">
        <f t="shared" si="2"/>
        <v>0</v>
      </c>
    </row>
    <row r="47" spans="2:11" ht="19.5" thickBot="1" x14ac:dyDescent="0.35">
      <c r="B47" s="26"/>
      <c r="C47" s="27"/>
      <c r="D47" s="28" t="s">
        <v>5</v>
      </c>
      <c r="E47" s="29">
        <f>SUM(E3:E46)</f>
        <v>14134.070000000002</v>
      </c>
      <c r="I47" s="30">
        <f>SUM(I46:I46)</f>
        <v>0</v>
      </c>
      <c r="J47" s="30"/>
      <c r="K47" s="30">
        <f>SUM(K46:K46)</f>
        <v>0</v>
      </c>
    </row>
    <row r="48" spans="2:11" x14ac:dyDescent="0.25">
      <c r="B48" s="26"/>
      <c r="C48" s="27"/>
      <c r="D48" s="31"/>
      <c r="E48" s="32"/>
      <c r="I48" s="30">
        <f>SUM(I34:I47)</f>
        <v>0</v>
      </c>
      <c r="J48" s="30"/>
      <c r="K48" s="30">
        <f>SUM(K34:K47)</f>
        <v>0</v>
      </c>
    </row>
    <row r="49" spans="2:13" ht="21.75" thickBot="1" x14ac:dyDescent="0.4">
      <c r="B49" s="33"/>
      <c r="C49" s="34" t="s">
        <v>15</v>
      </c>
      <c r="D49" s="35">
        <f>E47*0.2</f>
        <v>2826.8140000000003</v>
      </c>
      <c r="F49"/>
      <c r="K49"/>
    </row>
    <row r="50" spans="2:13" ht="21.75" thickBot="1" x14ac:dyDescent="0.4">
      <c r="C50" s="36" t="s">
        <v>16</v>
      </c>
      <c r="D50" s="37">
        <v>3000</v>
      </c>
      <c r="E50" s="38"/>
      <c r="F50" s="85">
        <f>D49+D50</f>
        <v>5826.8140000000003</v>
      </c>
      <c r="G50" s="86"/>
      <c r="I50" s="39"/>
      <c r="J50" s="39"/>
      <c r="K50" s="39"/>
      <c r="L50" s="39"/>
      <c r="M50" s="39"/>
    </row>
    <row r="51" spans="2:13" ht="15.75" thickTop="1" x14ac:dyDescent="0.25">
      <c r="I51" s="39"/>
      <c r="J51" s="39"/>
      <c r="K51" s="40"/>
      <c r="L51" s="40"/>
      <c r="M51" s="40"/>
    </row>
    <row r="52" spans="2:13" ht="19.5" thickBot="1" x14ac:dyDescent="0.35">
      <c r="D52" s="62"/>
      <c r="E52" s="41" t="s">
        <v>311</v>
      </c>
      <c r="F52" s="87">
        <v>0</v>
      </c>
      <c r="G52" s="87"/>
      <c r="I52" s="39"/>
      <c r="J52" s="39"/>
      <c r="K52" s="40"/>
      <c r="L52" s="40"/>
      <c r="M52" s="40"/>
    </row>
    <row r="53" spans="2:13" ht="15.75" thickTop="1" x14ac:dyDescent="0.25">
      <c r="C53"/>
      <c r="F53" s="88">
        <f>F50+F52</f>
        <v>5826.8140000000003</v>
      </c>
      <c r="G53" s="88"/>
      <c r="I53" s="39"/>
      <c r="J53" s="39"/>
      <c r="K53" s="40"/>
      <c r="L53" s="40"/>
      <c r="M53" s="40"/>
    </row>
    <row r="54" spans="2:13" ht="18.75" x14ac:dyDescent="0.3">
      <c r="C54"/>
      <c r="E54" s="2" t="s">
        <v>18</v>
      </c>
      <c r="F54" s="89"/>
      <c r="G54" s="89"/>
      <c r="K54"/>
    </row>
  </sheetData>
  <mergeCells count="4">
    <mergeCell ref="B1:C1"/>
    <mergeCell ref="F50:G50"/>
    <mergeCell ref="F52:G52"/>
    <mergeCell ref="F53:G54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G47" sqref="G47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42641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336</v>
      </c>
      <c r="G2" s="8"/>
      <c r="K2"/>
    </row>
    <row r="3" spans="2:11" ht="15.75" x14ac:dyDescent="0.25">
      <c r="B3" s="9">
        <v>42632</v>
      </c>
      <c r="C3" s="10">
        <v>7309</v>
      </c>
      <c r="D3" s="11" t="s">
        <v>20</v>
      </c>
      <c r="E3" s="12">
        <f>43.2+134.8</f>
        <v>178</v>
      </c>
      <c r="F3" s="13">
        <v>8409.2000000000007</v>
      </c>
      <c r="K3"/>
    </row>
    <row r="4" spans="2:11" ht="15.75" x14ac:dyDescent="0.25">
      <c r="B4" s="14">
        <v>42632</v>
      </c>
      <c r="C4" s="15">
        <v>7310</v>
      </c>
      <c r="D4" s="16" t="s">
        <v>9</v>
      </c>
      <c r="E4" s="17">
        <v>104.6</v>
      </c>
      <c r="F4" s="13">
        <v>4916.2</v>
      </c>
      <c r="K4"/>
    </row>
    <row r="5" spans="2:11" ht="15.75" x14ac:dyDescent="0.25">
      <c r="B5" s="14">
        <v>42632</v>
      </c>
      <c r="C5" s="15">
        <v>7311</v>
      </c>
      <c r="D5" s="16" t="s">
        <v>8</v>
      </c>
      <c r="E5" s="17">
        <f>368.2+40.3+52.4</f>
        <v>460.9</v>
      </c>
      <c r="F5" s="13">
        <v>17002.5</v>
      </c>
      <c r="K5"/>
    </row>
    <row r="6" spans="2:11" ht="15.75" x14ac:dyDescent="0.25">
      <c r="B6" s="14">
        <v>42632</v>
      </c>
      <c r="C6" s="66">
        <v>7313</v>
      </c>
      <c r="D6" s="16" t="s">
        <v>14</v>
      </c>
      <c r="E6" s="56">
        <v>191.6</v>
      </c>
      <c r="F6" s="13">
        <v>7280.8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42633</v>
      </c>
      <c r="C7" s="15">
        <v>7420</v>
      </c>
      <c r="D7" s="16" t="s">
        <v>11</v>
      </c>
      <c r="E7" s="17">
        <f>55.7+137.7</f>
        <v>193.39999999999998</v>
      </c>
      <c r="F7" s="13">
        <v>8699.9</v>
      </c>
      <c r="K7" s="3">
        <f t="shared" si="0"/>
        <v>0</v>
      </c>
    </row>
    <row r="8" spans="2:11" ht="15.75" x14ac:dyDescent="0.25">
      <c r="B8" s="14">
        <v>42633</v>
      </c>
      <c r="C8" s="15">
        <v>7421</v>
      </c>
      <c r="D8" s="16" t="s">
        <v>8</v>
      </c>
      <c r="E8" s="17">
        <f>97.4</f>
        <v>97.4</v>
      </c>
      <c r="F8" s="13">
        <v>3701.2</v>
      </c>
      <c r="K8" s="3">
        <f t="shared" si="0"/>
        <v>0</v>
      </c>
    </row>
    <row r="9" spans="2:11" ht="15.75" x14ac:dyDescent="0.25">
      <c r="B9" s="14">
        <v>42633</v>
      </c>
      <c r="C9" s="15">
        <v>7422</v>
      </c>
      <c r="D9" s="16" t="s">
        <v>7</v>
      </c>
      <c r="E9" s="17">
        <v>96.5</v>
      </c>
      <c r="F9" s="13">
        <v>3667</v>
      </c>
      <c r="K9" s="3">
        <f t="shared" si="0"/>
        <v>0</v>
      </c>
    </row>
    <row r="10" spans="2:11" ht="15.75" x14ac:dyDescent="0.25">
      <c r="B10" s="14">
        <v>42633</v>
      </c>
      <c r="C10" s="15">
        <v>7424</v>
      </c>
      <c r="D10" s="16" t="s">
        <v>153</v>
      </c>
      <c r="E10" s="17">
        <v>92.6</v>
      </c>
      <c r="F10" s="13">
        <v>3518.8</v>
      </c>
      <c r="K10" s="3">
        <f t="shared" si="0"/>
        <v>0</v>
      </c>
    </row>
    <row r="11" spans="2:11" ht="15.75" x14ac:dyDescent="0.25">
      <c r="B11" s="14">
        <v>42633</v>
      </c>
      <c r="C11" s="44">
        <v>7425</v>
      </c>
      <c r="D11" s="16" t="s">
        <v>6</v>
      </c>
      <c r="E11" s="17">
        <v>95.8</v>
      </c>
      <c r="F11" s="13">
        <v>3640.4</v>
      </c>
      <c r="K11" s="3">
        <f t="shared" si="0"/>
        <v>0</v>
      </c>
    </row>
    <row r="12" spans="2:11" ht="15.75" x14ac:dyDescent="0.25">
      <c r="B12" s="14">
        <v>42633</v>
      </c>
      <c r="C12" s="15">
        <v>7426</v>
      </c>
      <c r="D12" s="16" t="s">
        <v>20</v>
      </c>
      <c r="E12" s="17">
        <f>29.4+446.9</f>
        <v>476.29999999999995</v>
      </c>
      <c r="F12" s="13">
        <v>17805.400000000001</v>
      </c>
      <c r="K12" s="3">
        <f t="shared" si="0"/>
        <v>0</v>
      </c>
    </row>
    <row r="13" spans="2:11" ht="15.75" x14ac:dyDescent="0.25">
      <c r="B13" s="14">
        <v>42633</v>
      </c>
      <c r="C13" s="15">
        <v>7427</v>
      </c>
      <c r="D13" s="16" t="s">
        <v>9</v>
      </c>
      <c r="E13" s="17">
        <v>410.7</v>
      </c>
      <c r="F13" s="13">
        <v>16017.3</v>
      </c>
      <c r="K13" s="3">
        <f t="shared" si="0"/>
        <v>0</v>
      </c>
    </row>
    <row r="14" spans="2:11" ht="15.75" x14ac:dyDescent="0.25">
      <c r="B14" s="14">
        <v>42633</v>
      </c>
      <c r="C14" s="15">
        <v>7428</v>
      </c>
      <c r="D14" s="16" t="s">
        <v>13</v>
      </c>
      <c r="E14" s="17">
        <v>369.3</v>
      </c>
      <c r="F14" s="13">
        <v>17357.099999999999</v>
      </c>
      <c r="K14" s="3">
        <f t="shared" si="0"/>
        <v>0</v>
      </c>
    </row>
    <row r="15" spans="2:11" ht="15.75" x14ac:dyDescent="0.25">
      <c r="B15" s="14">
        <v>42633</v>
      </c>
      <c r="C15" s="15">
        <v>7479</v>
      </c>
      <c r="D15" s="16" t="s">
        <v>9</v>
      </c>
      <c r="E15" s="17">
        <f>36.6+15+163.2</f>
        <v>214.79999999999998</v>
      </c>
      <c r="F15" s="13">
        <v>7620</v>
      </c>
      <c r="K15" s="3">
        <f t="shared" si="0"/>
        <v>0</v>
      </c>
    </row>
    <row r="16" spans="2:11" ht="15.75" x14ac:dyDescent="0.25">
      <c r="B16" s="14">
        <v>42634</v>
      </c>
      <c r="C16" s="15">
        <v>7523</v>
      </c>
      <c r="D16" s="16" t="s">
        <v>20</v>
      </c>
      <c r="E16" s="17">
        <v>432.7</v>
      </c>
      <c r="F16" s="13">
        <v>16442.599999999999</v>
      </c>
      <c r="K16" s="3">
        <f t="shared" si="0"/>
        <v>0</v>
      </c>
    </row>
    <row r="17" spans="1:13" ht="15.75" x14ac:dyDescent="0.25">
      <c r="B17" s="14">
        <v>42634</v>
      </c>
      <c r="C17" s="15">
        <v>7524</v>
      </c>
      <c r="D17" s="16" t="s">
        <v>9</v>
      </c>
      <c r="E17" s="17">
        <v>441.3</v>
      </c>
      <c r="F17" s="13">
        <v>16769.400000000001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42634</v>
      </c>
      <c r="C18" s="15">
        <v>7526</v>
      </c>
      <c r="D18" s="16" t="s">
        <v>14</v>
      </c>
      <c r="E18" s="17">
        <v>428.5</v>
      </c>
      <c r="F18" s="13">
        <v>16283</v>
      </c>
      <c r="I18" s="3"/>
      <c r="J18" s="3"/>
    </row>
    <row r="19" spans="1:13" ht="15.75" x14ac:dyDescent="0.25">
      <c r="B19" s="14">
        <v>42634</v>
      </c>
      <c r="C19" s="15">
        <v>7527</v>
      </c>
      <c r="D19" s="16" t="s">
        <v>11</v>
      </c>
      <c r="E19" s="17">
        <v>83.7</v>
      </c>
      <c r="F19" s="13">
        <v>3180.6</v>
      </c>
    </row>
    <row r="20" spans="1:13" ht="15.75" x14ac:dyDescent="0.25">
      <c r="B20" s="14">
        <v>42634</v>
      </c>
      <c r="C20" s="15">
        <v>7528</v>
      </c>
      <c r="D20" s="16" t="s">
        <v>153</v>
      </c>
      <c r="E20" s="17">
        <v>183.9</v>
      </c>
      <c r="F20" s="13">
        <v>6988.2</v>
      </c>
    </row>
    <row r="21" spans="1:13" ht="15.75" x14ac:dyDescent="0.25">
      <c r="B21" s="14">
        <v>42634</v>
      </c>
      <c r="C21" s="15">
        <v>7530</v>
      </c>
      <c r="D21" s="16" t="s">
        <v>6</v>
      </c>
      <c r="E21" s="17">
        <f>74.6+92.7</f>
        <v>167.3</v>
      </c>
      <c r="F21" s="13">
        <v>6432</v>
      </c>
    </row>
    <row r="22" spans="1:13" ht="15.75" x14ac:dyDescent="0.25">
      <c r="A22" s="18"/>
      <c r="B22" s="14">
        <v>42634</v>
      </c>
      <c r="C22" s="15">
        <v>7531</v>
      </c>
      <c r="D22" s="16" t="s">
        <v>8</v>
      </c>
      <c r="E22" s="17">
        <f>378.2+206</f>
        <v>584.20000000000005</v>
      </c>
      <c r="F22" s="13">
        <v>20173.400000000001</v>
      </c>
    </row>
    <row r="23" spans="1:13" ht="15.75" x14ac:dyDescent="0.25">
      <c r="B23" s="14">
        <v>42635</v>
      </c>
      <c r="C23" s="15">
        <v>7634</v>
      </c>
      <c r="D23" s="16" t="s">
        <v>14</v>
      </c>
      <c r="E23" s="17">
        <v>439.9</v>
      </c>
      <c r="F23" s="13">
        <v>16716.2</v>
      </c>
      <c r="I23" s="48"/>
      <c r="J23" s="49"/>
      <c r="K23" s="50"/>
      <c r="L23" s="51"/>
      <c r="M23" s="52"/>
    </row>
    <row r="24" spans="1:13" ht="15.75" x14ac:dyDescent="0.25">
      <c r="B24" s="14">
        <v>42635</v>
      </c>
      <c r="C24" s="15">
        <v>7636</v>
      </c>
      <c r="D24" s="16" t="s">
        <v>9</v>
      </c>
      <c r="E24" s="17">
        <v>423.6</v>
      </c>
      <c r="F24" s="13">
        <v>16096.8</v>
      </c>
      <c r="I24" s="31"/>
      <c r="J24" s="31"/>
      <c r="K24" s="53"/>
      <c r="L24" s="31"/>
      <c r="M24" s="31"/>
    </row>
    <row r="25" spans="1:13" ht="15.75" x14ac:dyDescent="0.25">
      <c r="B25" s="14">
        <v>42635</v>
      </c>
      <c r="C25" s="15">
        <v>7637</v>
      </c>
      <c r="D25" s="16" t="s">
        <v>20</v>
      </c>
      <c r="E25" s="17">
        <v>423</v>
      </c>
      <c r="F25" s="13">
        <v>16074</v>
      </c>
      <c r="I25" s="31"/>
      <c r="J25" s="31"/>
      <c r="K25" s="53"/>
      <c r="L25" s="31"/>
      <c r="M25" s="31"/>
    </row>
    <row r="26" spans="1:13" ht="15.75" x14ac:dyDescent="0.25">
      <c r="B26" s="14">
        <v>42635</v>
      </c>
      <c r="C26" s="15">
        <v>7640</v>
      </c>
      <c r="D26" s="16" t="s">
        <v>11</v>
      </c>
      <c r="E26" s="17">
        <f>85.7+64.6+11.7</f>
        <v>162</v>
      </c>
      <c r="F26" s="13">
        <v>6608.7</v>
      </c>
    </row>
    <row r="27" spans="1:13" x14ac:dyDescent="0.25">
      <c r="B27" s="14">
        <v>42635</v>
      </c>
      <c r="C27" s="19">
        <v>7642</v>
      </c>
      <c r="D27" s="16" t="s">
        <v>153</v>
      </c>
      <c r="E27" s="17">
        <v>90.8</v>
      </c>
      <c r="F27" s="13">
        <v>3450.4</v>
      </c>
    </row>
    <row r="28" spans="1:13" x14ac:dyDescent="0.25">
      <c r="B28" s="14">
        <v>42635</v>
      </c>
      <c r="C28" s="19">
        <v>7643</v>
      </c>
      <c r="D28" s="16" t="s">
        <v>7</v>
      </c>
      <c r="E28" s="17">
        <v>83.9</v>
      </c>
      <c r="F28" s="13">
        <v>3188.2</v>
      </c>
      <c r="K28" s="3">
        <f t="shared" ref="K28:K33" si="2">J28*I28</f>
        <v>0</v>
      </c>
    </row>
    <row r="29" spans="1:13" x14ac:dyDescent="0.25">
      <c r="B29" s="14">
        <v>42635</v>
      </c>
      <c r="C29" s="19">
        <v>7644</v>
      </c>
      <c r="D29" s="16" t="s">
        <v>8</v>
      </c>
      <c r="E29" s="17">
        <f>93.1+38.2+17.72</f>
        <v>149.02000000000001</v>
      </c>
      <c r="F29" s="13">
        <v>5618.6</v>
      </c>
      <c r="K29" s="3">
        <f t="shared" si="2"/>
        <v>0</v>
      </c>
    </row>
    <row r="30" spans="1:13" x14ac:dyDescent="0.25">
      <c r="B30" s="14">
        <v>42635</v>
      </c>
      <c r="C30" s="19">
        <v>7647</v>
      </c>
      <c r="D30" s="16" t="s">
        <v>20</v>
      </c>
      <c r="E30" s="17">
        <f>113.8+65.3</f>
        <v>179.1</v>
      </c>
      <c r="F30" s="13">
        <v>9165.7999999999993</v>
      </c>
      <c r="K30" s="3">
        <f t="shared" si="2"/>
        <v>0</v>
      </c>
    </row>
    <row r="31" spans="1:13" x14ac:dyDescent="0.25">
      <c r="B31" s="14">
        <v>42636</v>
      </c>
      <c r="C31" s="19">
        <v>7764</v>
      </c>
      <c r="D31" s="16" t="s">
        <v>11</v>
      </c>
      <c r="E31" s="17">
        <v>82.8</v>
      </c>
      <c r="F31" s="13">
        <v>3146.4</v>
      </c>
      <c r="K31" s="3">
        <f t="shared" si="2"/>
        <v>0</v>
      </c>
    </row>
    <row r="32" spans="1:13" x14ac:dyDescent="0.25">
      <c r="B32" s="14">
        <v>42636</v>
      </c>
      <c r="C32" s="19">
        <v>7765</v>
      </c>
      <c r="D32" s="16" t="s">
        <v>10</v>
      </c>
      <c r="E32" s="17">
        <v>256.8</v>
      </c>
      <c r="F32" s="13">
        <v>9758.4</v>
      </c>
      <c r="K32" s="3">
        <f t="shared" si="2"/>
        <v>0</v>
      </c>
    </row>
    <row r="33" spans="2:11" x14ac:dyDescent="0.25">
      <c r="B33" s="14">
        <v>42636</v>
      </c>
      <c r="C33" s="19">
        <v>7767</v>
      </c>
      <c r="D33" s="16" t="s">
        <v>6</v>
      </c>
      <c r="E33" s="17">
        <f>75.8+90.6+97.4+10.2</f>
        <v>273.99999999999994</v>
      </c>
      <c r="F33" s="13">
        <v>12927.4</v>
      </c>
      <c r="K33" s="3">
        <f t="shared" si="2"/>
        <v>0</v>
      </c>
    </row>
    <row r="34" spans="2:11" x14ac:dyDescent="0.25">
      <c r="B34" s="14">
        <v>42636</v>
      </c>
      <c r="C34" s="19">
        <v>7768</v>
      </c>
      <c r="D34" s="16" t="s">
        <v>153</v>
      </c>
      <c r="E34" s="17">
        <f>340.2+27.24+1+19.94</f>
        <v>388.38</v>
      </c>
      <c r="F34" s="13">
        <v>16373.68</v>
      </c>
      <c r="K34" s="3">
        <f t="shared" ref="K34:K54" si="3">J34*I34</f>
        <v>0</v>
      </c>
    </row>
    <row r="35" spans="2:11" x14ac:dyDescent="0.25">
      <c r="B35" s="14">
        <v>42636</v>
      </c>
      <c r="C35" s="19">
        <v>7769</v>
      </c>
      <c r="D35" s="16" t="s">
        <v>7</v>
      </c>
      <c r="E35" s="17">
        <f>11.1+11.2</f>
        <v>22.299999999999997</v>
      </c>
      <c r="F35" s="13">
        <v>957.3</v>
      </c>
      <c r="K35" s="3">
        <f t="shared" si="3"/>
        <v>0</v>
      </c>
    </row>
    <row r="36" spans="2:11" x14ac:dyDescent="0.25">
      <c r="B36" s="14">
        <v>42636</v>
      </c>
      <c r="C36" s="19">
        <v>7776</v>
      </c>
      <c r="D36" s="16" t="s">
        <v>9</v>
      </c>
      <c r="E36" s="17">
        <v>408.4</v>
      </c>
      <c r="F36" s="13">
        <v>15519.2</v>
      </c>
      <c r="K36" s="3">
        <f t="shared" si="3"/>
        <v>0</v>
      </c>
    </row>
    <row r="37" spans="2:11" x14ac:dyDescent="0.25">
      <c r="B37" s="14">
        <v>42636</v>
      </c>
      <c r="C37" s="19">
        <v>7777</v>
      </c>
      <c r="D37" s="16" t="s">
        <v>13</v>
      </c>
      <c r="E37" s="17">
        <v>408.7</v>
      </c>
      <c r="F37" s="13">
        <v>15530.6</v>
      </c>
      <c r="K37" s="3">
        <f t="shared" si="3"/>
        <v>0</v>
      </c>
    </row>
    <row r="38" spans="2:11" x14ac:dyDescent="0.25">
      <c r="B38" s="14">
        <v>42636</v>
      </c>
      <c r="C38" s="19">
        <v>7778</v>
      </c>
      <c r="D38" s="16" t="s">
        <v>8</v>
      </c>
      <c r="E38" s="17">
        <v>954.2</v>
      </c>
      <c r="F38" s="13">
        <v>34828.300000000003</v>
      </c>
      <c r="K38" s="3">
        <f t="shared" si="3"/>
        <v>0</v>
      </c>
    </row>
    <row r="39" spans="2:11" x14ac:dyDescent="0.25">
      <c r="B39" s="14">
        <v>42636</v>
      </c>
      <c r="C39" s="19">
        <v>7779</v>
      </c>
      <c r="D39" s="16" t="s">
        <v>20</v>
      </c>
      <c r="E39" s="17">
        <f>403.5+150.4+38.7</f>
        <v>592.6</v>
      </c>
      <c r="F39" s="13">
        <v>23597.1</v>
      </c>
      <c r="K39" s="3">
        <f t="shared" si="3"/>
        <v>0</v>
      </c>
    </row>
    <row r="40" spans="2:11" x14ac:dyDescent="0.25">
      <c r="B40" s="14">
        <v>42636</v>
      </c>
      <c r="C40" s="19">
        <v>7780</v>
      </c>
      <c r="D40" s="16" t="s">
        <v>12</v>
      </c>
      <c r="E40" s="17">
        <f>107.2+875</f>
        <v>982.2</v>
      </c>
      <c r="F40" s="13">
        <v>37190.300000000003</v>
      </c>
      <c r="K40" s="3">
        <f t="shared" si="3"/>
        <v>0</v>
      </c>
    </row>
    <row r="41" spans="2:11" x14ac:dyDescent="0.25">
      <c r="B41" s="14">
        <v>42636</v>
      </c>
      <c r="C41" s="19">
        <v>7784</v>
      </c>
      <c r="D41" s="16" t="s">
        <v>14</v>
      </c>
      <c r="E41" s="17">
        <v>41.8</v>
      </c>
      <c r="F41" s="13">
        <v>919.6</v>
      </c>
    </row>
    <row r="42" spans="2:11" x14ac:dyDescent="0.25">
      <c r="B42" s="14">
        <v>42636</v>
      </c>
      <c r="C42" s="19">
        <v>7785</v>
      </c>
      <c r="D42" s="16" t="s">
        <v>14</v>
      </c>
      <c r="E42" s="17">
        <v>168.2</v>
      </c>
      <c r="F42" s="13">
        <v>6307.5</v>
      </c>
    </row>
    <row r="43" spans="2:11" x14ac:dyDescent="0.25">
      <c r="B43" s="14">
        <v>42636</v>
      </c>
      <c r="C43" s="19">
        <v>7861</v>
      </c>
      <c r="D43" s="16" t="s">
        <v>0</v>
      </c>
      <c r="E43" s="17">
        <v>69.3</v>
      </c>
      <c r="F43" s="13">
        <v>1524.6</v>
      </c>
    </row>
    <row r="44" spans="2:11" x14ac:dyDescent="0.25">
      <c r="B44" s="14">
        <v>42637</v>
      </c>
      <c r="C44" s="19">
        <v>7917</v>
      </c>
      <c r="D44" s="16" t="s">
        <v>20</v>
      </c>
      <c r="E44" s="17">
        <v>404.2</v>
      </c>
      <c r="F44" s="13">
        <v>15359.6</v>
      </c>
    </row>
    <row r="45" spans="2:11" x14ac:dyDescent="0.25">
      <c r="B45" s="14">
        <v>42637</v>
      </c>
      <c r="C45" s="19">
        <v>7919</v>
      </c>
      <c r="D45" s="16" t="s">
        <v>9</v>
      </c>
      <c r="E45" s="17">
        <v>405</v>
      </c>
      <c r="F45" s="13">
        <v>15390</v>
      </c>
    </row>
    <row r="46" spans="2:11" x14ac:dyDescent="0.25">
      <c r="B46" s="14">
        <v>42637</v>
      </c>
      <c r="C46" s="19">
        <v>7920</v>
      </c>
      <c r="D46" s="16" t="s">
        <v>13</v>
      </c>
      <c r="E46" s="17">
        <v>401.1</v>
      </c>
      <c r="F46" s="13">
        <v>15241.8</v>
      </c>
    </row>
    <row r="47" spans="2:11" x14ac:dyDescent="0.25">
      <c r="B47" s="14">
        <v>42637</v>
      </c>
      <c r="C47" s="19">
        <v>7921</v>
      </c>
      <c r="D47" s="16" t="s">
        <v>14</v>
      </c>
      <c r="E47" s="17">
        <v>391.3</v>
      </c>
      <c r="F47" s="13">
        <v>14869.4</v>
      </c>
    </row>
    <row r="48" spans="2:11" x14ac:dyDescent="0.25">
      <c r="B48" s="14">
        <v>42637</v>
      </c>
      <c r="C48" s="19">
        <v>7922</v>
      </c>
      <c r="D48" s="16" t="s">
        <v>10</v>
      </c>
      <c r="E48" s="17">
        <f>708.4+4+54.48+24.6+361.8+16.6</f>
        <v>1169.8799999999999</v>
      </c>
      <c r="F48" s="13">
        <v>44191.96</v>
      </c>
    </row>
    <row r="49" spans="2:13" x14ac:dyDescent="0.25">
      <c r="B49" s="14">
        <v>42637</v>
      </c>
      <c r="C49" s="19">
        <v>7923</v>
      </c>
      <c r="D49" s="16" t="s">
        <v>7</v>
      </c>
      <c r="E49" s="17">
        <f>1+19.1</f>
        <v>20.100000000000001</v>
      </c>
      <c r="F49" s="13">
        <v>605.20000000000005</v>
      </c>
    </row>
    <row r="50" spans="2:13" x14ac:dyDescent="0.25">
      <c r="B50" s="14">
        <v>42637</v>
      </c>
      <c r="C50" s="19">
        <v>7995</v>
      </c>
      <c r="D50" s="16" t="s">
        <v>11</v>
      </c>
      <c r="E50" s="17">
        <f>58+1</f>
        <v>59</v>
      </c>
      <c r="F50" s="13">
        <v>2911</v>
      </c>
    </row>
    <row r="51" spans="2:13" x14ac:dyDescent="0.25">
      <c r="B51" s="14">
        <v>42637</v>
      </c>
      <c r="C51" s="19">
        <v>7996</v>
      </c>
      <c r="D51" s="16" t="s">
        <v>11</v>
      </c>
      <c r="E51" s="17">
        <v>1</v>
      </c>
      <c r="F51" s="13">
        <v>185</v>
      </c>
    </row>
    <row r="52" spans="2:13" x14ac:dyDescent="0.25">
      <c r="B52" s="14"/>
      <c r="C52" s="19"/>
      <c r="D52" s="16"/>
      <c r="E52" s="17"/>
      <c r="F52" s="13"/>
    </row>
    <row r="53" spans="2:13" ht="15.75" thickBot="1" x14ac:dyDescent="0.3">
      <c r="B53" s="14"/>
      <c r="C53" s="19"/>
      <c r="D53" s="16"/>
      <c r="E53" s="17"/>
      <c r="F53" s="13"/>
    </row>
    <row r="54" spans="2:13" ht="15.75" thickBot="1" x14ac:dyDescent="0.3">
      <c r="B54" s="21" t="s">
        <v>233</v>
      </c>
      <c r="C54" s="22"/>
      <c r="D54" s="23"/>
      <c r="E54" s="24">
        <v>0</v>
      </c>
      <c r="F54" s="25">
        <f>SUM(F3:F53)</f>
        <v>570158.03999999992</v>
      </c>
      <c r="K54" s="3">
        <f t="shared" si="3"/>
        <v>0</v>
      </c>
    </row>
    <row r="55" spans="2:13" ht="19.5" thickBot="1" x14ac:dyDescent="0.35">
      <c r="B55" s="26"/>
      <c r="C55" s="27"/>
      <c r="D55" s="28" t="s">
        <v>5</v>
      </c>
      <c r="E55" s="29">
        <f>SUM(E3:E54)</f>
        <v>14756.08</v>
      </c>
      <c r="I55" s="30">
        <f>SUM(I54:I54)</f>
        <v>0</v>
      </c>
      <c r="J55" s="30"/>
      <c r="K55" s="30">
        <f>SUM(K54:K54)</f>
        <v>0</v>
      </c>
    </row>
    <row r="56" spans="2:13" x14ac:dyDescent="0.25">
      <c r="B56" s="26"/>
      <c r="C56" s="27"/>
      <c r="D56" s="31"/>
      <c r="E56" s="32"/>
      <c r="I56" s="30">
        <f>SUM(I34:I55)</f>
        <v>0</v>
      </c>
      <c r="J56" s="30"/>
      <c r="K56" s="30">
        <f>SUM(K34:K55)</f>
        <v>0</v>
      </c>
    </row>
    <row r="57" spans="2:13" ht="21.75" thickBot="1" x14ac:dyDescent="0.4">
      <c r="B57" s="33"/>
      <c r="C57" s="34" t="s">
        <v>15</v>
      </c>
      <c r="D57" s="35">
        <f>E55*0.2</f>
        <v>2951.2160000000003</v>
      </c>
      <c r="F57"/>
      <c r="K57"/>
    </row>
    <row r="58" spans="2:13" ht="21.75" thickBot="1" x14ac:dyDescent="0.4">
      <c r="C58" s="36" t="s">
        <v>16</v>
      </c>
      <c r="D58" s="37">
        <v>3000</v>
      </c>
      <c r="E58" s="38"/>
      <c r="F58" s="85">
        <f>D57+D58</f>
        <v>5951.2160000000003</v>
      </c>
      <c r="G58" s="86"/>
      <c r="I58" s="39"/>
      <c r="J58" s="39"/>
      <c r="K58" s="39"/>
      <c r="L58" s="39"/>
      <c r="M58" s="39"/>
    </row>
    <row r="59" spans="2:13" ht="15.75" thickTop="1" x14ac:dyDescent="0.25">
      <c r="I59" s="39"/>
      <c r="J59" s="39"/>
      <c r="K59" s="40"/>
      <c r="L59" s="40"/>
      <c r="M59" s="40"/>
    </row>
    <row r="60" spans="2:13" ht="19.5" thickBot="1" x14ac:dyDescent="0.35">
      <c r="D60" s="62"/>
      <c r="E60" s="41" t="s">
        <v>311</v>
      </c>
      <c r="F60" s="87">
        <v>0</v>
      </c>
      <c r="G60" s="87"/>
      <c r="I60" s="39"/>
      <c r="J60" s="39"/>
      <c r="K60" s="40"/>
      <c r="L60" s="40"/>
      <c r="M60" s="40"/>
    </row>
    <row r="61" spans="2:13" ht="15.75" thickTop="1" x14ac:dyDescent="0.25">
      <c r="C61"/>
      <c r="F61" s="88">
        <f>F58+F60</f>
        <v>5951.2160000000003</v>
      </c>
      <c r="G61" s="88"/>
      <c r="I61" s="39"/>
      <c r="J61" s="39"/>
      <c r="K61" s="40"/>
      <c r="L61" s="40"/>
      <c r="M61" s="40"/>
    </row>
    <row r="62" spans="2:13" ht="18.75" x14ac:dyDescent="0.3">
      <c r="C62"/>
      <c r="E62" s="2" t="s">
        <v>18</v>
      </c>
      <c r="F62" s="89"/>
      <c r="G62" s="89"/>
      <c r="K62"/>
    </row>
  </sheetData>
  <mergeCells count="4">
    <mergeCell ref="B1:C1"/>
    <mergeCell ref="F58:G58"/>
    <mergeCell ref="F60:G60"/>
    <mergeCell ref="F61:G62"/>
  </mergeCells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D16" sqref="D1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42650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337</v>
      </c>
      <c r="G2" s="8"/>
      <c r="K2"/>
    </row>
    <row r="3" spans="2:11" ht="15.75" x14ac:dyDescent="0.25">
      <c r="B3" s="9">
        <v>42639</v>
      </c>
      <c r="C3" s="10">
        <v>8110</v>
      </c>
      <c r="D3" s="11" t="s">
        <v>20</v>
      </c>
      <c r="E3" s="12">
        <v>430.6</v>
      </c>
      <c r="F3" s="13">
        <v>16362.8</v>
      </c>
      <c r="K3"/>
    </row>
    <row r="4" spans="2:11" ht="15.75" x14ac:dyDescent="0.25">
      <c r="B4" s="14">
        <v>42639</v>
      </c>
      <c r="C4" s="15">
        <v>8111</v>
      </c>
      <c r="D4" s="16" t="s">
        <v>9</v>
      </c>
      <c r="E4" s="17">
        <v>402</v>
      </c>
      <c r="F4" s="13">
        <v>15276</v>
      </c>
      <c r="K4"/>
    </row>
    <row r="5" spans="2:11" ht="15.75" x14ac:dyDescent="0.25">
      <c r="B5" s="14">
        <v>42639</v>
      </c>
      <c r="C5" s="15">
        <v>8112</v>
      </c>
      <c r="D5" s="16" t="s">
        <v>8</v>
      </c>
      <c r="E5" s="17">
        <f>15+84.8</f>
        <v>99.8</v>
      </c>
      <c r="F5" s="13">
        <v>3627.4</v>
      </c>
      <c r="K5"/>
    </row>
    <row r="6" spans="2:11" ht="15.75" x14ac:dyDescent="0.25">
      <c r="B6" s="14">
        <v>42640</v>
      </c>
      <c r="C6" s="66">
        <v>8244</v>
      </c>
      <c r="D6" s="16" t="s">
        <v>153</v>
      </c>
      <c r="E6" s="56">
        <v>254.8</v>
      </c>
      <c r="F6" s="13">
        <v>9682.4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42640</v>
      </c>
      <c r="C7" s="15">
        <v>8248</v>
      </c>
      <c r="D7" s="16" t="s">
        <v>7</v>
      </c>
      <c r="E7" s="17">
        <v>81.3</v>
      </c>
      <c r="F7" s="13">
        <v>3089.4</v>
      </c>
      <c r="K7" s="3">
        <f t="shared" si="0"/>
        <v>0</v>
      </c>
    </row>
    <row r="8" spans="2:11" ht="15.75" x14ac:dyDescent="0.25">
      <c r="B8" s="14">
        <v>42640</v>
      </c>
      <c r="C8" s="15">
        <v>8249</v>
      </c>
      <c r="D8" s="16" t="s">
        <v>20</v>
      </c>
      <c r="E8" s="17">
        <v>362.8</v>
      </c>
      <c r="F8" s="13">
        <v>13786.4</v>
      </c>
      <c r="K8" s="3">
        <f t="shared" si="0"/>
        <v>0</v>
      </c>
    </row>
    <row r="9" spans="2:11" ht="15.75" x14ac:dyDescent="0.25">
      <c r="B9" s="14">
        <v>42640</v>
      </c>
      <c r="C9" s="15">
        <v>8250</v>
      </c>
      <c r="D9" s="16" t="s">
        <v>9</v>
      </c>
      <c r="E9" s="17">
        <v>387.1</v>
      </c>
      <c r="F9" s="13">
        <v>15096.9</v>
      </c>
      <c r="K9" s="3">
        <f t="shared" si="0"/>
        <v>0</v>
      </c>
    </row>
    <row r="10" spans="2:11" ht="15.75" x14ac:dyDescent="0.25">
      <c r="B10" s="14">
        <v>42640</v>
      </c>
      <c r="C10" s="15">
        <v>8251</v>
      </c>
      <c r="D10" s="16" t="s">
        <v>13</v>
      </c>
      <c r="E10" s="17">
        <v>350.8</v>
      </c>
      <c r="F10" s="13">
        <v>16487.599999999999</v>
      </c>
      <c r="K10" s="3">
        <f t="shared" si="0"/>
        <v>0</v>
      </c>
    </row>
    <row r="11" spans="2:11" ht="15.75" x14ac:dyDescent="0.25">
      <c r="B11" s="14">
        <v>42640</v>
      </c>
      <c r="C11" s="44">
        <v>8252</v>
      </c>
      <c r="D11" s="16" t="s">
        <v>6</v>
      </c>
      <c r="E11" s="17">
        <v>625.6</v>
      </c>
      <c r="F11" s="13">
        <v>2942.2</v>
      </c>
      <c r="K11" s="3">
        <f t="shared" si="0"/>
        <v>0</v>
      </c>
    </row>
    <row r="12" spans="2:11" ht="15.75" x14ac:dyDescent="0.25">
      <c r="B12" s="14">
        <v>42640</v>
      </c>
      <c r="C12" s="15">
        <v>8307</v>
      </c>
      <c r="D12" s="16" t="s">
        <v>0</v>
      </c>
      <c r="E12" s="17">
        <v>224.9</v>
      </c>
      <c r="F12" s="13">
        <v>15068.3</v>
      </c>
      <c r="K12" s="3">
        <f t="shared" si="0"/>
        <v>0</v>
      </c>
    </row>
    <row r="13" spans="2:11" ht="15.75" x14ac:dyDescent="0.25">
      <c r="B13" s="14">
        <v>42641</v>
      </c>
      <c r="C13" s="15">
        <v>8379</v>
      </c>
      <c r="D13" s="16" t="s">
        <v>7</v>
      </c>
      <c r="E13" s="17">
        <v>86.2</v>
      </c>
      <c r="F13" s="13">
        <v>3189.4</v>
      </c>
      <c r="K13" s="3">
        <f t="shared" si="0"/>
        <v>0</v>
      </c>
    </row>
    <row r="14" spans="2:11" ht="15.75" x14ac:dyDescent="0.25">
      <c r="B14" s="14">
        <v>42641</v>
      </c>
      <c r="C14" s="15">
        <v>8380</v>
      </c>
      <c r="D14" s="16" t="s">
        <v>20</v>
      </c>
      <c r="E14" s="17">
        <v>418.2</v>
      </c>
      <c r="F14" s="13">
        <v>15473.4</v>
      </c>
      <c r="K14" s="3">
        <f t="shared" si="0"/>
        <v>0</v>
      </c>
    </row>
    <row r="15" spans="2:11" ht="15.75" x14ac:dyDescent="0.25">
      <c r="B15" s="14">
        <v>42641</v>
      </c>
      <c r="C15" s="15">
        <v>8382</v>
      </c>
      <c r="D15" s="16" t="s">
        <v>6</v>
      </c>
      <c r="E15" s="17">
        <f>145.8+9.8+8+12+13.3</f>
        <v>188.90000000000003</v>
      </c>
      <c r="F15" s="13">
        <v>7791</v>
      </c>
      <c r="K15" s="3">
        <f t="shared" si="0"/>
        <v>0</v>
      </c>
    </row>
    <row r="16" spans="2:11" ht="15.75" x14ac:dyDescent="0.25">
      <c r="B16" s="14">
        <v>42641</v>
      </c>
      <c r="C16" s="15">
        <v>8383</v>
      </c>
      <c r="D16" s="16" t="s">
        <v>8</v>
      </c>
      <c r="E16" s="17">
        <f>438+33.7</f>
        <v>471.7</v>
      </c>
      <c r="F16" s="13">
        <v>15414.4</v>
      </c>
      <c r="K16" s="3">
        <f t="shared" si="0"/>
        <v>0</v>
      </c>
    </row>
    <row r="17" spans="1:13" ht="15.75" x14ac:dyDescent="0.25">
      <c r="B17" s="14">
        <v>42643</v>
      </c>
      <c r="C17" s="15">
        <v>8611</v>
      </c>
      <c r="D17" s="16" t="s">
        <v>20</v>
      </c>
      <c r="E17" s="17">
        <f>315.6+407.4</f>
        <v>723</v>
      </c>
      <c r="F17" s="13">
        <v>29591.4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42643</v>
      </c>
      <c r="C18" s="15">
        <v>8612</v>
      </c>
      <c r="D18" s="16" t="s">
        <v>14</v>
      </c>
      <c r="E18" s="17">
        <v>396.4</v>
      </c>
      <c r="F18" s="13">
        <v>14666.8</v>
      </c>
      <c r="I18" s="3"/>
      <c r="J18" s="3"/>
    </row>
    <row r="19" spans="1:13" ht="15.75" x14ac:dyDescent="0.25">
      <c r="B19" s="14">
        <v>42643</v>
      </c>
      <c r="C19" s="15">
        <v>8613</v>
      </c>
      <c r="D19" s="16" t="s">
        <v>13</v>
      </c>
      <c r="E19" s="17">
        <v>443.3</v>
      </c>
      <c r="F19" s="13">
        <v>16402.099999999999</v>
      </c>
    </row>
    <row r="20" spans="1:13" ht="15.75" x14ac:dyDescent="0.25">
      <c r="B20" s="14">
        <v>42643</v>
      </c>
      <c r="C20" s="15">
        <v>8614</v>
      </c>
      <c r="D20" s="16" t="s">
        <v>8</v>
      </c>
      <c r="E20" s="17">
        <v>934.4</v>
      </c>
      <c r="F20" s="13">
        <v>30835.200000000001</v>
      </c>
    </row>
    <row r="21" spans="1:13" ht="15.75" x14ac:dyDescent="0.25">
      <c r="B21" s="14">
        <v>42643</v>
      </c>
      <c r="C21" s="15">
        <v>8615</v>
      </c>
      <c r="D21" s="16" t="s">
        <v>12</v>
      </c>
      <c r="E21" s="17">
        <v>894.78</v>
      </c>
      <c r="F21" s="13">
        <v>29527.74</v>
      </c>
    </row>
    <row r="22" spans="1:13" ht="15.75" x14ac:dyDescent="0.25">
      <c r="A22" s="18"/>
      <c r="B22" s="14">
        <v>42643</v>
      </c>
      <c r="C22" s="15">
        <v>8621</v>
      </c>
      <c r="D22" s="16" t="s">
        <v>10</v>
      </c>
      <c r="E22" s="17">
        <f>40.1+705.1+284.8+54.48+2</f>
        <v>1086.48</v>
      </c>
      <c r="F22" s="13">
        <v>39785.160000000003</v>
      </c>
    </row>
    <row r="23" spans="1:13" ht="15.75" x14ac:dyDescent="0.25">
      <c r="B23" s="14">
        <v>42643</v>
      </c>
      <c r="C23" s="15">
        <v>8624</v>
      </c>
      <c r="D23" s="16" t="s">
        <v>9</v>
      </c>
      <c r="E23" s="17">
        <f>221.4+65.8</f>
        <v>287.2</v>
      </c>
      <c r="F23" s="13">
        <v>8975.2000000000007</v>
      </c>
      <c r="I23" s="48"/>
      <c r="J23" s="49"/>
      <c r="K23" s="50"/>
      <c r="L23" s="51"/>
      <c r="M23" s="52"/>
    </row>
    <row r="24" spans="1:13" ht="15.75" x14ac:dyDescent="0.25">
      <c r="B24" s="14">
        <v>42643</v>
      </c>
      <c r="C24" s="15">
        <v>8625</v>
      </c>
      <c r="D24" s="16" t="s">
        <v>153</v>
      </c>
      <c r="E24" s="17">
        <f>213.4+408.1</f>
        <v>621.5</v>
      </c>
      <c r="F24" s="13">
        <v>30464.5</v>
      </c>
      <c r="I24" s="31"/>
      <c r="J24" s="31"/>
      <c r="K24" s="53"/>
      <c r="L24" s="31"/>
      <c r="M24" s="31"/>
    </row>
    <row r="25" spans="1:13" ht="15.75" x14ac:dyDescent="0.25">
      <c r="B25" s="14">
        <v>42643</v>
      </c>
      <c r="C25" s="15">
        <v>8627</v>
      </c>
      <c r="D25" s="16" t="s">
        <v>6</v>
      </c>
      <c r="E25" s="17">
        <f>215.2+88.8</f>
        <v>304</v>
      </c>
      <c r="F25" s="13">
        <v>13468</v>
      </c>
      <c r="I25" s="31"/>
      <c r="J25" s="31"/>
      <c r="K25" s="53"/>
      <c r="L25" s="31"/>
      <c r="M25" s="31"/>
    </row>
    <row r="26" spans="1:13" ht="15.75" x14ac:dyDescent="0.25">
      <c r="B26" s="14">
        <v>42643</v>
      </c>
      <c r="C26" s="15">
        <v>8629</v>
      </c>
      <c r="D26" s="16" t="s">
        <v>338</v>
      </c>
      <c r="E26" s="17">
        <v>1</v>
      </c>
      <c r="F26" s="13">
        <v>780</v>
      </c>
    </row>
    <row r="27" spans="1:13" x14ac:dyDescent="0.25">
      <c r="B27" s="14">
        <v>42643</v>
      </c>
      <c r="C27" s="19">
        <v>8630</v>
      </c>
      <c r="D27" s="16" t="s">
        <v>0</v>
      </c>
      <c r="E27" s="17">
        <f>69.3+211.8</f>
        <v>281.10000000000002</v>
      </c>
      <c r="F27" s="13">
        <v>15645.9</v>
      </c>
    </row>
    <row r="28" spans="1:13" x14ac:dyDescent="0.25">
      <c r="B28" s="14">
        <v>42643</v>
      </c>
      <c r="C28" s="19">
        <v>8639</v>
      </c>
      <c r="D28" s="16" t="s">
        <v>6</v>
      </c>
      <c r="E28" s="17">
        <f>12+7.3+24.3</f>
        <v>43.6</v>
      </c>
      <c r="F28" s="13">
        <v>1397.9</v>
      </c>
      <c r="K28" s="3">
        <f t="shared" ref="K28:K38" si="2">J28*I28</f>
        <v>0</v>
      </c>
    </row>
    <row r="29" spans="1:13" x14ac:dyDescent="0.25">
      <c r="B29" s="14">
        <v>42644</v>
      </c>
      <c r="C29" s="19">
        <v>8750</v>
      </c>
      <c r="D29" s="16" t="s">
        <v>20</v>
      </c>
      <c r="E29" s="17">
        <v>392.6</v>
      </c>
      <c r="F29" s="13">
        <v>14526.2</v>
      </c>
      <c r="K29" s="3">
        <f t="shared" si="2"/>
        <v>0</v>
      </c>
    </row>
    <row r="30" spans="1:13" x14ac:dyDescent="0.25">
      <c r="B30" s="14">
        <v>42644</v>
      </c>
      <c r="C30" s="19">
        <v>8751</v>
      </c>
      <c r="D30" s="16" t="s">
        <v>9</v>
      </c>
      <c r="E30" s="17">
        <v>385.7</v>
      </c>
      <c r="F30" s="13">
        <v>14270.9</v>
      </c>
      <c r="K30" s="3">
        <f t="shared" si="2"/>
        <v>0</v>
      </c>
    </row>
    <row r="31" spans="1:13" x14ac:dyDescent="0.25">
      <c r="B31" s="14">
        <v>42644</v>
      </c>
      <c r="C31" s="19">
        <v>8752</v>
      </c>
      <c r="D31" s="16" t="s">
        <v>14</v>
      </c>
      <c r="E31" s="17">
        <v>365</v>
      </c>
      <c r="F31" s="13">
        <v>13505</v>
      </c>
      <c r="K31" s="3">
        <f t="shared" si="2"/>
        <v>0</v>
      </c>
    </row>
    <row r="32" spans="1:13" x14ac:dyDescent="0.25">
      <c r="B32" s="14">
        <v>42644</v>
      </c>
      <c r="C32" s="19">
        <v>8753</v>
      </c>
      <c r="D32" s="16" t="s">
        <v>13</v>
      </c>
      <c r="E32" s="17">
        <v>391.3</v>
      </c>
      <c r="F32" s="13">
        <v>14478.1</v>
      </c>
      <c r="K32" s="3">
        <f t="shared" si="2"/>
        <v>0</v>
      </c>
    </row>
    <row r="33" spans="2:13" x14ac:dyDescent="0.25">
      <c r="B33" s="14">
        <v>42644</v>
      </c>
      <c r="C33" s="19">
        <v>8754</v>
      </c>
      <c r="D33" s="16" t="s">
        <v>7</v>
      </c>
      <c r="E33" s="17">
        <v>78.099999999999994</v>
      </c>
      <c r="F33" s="13">
        <v>2889.7</v>
      </c>
      <c r="K33" s="3">
        <f t="shared" si="2"/>
        <v>0</v>
      </c>
    </row>
    <row r="34" spans="2:13" x14ac:dyDescent="0.25">
      <c r="B34" s="14">
        <v>42644</v>
      </c>
      <c r="C34" s="19">
        <v>8756</v>
      </c>
      <c r="D34" s="16" t="s">
        <v>153</v>
      </c>
      <c r="E34" s="17">
        <v>73.8</v>
      </c>
      <c r="F34" s="13">
        <v>2730.6</v>
      </c>
      <c r="K34" s="3">
        <f t="shared" si="2"/>
        <v>0</v>
      </c>
    </row>
    <row r="35" spans="2:13" x14ac:dyDescent="0.25">
      <c r="B35" s="14">
        <v>42644</v>
      </c>
      <c r="C35" s="19">
        <v>8757</v>
      </c>
      <c r="D35" s="16" t="s">
        <v>8</v>
      </c>
      <c r="E35" s="17">
        <f>1+10.7+27.24+1+13.61</f>
        <v>53.55</v>
      </c>
      <c r="F35" s="13">
        <v>3355.33</v>
      </c>
      <c r="K35" s="3">
        <f t="shared" si="2"/>
        <v>0</v>
      </c>
    </row>
    <row r="36" spans="2:13" x14ac:dyDescent="0.25">
      <c r="B36" s="14"/>
      <c r="C36" s="19"/>
      <c r="D36" s="16"/>
      <c r="E36" s="17"/>
      <c r="F36" s="13"/>
      <c r="K36" s="3">
        <f t="shared" si="2"/>
        <v>0</v>
      </c>
    </row>
    <row r="37" spans="2:13" ht="15.75" thickBot="1" x14ac:dyDescent="0.3">
      <c r="B37" s="14"/>
      <c r="C37" s="19"/>
      <c r="D37" s="16"/>
      <c r="E37" s="17"/>
      <c r="F37" s="13"/>
    </row>
    <row r="38" spans="2:13" ht="15.75" thickBot="1" x14ac:dyDescent="0.3">
      <c r="B38" s="21" t="s">
        <v>233</v>
      </c>
      <c r="C38" s="22"/>
      <c r="D38" s="23"/>
      <c r="E38" s="24">
        <v>0</v>
      </c>
      <c r="F38" s="25">
        <f>SUM(F3:F37)</f>
        <v>450583.33000000007</v>
      </c>
      <c r="K38" s="3">
        <f t="shared" si="2"/>
        <v>0</v>
      </c>
    </row>
    <row r="39" spans="2:13" ht="19.5" thickBot="1" x14ac:dyDescent="0.35">
      <c r="B39" s="26"/>
      <c r="C39" s="27"/>
      <c r="D39" s="28" t="s">
        <v>5</v>
      </c>
      <c r="E39" s="29">
        <f>SUM(E3:E38)</f>
        <v>12141.51</v>
      </c>
      <c r="I39" s="30">
        <f>SUM(I38:I38)</f>
        <v>0</v>
      </c>
      <c r="J39" s="30"/>
      <c r="K39" s="30">
        <f>SUM(K38:K38)</f>
        <v>0</v>
      </c>
    </row>
    <row r="40" spans="2:13" x14ac:dyDescent="0.25">
      <c r="B40" s="26"/>
      <c r="C40" s="27"/>
      <c r="D40" s="31"/>
      <c r="E40" s="32"/>
      <c r="I40" s="30">
        <f>SUM(I34:I39)</f>
        <v>0</v>
      </c>
      <c r="J40" s="30"/>
      <c r="K40" s="30">
        <f>SUM(K34:K39)</f>
        <v>0</v>
      </c>
    </row>
    <row r="41" spans="2:13" ht="21.75" thickBot="1" x14ac:dyDescent="0.4">
      <c r="B41" s="33"/>
      <c r="C41" s="34" t="s">
        <v>15</v>
      </c>
      <c r="D41" s="35">
        <f>E39*0.2</f>
        <v>2428.3020000000001</v>
      </c>
      <c r="F41"/>
      <c r="K41"/>
    </row>
    <row r="42" spans="2:13" ht="21.75" thickBot="1" x14ac:dyDescent="0.4">
      <c r="C42" s="36" t="s">
        <v>16</v>
      </c>
      <c r="D42" s="37">
        <v>3000</v>
      </c>
      <c r="E42" s="38"/>
      <c r="F42" s="85">
        <f>D41+D42</f>
        <v>5428.3019999999997</v>
      </c>
      <c r="G42" s="86"/>
      <c r="I42" s="39"/>
      <c r="J42" s="39"/>
      <c r="K42" s="39"/>
      <c r="L42" s="39"/>
      <c r="M42" s="39"/>
    </row>
    <row r="43" spans="2:13" ht="15.75" thickTop="1" x14ac:dyDescent="0.25">
      <c r="I43" s="39"/>
      <c r="J43" s="39"/>
      <c r="K43" s="40"/>
      <c r="L43" s="40"/>
      <c r="M43" s="40"/>
    </row>
    <row r="44" spans="2:13" ht="19.5" thickBot="1" x14ac:dyDescent="0.35">
      <c r="D44" s="62"/>
      <c r="E44" s="41" t="s">
        <v>311</v>
      </c>
      <c r="F44" s="87">
        <v>0</v>
      </c>
      <c r="G44" s="87"/>
      <c r="I44" s="39"/>
      <c r="J44" s="39"/>
      <c r="K44" s="40"/>
      <c r="L44" s="40"/>
      <c r="M44" s="40"/>
    </row>
    <row r="45" spans="2:13" ht="15.75" thickTop="1" x14ac:dyDescent="0.25">
      <c r="C45"/>
      <c r="F45" s="88">
        <f>F42+F44</f>
        <v>5428.3019999999997</v>
      </c>
      <c r="G45" s="88"/>
      <c r="I45" s="39"/>
      <c r="J45" s="39"/>
      <c r="K45" s="40"/>
      <c r="L45" s="40"/>
      <c r="M45" s="40"/>
    </row>
    <row r="46" spans="2:13" ht="18.75" x14ac:dyDescent="0.3">
      <c r="C46"/>
      <c r="E46" s="2" t="s">
        <v>18</v>
      </c>
      <c r="F46" s="89"/>
      <c r="G46" s="89"/>
      <c r="K46"/>
    </row>
  </sheetData>
  <mergeCells count="4">
    <mergeCell ref="B1:C1"/>
    <mergeCell ref="F42:G42"/>
    <mergeCell ref="F44:G44"/>
    <mergeCell ref="F45:G46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62"/>
  <sheetViews>
    <sheetView topLeftCell="A37" workbookViewId="0">
      <selection activeCell="B58" sqref="B58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11" max="11" width="11.42578125" style="3"/>
  </cols>
  <sheetData>
    <row r="1" spans="2:11" ht="19.5" thickBot="1" x14ac:dyDescent="0.35">
      <c r="B1" s="84">
        <v>42403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7" t="s">
        <v>124</v>
      </c>
      <c r="G2" s="8"/>
      <c r="K2"/>
    </row>
    <row r="3" spans="2:11" ht="15.75" x14ac:dyDescent="0.25">
      <c r="B3" s="9">
        <v>42381</v>
      </c>
      <c r="C3" s="10" t="s">
        <v>125</v>
      </c>
      <c r="D3" s="11" t="s">
        <v>10</v>
      </c>
      <c r="E3" s="12">
        <f>111.8+62.5+19.5+98.4</f>
        <v>292.20000000000005</v>
      </c>
      <c r="F3" s="13">
        <v>13955.8</v>
      </c>
      <c r="K3"/>
    </row>
    <row r="4" spans="2:11" ht="15.75" x14ac:dyDescent="0.25">
      <c r="B4" s="14">
        <v>42391</v>
      </c>
      <c r="C4" s="15" t="s">
        <v>126</v>
      </c>
      <c r="D4" s="16" t="s">
        <v>9</v>
      </c>
      <c r="E4" s="17">
        <f>533.8+254.8</f>
        <v>788.59999999999991</v>
      </c>
      <c r="F4" s="13">
        <v>27528.400000000001</v>
      </c>
      <c r="K4"/>
    </row>
    <row r="5" spans="2:11" ht="15.75" x14ac:dyDescent="0.25">
      <c r="B5" s="14">
        <v>42391</v>
      </c>
      <c r="C5" s="15" t="s">
        <v>127</v>
      </c>
      <c r="D5" s="16" t="s">
        <v>12</v>
      </c>
      <c r="E5" s="17">
        <f>130.9+36.9+93.4+108.8+77</f>
        <v>447.00000000000006</v>
      </c>
      <c r="F5" s="13">
        <v>16963.8</v>
      </c>
      <c r="K5"/>
    </row>
    <row r="6" spans="2:11" ht="15.75" x14ac:dyDescent="0.25">
      <c r="B6" s="14">
        <v>42392</v>
      </c>
      <c r="C6" s="15" t="s">
        <v>128</v>
      </c>
      <c r="D6" s="16" t="s">
        <v>13</v>
      </c>
      <c r="E6" s="17">
        <f>925.3+922.1+162.4</f>
        <v>2009.8000000000002</v>
      </c>
      <c r="F6" s="13">
        <v>59593.7</v>
      </c>
      <c r="K6" s="3">
        <f t="shared" ref="K6:K18" si="0">J6*I6</f>
        <v>0</v>
      </c>
    </row>
    <row r="7" spans="2:11" ht="15.75" x14ac:dyDescent="0.25">
      <c r="B7" s="14">
        <v>42392</v>
      </c>
      <c r="C7" s="15" t="s">
        <v>129</v>
      </c>
      <c r="D7" s="16" t="s">
        <v>8</v>
      </c>
      <c r="E7" s="17">
        <v>931.7</v>
      </c>
      <c r="F7" s="13">
        <v>28416.85</v>
      </c>
      <c r="K7" s="3">
        <f t="shared" si="0"/>
        <v>0</v>
      </c>
    </row>
    <row r="8" spans="2:11" ht="15.75" x14ac:dyDescent="0.25">
      <c r="B8" s="14">
        <v>42393</v>
      </c>
      <c r="C8" s="15" t="s">
        <v>130</v>
      </c>
      <c r="D8" s="16" t="s">
        <v>13</v>
      </c>
      <c r="E8" s="17">
        <f>923.1+454.6+54.48</f>
        <v>1432.18</v>
      </c>
      <c r="F8" s="13">
        <v>45487.18</v>
      </c>
      <c r="K8" s="3">
        <f t="shared" si="0"/>
        <v>0</v>
      </c>
    </row>
    <row r="9" spans="2:11" ht="15.75" x14ac:dyDescent="0.25">
      <c r="B9" s="14">
        <v>42394</v>
      </c>
      <c r="C9" s="15" t="s">
        <v>131</v>
      </c>
      <c r="D9" s="16" t="s">
        <v>9</v>
      </c>
      <c r="E9" s="17">
        <f>269.4+56.8</f>
        <v>326.2</v>
      </c>
      <c r="F9" s="13">
        <v>9756.7999999999993</v>
      </c>
      <c r="K9" s="3">
        <f t="shared" si="0"/>
        <v>0</v>
      </c>
    </row>
    <row r="10" spans="2:11" ht="15.75" x14ac:dyDescent="0.25">
      <c r="B10" s="14">
        <v>42394</v>
      </c>
      <c r="C10" s="15" t="s">
        <v>132</v>
      </c>
      <c r="D10" s="16" t="s">
        <v>10</v>
      </c>
      <c r="E10" s="17">
        <f>129+37.9+5+90</f>
        <v>261.89999999999998</v>
      </c>
      <c r="F10" s="13">
        <v>12461.5</v>
      </c>
      <c r="K10" s="3">
        <f t="shared" si="0"/>
        <v>0</v>
      </c>
    </row>
    <row r="11" spans="2:11" ht="15.75" x14ac:dyDescent="0.25">
      <c r="B11" s="14">
        <v>42394</v>
      </c>
      <c r="C11" s="15" t="s">
        <v>133</v>
      </c>
      <c r="D11" s="16" t="s">
        <v>8</v>
      </c>
      <c r="E11" s="17">
        <f>27.2+24.1</f>
        <v>51.3</v>
      </c>
      <c r="F11" s="13">
        <v>2022.4</v>
      </c>
      <c r="K11" s="3">
        <f t="shared" si="0"/>
        <v>0</v>
      </c>
    </row>
    <row r="12" spans="2:11" ht="15.75" x14ac:dyDescent="0.25">
      <c r="B12" s="14">
        <v>42394</v>
      </c>
      <c r="C12" s="15" t="s">
        <v>134</v>
      </c>
      <c r="D12" s="16" t="s">
        <v>6</v>
      </c>
      <c r="E12" s="17">
        <f>17+13.2</f>
        <v>30.2</v>
      </c>
      <c r="F12" s="13">
        <v>1136.4000000000001</v>
      </c>
      <c r="K12" s="3">
        <f t="shared" si="0"/>
        <v>0</v>
      </c>
    </row>
    <row r="13" spans="2:11" ht="15.75" x14ac:dyDescent="0.25">
      <c r="B13" s="14">
        <v>42394</v>
      </c>
      <c r="C13" s="15" t="s">
        <v>135</v>
      </c>
      <c r="D13" s="16" t="s">
        <v>14</v>
      </c>
      <c r="E13" s="17">
        <v>301.2</v>
      </c>
      <c r="F13" s="13">
        <v>9638.4</v>
      </c>
      <c r="K13" s="3">
        <f t="shared" si="0"/>
        <v>0</v>
      </c>
    </row>
    <row r="14" spans="2:11" ht="15.75" x14ac:dyDescent="0.25">
      <c r="B14" s="14">
        <v>42394</v>
      </c>
      <c r="C14" s="15" t="s">
        <v>136</v>
      </c>
      <c r="D14" s="16" t="s">
        <v>7</v>
      </c>
      <c r="E14" s="17">
        <v>79.8</v>
      </c>
      <c r="F14" s="13">
        <v>2553.6</v>
      </c>
      <c r="K14" s="3">
        <f t="shared" si="0"/>
        <v>0</v>
      </c>
    </row>
    <row r="15" spans="2:11" ht="15.75" x14ac:dyDescent="0.25">
      <c r="B15" s="14">
        <v>42394</v>
      </c>
      <c r="C15" s="15" t="s">
        <v>137</v>
      </c>
      <c r="D15" s="16" t="s">
        <v>20</v>
      </c>
      <c r="E15" s="17">
        <f>527+174.4</f>
        <v>701.4</v>
      </c>
      <c r="F15" s="13">
        <v>24014.400000000001</v>
      </c>
      <c r="K15" s="3">
        <f t="shared" si="0"/>
        <v>0</v>
      </c>
    </row>
    <row r="16" spans="2:11" ht="15.75" x14ac:dyDescent="0.25">
      <c r="B16" s="14">
        <v>42395</v>
      </c>
      <c r="C16" s="15" t="s">
        <v>138</v>
      </c>
      <c r="D16" s="16" t="s">
        <v>14</v>
      </c>
      <c r="E16" s="17">
        <v>305.8</v>
      </c>
      <c r="F16" s="13">
        <v>9785.6</v>
      </c>
      <c r="K16" s="3">
        <f t="shared" si="0"/>
        <v>0</v>
      </c>
    </row>
    <row r="17" spans="1:11" ht="15.75" x14ac:dyDescent="0.25">
      <c r="B17" s="14">
        <v>42395</v>
      </c>
      <c r="C17" s="15" t="s">
        <v>139</v>
      </c>
      <c r="D17" s="16" t="s">
        <v>8</v>
      </c>
      <c r="E17" s="17">
        <v>136.19999999999999</v>
      </c>
      <c r="F17" s="13">
        <v>4358.3999999999996</v>
      </c>
      <c r="K17" s="3">
        <f t="shared" si="0"/>
        <v>0</v>
      </c>
    </row>
    <row r="18" spans="1:11" ht="15.75" x14ac:dyDescent="0.25">
      <c r="B18" s="14">
        <v>42395</v>
      </c>
      <c r="C18" s="15" t="s">
        <v>143</v>
      </c>
      <c r="D18" s="16" t="s">
        <v>11</v>
      </c>
      <c r="E18" s="17">
        <f>13.3+1+69.8</f>
        <v>84.1</v>
      </c>
      <c r="F18" s="13">
        <v>3269.6</v>
      </c>
      <c r="K18" s="3">
        <f t="shared" si="0"/>
        <v>0</v>
      </c>
    </row>
    <row r="19" spans="1:11" ht="15.75" x14ac:dyDescent="0.25">
      <c r="B19" s="14">
        <v>42395</v>
      </c>
      <c r="C19" s="15" t="s">
        <v>140</v>
      </c>
      <c r="D19" s="16" t="s">
        <v>20</v>
      </c>
      <c r="E19" s="17">
        <f>131.4+374.6+177.6</f>
        <v>683.6</v>
      </c>
      <c r="F19" s="13">
        <v>23473.599999999999</v>
      </c>
      <c r="I19" s="3">
        <f t="shared" ref="I19" si="1">SUM(I6:I18)</f>
        <v>0</v>
      </c>
      <c r="J19" s="3"/>
      <c r="K19" s="3">
        <f>SUM(K6:K18)</f>
        <v>0</v>
      </c>
    </row>
    <row r="20" spans="1:11" ht="15.75" x14ac:dyDescent="0.25">
      <c r="B20" s="14">
        <v>42395</v>
      </c>
      <c r="C20" s="15" t="s">
        <v>141</v>
      </c>
      <c r="D20" s="16" t="s">
        <v>6</v>
      </c>
      <c r="E20" s="17">
        <f>6.4+59</f>
        <v>65.400000000000006</v>
      </c>
      <c r="F20" s="13">
        <v>2758.2</v>
      </c>
    </row>
    <row r="21" spans="1:11" ht="15.75" x14ac:dyDescent="0.25">
      <c r="B21" s="14">
        <v>42395</v>
      </c>
      <c r="C21" s="15" t="s">
        <v>144</v>
      </c>
      <c r="D21" s="16" t="s">
        <v>11</v>
      </c>
      <c r="E21" s="17">
        <v>95.2</v>
      </c>
      <c r="F21" s="13">
        <v>3998.4</v>
      </c>
    </row>
    <row r="22" spans="1:11" ht="15.75" x14ac:dyDescent="0.25">
      <c r="A22" s="18"/>
      <c r="B22" s="14">
        <v>42395</v>
      </c>
      <c r="C22" s="15" t="s">
        <v>142</v>
      </c>
      <c r="D22" s="16" t="s">
        <v>10</v>
      </c>
      <c r="E22" s="17">
        <f>17.7+117.2</f>
        <v>134.9</v>
      </c>
      <c r="F22" s="13">
        <v>5745.2</v>
      </c>
    </row>
    <row r="23" spans="1:11" ht="15.75" x14ac:dyDescent="0.25">
      <c r="B23" s="14">
        <v>42395</v>
      </c>
      <c r="C23" s="15" t="s">
        <v>145</v>
      </c>
      <c r="D23" s="16" t="s">
        <v>6</v>
      </c>
      <c r="E23" s="17">
        <v>75.599999999999994</v>
      </c>
      <c r="F23" s="13">
        <v>4989.6000000000004</v>
      </c>
    </row>
    <row r="24" spans="1:11" x14ac:dyDescent="0.25">
      <c r="B24" s="14">
        <v>42396</v>
      </c>
      <c r="C24" s="19" t="s">
        <v>146</v>
      </c>
      <c r="D24" s="16" t="s">
        <v>14</v>
      </c>
      <c r="E24" s="17">
        <v>343</v>
      </c>
      <c r="F24" s="13">
        <v>10976</v>
      </c>
    </row>
    <row r="25" spans="1:11" x14ac:dyDescent="0.25">
      <c r="B25" s="14">
        <v>42396</v>
      </c>
      <c r="C25" s="19" t="s">
        <v>147</v>
      </c>
      <c r="D25" s="16" t="s">
        <v>20</v>
      </c>
      <c r="E25" s="17">
        <f>2+263.4+125</f>
        <v>390.4</v>
      </c>
      <c r="F25" s="13">
        <v>15093.8</v>
      </c>
    </row>
    <row r="26" spans="1:11" x14ac:dyDescent="0.25">
      <c r="B26" s="14">
        <v>42396</v>
      </c>
      <c r="C26" s="19" t="s">
        <v>148</v>
      </c>
      <c r="D26" s="16" t="s">
        <v>7</v>
      </c>
      <c r="E26" s="17">
        <f>6.5+88.4</f>
        <v>94.9</v>
      </c>
      <c r="F26" s="13">
        <v>2952.3</v>
      </c>
    </row>
    <row r="27" spans="1:11" x14ac:dyDescent="0.25">
      <c r="B27" s="14">
        <v>42396</v>
      </c>
      <c r="C27" s="19" t="s">
        <v>149</v>
      </c>
      <c r="D27" s="16" t="s">
        <v>11</v>
      </c>
      <c r="E27" s="17">
        <v>825</v>
      </c>
      <c r="F27" s="13">
        <v>2624</v>
      </c>
    </row>
    <row r="28" spans="1:11" x14ac:dyDescent="0.25">
      <c r="B28" s="14">
        <v>42396</v>
      </c>
      <c r="C28" s="19" t="s">
        <v>150</v>
      </c>
      <c r="D28" s="16" t="s">
        <v>13</v>
      </c>
      <c r="E28" s="17">
        <v>452.2</v>
      </c>
      <c r="F28" s="13">
        <v>14018.2</v>
      </c>
    </row>
    <row r="29" spans="1:11" x14ac:dyDescent="0.25">
      <c r="B29" s="14">
        <v>42396</v>
      </c>
      <c r="C29" s="19" t="s">
        <v>151</v>
      </c>
      <c r="D29" s="16" t="s">
        <v>6</v>
      </c>
      <c r="E29" s="17">
        <v>55.4</v>
      </c>
      <c r="F29" s="13">
        <v>2326.8000000000002</v>
      </c>
    </row>
    <row r="30" spans="1:11" x14ac:dyDescent="0.25">
      <c r="B30" s="14">
        <v>42397</v>
      </c>
      <c r="C30" s="19" t="s">
        <v>152</v>
      </c>
      <c r="D30" s="16" t="s">
        <v>153</v>
      </c>
      <c r="E30" s="17">
        <f>199</f>
        <v>199</v>
      </c>
      <c r="F30" s="13">
        <v>6567</v>
      </c>
    </row>
    <row r="31" spans="1:11" x14ac:dyDescent="0.25">
      <c r="B31" s="14">
        <v>42397</v>
      </c>
      <c r="C31" s="19" t="s">
        <v>154</v>
      </c>
      <c r="D31" s="16" t="s">
        <v>14</v>
      </c>
      <c r="E31" s="17">
        <v>140.4</v>
      </c>
      <c r="F31" s="13">
        <v>4492.8</v>
      </c>
    </row>
    <row r="32" spans="1:11" x14ac:dyDescent="0.25">
      <c r="B32" s="14">
        <v>42397</v>
      </c>
      <c r="C32" s="19" t="s">
        <v>155</v>
      </c>
      <c r="D32" s="16" t="s">
        <v>20</v>
      </c>
      <c r="E32" s="17">
        <f>144.2+156</f>
        <v>300.2</v>
      </c>
      <c r="F32" s="13">
        <v>11010.4</v>
      </c>
    </row>
    <row r="33" spans="2:11" ht="15.75" x14ac:dyDescent="0.25">
      <c r="B33" s="14">
        <v>42397</v>
      </c>
      <c r="C33" s="15" t="s">
        <v>156</v>
      </c>
      <c r="D33" s="16" t="s">
        <v>6</v>
      </c>
      <c r="E33" s="17">
        <f>9.4+13.7+72.6</f>
        <v>95.699999999999989</v>
      </c>
      <c r="F33" s="13">
        <v>2923.5</v>
      </c>
    </row>
    <row r="34" spans="2:11" x14ac:dyDescent="0.25">
      <c r="B34" s="14">
        <v>42397</v>
      </c>
      <c r="C34" s="19" t="s">
        <v>157</v>
      </c>
      <c r="D34" s="16" t="s">
        <v>7</v>
      </c>
      <c r="E34" s="17">
        <f>11.3+11+8.6+27.24+97.2</f>
        <v>155.34</v>
      </c>
      <c r="F34" s="13">
        <v>6596.64</v>
      </c>
      <c r="I34">
        <v>9.4</v>
      </c>
      <c r="J34">
        <v>42</v>
      </c>
      <c r="K34" s="3">
        <f t="shared" ref="K34:K40" si="2">J34*I34</f>
        <v>394.8</v>
      </c>
    </row>
    <row r="35" spans="2:11" x14ac:dyDescent="0.25">
      <c r="B35" s="14">
        <v>42397</v>
      </c>
      <c r="C35" s="19" t="s">
        <v>158</v>
      </c>
      <c r="D35" s="16" t="s">
        <v>6</v>
      </c>
      <c r="E35" s="17">
        <v>51.2</v>
      </c>
      <c r="F35" s="13">
        <v>2099.1999999999998</v>
      </c>
      <c r="I35">
        <v>13.7</v>
      </c>
      <c r="J35">
        <v>15</v>
      </c>
      <c r="K35" s="3">
        <f t="shared" si="2"/>
        <v>205.5</v>
      </c>
    </row>
    <row r="36" spans="2:11" x14ac:dyDescent="0.25">
      <c r="B36" s="14">
        <v>42397</v>
      </c>
      <c r="C36" s="19" t="s">
        <v>159</v>
      </c>
      <c r="D36" s="16" t="s">
        <v>8</v>
      </c>
      <c r="E36" s="17">
        <v>872.7</v>
      </c>
      <c r="F36" s="13">
        <v>27490.05</v>
      </c>
      <c r="I36">
        <v>72.599999999999994</v>
      </c>
      <c r="J36">
        <v>32</v>
      </c>
      <c r="K36" s="3">
        <f t="shared" si="2"/>
        <v>2323.1999999999998</v>
      </c>
    </row>
    <row r="37" spans="2:11" ht="15.75" x14ac:dyDescent="0.25">
      <c r="B37" s="14">
        <v>42397</v>
      </c>
      <c r="C37" s="15" t="s">
        <v>160</v>
      </c>
      <c r="D37" s="16" t="s">
        <v>13</v>
      </c>
      <c r="E37" s="17">
        <v>34.1</v>
      </c>
      <c r="F37" s="13">
        <v>682</v>
      </c>
      <c r="K37" s="3">
        <f t="shared" si="2"/>
        <v>0</v>
      </c>
    </row>
    <row r="38" spans="2:11" ht="15.75" x14ac:dyDescent="0.25">
      <c r="B38" s="14">
        <v>42397</v>
      </c>
      <c r="C38" s="15" t="s">
        <v>161</v>
      </c>
      <c r="D38" s="16" t="s">
        <v>11</v>
      </c>
      <c r="E38" s="17">
        <f>9.7+1+24.3</f>
        <v>35</v>
      </c>
      <c r="F38" s="13">
        <v>1496.8</v>
      </c>
      <c r="K38" s="3">
        <f t="shared" si="2"/>
        <v>0</v>
      </c>
    </row>
    <row r="39" spans="2:11" ht="15.75" x14ac:dyDescent="0.25">
      <c r="B39" s="14">
        <v>42397</v>
      </c>
      <c r="C39" s="15" t="s">
        <v>162</v>
      </c>
      <c r="D39" s="16" t="s">
        <v>10</v>
      </c>
      <c r="E39" s="17">
        <f>27.8+38.2</f>
        <v>66</v>
      </c>
      <c r="F39" s="13">
        <v>2501.1999999999998</v>
      </c>
      <c r="K39" s="3">
        <f t="shared" si="2"/>
        <v>0</v>
      </c>
    </row>
    <row r="40" spans="2:11" x14ac:dyDescent="0.25">
      <c r="B40" s="14">
        <v>42397</v>
      </c>
      <c r="C40" s="19" t="s">
        <v>163</v>
      </c>
      <c r="D40" s="16" t="s">
        <v>164</v>
      </c>
      <c r="E40" s="17">
        <v>2</v>
      </c>
      <c r="F40" s="13">
        <v>1560</v>
      </c>
      <c r="K40" s="3">
        <f t="shared" si="2"/>
        <v>0</v>
      </c>
    </row>
    <row r="41" spans="2:11" ht="15.75" x14ac:dyDescent="0.25">
      <c r="B41" s="14">
        <v>42398</v>
      </c>
      <c r="C41" s="15" t="s">
        <v>165</v>
      </c>
      <c r="D41" s="16" t="s">
        <v>14</v>
      </c>
      <c r="E41" s="17">
        <v>274.2</v>
      </c>
      <c r="F41" s="13">
        <v>8774.4</v>
      </c>
      <c r="K41" s="3">
        <f>J41*I41</f>
        <v>0</v>
      </c>
    </row>
    <row r="42" spans="2:11" ht="15.75" x14ac:dyDescent="0.25">
      <c r="B42" s="14">
        <v>42398</v>
      </c>
      <c r="C42" s="15" t="s">
        <v>166</v>
      </c>
      <c r="D42" s="16" t="s">
        <v>6</v>
      </c>
      <c r="E42" s="17">
        <f>112.4+11.6+152.6</f>
        <v>276.60000000000002</v>
      </c>
      <c r="F42" s="13">
        <v>7976.6</v>
      </c>
      <c r="K42" s="3">
        <f t="shared" ref="K42:K54" si="3">J42*I42</f>
        <v>0</v>
      </c>
    </row>
    <row r="43" spans="2:11" x14ac:dyDescent="0.25">
      <c r="B43" s="14">
        <v>42398</v>
      </c>
      <c r="C43" s="19" t="s">
        <v>167</v>
      </c>
      <c r="D43" s="16" t="s">
        <v>8</v>
      </c>
      <c r="E43" s="17">
        <v>296.10000000000002</v>
      </c>
      <c r="F43" s="13">
        <v>12140.1</v>
      </c>
      <c r="K43" s="3">
        <f t="shared" si="3"/>
        <v>0</v>
      </c>
    </row>
    <row r="44" spans="2:11" x14ac:dyDescent="0.25">
      <c r="B44" s="14">
        <v>42398</v>
      </c>
      <c r="C44" s="19" t="s">
        <v>168</v>
      </c>
      <c r="D44" s="16" t="s">
        <v>20</v>
      </c>
      <c r="E44" s="17">
        <f>306.5+54.6</f>
        <v>361.1</v>
      </c>
      <c r="F44" s="13">
        <v>14313.7</v>
      </c>
    </row>
    <row r="45" spans="2:11" x14ac:dyDescent="0.25">
      <c r="B45" s="14">
        <v>42398</v>
      </c>
      <c r="C45" s="19" t="s">
        <v>169</v>
      </c>
      <c r="D45" s="16" t="s">
        <v>7</v>
      </c>
      <c r="E45" s="17">
        <f>108.6+33.1+19.5+9.4</f>
        <v>170.6</v>
      </c>
      <c r="F45" s="13">
        <v>5746.5</v>
      </c>
    </row>
    <row r="46" spans="2:11" x14ac:dyDescent="0.25">
      <c r="B46" s="14">
        <v>42398</v>
      </c>
      <c r="C46" s="19" t="s">
        <v>170</v>
      </c>
      <c r="D46" s="16" t="s">
        <v>9</v>
      </c>
      <c r="E46" s="17">
        <f>27.2+85.6</f>
        <v>112.8</v>
      </c>
      <c r="F46" s="13">
        <v>2745.6</v>
      </c>
    </row>
    <row r="47" spans="2:11" x14ac:dyDescent="0.25">
      <c r="B47" s="14">
        <v>42398</v>
      </c>
      <c r="C47" s="19" t="s">
        <v>171</v>
      </c>
      <c r="D47" s="16" t="s">
        <v>11</v>
      </c>
      <c r="E47" s="17">
        <f>16.9+113.6</f>
        <v>130.5</v>
      </c>
      <c r="F47" s="13">
        <v>5109.2</v>
      </c>
    </row>
    <row r="48" spans="2:11" x14ac:dyDescent="0.25">
      <c r="B48" s="14">
        <v>42399</v>
      </c>
      <c r="C48" s="19" t="s">
        <v>172</v>
      </c>
      <c r="D48" s="16" t="s">
        <v>11</v>
      </c>
      <c r="E48" s="17">
        <f>33.9</f>
        <v>33.9</v>
      </c>
      <c r="F48" s="13">
        <v>678</v>
      </c>
    </row>
    <row r="49" spans="2:13" x14ac:dyDescent="0.25">
      <c r="B49" s="14">
        <v>42399</v>
      </c>
      <c r="C49" s="19" t="s">
        <v>173</v>
      </c>
      <c r="D49" s="16" t="s">
        <v>10</v>
      </c>
      <c r="E49" s="17">
        <f>18.9+123.8</f>
        <v>142.69999999999999</v>
      </c>
      <c r="F49" s="13">
        <v>4339.6000000000004</v>
      </c>
    </row>
    <row r="50" spans="2:13" x14ac:dyDescent="0.25">
      <c r="B50" s="14">
        <v>42399</v>
      </c>
      <c r="C50" s="19" t="s">
        <v>174</v>
      </c>
      <c r="D50" s="16" t="s">
        <v>8</v>
      </c>
      <c r="E50" s="17">
        <v>383.5</v>
      </c>
      <c r="F50" s="13">
        <v>11888.5</v>
      </c>
    </row>
    <row r="51" spans="2:13" x14ac:dyDescent="0.25">
      <c r="B51" s="14">
        <v>42399</v>
      </c>
      <c r="C51" s="19" t="s">
        <v>175</v>
      </c>
      <c r="D51" s="16" t="s">
        <v>20</v>
      </c>
      <c r="E51" s="17">
        <f>384.4+112.7</f>
        <v>497.09999999999997</v>
      </c>
      <c r="F51" s="13">
        <v>14170.4</v>
      </c>
    </row>
    <row r="52" spans="2:13" x14ac:dyDescent="0.25">
      <c r="B52" s="14">
        <v>42399</v>
      </c>
      <c r="C52" s="19" t="s">
        <v>176</v>
      </c>
      <c r="D52" s="16" t="s">
        <v>7</v>
      </c>
      <c r="E52" s="17">
        <v>41</v>
      </c>
      <c r="F52" s="13">
        <v>2173</v>
      </c>
    </row>
    <row r="53" spans="2:13" ht="15.75" thickBot="1" x14ac:dyDescent="0.3">
      <c r="B53" s="14">
        <v>42399</v>
      </c>
      <c r="C53" s="19" t="s">
        <v>177</v>
      </c>
      <c r="D53" s="16" t="s">
        <v>6</v>
      </c>
      <c r="E53" s="17">
        <f>35.4+11.3</f>
        <v>46.7</v>
      </c>
      <c r="F53" s="13">
        <v>1848.4</v>
      </c>
    </row>
    <row r="54" spans="2:13" ht="15.75" thickBot="1" x14ac:dyDescent="0.3">
      <c r="B54" s="21"/>
      <c r="C54" s="22"/>
      <c r="D54" s="23"/>
      <c r="E54" s="24">
        <v>0</v>
      </c>
      <c r="F54" s="25">
        <f>SUM(F3:F53)</f>
        <v>519222.51999999996</v>
      </c>
      <c r="K54" s="3">
        <f t="shared" si="3"/>
        <v>0</v>
      </c>
    </row>
    <row r="55" spans="2:13" ht="19.5" thickBot="1" x14ac:dyDescent="0.35">
      <c r="B55" s="26"/>
      <c r="C55" s="27"/>
      <c r="D55" s="28" t="s">
        <v>5</v>
      </c>
      <c r="E55" s="29">
        <f>SUM(E3:E54)</f>
        <v>16113.620000000006</v>
      </c>
      <c r="I55" s="30">
        <f>SUM(I34:I54)</f>
        <v>95.699999999999989</v>
      </c>
      <c r="J55" s="30"/>
      <c r="K55" s="30">
        <f>SUM(K34:K54)</f>
        <v>2923.5</v>
      </c>
    </row>
    <row r="56" spans="2:13" x14ac:dyDescent="0.25">
      <c r="B56" s="26"/>
      <c r="C56" s="27"/>
      <c r="D56" s="31"/>
      <c r="E56" s="32"/>
      <c r="K56"/>
    </row>
    <row r="57" spans="2:13" ht="21.75" thickBot="1" x14ac:dyDescent="0.4">
      <c r="B57" s="33"/>
      <c r="C57" s="34" t="s">
        <v>15</v>
      </c>
      <c r="D57" s="35">
        <f>E55*0.2</f>
        <v>3222.7240000000015</v>
      </c>
      <c r="F57"/>
      <c r="K57"/>
    </row>
    <row r="58" spans="2:13" ht="21.75" thickBot="1" x14ac:dyDescent="0.4">
      <c r="C58" s="36" t="s">
        <v>16</v>
      </c>
      <c r="D58" s="37">
        <v>3000</v>
      </c>
      <c r="E58" s="38"/>
      <c r="F58" s="85">
        <f>D57+D58</f>
        <v>6222.724000000002</v>
      </c>
      <c r="G58" s="86"/>
      <c r="I58" s="39"/>
      <c r="J58" s="39"/>
      <c r="K58" s="39"/>
      <c r="L58" s="39"/>
      <c r="M58" s="39"/>
    </row>
    <row r="59" spans="2:13" ht="15.75" thickTop="1" x14ac:dyDescent="0.25">
      <c r="I59" s="39"/>
      <c r="J59" s="39"/>
      <c r="K59" s="40"/>
      <c r="L59" s="40"/>
      <c r="M59" s="40"/>
    </row>
    <row r="60" spans="2:13" ht="19.5" thickBot="1" x14ac:dyDescent="0.35">
      <c r="E60" s="41" t="s">
        <v>17</v>
      </c>
      <c r="F60" s="87">
        <v>0</v>
      </c>
      <c r="G60" s="87"/>
      <c r="I60" s="39"/>
      <c r="J60" s="39"/>
      <c r="K60" s="40"/>
      <c r="L60" s="40"/>
      <c r="M60" s="40"/>
    </row>
    <row r="61" spans="2:13" ht="15.75" thickTop="1" x14ac:dyDescent="0.25">
      <c r="C61"/>
      <c r="F61" s="88">
        <f>F58+F60</f>
        <v>6222.724000000002</v>
      </c>
      <c r="G61" s="88"/>
      <c r="I61" s="39"/>
      <c r="J61" s="39"/>
      <c r="K61" s="40"/>
      <c r="L61" s="40"/>
      <c r="M61" s="40"/>
    </row>
    <row r="62" spans="2:13" ht="18.75" x14ac:dyDescent="0.3">
      <c r="C62"/>
      <c r="E62" s="2" t="s">
        <v>18</v>
      </c>
      <c r="F62" s="89"/>
      <c r="G62" s="89"/>
      <c r="K62"/>
    </row>
  </sheetData>
  <mergeCells count="4">
    <mergeCell ref="B1:C1"/>
    <mergeCell ref="F58:G58"/>
    <mergeCell ref="F60:G60"/>
    <mergeCell ref="F61:G6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F11" sqref="F11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42656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339</v>
      </c>
      <c r="G2" s="8"/>
      <c r="K2"/>
    </row>
    <row r="3" spans="2:11" ht="15.75" x14ac:dyDescent="0.25">
      <c r="B3" s="9">
        <v>42646</v>
      </c>
      <c r="C3" s="10">
        <v>8963</v>
      </c>
      <c r="D3" s="11" t="s">
        <v>20</v>
      </c>
      <c r="E3" s="12">
        <v>321.3</v>
      </c>
      <c r="F3" s="13">
        <v>11888.1</v>
      </c>
      <c r="K3"/>
    </row>
    <row r="4" spans="2:11" ht="15.75" x14ac:dyDescent="0.25">
      <c r="B4" s="14">
        <v>42646</v>
      </c>
      <c r="C4" s="15">
        <v>8964</v>
      </c>
      <c r="D4" s="16" t="s">
        <v>9</v>
      </c>
      <c r="E4" s="17">
        <v>296.3</v>
      </c>
      <c r="F4" s="13">
        <v>10963.1</v>
      </c>
      <c r="K4"/>
    </row>
    <row r="5" spans="2:11" ht="15.75" x14ac:dyDescent="0.25">
      <c r="B5" s="14">
        <v>42646</v>
      </c>
      <c r="C5" s="15">
        <v>8965</v>
      </c>
      <c r="D5" s="16" t="s">
        <v>153</v>
      </c>
      <c r="E5" s="17">
        <v>169.2</v>
      </c>
      <c r="F5" s="13">
        <v>6260.4</v>
      </c>
      <c r="K5"/>
    </row>
    <row r="6" spans="2:11" ht="15.75" x14ac:dyDescent="0.25">
      <c r="B6" s="14">
        <v>42646</v>
      </c>
      <c r="C6" s="66">
        <v>8966</v>
      </c>
      <c r="D6" s="16" t="s">
        <v>7</v>
      </c>
      <c r="E6" s="56">
        <v>80.36</v>
      </c>
      <c r="F6" s="13">
        <v>2973.32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42646</v>
      </c>
      <c r="C7" s="15">
        <v>8968</v>
      </c>
      <c r="D7" s="16" t="s">
        <v>11</v>
      </c>
      <c r="E7" s="17">
        <v>79.2</v>
      </c>
      <c r="F7" s="13">
        <v>2930.4</v>
      </c>
      <c r="K7" s="3">
        <f t="shared" si="0"/>
        <v>0</v>
      </c>
    </row>
    <row r="8" spans="2:11" ht="15.75" x14ac:dyDescent="0.25">
      <c r="B8" s="14">
        <v>42646</v>
      </c>
      <c r="C8" s="15">
        <v>8969</v>
      </c>
      <c r="D8" s="16" t="s">
        <v>10</v>
      </c>
      <c r="E8" s="17">
        <f>159.8+54.48+2</f>
        <v>216.28</v>
      </c>
      <c r="F8" s="13">
        <v>8848.16</v>
      </c>
      <c r="K8" s="3">
        <f t="shared" si="0"/>
        <v>0</v>
      </c>
    </row>
    <row r="9" spans="2:11" ht="15.75" x14ac:dyDescent="0.25">
      <c r="B9" s="14">
        <v>42646</v>
      </c>
      <c r="C9" s="15">
        <v>8970</v>
      </c>
      <c r="D9" s="16" t="s">
        <v>8</v>
      </c>
      <c r="E9" s="17">
        <v>444.4</v>
      </c>
      <c r="F9" s="13">
        <v>14443</v>
      </c>
      <c r="K9" s="3">
        <f t="shared" si="0"/>
        <v>0</v>
      </c>
    </row>
    <row r="10" spans="2:11" ht="15.75" x14ac:dyDescent="0.25">
      <c r="B10" s="14">
        <v>42646</v>
      </c>
      <c r="C10" s="15">
        <v>8981</v>
      </c>
      <c r="D10" s="16" t="s">
        <v>9</v>
      </c>
      <c r="E10" s="17">
        <v>51.1</v>
      </c>
      <c r="F10" s="13">
        <v>2248.4</v>
      </c>
      <c r="K10" s="3">
        <f t="shared" si="0"/>
        <v>0</v>
      </c>
    </row>
    <row r="11" spans="2:11" ht="15.75" x14ac:dyDescent="0.25">
      <c r="B11" s="14">
        <v>42646</v>
      </c>
      <c r="C11" s="44">
        <v>8983</v>
      </c>
      <c r="D11" s="16" t="s">
        <v>20</v>
      </c>
      <c r="E11" s="17">
        <v>110.2</v>
      </c>
      <c r="F11" s="13">
        <v>5289.6</v>
      </c>
      <c r="K11" s="3">
        <f t="shared" si="0"/>
        <v>0</v>
      </c>
    </row>
    <row r="12" spans="2:11" ht="15.75" x14ac:dyDescent="0.25">
      <c r="B12" s="14">
        <v>42647</v>
      </c>
      <c r="C12" s="15">
        <v>9129</v>
      </c>
      <c r="D12" s="16" t="s">
        <v>8</v>
      </c>
      <c r="E12" s="17">
        <v>450.6</v>
      </c>
      <c r="F12" s="13">
        <v>16672.2</v>
      </c>
      <c r="K12" s="3">
        <f t="shared" si="0"/>
        <v>0</v>
      </c>
    </row>
    <row r="13" spans="2:11" ht="15.75" x14ac:dyDescent="0.25">
      <c r="B13" s="14">
        <v>42647</v>
      </c>
      <c r="C13" s="15">
        <v>9132</v>
      </c>
      <c r="D13" s="16" t="s">
        <v>14</v>
      </c>
      <c r="E13" s="17">
        <v>438.3</v>
      </c>
      <c r="F13" s="13">
        <v>16217.1</v>
      </c>
      <c r="K13" s="3">
        <f t="shared" si="0"/>
        <v>0</v>
      </c>
    </row>
    <row r="14" spans="2:11" ht="15.75" x14ac:dyDescent="0.25">
      <c r="B14" s="14">
        <v>42647</v>
      </c>
      <c r="C14" s="15">
        <v>9136</v>
      </c>
      <c r="D14" s="16" t="s">
        <v>20</v>
      </c>
      <c r="E14" s="17">
        <f>392.3+23.1</f>
        <v>415.40000000000003</v>
      </c>
      <c r="F14" s="13">
        <v>15138.8</v>
      </c>
      <c r="K14" s="3">
        <f t="shared" si="0"/>
        <v>0</v>
      </c>
    </row>
    <row r="15" spans="2:11" ht="15.75" x14ac:dyDescent="0.25">
      <c r="B15" s="14">
        <v>42647</v>
      </c>
      <c r="C15" s="15">
        <v>9137</v>
      </c>
      <c r="D15" s="16" t="s">
        <v>153</v>
      </c>
      <c r="E15" s="17">
        <f>184.12+14.8</f>
        <v>198.92000000000002</v>
      </c>
      <c r="F15" s="13">
        <v>7656.04</v>
      </c>
      <c r="K15" s="3">
        <f t="shared" si="0"/>
        <v>0</v>
      </c>
    </row>
    <row r="16" spans="2:11" ht="15.75" x14ac:dyDescent="0.25">
      <c r="B16" s="14">
        <v>42647</v>
      </c>
      <c r="C16" s="15">
        <v>9139</v>
      </c>
      <c r="D16" s="16" t="s">
        <v>10</v>
      </c>
      <c r="E16" s="17">
        <v>177.6</v>
      </c>
      <c r="F16" s="13">
        <v>6571.2</v>
      </c>
      <c r="K16" s="3">
        <f t="shared" si="0"/>
        <v>0</v>
      </c>
    </row>
    <row r="17" spans="1:13" ht="15.75" x14ac:dyDescent="0.25">
      <c r="B17" s="14">
        <v>42647</v>
      </c>
      <c r="C17" s="15">
        <v>9138</v>
      </c>
      <c r="D17" s="16" t="s">
        <v>340</v>
      </c>
      <c r="E17" s="17">
        <f>23.3+44.4</f>
        <v>67.7</v>
      </c>
      <c r="F17" s="13">
        <v>2449.5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42647</v>
      </c>
      <c r="C18" s="15">
        <v>9155</v>
      </c>
      <c r="D18" s="16" t="s">
        <v>8</v>
      </c>
      <c r="E18" s="17">
        <f>880.4+144.4</f>
        <v>1024.8</v>
      </c>
      <c r="F18" s="13">
        <v>36403.599999999999</v>
      </c>
      <c r="I18" s="3"/>
      <c r="J18" s="3"/>
    </row>
    <row r="19" spans="1:13" ht="15.75" x14ac:dyDescent="0.25">
      <c r="B19" s="14">
        <v>42647</v>
      </c>
      <c r="C19" s="15">
        <v>9194</v>
      </c>
      <c r="D19" s="16" t="s">
        <v>9</v>
      </c>
      <c r="E19" s="17">
        <f>191.6+68.6</f>
        <v>260.2</v>
      </c>
      <c r="F19" s="13">
        <v>7832</v>
      </c>
    </row>
    <row r="20" spans="1:13" ht="15.75" x14ac:dyDescent="0.25">
      <c r="B20" s="14">
        <v>42648</v>
      </c>
      <c r="C20" s="15">
        <v>9224</v>
      </c>
      <c r="D20" s="16" t="s">
        <v>9</v>
      </c>
      <c r="E20" s="17">
        <v>411</v>
      </c>
      <c r="F20" s="13">
        <v>15207</v>
      </c>
    </row>
    <row r="21" spans="1:13" ht="15.75" x14ac:dyDescent="0.25">
      <c r="B21" s="14">
        <v>42648</v>
      </c>
      <c r="C21" s="15">
        <v>9225</v>
      </c>
      <c r="D21" s="16" t="s">
        <v>20</v>
      </c>
      <c r="E21" s="17">
        <v>412.8</v>
      </c>
      <c r="F21" s="13">
        <v>15273.6</v>
      </c>
    </row>
    <row r="22" spans="1:13" ht="15.75" x14ac:dyDescent="0.25">
      <c r="A22" s="18"/>
      <c r="B22" s="14">
        <v>42648</v>
      </c>
      <c r="C22" s="15">
        <v>9226</v>
      </c>
      <c r="D22" s="16" t="s">
        <v>13</v>
      </c>
      <c r="E22" s="17">
        <v>428.2</v>
      </c>
      <c r="F22" s="13">
        <v>15843.4</v>
      </c>
    </row>
    <row r="23" spans="1:13" ht="15.75" x14ac:dyDescent="0.25">
      <c r="B23" s="14">
        <v>42648</v>
      </c>
      <c r="C23" s="15">
        <v>9227</v>
      </c>
      <c r="D23" s="16" t="s">
        <v>7</v>
      </c>
      <c r="E23" s="17">
        <v>93.4</v>
      </c>
      <c r="F23" s="13">
        <v>3455.8</v>
      </c>
      <c r="I23" s="48"/>
      <c r="J23" s="49"/>
      <c r="K23" s="50"/>
      <c r="L23" s="51"/>
      <c r="M23" s="52"/>
    </row>
    <row r="24" spans="1:13" ht="15.75" x14ac:dyDescent="0.25">
      <c r="B24" s="14">
        <v>42648</v>
      </c>
      <c r="C24" s="15">
        <v>9228</v>
      </c>
      <c r="D24" s="16" t="s">
        <v>6</v>
      </c>
      <c r="E24" s="17">
        <v>183.9</v>
      </c>
      <c r="F24" s="13">
        <v>6988.2</v>
      </c>
      <c r="I24" s="31"/>
      <c r="J24" s="31"/>
      <c r="K24" s="53"/>
      <c r="L24" s="31"/>
      <c r="M24" s="31"/>
    </row>
    <row r="25" spans="1:13" ht="15.75" x14ac:dyDescent="0.25">
      <c r="B25" s="14">
        <v>42648</v>
      </c>
      <c r="C25" s="15">
        <v>9230</v>
      </c>
      <c r="D25" s="16" t="s">
        <v>8</v>
      </c>
      <c r="E25" s="17">
        <v>448.4</v>
      </c>
      <c r="F25" s="13">
        <v>14124.6</v>
      </c>
      <c r="I25" s="31"/>
      <c r="J25" s="31"/>
      <c r="K25" s="53"/>
      <c r="L25" s="31"/>
      <c r="M25" s="31"/>
    </row>
    <row r="26" spans="1:13" ht="15.75" x14ac:dyDescent="0.25">
      <c r="B26" s="14">
        <v>42648</v>
      </c>
      <c r="C26" s="15">
        <v>9231</v>
      </c>
      <c r="D26" s="16" t="s">
        <v>8</v>
      </c>
      <c r="E26" s="17">
        <v>1</v>
      </c>
      <c r="F26" s="13">
        <v>185</v>
      </c>
    </row>
    <row r="27" spans="1:13" x14ac:dyDescent="0.25">
      <c r="B27" s="14">
        <v>42648</v>
      </c>
      <c r="C27" s="19">
        <v>9232</v>
      </c>
      <c r="D27" s="16" t="s">
        <v>20</v>
      </c>
      <c r="E27" s="17">
        <v>21.9</v>
      </c>
      <c r="F27" s="13">
        <v>591.29999999999995</v>
      </c>
    </row>
    <row r="28" spans="1:13" x14ac:dyDescent="0.25">
      <c r="B28" s="14">
        <v>42648</v>
      </c>
      <c r="C28" s="19">
        <v>9234</v>
      </c>
      <c r="D28" s="16" t="s">
        <v>12</v>
      </c>
      <c r="E28" s="17">
        <v>110.4</v>
      </c>
      <c r="F28" s="13">
        <v>5409.6</v>
      </c>
      <c r="K28" s="3">
        <f t="shared" ref="K28:K53" si="2">J28*I28</f>
        <v>0</v>
      </c>
    </row>
    <row r="29" spans="1:13" x14ac:dyDescent="0.25">
      <c r="B29" s="14">
        <v>42648</v>
      </c>
      <c r="C29" s="19">
        <v>9236</v>
      </c>
      <c r="D29" s="16" t="s">
        <v>153</v>
      </c>
      <c r="E29" s="17">
        <v>74.2</v>
      </c>
      <c r="F29" s="13">
        <v>4600.3999999999996</v>
      </c>
      <c r="K29" s="3">
        <f t="shared" si="2"/>
        <v>0</v>
      </c>
    </row>
    <row r="30" spans="1:13" x14ac:dyDescent="0.25">
      <c r="B30" s="14">
        <v>42649</v>
      </c>
      <c r="C30" s="19">
        <v>9360</v>
      </c>
      <c r="D30" s="16" t="s">
        <v>20</v>
      </c>
      <c r="E30" s="17">
        <v>285.7</v>
      </c>
      <c r="F30" s="13">
        <v>10856.6</v>
      </c>
      <c r="K30" s="3">
        <f t="shared" si="2"/>
        <v>0</v>
      </c>
    </row>
    <row r="31" spans="1:13" x14ac:dyDescent="0.25">
      <c r="B31" s="14">
        <v>42649</v>
      </c>
      <c r="C31" s="19">
        <v>9361</v>
      </c>
      <c r="D31" s="16" t="s">
        <v>9</v>
      </c>
      <c r="E31" s="17">
        <v>220.4</v>
      </c>
      <c r="F31" s="13">
        <v>8375.2000000000007</v>
      </c>
      <c r="K31" s="3">
        <f t="shared" si="2"/>
        <v>0</v>
      </c>
    </row>
    <row r="32" spans="1:13" x14ac:dyDescent="0.25">
      <c r="B32" s="14">
        <v>42649</v>
      </c>
      <c r="C32" s="19">
        <v>9362</v>
      </c>
      <c r="D32" s="16" t="s">
        <v>14</v>
      </c>
      <c r="E32" s="17">
        <v>205.7</v>
      </c>
      <c r="F32" s="13">
        <v>7816.6</v>
      </c>
      <c r="K32" s="3">
        <f t="shared" si="2"/>
        <v>0</v>
      </c>
    </row>
    <row r="33" spans="2:11" x14ac:dyDescent="0.25">
      <c r="B33" s="14">
        <v>42649</v>
      </c>
      <c r="C33" s="19">
        <v>9363</v>
      </c>
      <c r="D33" s="16" t="s">
        <v>10</v>
      </c>
      <c r="E33" s="17">
        <v>156.4</v>
      </c>
      <c r="F33" s="13">
        <v>5786.8</v>
      </c>
      <c r="K33" s="3">
        <f t="shared" si="2"/>
        <v>0</v>
      </c>
    </row>
    <row r="34" spans="2:11" x14ac:dyDescent="0.25">
      <c r="B34" s="14">
        <v>42650</v>
      </c>
      <c r="C34" s="19">
        <v>9495</v>
      </c>
      <c r="D34" s="16" t="s">
        <v>153</v>
      </c>
      <c r="E34" s="17">
        <f>398.9+1</f>
        <v>399.9</v>
      </c>
      <c r="F34" s="13">
        <v>15529.3</v>
      </c>
    </row>
    <row r="35" spans="2:11" x14ac:dyDescent="0.25">
      <c r="B35" s="14">
        <v>42650</v>
      </c>
      <c r="C35" s="19">
        <v>9501</v>
      </c>
      <c r="D35" s="16" t="s">
        <v>10</v>
      </c>
      <c r="E35" s="17">
        <f>650.8+177.8+33.9+108.96</f>
        <v>971.45999999999992</v>
      </c>
      <c r="F35" s="13">
        <v>35627.82</v>
      </c>
    </row>
    <row r="36" spans="2:11" x14ac:dyDescent="0.25">
      <c r="B36" s="14">
        <v>42650</v>
      </c>
      <c r="C36" s="19">
        <v>9510</v>
      </c>
      <c r="D36" s="16" t="s">
        <v>13</v>
      </c>
      <c r="E36" s="17">
        <v>398.8</v>
      </c>
      <c r="F36" s="13">
        <v>14755.6</v>
      </c>
    </row>
    <row r="37" spans="2:11" x14ac:dyDescent="0.25">
      <c r="B37" s="14">
        <v>42650</v>
      </c>
      <c r="C37" s="19">
        <v>9512</v>
      </c>
      <c r="D37" s="16" t="s">
        <v>14</v>
      </c>
      <c r="E37" s="17">
        <v>402.4</v>
      </c>
      <c r="F37" s="13">
        <v>14888.8</v>
      </c>
    </row>
    <row r="38" spans="2:11" x14ac:dyDescent="0.25">
      <c r="B38" s="14">
        <v>42650</v>
      </c>
      <c r="C38" s="19">
        <v>9513</v>
      </c>
      <c r="D38" s="16" t="s">
        <v>20</v>
      </c>
      <c r="E38" s="17">
        <v>393.3</v>
      </c>
      <c r="F38" s="13">
        <v>14552.1</v>
      </c>
    </row>
    <row r="39" spans="2:11" x14ac:dyDescent="0.25">
      <c r="B39" s="14">
        <v>42650</v>
      </c>
      <c r="C39" s="19">
        <v>9518</v>
      </c>
      <c r="D39" s="16" t="s">
        <v>20</v>
      </c>
      <c r="E39" s="17">
        <v>57</v>
      </c>
      <c r="F39" s="13">
        <v>2451</v>
      </c>
    </row>
    <row r="40" spans="2:11" x14ac:dyDescent="0.25">
      <c r="B40" s="14">
        <v>42650</v>
      </c>
      <c r="C40" s="19">
        <v>9520</v>
      </c>
      <c r="D40" s="16" t="s">
        <v>9</v>
      </c>
      <c r="E40" s="17">
        <f>196.4+90.2</f>
        <v>286.60000000000002</v>
      </c>
      <c r="F40" s="13">
        <v>8072.8</v>
      </c>
    </row>
    <row r="41" spans="2:11" x14ac:dyDescent="0.25">
      <c r="B41" s="14">
        <v>42650</v>
      </c>
      <c r="C41" s="19">
        <v>9524</v>
      </c>
      <c r="D41" s="16" t="s">
        <v>6</v>
      </c>
      <c r="E41" s="17">
        <f>6.5+20.8+79.8+242</f>
        <v>349.1</v>
      </c>
      <c r="F41" s="13">
        <v>15512.5</v>
      </c>
      <c r="K41" s="3">
        <f t="shared" si="2"/>
        <v>0</v>
      </c>
    </row>
    <row r="42" spans="2:11" x14ac:dyDescent="0.25">
      <c r="B42" s="14">
        <v>42650</v>
      </c>
      <c r="C42" s="19">
        <v>9525</v>
      </c>
      <c r="D42" s="16" t="s">
        <v>20</v>
      </c>
      <c r="E42" s="17">
        <f>58.7+33.5</f>
        <v>92.2</v>
      </c>
      <c r="F42" s="13">
        <v>2195.9</v>
      </c>
    </row>
    <row r="43" spans="2:11" x14ac:dyDescent="0.25">
      <c r="B43" s="14">
        <v>42650</v>
      </c>
      <c r="C43" s="19">
        <v>9527</v>
      </c>
      <c r="D43" s="16" t="s">
        <v>8</v>
      </c>
      <c r="E43" s="17">
        <v>66.8</v>
      </c>
      <c r="F43" s="13">
        <v>1736.8</v>
      </c>
    </row>
    <row r="44" spans="2:11" x14ac:dyDescent="0.25">
      <c r="B44" s="14">
        <v>42650</v>
      </c>
      <c r="C44" s="19">
        <v>9530</v>
      </c>
      <c r="D44" s="16" t="s">
        <v>8</v>
      </c>
      <c r="E44" s="17">
        <f>8.5+22.2</f>
        <v>30.7</v>
      </c>
      <c r="F44" s="13">
        <v>709.4</v>
      </c>
    </row>
    <row r="45" spans="2:11" x14ac:dyDescent="0.25">
      <c r="B45" s="14">
        <v>42650</v>
      </c>
      <c r="C45" s="19">
        <v>9598</v>
      </c>
      <c r="D45" s="16" t="s">
        <v>8</v>
      </c>
      <c r="E45" s="17">
        <f>38.1+53.9</f>
        <v>92</v>
      </c>
      <c r="F45" s="13">
        <v>2652.65</v>
      </c>
    </row>
    <row r="46" spans="2:11" x14ac:dyDescent="0.25">
      <c r="B46" s="14">
        <v>42650</v>
      </c>
      <c r="C46" s="19">
        <v>9599</v>
      </c>
      <c r="D46" s="16" t="s">
        <v>11</v>
      </c>
      <c r="E46" s="17">
        <f>36.7+81+129.4</f>
        <v>247.10000000000002</v>
      </c>
      <c r="F46" s="13">
        <v>11236.3</v>
      </c>
    </row>
    <row r="47" spans="2:11" x14ac:dyDescent="0.25">
      <c r="B47" s="14">
        <v>42651</v>
      </c>
      <c r="C47" s="19">
        <v>9657</v>
      </c>
      <c r="D47" s="16" t="s">
        <v>20</v>
      </c>
      <c r="E47" s="17">
        <f>377.7+135.1</f>
        <v>512.79999999999995</v>
      </c>
      <c r="F47" s="13">
        <v>20567.2</v>
      </c>
    </row>
    <row r="48" spans="2:11" x14ac:dyDescent="0.25">
      <c r="B48" s="14">
        <v>42651</v>
      </c>
      <c r="C48" s="19">
        <v>9660</v>
      </c>
      <c r="D48" s="16" t="s">
        <v>9</v>
      </c>
      <c r="E48" s="17">
        <v>358.1</v>
      </c>
      <c r="F48" s="13">
        <v>13607.8</v>
      </c>
    </row>
    <row r="49" spans="1:13" x14ac:dyDescent="0.25">
      <c r="B49" s="14">
        <v>42651</v>
      </c>
      <c r="C49" s="19">
        <v>9661</v>
      </c>
      <c r="D49" s="16" t="s">
        <v>341</v>
      </c>
      <c r="E49" s="17">
        <v>370.3</v>
      </c>
      <c r="F49" s="13">
        <v>14071.4</v>
      </c>
      <c r="K49" s="3">
        <f t="shared" si="2"/>
        <v>0</v>
      </c>
    </row>
    <row r="50" spans="1:13" x14ac:dyDescent="0.25">
      <c r="A50" s="18"/>
      <c r="B50" s="14">
        <v>42651</v>
      </c>
      <c r="C50" s="19">
        <v>9662</v>
      </c>
      <c r="D50" s="16" t="s">
        <v>8</v>
      </c>
      <c r="E50" s="17">
        <f>918.5+83</f>
        <v>1001.5</v>
      </c>
      <c r="F50" s="13">
        <v>29381</v>
      </c>
    </row>
    <row r="51" spans="1:13" x14ac:dyDescent="0.25">
      <c r="B51" s="14">
        <v>42651</v>
      </c>
      <c r="C51" s="19">
        <v>9664</v>
      </c>
      <c r="D51" s="16" t="s">
        <v>7</v>
      </c>
      <c r="E51" s="17">
        <f>20.8+50.1+162.2</f>
        <v>233.1</v>
      </c>
      <c r="F51" s="13">
        <v>7644.4</v>
      </c>
      <c r="K51" s="3">
        <f t="shared" si="2"/>
        <v>0</v>
      </c>
    </row>
    <row r="52" spans="1:13" ht="15.75" thickBot="1" x14ac:dyDescent="0.3">
      <c r="B52" s="14">
        <v>42651</v>
      </c>
      <c r="C52" s="19">
        <v>9665</v>
      </c>
      <c r="D52" s="16" t="s">
        <v>11</v>
      </c>
      <c r="E52" s="17">
        <v>77.8</v>
      </c>
      <c r="F52" s="13">
        <v>4123.3999999999996</v>
      </c>
      <c r="K52" s="3">
        <f t="shared" si="2"/>
        <v>0</v>
      </c>
    </row>
    <row r="53" spans="1:13" ht="15.75" thickBot="1" x14ac:dyDescent="0.3">
      <c r="B53" s="21" t="s">
        <v>233</v>
      </c>
      <c r="C53" s="22"/>
      <c r="D53" s="23"/>
      <c r="E53" s="24">
        <v>0</v>
      </c>
      <c r="F53" s="25">
        <f>SUM(F3:F52)</f>
        <v>518615.19</v>
      </c>
      <c r="K53" s="3">
        <f t="shared" si="2"/>
        <v>0</v>
      </c>
    </row>
    <row r="54" spans="1:13" ht="19.5" thickBot="1" x14ac:dyDescent="0.35">
      <c r="B54" s="26"/>
      <c r="C54" s="27"/>
      <c r="D54" s="28" t="s">
        <v>5</v>
      </c>
      <c r="E54" s="29">
        <f>SUM(E3:E53)</f>
        <v>14196.219999999994</v>
      </c>
      <c r="I54" s="30">
        <f>SUM(I53:I53)</f>
        <v>0</v>
      </c>
      <c r="J54" s="30"/>
      <c r="K54" s="30">
        <f>SUM(K53:K53)</f>
        <v>0</v>
      </c>
    </row>
    <row r="55" spans="1:13" x14ac:dyDescent="0.25">
      <c r="B55" s="26"/>
      <c r="C55" s="27"/>
      <c r="D55" s="31"/>
      <c r="E55" s="32"/>
      <c r="I55" s="30">
        <f>SUM(I41:I54)</f>
        <v>0</v>
      </c>
      <c r="J55" s="30"/>
      <c r="K55" s="30">
        <f>SUM(K41:K54)</f>
        <v>0</v>
      </c>
    </row>
    <row r="56" spans="1:13" ht="21.75" thickBot="1" x14ac:dyDescent="0.4">
      <c r="B56" s="33"/>
      <c r="C56" s="34" t="s">
        <v>15</v>
      </c>
      <c r="D56" s="35">
        <f>E54*0.2</f>
        <v>2839.2439999999988</v>
      </c>
      <c r="F56"/>
      <c r="K56"/>
    </row>
    <row r="57" spans="1:13" ht="21.75" thickBot="1" x14ac:dyDescent="0.4">
      <c r="C57" s="36" t="s">
        <v>16</v>
      </c>
      <c r="D57" s="37">
        <v>3000</v>
      </c>
      <c r="E57" s="38"/>
      <c r="F57" s="85">
        <f>D56+D57</f>
        <v>5839.2439999999988</v>
      </c>
      <c r="G57" s="86"/>
      <c r="I57" s="39"/>
      <c r="J57" s="39"/>
      <c r="K57" s="39"/>
      <c r="L57" s="39"/>
      <c r="M57" s="39"/>
    </row>
    <row r="58" spans="1:13" ht="15.75" thickTop="1" x14ac:dyDescent="0.25">
      <c r="I58" s="39"/>
      <c r="J58" s="39"/>
      <c r="K58" s="40"/>
      <c r="L58" s="40"/>
      <c r="M58" s="40"/>
    </row>
    <row r="59" spans="1:13" ht="19.5" thickBot="1" x14ac:dyDescent="0.35">
      <c r="D59" s="62"/>
      <c r="E59" s="41" t="s">
        <v>311</v>
      </c>
      <c r="F59" s="87">
        <v>0</v>
      </c>
      <c r="G59" s="87"/>
      <c r="I59" s="39"/>
      <c r="J59" s="39"/>
      <c r="K59" s="40"/>
      <c r="L59" s="40"/>
      <c r="M59" s="40"/>
    </row>
    <row r="60" spans="1:13" ht="15.75" thickTop="1" x14ac:dyDescent="0.25">
      <c r="C60"/>
      <c r="F60" s="88">
        <f>F57+F59</f>
        <v>5839.2439999999988</v>
      </c>
      <c r="G60" s="88"/>
      <c r="I60" s="39"/>
      <c r="J60" s="39"/>
      <c r="K60" s="40"/>
      <c r="L60" s="40"/>
      <c r="M60" s="40"/>
    </row>
    <row r="61" spans="1:13" ht="18.75" x14ac:dyDescent="0.3">
      <c r="C61"/>
      <c r="E61" s="2" t="s">
        <v>18</v>
      </c>
      <c r="F61" s="89"/>
      <c r="G61" s="89"/>
      <c r="K61"/>
    </row>
  </sheetData>
  <mergeCells count="4">
    <mergeCell ref="B1:C1"/>
    <mergeCell ref="F57:G57"/>
    <mergeCell ref="F59:G59"/>
    <mergeCell ref="F60:G61"/>
  </mergeCells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25" workbookViewId="0">
      <selection activeCell="B49" sqref="B49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42663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342</v>
      </c>
      <c r="G2" s="8"/>
      <c r="K2"/>
    </row>
    <row r="3" spans="2:11" ht="15.75" x14ac:dyDescent="0.25">
      <c r="B3" s="9">
        <v>42653</v>
      </c>
      <c r="C3" s="10">
        <v>9839</v>
      </c>
      <c r="D3" s="11" t="s">
        <v>9</v>
      </c>
      <c r="E3" s="12">
        <v>402.4</v>
      </c>
      <c r="F3" s="13">
        <v>14888.8</v>
      </c>
      <c r="K3"/>
    </row>
    <row r="4" spans="2:11" ht="15.75" x14ac:dyDescent="0.25">
      <c r="B4" s="14">
        <v>42653</v>
      </c>
      <c r="C4" s="15">
        <v>9840</v>
      </c>
      <c r="D4" s="16" t="s">
        <v>20</v>
      </c>
      <c r="E4" s="17">
        <f>395.8+23.9</f>
        <v>419.7</v>
      </c>
      <c r="F4" s="13">
        <v>15289.9</v>
      </c>
      <c r="K4"/>
    </row>
    <row r="5" spans="2:11" ht="15.75" x14ac:dyDescent="0.25">
      <c r="B5" s="14">
        <v>42653</v>
      </c>
      <c r="C5" s="15">
        <v>9842</v>
      </c>
      <c r="D5" s="16" t="s">
        <v>14</v>
      </c>
      <c r="E5" s="17">
        <v>361.7</v>
      </c>
      <c r="F5" s="13">
        <v>13744.6</v>
      </c>
      <c r="K5"/>
    </row>
    <row r="6" spans="2:11" ht="15.75" x14ac:dyDescent="0.25">
      <c r="B6" s="14">
        <v>42653</v>
      </c>
      <c r="C6" s="66">
        <v>9844</v>
      </c>
      <c r="D6" s="16" t="s">
        <v>7</v>
      </c>
      <c r="E6" s="56">
        <v>79.400000000000006</v>
      </c>
      <c r="F6" s="13">
        <v>2937.8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42653</v>
      </c>
      <c r="C7" s="15">
        <v>9846</v>
      </c>
      <c r="D7" s="16" t="s">
        <v>153</v>
      </c>
      <c r="E7" s="17">
        <v>182.5</v>
      </c>
      <c r="F7" s="13">
        <v>6752.5</v>
      </c>
      <c r="K7" s="3">
        <f t="shared" si="0"/>
        <v>0</v>
      </c>
    </row>
    <row r="8" spans="2:11" ht="15.75" x14ac:dyDescent="0.25">
      <c r="B8" s="14">
        <v>42653</v>
      </c>
      <c r="C8" s="15">
        <v>9850</v>
      </c>
      <c r="D8" s="16" t="s">
        <v>305</v>
      </c>
      <c r="E8" s="17">
        <v>16.399999999999999</v>
      </c>
      <c r="F8" s="13">
        <v>360.8</v>
      </c>
      <c r="K8" s="3">
        <f t="shared" si="0"/>
        <v>0</v>
      </c>
    </row>
    <row r="9" spans="2:11" ht="15.75" x14ac:dyDescent="0.25">
      <c r="B9" s="14">
        <v>42653</v>
      </c>
      <c r="C9" s="15">
        <v>9853</v>
      </c>
      <c r="D9" s="16" t="s">
        <v>305</v>
      </c>
      <c r="E9" s="17">
        <v>88.6</v>
      </c>
      <c r="F9" s="13">
        <v>3278.2</v>
      </c>
      <c r="K9" s="3">
        <f t="shared" si="0"/>
        <v>0</v>
      </c>
    </row>
    <row r="10" spans="2:11" ht="15.75" x14ac:dyDescent="0.25">
      <c r="B10" s="14">
        <v>42653</v>
      </c>
      <c r="C10" s="15">
        <v>9929</v>
      </c>
      <c r="D10" s="16" t="s">
        <v>11</v>
      </c>
      <c r="E10" s="17">
        <f>89.1+2.5</f>
        <v>91.6</v>
      </c>
      <c r="F10" s="13">
        <v>5059.8</v>
      </c>
      <c r="K10" s="3">
        <f t="shared" si="0"/>
        <v>0</v>
      </c>
    </row>
    <row r="11" spans="2:11" ht="15.75" x14ac:dyDescent="0.25">
      <c r="B11" s="14">
        <v>42653</v>
      </c>
      <c r="C11" s="44">
        <v>9933</v>
      </c>
      <c r="D11" s="16" t="s">
        <v>20</v>
      </c>
      <c r="E11" s="17">
        <v>55.7</v>
      </c>
      <c r="F11" s="13">
        <v>2339.4</v>
      </c>
      <c r="K11" s="3">
        <f t="shared" si="0"/>
        <v>0</v>
      </c>
    </row>
    <row r="12" spans="2:11" ht="15.75" x14ac:dyDescent="0.25">
      <c r="B12" s="14">
        <v>42654</v>
      </c>
      <c r="C12" s="15">
        <v>10012</v>
      </c>
      <c r="D12" s="16" t="s">
        <v>20</v>
      </c>
      <c r="E12" s="17">
        <f>59.7+385.6</f>
        <v>445.3</v>
      </c>
      <c r="F12" s="13">
        <v>15879.1</v>
      </c>
      <c r="K12" s="3">
        <f t="shared" si="0"/>
        <v>0</v>
      </c>
    </row>
    <row r="13" spans="2:11" ht="15.75" x14ac:dyDescent="0.25">
      <c r="B13" s="14">
        <v>42654</v>
      </c>
      <c r="C13" s="15">
        <v>10013</v>
      </c>
      <c r="D13" s="16" t="s">
        <v>13</v>
      </c>
      <c r="E13" s="17">
        <v>362.5</v>
      </c>
      <c r="F13" s="13">
        <v>13412.5</v>
      </c>
      <c r="K13" s="3">
        <f t="shared" si="0"/>
        <v>0</v>
      </c>
    </row>
    <row r="14" spans="2:11" ht="15.75" x14ac:dyDescent="0.25">
      <c r="B14" s="14">
        <v>42654</v>
      </c>
      <c r="C14" s="15">
        <v>10014</v>
      </c>
      <c r="D14" s="16" t="s">
        <v>12</v>
      </c>
      <c r="E14" s="17">
        <v>952.83</v>
      </c>
      <c r="F14" s="13">
        <v>28584.9</v>
      </c>
      <c r="K14" s="3">
        <f t="shared" si="0"/>
        <v>0</v>
      </c>
    </row>
    <row r="15" spans="2:11" ht="15.75" x14ac:dyDescent="0.25">
      <c r="B15" s="14">
        <v>42654</v>
      </c>
      <c r="C15" s="15">
        <v>10015</v>
      </c>
      <c r="D15" s="16" t="s">
        <v>9</v>
      </c>
      <c r="E15" s="17">
        <v>389.1</v>
      </c>
      <c r="F15" s="13">
        <v>14396.7</v>
      </c>
      <c r="K15" s="3">
        <f t="shared" si="0"/>
        <v>0</v>
      </c>
    </row>
    <row r="16" spans="2:11" ht="15.75" x14ac:dyDescent="0.25">
      <c r="B16" s="14">
        <v>42654</v>
      </c>
      <c r="C16" s="15">
        <v>10017</v>
      </c>
      <c r="D16" s="16" t="s">
        <v>7</v>
      </c>
      <c r="E16" s="17">
        <v>24.9</v>
      </c>
      <c r="F16" s="13">
        <v>996</v>
      </c>
      <c r="K16" s="3">
        <f t="shared" si="0"/>
        <v>0</v>
      </c>
    </row>
    <row r="17" spans="1:13" ht="15.75" x14ac:dyDescent="0.25">
      <c r="B17" s="14">
        <v>42655</v>
      </c>
      <c r="C17" s="15">
        <v>10121</v>
      </c>
      <c r="D17" s="16" t="s">
        <v>10</v>
      </c>
      <c r="E17" s="17">
        <f>210.4+4+257.8</f>
        <v>472.20000000000005</v>
      </c>
      <c r="F17" s="13">
        <v>16801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42655</v>
      </c>
      <c r="C18" s="15">
        <v>10122</v>
      </c>
      <c r="D18" s="16" t="s">
        <v>9</v>
      </c>
      <c r="E18" s="17">
        <f>368.4</f>
        <v>368.4</v>
      </c>
      <c r="F18" s="13">
        <v>13630.8</v>
      </c>
      <c r="I18" s="3"/>
      <c r="J18" s="3"/>
    </row>
    <row r="19" spans="1:13" ht="15.75" x14ac:dyDescent="0.25">
      <c r="B19" s="14">
        <v>42655</v>
      </c>
      <c r="C19" s="15">
        <v>10123</v>
      </c>
      <c r="D19" s="16" t="s">
        <v>305</v>
      </c>
      <c r="E19" s="17">
        <f>458.4+145.8</f>
        <v>604.20000000000005</v>
      </c>
      <c r="F19" s="13">
        <v>16959.599999999999</v>
      </c>
    </row>
    <row r="20" spans="1:13" ht="15.75" x14ac:dyDescent="0.25">
      <c r="B20" s="14">
        <v>42655</v>
      </c>
      <c r="C20" s="15">
        <v>10124</v>
      </c>
      <c r="D20" s="16" t="s">
        <v>7</v>
      </c>
      <c r="E20" s="17">
        <f>78.7+4.3</f>
        <v>83</v>
      </c>
      <c r="F20" s="13">
        <v>3255.9</v>
      </c>
    </row>
    <row r="21" spans="1:13" ht="15.75" x14ac:dyDescent="0.25">
      <c r="B21" s="14">
        <v>42655</v>
      </c>
      <c r="C21" s="15">
        <v>10125</v>
      </c>
      <c r="D21" s="16" t="s">
        <v>6</v>
      </c>
      <c r="E21" s="17">
        <f>70.4+9.9</f>
        <v>80.300000000000011</v>
      </c>
      <c r="F21" s="13">
        <v>3407.8</v>
      </c>
    </row>
    <row r="22" spans="1:13" ht="15.75" x14ac:dyDescent="0.25">
      <c r="A22" s="18"/>
      <c r="B22" s="14">
        <v>42655</v>
      </c>
      <c r="C22" s="15">
        <v>10126</v>
      </c>
      <c r="D22" s="16" t="s">
        <v>343</v>
      </c>
      <c r="E22" s="17">
        <v>408.5</v>
      </c>
      <c r="F22" s="13">
        <v>15114.5</v>
      </c>
    </row>
    <row r="23" spans="1:13" ht="15.75" x14ac:dyDescent="0.25">
      <c r="B23" s="14">
        <v>42655</v>
      </c>
      <c r="C23" s="15">
        <v>10127</v>
      </c>
      <c r="D23" s="16" t="s">
        <v>153</v>
      </c>
      <c r="E23" s="17">
        <v>176.7</v>
      </c>
      <c r="F23" s="13">
        <v>6537.9</v>
      </c>
      <c r="I23" s="48"/>
      <c r="J23" s="49"/>
      <c r="K23" s="50"/>
      <c r="L23" s="51"/>
      <c r="M23" s="52"/>
    </row>
    <row r="24" spans="1:13" ht="15.75" x14ac:dyDescent="0.25">
      <c r="B24" s="14">
        <v>42656</v>
      </c>
      <c r="C24" s="15">
        <v>10262</v>
      </c>
      <c r="D24" s="16" t="s">
        <v>14</v>
      </c>
      <c r="E24" s="17">
        <v>369.6</v>
      </c>
      <c r="F24" s="13">
        <v>14044.8</v>
      </c>
      <c r="I24" s="31"/>
      <c r="J24" s="31"/>
      <c r="K24" s="53"/>
      <c r="L24" s="31"/>
      <c r="M24" s="31"/>
    </row>
    <row r="25" spans="1:13" ht="15.75" x14ac:dyDescent="0.25">
      <c r="B25" s="14">
        <v>42656</v>
      </c>
      <c r="C25" s="15">
        <v>10263</v>
      </c>
      <c r="D25" s="16" t="s">
        <v>153</v>
      </c>
      <c r="E25" s="17">
        <v>172.1</v>
      </c>
      <c r="F25" s="13">
        <v>6367.7</v>
      </c>
      <c r="I25" s="31"/>
      <c r="J25" s="31"/>
      <c r="K25" s="53"/>
      <c r="L25" s="31"/>
      <c r="M25" s="31"/>
    </row>
    <row r="26" spans="1:13" ht="15.75" x14ac:dyDescent="0.25">
      <c r="B26" s="14">
        <v>42656</v>
      </c>
      <c r="C26" s="15">
        <v>10264</v>
      </c>
      <c r="D26" s="16" t="s">
        <v>9</v>
      </c>
      <c r="E26" s="17">
        <v>332.3</v>
      </c>
      <c r="F26" s="13">
        <v>12627.4</v>
      </c>
    </row>
    <row r="27" spans="1:13" x14ac:dyDescent="0.25">
      <c r="B27" s="14">
        <v>42656</v>
      </c>
      <c r="C27" s="19">
        <v>10265</v>
      </c>
      <c r="D27" s="16" t="s">
        <v>20</v>
      </c>
      <c r="E27" s="17">
        <v>364.5</v>
      </c>
      <c r="F27" s="13">
        <v>13486.5</v>
      </c>
    </row>
    <row r="28" spans="1:13" x14ac:dyDescent="0.25">
      <c r="B28" s="14">
        <v>42656</v>
      </c>
      <c r="C28" s="19">
        <v>10267</v>
      </c>
      <c r="D28" s="16" t="s">
        <v>20</v>
      </c>
      <c r="E28" s="17">
        <v>28.4</v>
      </c>
      <c r="F28" s="13">
        <v>766.8</v>
      </c>
      <c r="K28" s="3">
        <f t="shared" ref="K28:K53" si="2">J28*I28</f>
        <v>0</v>
      </c>
    </row>
    <row r="29" spans="1:13" x14ac:dyDescent="0.25">
      <c r="B29" s="14">
        <v>42656</v>
      </c>
      <c r="C29" s="19">
        <v>10271</v>
      </c>
      <c r="D29" s="16" t="s">
        <v>11</v>
      </c>
      <c r="E29" s="17">
        <v>78.56</v>
      </c>
      <c r="F29" s="13">
        <v>4008.6</v>
      </c>
      <c r="K29" s="3">
        <f t="shared" si="2"/>
        <v>0</v>
      </c>
    </row>
    <row r="30" spans="1:13" x14ac:dyDescent="0.25">
      <c r="B30" s="14">
        <v>42657</v>
      </c>
      <c r="C30" s="19">
        <v>10379</v>
      </c>
      <c r="D30" s="16" t="s">
        <v>344</v>
      </c>
      <c r="E30" s="17">
        <f>892.2+46</f>
        <v>938.2</v>
      </c>
      <c r="F30" s="13">
        <v>26885.8</v>
      </c>
      <c r="K30" s="3">
        <f t="shared" si="2"/>
        <v>0</v>
      </c>
    </row>
    <row r="31" spans="1:13" x14ac:dyDescent="0.25">
      <c r="B31" s="14">
        <v>42657</v>
      </c>
      <c r="C31" s="19">
        <v>10383</v>
      </c>
      <c r="D31" s="16" t="s">
        <v>14</v>
      </c>
      <c r="E31" s="17">
        <v>411.4</v>
      </c>
      <c r="F31" s="13">
        <v>15221.8</v>
      </c>
      <c r="K31" s="3">
        <f t="shared" si="2"/>
        <v>0</v>
      </c>
    </row>
    <row r="32" spans="1:13" x14ac:dyDescent="0.25">
      <c r="B32" s="14">
        <v>42657</v>
      </c>
      <c r="C32" s="19">
        <v>10385</v>
      </c>
      <c r="D32" s="16" t="s">
        <v>13</v>
      </c>
      <c r="E32" s="17">
        <v>387.2</v>
      </c>
      <c r="F32" s="13">
        <v>14713.6</v>
      </c>
      <c r="K32" s="3">
        <f t="shared" si="2"/>
        <v>0</v>
      </c>
    </row>
    <row r="33" spans="2:11" x14ac:dyDescent="0.25">
      <c r="B33" s="14">
        <v>42657</v>
      </c>
      <c r="C33" s="19">
        <v>10386</v>
      </c>
      <c r="D33" s="16" t="s">
        <v>9</v>
      </c>
      <c r="E33" s="17">
        <v>329.9</v>
      </c>
      <c r="F33" s="13">
        <v>15175.4</v>
      </c>
      <c r="K33" s="3">
        <f t="shared" si="2"/>
        <v>0</v>
      </c>
    </row>
    <row r="34" spans="2:11" x14ac:dyDescent="0.25">
      <c r="B34" s="14">
        <v>42657</v>
      </c>
      <c r="C34" s="19">
        <v>10390</v>
      </c>
      <c r="D34" s="16" t="s">
        <v>12</v>
      </c>
      <c r="E34" s="17">
        <f>84.8+27.24</f>
        <v>112.03999999999999</v>
      </c>
      <c r="F34" s="13">
        <v>6113.88</v>
      </c>
    </row>
    <row r="35" spans="2:11" x14ac:dyDescent="0.25">
      <c r="B35" s="14">
        <v>42657</v>
      </c>
      <c r="C35" s="19">
        <v>10394</v>
      </c>
      <c r="D35" s="16" t="s">
        <v>7</v>
      </c>
      <c r="E35" s="17">
        <f>18.9+0.5</f>
        <v>19.399999999999999</v>
      </c>
      <c r="F35" s="13">
        <v>876.4</v>
      </c>
    </row>
    <row r="36" spans="2:11" x14ac:dyDescent="0.25">
      <c r="B36" s="14">
        <v>42657</v>
      </c>
      <c r="C36" s="19">
        <v>10395</v>
      </c>
      <c r="D36" s="16" t="s">
        <v>6</v>
      </c>
      <c r="E36" s="17">
        <f>79.6+253+79.3+25.9+18.4+12.4</f>
        <v>468.59999999999997</v>
      </c>
      <c r="F36" s="13">
        <v>20421.5</v>
      </c>
    </row>
    <row r="37" spans="2:11" x14ac:dyDescent="0.25">
      <c r="B37" s="14">
        <v>42657</v>
      </c>
      <c r="C37" s="19">
        <v>10396</v>
      </c>
      <c r="D37" s="16" t="s">
        <v>20</v>
      </c>
      <c r="E37" s="17">
        <f>391+31.6+198.8</f>
        <v>621.40000000000009</v>
      </c>
      <c r="F37" s="13">
        <v>21284.2</v>
      </c>
    </row>
    <row r="38" spans="2:11" x14ac:dyDescent="0.25">
      <c r="B38" s="14">
        <v>42657</v>
      </c>
      <c r="C38" s="19">
        <v>10411</v>
      </c>
      <c r="D38" s="16" t="s">
        <v>9</v>
      </c>
      <c r="E38" s="17">
        <v>159.19999999999999</v>
      </c>
      <c r="F38" s="13">
        <v>4776</v>
      </c>
    </row>
    <row r="39" spans="2:11" x14ac:dyDescent="0.25">
      <c r="B39" s="14">
        <v>42658</v>
      </c>
      <c r="C39" s="19">
        <v>10520</v>
      </c>
      <c r="D39" s="16" t="s">
        <v>10</v>
      </c>
      <c r="E39" s="17">
        <f>368.8+40.5+4+54.48+103.1</f>
        <v>570.88</v>
      </c>
      <c r="F39" s="13">
        <v>21128.560000000001</v>
      </c>
    </row>
    <row r="40" spans="2:11" x14ac:dyDescent="0.25">
      <c r="B40" s="14">
        <v>42658</v>
      </c>
      <c r="C40" s="19">
        <v>10521</v>
      </c>
      <c r="D40" s="16" t="s">
        <v>12</v>
      </c>
      <c r="E40" s="17">
        <v>100.6</v>
      </c>
      <c r="F40" s="13">
        <v>5734.2</v>
      </c>
    </row>
    <row r="41" spans="2:11" x14ac:dyDescent="0.25">
      <c r="B41" s="14">
        <v>42658</v>
      </c>
      <c r="C41" s="19">
        <v>10522</v>
      </c>
      <c r="D41" s="16" t="s">
        <v>20</v>
      </c>
      <c r="E41" s="17">
        <f>405.8+324.6</f>
        <v>730.40000000000009</v>
      </c>
      <c r="F41" s="13">
        <v>29946.2</v>
      </c>
      <c r="K41" s="3">
        <f t="shared" si="2"/>
        <v>0</v>
      </c>
    </row>
    <row r="42" spans="2:11" x14ac:dyDescent="0.25">
      <c r="B42" s="14">
        <v>42658</v>
      </c>
      <c r="C42" s="19">
        <v>10523</v>
      </c>
      <c r="D42" s="16" t="s">
        <v>9</v>
      </c>
      <c r="E42" s="17">
        <v>386.6</v>
      </c>
      <c r="F42" s="13">
        <v>14304.2</v>
      </c>
    </row>
    <row r="43" spans="2:11" x14ac:dyDescent="0.25">
      <c r="B43" s="14">
        <v>42658</v>
      </c>
      <c r="C43" s="19">
        <v>10524</v>
      </c>
      <c r="D43" s="16" t="s">
        <v>13</v>
      </c>
      <c r="E43" s="17">
        <v>370.2</v>
      </c>
      <c r="F43" s="13">
        <v>14067.6</v>
      </c>
    </row>
    <row r="44" spans="2:11" x14ac:dyDescent="0.25">
      <c r="B44" s="14">
        <v>42658</v>
      </c>
      <c r="C44" s="19">
        <v>10525</v>
      </c>
      <c r="D44" s="16" t="s">
        <v>14</v>
      </c>
      <c r="E44" s="17">
        <v>367.6</v>
      </c>
      <c r="F44" s="13">
        <v>13968.8</v>
      </c>
    </row>
    <row r="45" spans="2:11" x14ac:dyDescent="0.25">
      <c r="B45" s="14">
        <v>42658</v>
      </c>
      <c r="C45" s="19">
        <v>10526</v>
      </c>
      <c r="D45" s="16" t="s">
        <v>305</v>
      </c>
      <c r="E45" s="17">
        <f>24.1+3+21.8</f>
        <v>48.900000000000006</v>
      </c>
      <c r="F45" s="13">
        <v>1661.2</v>
      </c>
    </row>
    <row r="46" spans="2:11" x14ac:dyDescent="0.25">
      <c r="B46" s="14">
        <v>42658</v>
      </c>
      <c r="C46" s="19">
        <v>10530</v>
      </c>
      <c r="D46" s="16" t="s">
        <v>7</v>
      </c>
      <c r="E46" s="17">
        <v>8.6</v>
      </c>
      <c r="F46" s="13">
        <v>223.6</v>
      </c>
    </row>
    <row r="47" spans="2:11" x14ac:dyDescent="0.25">
      <c r="B47" s="14">
        <v>42658</v>
      </c>
      <c r="C47" s="19">
        <v>10551</v>
      </c>
      <c r="D47" s="16" t="s">
        <v>345</v>
      </c>
      <c r="E47" s="17">
        <f>83.7+19.4+47.6</f>
        <v>150.69999999999999</v>
      </c>
      <c r="F47" s="13">
        <v>11105.4</v>
      </c>
    </row>
    <row r="48" spans="2:11" x14ac:dyDescent="0.25">
      <c r="B48" s="14">
        <v>42658</v>
      </c>
      <c r="C48" s="19">
        <v>10552</v>
      </c>
      <c r="D48" s="16" t="s">
        <v>12</v>
      </c>
      <c r="E48" s="17">
        <v>232</v>
      </c>
      <c r="F48" s="13">
        <v>16704</v>
      </c>
    </row>
    <row r="49" spans="1:13" x14ac:dyDescent="0.25">
      <c r="B49" s="14"/>
      <c r="C49" s="19"/>
      <c r="D49" s="16"/>
      <c r="E49" s="17"/>
      <c r="F49" s="13"/>
      <c r="K49" s="3">
        <f t="shared" si="2"/>
        <v>0</v>
      </c>
    </row>
    <row r="50" spans="1:13" x14ac:dyDescent="0.25">
      <c r="A50" s="18"/>
      <c r="B50" s="14"/>
      <c r="C50" s="19"/>
      <c r="D50" s="16"/>
      <c r="E50" s="17"/>
      <c r="F50" s="13"/>
      <c r="K50" s="3">
        <f t="shared" si="2"/>
        <v>0</v>
      </c>
    </row>
    <row r="51" spans="1:13" x14ac:dyDescent="0.25">
      <c r="B51" s="14"/>
      <c r="C51" s="19"/>
      <c r="D51" s="16"/>
      <c r="E51" s="17"/>
      <c r="F51" s="13"/>
      <c r="K51" s="3">
        <f t="shared" si="2"/>
        <v>0</v>
      </c>
    </row>
    <row r="52" spans="1:13" ht="15.75" thickBot="1" x14ac:dyDescent="0.3">
      <c r="B52" s="14"/>
      <c r="C52" s="19"/>
      <c r="D52" s="16"/>
      <c r="E52" s="17"/>
      <c r="F52" s="13"/>
      <c r="K52" s="3">
        <f t="shared" si="2"/>
        <v>0</v>
      </c>
    </row>
    <row r="53" spans="1:13" ht="15.75" thickBot="1" x14ac:dyDescent="0.3">
      <c r="B53" s="21" t="s">
        <v>233</v>
      </c>
      <c r="C53" s="22"/>
      <c r="D53" s="23"/>
      <c r="E53" s="24">
        <v>0</v>
      </c>
      <c r="F53" s="25">
        <f>SUM(F3:F52)</f>
        <v>519242.64</v>
      </c>
      <c r="K53" s="3">
        <f t="shared" si="2"/>
        <v>0</v>
      </c>
    </row>
    <row r="54" spans="1:13" ht="19.5" thickBot="1" x14ac:dyDescent="0.35">
      <c r="B54" s="26"/>
      <c r="C54" s="27"/>
      <c r="D54" s="28" t="s">
        <v>5</v>
      </c>
      <c r="E54" s="29">
        <f>SUM(E3:E53)</f>
        <v>13825.210000000003</v>
      </c>
      <c r="I54" s="30">
        <f>SUM(I53:I53)</f>
        <v>0</v>
      </c>
      <c r="J54" s="30"/>
      <c r="K54" s="30">
        <f>SUM(K53:K53)</f>
        <v>0</v>
      </c>
    </row>
    <row r="55" spans="1:13" x14ac:dyDescent="0.25">
      <c r="B55" s="26"/>
      <c r="C55" s="27"/>
      <c r="D55" s="31"/>
      <c r="E55" s="32"/>
      <c r="I55" s="30">
        <f>SUM(I41:I54)</f>
        <v>0</v>
      </c>
      <c r="J55" s="30"/>
      <c r="K55" s="30">
        <f>SUM(K41:K54)</f>
        <v>0</v>
      </c>
    </row>
    <row r="56" spans="1:13" ht="21.75" thickBot="1" x14ac:dyDescent="0.4">
      <c r="B56" s="33"/>
      <c r="C56" s="34" t="s">
        <v>15</v>
      </c>
      <c r="D56" s="35">
        <f>E54*0.2</f>
        <v>2765.0420000000008</v>
      </c>
      <c r="F56"/>
      <c r="K56"/>
    </row>
    <row r="57" spans="1:13" ht="21.75" thickBot="1" x14ac:dyDescent="0.4">
      <c r="C57" s="36" t="s">
        <v>16</v>
      </c>
      <c r="D57" s="37">
        <v>3000</v>
      </c>
      <c r="E57" s="38"/>
      <c r="F57" s="85">
        <f>D56+D57</f>
        <v>5765.0420000000013</v>
      </c>
      <c r="G57" s="86"/>
      <c r="I57" s="39"/>
      <c r="J57" s="39"/>
      <c r="K57" s="39"/>
      <c r="L57" s="39"/>
      <c r="M57" s="39"/>
    </row>
    <row r="58" spans="1:13" ht="15.75" thickTop="1" x14ac:dyDescent="0.25">
      <c r="I58" s="39"/>
      <c r="J58" s="39"/>
      <c r="K58" s="40"/>
      <c r="L58" s="40"/>
      <c r="M58" s="40"/>
    </row>
    <row r="59" spans="1:13" ht="19.5" thickBot="1" x14ac:dyDescent="0.35">
      <c r="D59" s="62"/>
      <c r="E59" s="41" t="s">
        <v>311</v>
      </c>
      <c r="F59" s="87">
        <v>0</v>
      </c>
      <c r="G59" s="87"/>
      <c r="I59" s="39"/>
      <c r="J59" s="39"/>
      <c r="K59" s="40"/>
      <c r="L59" s="40"/>
      <c r="M59" s="40"/>
    </row>
    <row r="60" spans="1:13" ht="15.75" thickTop="1" x14ac:dyDescent="0.25">
      <c r="C60"/>
      <c r="F60" s="88">
        <f>F57+F59</f>
        <v>5765.0420000000013</v>
      </c>
      <c r="G60" s="88"/>
      <c r="I60" s="39"/>
      <c r="J60" s="39"/>
      <c r="K60" s="40"/>
      <c r="L60" s="40"/>
      <c r="M60" s="40"/>
    </row>
    <row r="61" spans="1:13" ht="18.75" x14ac:dyDescent="0.3">
      <c r="C61"/>
      <c r="E61" s="2" t="s">
        <v>18</v>
      </c>
      <c r="F61" s="89"/>
      <c r="G61" s="89"/>
      <c r="K61"/>
    </row>
  </sheetData>
  <mergeCells count="4">
    <mergeCell ref="B1:C1"/>
    <mergeCell ref="F57:G57"/>
    <mergeCell ref="F59:G59"/>
    <mergeCell ref="F60:G61"/>
  </mergeCells>
  <pageMargins left="0.70866141732283472" right="0.70866141732283472" top="0.15748031496062992" bottom="0.19685039370078741" header="0.31496062992125984" footer="0.31496062992125984"/>
  <pageSetup scale="80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1" workbookViewId="0">
      <selection activeCell="G59" sqref="G59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42669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346</v>
      </c>
      <c r="G2" s="8"/>
      <c r="K2"/>
    </row>
    <row r="3" spans="2:11" ht="15.75" x14ac:dyDescent="0.25">
      <c r="B3" s="9">
        <v>42660</v>
      </c>
      <c r="C3" s="10">
        <v>10737</v>
      </c>
      <c r="D3" s="11" t="s">
        <v>9</v>
      </c>
      <c r="E3" s="12">
        <v>363.6</v>
      </c>
      <c r="F3" s="13">
        <v>13816.8</v>
      </c>
      <c r="K3"/>
    </row>
    <row r="4" spans="2:11" ht="15.75" x14ac:dyDescent="0.25">
      <c r="B4" s="14">
        <v>42660</v>
      </c>
      <c r="C4" s="15">
        <v>10738</v>
      </c>
      <c r="D4" s="16" t="s">
        <v>14</v>
      </c>
      <c r="E4" s="17">
        <v>364</v>
      </c>
      <c r="F4" s="13">
        <v>13832</v>
      </c>
      <c r="K4"/>
    </row>
    <row r="5" spans="2:11" ht="15.75" x14ac:dyDescent="0.25">
      <c r="B5" s="14">
        <v>42660</v>
      </c>
      <c r="C5" s="15">
        <v>10739</v>
      </c>
      <c r="D5" s="16" t="s">
        <v>12</v>
      </c>
      <c r="E5" s="17">
        <v>960.54</v>
      </c>
      <c r="F5" s="13">
        <v>28816.2</v>
      </c>
      <c r="K5"/>
    </row>
    <row r="6" spans="2:11" ht="15.75" x14ac:dyDescent="0.25">
      <c r="B6" s="14">
        <v>42660</v>
      </c>
      <c r="C6" s="66">
        <v>10740</v>
      </c>
      <c r="D6" s="16" t="s">
        <v>13</v>
      </c>
      <c r="E6" s="56">
        <v>352</v>
      </c>
      <c r="F6" s="13">
        <v>13376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42660</v>
      </c>
      <c r="C7" s="15">
        <v>10741</v>
      </c>
      <c r="D7" s="16" t="s">
        <v>153</v>
      </c>
      <c r="E7" s="17">
        <v>81</v>
      </c>
      <c r="F7" s="13">
        <v>3078</v>
      </c>
      <c r="K7" s="3">
        <f t="shared" si="0"/>
        <v>0</v>
      </c>
    </row>
    <row r="8" spans="2:11" ht="15.75" x14ac:dyDescent="0.25">
      <c r="B8" s="14">
        <v>42660</v>
      </c>
      <c r="C8" s="15">
        <v>10742</v>
      </c>
      <c r="D8" s="16" t="s">
        <v>347</v>
      </c>
      <c r="E8" s="17">
        <v>83.3</v>
      </c>
      <c r="F8" s="13">
        <v>4581.5</v>
      </c>
      <c r="K8" s="3">
        <f t="shared" si="0"/>
        <v>0</v>
      </c>
    </row>
    <row r="9" spans="2:11" ht="15.75" x14ac:dyDescent="0.25">
      <c r="B9" s="14">
        <v>42660</v>
      </c>
      <c r="C9" s="15">
        <v>10743</v>
      </c>
      <c r="D9" s="16" t="s">
        <v>7</v>
      </c>
      <c r="E9" s="17">
        <v>158.5</v>
      </c>
      <c r="F9" s="13">
        <v>6023</v>
      </c>
      <c r="K9" s="3">
        <f t="shared" si="0"/>
        <v>0</v>
      </c>
    </row>
    <row r="10" spans="2:11" ht="15.75" x14ac:dyDescent="0.25">
      <c r="B10" s="14">
        <v>42660</v>
      </c>
      <c r="C10" s="15">
        <v>10744</v>
      </c>
      <c r="D10" s="16" t="s">
        <v>20</v>
      </c>
      <c r="E10" s="17">
        <f>362.7+104.2+22.8</f>
        <v>489.7</v>
      </c>
      <c r="F10" s="13">
        <v>17628.400000000001</v>
      </c>
      <c r="K10" s="3">
        <f t="shared" si="0"/>
        <v>0</v>
      </c>
    </row>
    <row r="11" spans="2:11" ht="15.75" x14ac:dyDescent="0.25">
      <c r="B11" s="14">
        <v>42660</v>
      </c>
      <c r="C11" s="44">
        <v>10746</v>
      </c>
      <c r="D11" s="16" t="s">
        <v>11</v>
      </c>
      <c r="E11" s="17">
        <f>131.1+64+44.2</f>
        <v>239.3</v>
      </c>
      <c r="F11" s="13">
        <v>9832.7999999999993</v>
      </c>
      <c r="K11" s="3">
        <f t="shared" si="0"/>
        <v>0</v>
      </c>
    </row>
    <row r="12" spans="2:11" ht="15.75" x14ac:dyDescent="0.25">
      <c r="B12" s="14">
        <v>42660</v>
      </c>
      <c r="C12" s="15">
        <v>10747</v>
      </c>
      <c r="D12" s="16" t="s">
        <v>6</v>
      </c>
      <c r="E12" s="17">
        <f>2+37.3</f>
        <v>39.299999999999997</v>
      </c>
      <c r="F12" s="13">
        <v>1526.3</v>
      </c>
      <c r="K12" s="3">
        <f t="shared" si="0"/>
        <v>0</v>
      </c>
    </row>
    <row r="13" spans="2:11" ht="15.75" x14ac:dyDescent="0.25">
      <c r="B13" s="14">
        <v>42660</v>
      </c>
      <c r="C13" s="15">
        <v>10789</v>
      </c>
      <c r="D13" s="16" t="s">
        <v>11</v>
      </c>
      <c r="E13" s="17">
        <v>71</v>
      </c>
      <c r="F13" s="13">
        <v>3550</v>
      </c>
      <c r="K13" s="3">
        <f t="shared" si="0"/>
        <v>0</v>
      </c>
    </row>
    <row r="14" spans="2:11" ht="15.75" x14ac:dyDescent="0.25">
      <c r="B14" s="14">
        <v>42661</v>
      </c>
      <c r="C14" s="15">
        <v>10874</v>
      </c>
      <c r="D14" s="16" t="s">
        <v>9</v>
      </c>
      <c r="E14" s="17">
        <v>395.5</v>
      </c>
      <c r="F14" s="13">
        <v>15029</v>
      </c>
      <c r="K14" s="3">
        <f t="shared" si="0"/>
        <v>0</v>
      </c>
    </row>
    <row r="15" spans="2:11" ht="15.75" x14ac:dyDescent="0.25">
      <c r="B15" s="14">
        <v>42661</v>
      </c>
      <c r="C15" s="15">
        <v>10875</v>
      </c>
      <c r="D15" s="16" t="s">
        <v>20</v>
      </c>
      <c r="E15" s="17">
        <v>361.8</v>
      </c>
      <c r="F15" s="13">
        <v>13748.4</v>
      </c>
      <c r="K15" s="3">
        <f t="shared" si="0"/>
        <v>0</v>
      </c>
    </row>
    <row r="16" spans="2:11" ht="15.75" x14ac:dyDescent="0.25">
      <c r="B16" s="14">
        <v>42661</v>
      </c>
      <c r="C16" s="15">
        <v>10876</v>
      </c>
      <c r="D16" s="16" t="s">
        <v>7</v>
      </c>
      <c r="E16" s="17">
        <v>79.599999999999994</v>
      </c>
      <c r="F16" s="13">
        <v>3024.8</v>
      </c>
      <c r="K16" s="3">
        <f t="shared" si="0"/>
        <v>0</v>
      </c>
    </row>
    <row r="17" spans="1:13" ht="15.75" x14ac:dyDescent="0.25">
      <c r="B17" s="14">
        <v>42661</v>
      </c>
      <c r="C17" s="15">
        <v>10877</v>
      </c>
      <c r="D17" s="16" t="s">
        <v>11</v>
      </c>
      <c r="E17" s="17">
        <f>13.2+29.2</f>
        <v>42.4</v>
      </c>
      <c r="F17" s="13">
        <v>1304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42661</v>
      </c>
      <c r="C18" s="15">
        <v>10878</v>
      </c>
      <c r="D18" s="16" t="s">
        <v>20</v>
      </c>
      <c r="E18" s="17">
        <v>36.200000000000003</v>
      </c>
      <c r="F18" s="13">
        <v>1013.6</v>
      </c>
      <c r="I18" s="3"/>
      <c r="J18" s="3"/>
    </row>
    <row r="19" spans="1:13" ht="15.75" x14ac:dyDescent="0.25">
      <c r="B19" s="14">
        <v>42661</v>
      </c>
      <c r="C19" s="15">
        <v>10880</v>
      </c>
      <c r="D19" s="16" t="s">
        <v>192</v>
      </c>
      <c r="E19" s="17">
        <f>367+51.5</f>
        <v>418.5</v>
      </c>
      <c r="F19" s="13">
        <v>13083</v>
      </c>
    </row>
    <row r="20" spans="1:13" ht="15.75" x14ac:dyDescent="0.25">
      <c r="B20" s="14">
        <v>42662</v>
      </c>
      <c r="C20" s="15">
        <v>10993</v>
      </c>
      <c r="D20" s="16" t="s">
        <v>6</v>
      </c>
      <c r="E20" s="17">
        <f>30.9+163.6+34.4</f>
        <v>228.9</v>
      </c>
      <c r="F20" s="13">
        <v>9191.5</v>
      </c>
    </row>
    <row r="21" spans="1:13" ht="15.75" x14ac:dyDescent="0.25">
      <c r="B21" s="14">
        <v>42662</v>
      </c>
      <c r="C21" s="15">
        <v>10994</v>
      </c>
      <c r="D21" s="16" t="s">
        <v>10</v>
      </c>
      <c r="E21" s="17">
        <v>129.80000000000001</v>
      </c>
      <c r="F21" s="13">
        <v>7268.8</v>
      </c>
    </row>
    <row r="22" spans="1:13" ht="15.75" x14ac:dyDescent="0.25">
      <c r="A22" s="18"/>
      <c r="B22" s="14">
        <v>42662</v>
      </c>
      <c r="C22" s="15">
        <v>10995</v>
      </c>
      <c r="D22" s="16" t="s">
        <v>20</v>
      </c>
      <c r="E22" s="17">
        <v>363.7</v>
      </c>
      <c r="F22" s="13">
        <v>13820.6</v>
      </c>
    </row>
    <row r="23" spans="1:13" ht="15.75" x14ac:dyDescent="0.25">
      <c r="B23" s="14">
        <v>42662</v>
      </c>
      <c r="C23" s="15">
        <v>10996</v>
      </c>
      <c r="D23" s="16" t="s">
        <v>9</v>
      </c>
      <c r="E23" s="17">
        <v>408.9</v>
      </c>
      <c r="F23" s="13">
        <v>15538.2</v>
      </c>
      <c r="I23" s="48"/>
      <c r="J23" s="49"/>
      <c r="K23" s="50"/>
      <c r="L23" s="51"/>
      <c r="M23" s="52"/>
    </row>
    <row r="24" spans="1:13" ht="15.75" x14ac:dyDescent="0.25">
      <c r="B24" s="14">
        <v>42662</v>
      </c>
      <c r="C24" s="15">
        <v>10997</v>
      </c>
      <c r="D24" s="16" t="s">
        <v>7</v>
      </c>
      <c r="E24" s="17">
        <v>78.599999999999994</v>
      </c>
      <c r="F24" s="13">
        <v>2986.8</v>
      </c>
      <c r="I24" s="31"/>
      <c r="J24" s="31"/>
      <c r="K24" s="53"/>
      <c r="L24" s="31"/>
      <c r="M24" s="31"/>
    </row>
    <row r="25" spans="1:13" ht="15.75" x14ac:dyDescent="0.25">
      <c r="B25" s="14">
        <v>42662</v>
      </c>
      <c r="C25" s="15">
        <v>10998</v>
      </c>
      <c r="D25" s="16" t="s">
        <v>14</v>
      </c>
      <c r="E25" s="17">
        <v>392</v>
      </c>
      <c r="F25" s="13">
        <v>14896</v>
      </c>
      <c r="I25" s="31"/>
      <c r="J25" s="31"/>
      <c r="K25" s="53"/>
      <c r="L25" s="31"/>
      <c r="M25" s="31"/>
    </row>
    <row r="26" spans="1:13" ht="15.75" x14ac:dyDescent="0.25">
      <c r="B26" s="14">
        <v>42663</v>
      </c>
      <c r="C26" s="15">
        <v>11134</v>
      </c>
      <c r="D26" s="16" t="s">
        <v>20</v>
      </c>
      <c r="E26" s="17">
        <v>376.9</v>
      </c>
      <c r="F26" s="13">
        <v>14322.2</v>
      </c>
    </row>
    <row r="27" spans="1:13" x14ac:dyDescent="0.25">
      <c r="B27" s="14">
        <v>42663</v>
      </c>
      <c r="C27" s="19">
        <v>11137</v>
      </c>
      <c r="D27" s="16" t="s">
        <v>9</v>
      </c>
      <c r="E27" s="17">
        <v>363.4</v>
      </c>
      <c r="F27" s="13">
        <v>13809.2</v>
      </c>
    </row>
    <row r="28" spans="1:13" x14ac:dyDescent="0.25">
      <c r="B28" s="14">
        <v>42663</v>
      </c>
      <c r="C28" s="19">
        <v>11140</v>
      </c>
      <c r="D28" s="16" t="s">
        <v>10</v>
      </c>
      <c r="E28" s="17">
        <v>181.5</v>
      </c>
      <c r="F28" s="13">
        <v>6897</v>
      </c>
      <c r="K28" s="3">
        <f t="shared" ref="K28:K47" si="2">J28*I28</f>
        <v>0</v>
      </c>
    </row>
    <row r="29" spans="1:13" x14ac:dyDescent="0.25">
      <c r="B29" s="14">
        <v>42663</v>
      </c>
      <c r="C29" s="19">
        <v>11141</v>
      </c>
      <c r="D29" s="16" t="s">
        <v>153</v>
      </c>
      <c r="E29" s="17">
        <v>236</v>
      </c>
      <c r="F29" s="13">
        <v>8968</v>
      </c>
      <c r="K29" s="3">
        <f t="shared" si="2"/>
        <v>0</v>
      </c>
    </row>
    <row r="30" spans="1:13" x14ac:dyDescent="0.25">
      <c r="B30" s="14">
        <v>42663</v>
      </c>
      <c r="C30" s="19">
        <v>11143</v>
      </c>
      <c r="D30" s="16" t="s">
        <v>192</v>
      </c>
      <c r="E30" s="17">
        <v>45.8</v>
      </c>
      <c r="F30" s="13">
        <v>1190.8</v>
      </c>
      <c r="K30" s="3">
        <f t="shared" si="2"/>
        <v>0</v>
      </c>
    </row>
    <row r="31" spans="1:13" x14ac:dyDescent="0.25">
      <c r="B31" s="14">
        <v>42663</v>
      </c>
      <c r="C31" s="19">
        <v>11144</v>
      </c>
      <c r="D31" s="16" t="s">
        <v>11</v>
      </c>
      <c r="E31" s="17">
        <v>70</v>
      </c>
      <c r="F31" s="13">
        <v>3500</v>
      </c>
      <c r="K31" s="3">
        <f t="shared" si="2"/>
        <v>0</v>
      </c>
    </row>
    <row r="32" spans="1:13" x14ac:dyDescent="0.25">
      <c r="B32" s="14">
        <v>42663</v>
      </c>
      <c r="C32" s="19">
        <v>11153</v>
      </c>
      <c r="D32" s="16" t="s">
        <v>11</v>
      </c>
      <c r="E32" s="17">
        <v>77.599999999999994</v>
      </c>
      <c r="F32" s="13">
        <v>3880</v>
      </c>
      <c r="K32" s="3">
        <f t="shared" si="2"/>
        <v>0</v>
      </c>
    </row>
    <row r="33" spans="2:11" x14ac:dyDescent="0.25">
      <c r="B33" s="14">
        <v>42664</v>
      </c>
      <c r="C33" s="19">
        <v>11257</v>
      </c>
      <c r="D33" s="16" t="s">
        <v>192</v>
      </c>
      <c r="E33" s="17">
        <v>961.2</v>
      </c>
      <c r="F33" s="13">
        <v>30758.400000000001</v>
      </c>
      <c r="K33" s="3">
        <f t="shared" si="2"/>
        <v>0</v>
      </c>
    </row>
    <row r="34" spans="2:11" x14ac:dyDescent="0.25">
      <c r="B34" s="14">
        <v>42664</v>
      </c>
      <c r="C34" s="19">
        <v>11259</v>
      </c>
      <c r="D34" s="16" t="s">
        <v>192</v>
      </c>
      <c r="E34" s="17">
        <f>13.3+43.3</f>
        <v>56.599999999999994</v>
      </c>
      <c r="F34" s="13">
        <v>1165.4000000000001</v>
      </c>
    </row>
    <row r="35" spans="2:11" x14ac:dyDescent="0.25">
      <c r="B35" s="14">
        <v>42664</v>
      </c>
      <c r="C35" s="19">
        <v>11269</v>
      </c>
      <c r="D35" s="16" t="s">
        <v>9</v>
      </c>
      <c r="E35" s="17">
        <v>379.4</v>
      </c>
      <c r="F35" s="13">
        <v>14606.9</v>
      </c>
    </row>
    <row r="36" spans="2:11" x14ac:dyDescent="0.25">
      <c r="B36" s="14">
        <v>42664</v>
      </c>
      <c r="C36" s="19">
        <v>11270</v>
      </c>
      <c r="D36" s="16" t="s">
        <v>20</v>
      </c>
      <c r="E36" s="17">
        <f>376+2+35.4</f>
        <v>413.4</v>
      </c>
      <c r="F36" s="13">
        <v>17007.2</v>
      </c>
    </row>
    <row r="37" spans="2:11" x14ac:dyDescent="0.25">
      <c r="B37" s="14">
        <v>42664</v>
      </c>
      <c r="C37" s="19">
        <v>11271</v>
      </c>
      <c r="D37" s="16" t="s">
        <v>153</v>
      </c>
      <c r="E37" s="17">
        <v>344.4</v>
      </c>
      <c r="F37" s="13">
        <v>13259.4</v>
      </c>
    </row>
    <row r="38" spans="2:11" x14ac:dyDescent="0.25">
      <c r="B38" s="14">
        <v>42664</v>
      </c>
      <c r="C38" s="19">
        <v>11273</v>
      </c>
      <c r="D38" s="16" t="s">
        <v>11</v>
      </c>
      <c r="E38" s="17">
        <v>22.3</v>
      </c>
      <c r="F38" s="13">
        <v>624.4</v>
      </c>
    </row>
    <row r="39" spans="2:11" x14ac:dyDescent="0.25">
      <c r="B39" s="14">
        <v>42664</v>
      </c>
      <c r="C39" s="19">
        <v>11280</v>
      </c>
      <c r="D39" s="16" t="s">
        <v>6</v>
      </c>
      <c r="E39" s="17">
        <f>72+36.1+19.2+21.8</f>
        <v>149.1</v>
      </c>
      <c r="F39" s="13">
        <v>6829.25</v>
      </c>
    </row>
    <row r="40" spans="2:11" x14ac:dyDescent="0.25">
      <c r="B40" s="14">
        <v>42665</v>
      </c>
      <c r="C40" s="19">
        <v>11421</v>
      </c>
      <c r="D40" s="16" t="s">
        <v>20</v>
      </c>
      <c r="E40" s="17">
        <f>36.6+101.6+396.2</f>
        <v>534.4</v>
      </c>
      <c r="F40" s="13">
        <v>19829.400000000001</v>
      </c>
    </row>
    <row r="41" spans="2:11" x14ac:dyDescent="0.25">
      <c r="B41" s="14">
        <v>42665</v>
      </c>
      <c r="C41" s="19">
        <v>11422</v>
      </c>
      <c r="D41" s="16" t="s">
        <v>10</v>
      </c>
      <c r="E41" s="17">
        <f>257.4+109.8+54.48</f>
        <v>421.68</v>
      </c>
      <c r="F41" s="13">
        <v>17203.560000000001</v>
      </c>
      <c r="K41" s="3">
        <f t="shared" si="2"/>
        <v>0</v>
      </c>
    </row>
    <row r="42" spans="2:11" x14ac:dyDescent="0.25">
      <c r="B42" s="14">
        <v>42665</v>
      </c>
      <c r="C42" s="19">
        <v>11423</v>
      </c>
      <c r="D42" s="16" t="s">
        <v>7</v>
      </c>
      <c r="E42" s="17">
        <f>70.5+8.7</f>
        <v>79.2</v>
      </c>
      <c r="F42" s="13">
        <v>3036.6</v>
      </c>
    </row>
    <row r="43" spans="2:11" x14ac:dyDescent="0.25">
      <c r="B43" s="14">
        <v>42665</v>
      </c>
      <c r="C43" s="19">
        <v>11424</v>
      </c>
      <c r="D43" s="16" t="s">
        <v>9</v>
      </c>
      <c r="E43" s="17">
        <v>378.5</v>
      </c>
      <c r="F43" s="13">
        <v>14761.5</v>
      </c>
    </row>
    <row r="44" spans="2:11" x14ac:dyDescent="0.25">
      <c r="B44" s="14">
        <v>42665</v>
      </c>
      <c r="C44" s="19">
        <v>11425</v>
      </c>
      <c r="D44" s="16" t="s">
        <v>13</v>
      </c>
      <c r="E44" s="17">
        <v>355.7</v>
      </c>
      <c r="F44" s="13">
        <v>14228</v>
      </c>
    </row>
    <row r="45" spans="2:11" x14ac:dyDescent="0.25">
      <c r="B45" s="14">
        <v>42665</v>
      </c>
      <c r="C45" s="19">
        <v>11426</v>
      </c>
      <c r="D45" s="16" t="s">
        <v>14</v>
      </c>
      <c r="E45" s="17">
        <v>371.9</v>
      </c>
      <c r="F45" s="13">
        <v>14876</v>
      </c>
    </row>
    <row r="46" spans="2:11" ht="15.75" thickBot="1" x14ac:dyDescent="0.3">
      <c r="B46" s="14">
        <v>42665</v>
      </c>
      <c r="C46" s="19">
        <v>11428</v>
      </c>
      <c r="D46" s="16" t="s">
        <v>11</v>
      </c>
      <c r="E46" s="17">
        <f>10+78.7</f>
        <v>88.7</v>
      </c>
      <c r="F46" s="13">
        <v>3349.3</v>
      </c>
    </row>
    <row r="47" spans="2:11" ht="15.75" thickBot="1" x14ac:dyDescent="0.3">
      <c r="B47" s="21" t="s">
        <v>233</v>
      </c>
      <c r="C47" s="22"/>
      <c r="D47" s="23"/>
      <c r="E47" s="24">
        <v>0</v>
      </c>
      <c r="F47" s="25">
        <f>SUM(F3:F46)</f>
        <v>451068.21000000008</v>
      </c>
      <c r="K47" s="3">
        <f t="shared" si="2"/>
        <v>0</v>
      </c>
    </row>
    <row r="48" spans="2:11" ht="19.5" thickBot="1" x14ac:dyDescent="0.35">
      <c r="B48" s="26"/>
      <c r="C48" s="27"/>
      <c r="D48" s="28" t="s">
        <v>5</v>
      </c>
      <c r="E48" s="29">
        <f>SUM(E3:E47)</f>
        <v>12045.820000000002</v>
      </c>
      <c r="I48" s="30">
        <f>SUM(I47:I47)</f>
        <v>0</v>
      </c>
      <c r="J48" s="30"/>
      <c r="K48" s="30">
        <f>SUM(K47:K47)</f>
        <v>0</v>
      </c>
    </row>
    <row r="49" spans="2:13" x14ac:dyDescent="0.25">
      <c r="B49" s="26"/>
      <c r="C49" s="27"/>
      <c r="D49" s="31"/>
      <c r="E49" s="32"/>
      <c r="I49" s="30">
        <f>SUM(I41:I48)</f>
        <v>0</v>
      </c>
      <c r="J49" s="30"/>
      <c r="K49" s="30">
        <f>SUM(K41:K48)</f>
        <v>0</v>
      </c>
    </row>
    <row r="50" spans="2:13" ht="21.75" thickBot="1" x14ac:dyDescent="0.4">
      <c r="B50" s="33"/>
      <c r="C50" s="34" t="s">
        <v>15</v>
      </c>
      <c r="D50" s="35">
        <f>E48*0.2</f>
        <v>2409.1640000000002</v>
      </c>
      <c r="F50"/>
      <c r="K50"/>
    </row>
    <row r="51" spans="2:13" ht="21.75" thickBot="1" x14ac:dyDescent="0.4">
      <c r="C51" s="36" t="s">
        <v>16</v>
      </c>
      <c r="D51" s="37">
        <v>3000</v>
      </c>
      <c r="E51" s="38"/>
      <c r="F51" s="85">
        <f>D50+D51</f>
        <v>5409.1640000000007</v>
      </c>
      <c r="G51" s="86"/>
      <c r="I51" s="39"/>
      <c r="J51" s="39"/>
      <c r="K51" s="39"/>
      <c r="L51" s="39"/>
      <c r="M51" s="39"/>
    </row>
    <row r="52" spans="2:13" ht="15.75" thickTop="1" x14ac:dyDescent="0.25">
      <c r="I52" s="39"/>
      <c r="J52" s="39"/>
      <c r="K52" s="40"/>
      <c r="L52" s="40"/>
      <c r="M52" s="40"/>
    </row>
    <row r="53" spans="2:13" ht="19.5" thickBot="1" x14ac:dyDescent="0.35">
      <c r="D53" s="62"/>
      <c r="E53" s="41" t="s">
        <v>311</v>
      </c>
      <c r="F53" s="87">
        <v>0</v>
      </c>
      <c r="G53" s="87"/>
      <c r="I53" s="39"/>
      <c r="J53" s="39"/>
      <c r="K53" s="40"/>
      <c r="L53" s="40"/>
      <c r="M53" s="40"/>
    </row>
    <row r="54" spans="2:13" ht="15.75" thickTop="1" x14ac:dyDescent="0.25">
      <c r="C54"/>
      <c r="F54" s="88">
        <f>F51+F53</f>
        <v>5409.1640000000007</v>
      </c>
      <c r="G54" s="88"/>
      <c r="I54" s="39"/>
      <c r="J54" s="39"/>
      <c r="K54" s="40"/>
      <c r="L54" s="40"/>
      <c r="M54" s="40"/>
    </row>
    <row r="55" spans="2:13" ht="18.75" x14ac:dyDescent="0.3">
      <c r="C55"/>
      <c r="E55" s="2" t="s">
        <v>18</v>
      </c>
      <c r="F55" s="89"/>
      <c r="G55" s="89"/>
      <c r="K55"/>
    </row>
  </sheetData>
  <mergeCells count="4">
    <mergeCell ref="B1:C1"/>
    <mergeCell ref="F51:G51"/>
    <mergeCell ref="F53:G53"/>
    <mergeCell ref="F54:G55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7" workbookViewId="0">
      <selection activeCell="F62" sqref="F62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42677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348</v>
      </c>
      <c r="G2" s="8"/>
      <c r="K2"/>
    </row>
    <row r="3" spans="2:11" ht="15.75" x14ac:dyDescent="0.25">
      <c r="B3" s="9">
        <v>42662</v>
      </c>
      <c r="C3" s="10">
        <v>10992</v>
      </c>
      <c r="D3" s="11" t="s">
        <v>8</v>
      </c>
      <c r="E3" s="12">
        <v>455</v>
      </c>
      <c r="F3" s="13">
        <v>14560</v>
      </c>
      <c r="K3"/>
    </row>
    <row r="4" spans="2:11" ht="15.75" x14ac:dyDescent="0.25">
      <c r="B4" s="14">
        <v>42664</v>
      </c>
      <c r="C4" s="15">
        <v>11267</v>
      </c>
      <c r="D4" s="16" t="s">
        <v>13</v>
      </c>
      <c r="E4" s="17">
        <v>385.8</v>
      </c>
      <c r="F4" s="13">
        <v>14853.3</v>
      </c>
      <c r="K4"/>
    </row>
    <row r="5" spans="2:11" ht="15.75" x14ac:dyDescent="0.25">
      <c r="B5" s="14">
        <v>42664</v>
      </c>
      <c r="C5" s="15">
        <v>11268</v>
      </c>
      <c r="D5" s="16" t="s">
        <v>14</v>
      </c>
      <c r="E5" s="17">
        <v>394.2</v>
      </c>
      <c r="F5" s="13">
        <v>15176.7</v>
      </c>
      <c r="K5"/>
    </row>
    <row r="6" spans="2:11" ht="15.75" x14ac:dyDescent="0.25">
      <c r="B6" s="14">
        <v>42664</v>
      </c>
      <c r="C6" s="66">
        <v>11277</v>
      </c>
      <c r="D6" s="16" t="s">
        <v>10</v>
      </c>
      <c r="E6" s="56">
        <f>19.3+250.8+54.48+4+185.2</f>
        <v>513.78</v>
      </c>
      <c r="F6" s="13">
        <v>19608.36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42667</v>
      </c>
      <c r="C7" s="15">
        <v>11621</v>
      </c>
      <c r="D7" s="16" t="s">
        <v>7</v>
      </c>
      <c r="E7" s="17">
        <v>80</v>
      </c>
      <c r="F7" s="13">
        <v>3120</v>
      </c>
      <c r="K7" s="3">
        <f t="shared" si="0"/>
        <v>0</v>
      </c>
    </row>
    <row r="8" spans="2:11" ht="15.75" x14ac:dyDescent="0.25">
      <c r="B8" s="14">
        <v>42667</v>
      </c>
      <c r="C8" s="15">
        <v>11622</v>
      </c>
      <c r="D8" s="16" t="s">
        <v>14</v>
      </c>
      <c r="E8" s="17">
        <v>419.6</v>
      </c>
      <c r="F8" s="13">
        <v>16364.4</v>
      </c>
      <c r="K8" s="3">
        <f t="shared" si="0"/>
        <v>0</v>
      </c>
    </row>
    <row r="9" spans="2:11" ht="15.75" x14ac:dyDescent="0.25">
      <c r="B9" s="14">
        <v>42667</v>
      </c>
      <c r="C9" s="15">
        <v>11623</v>
      </c>
      <c r="D9" s="16" t="s">
        <v>20</v>
      </c>
      <c r="E9" s="17">
        <v>375.4</v>
      </c>
      <c r="F9" s="13">
        <v>14640.6</v>
      </c>
      <c r="K9" s="3">
        <f t="shared" si="0"/>
        <v>0</v>
      </c>
    </row>
    <row r="10" spans="2:11" ht="15.75" x14ac:dyDescent="0.25">
      <c r="B10" s="14">
        <v>42667</v>
      </c>
      <c r="C10" s="15">
        <v>11625</v>
      </c>
      <c r="D10" s="16" t="s">
        <v>9</v>
      </c>
      <c r="E10" s="17">
        <v>389.4</v>
      </c>
      <c r="F10" s="13">
        <v>15186.6</v>
      </c>
      <c r="K10" s="3">
        <f t="shared" si="0"/>
        <v>0</v>
      </c>
    </row>
    <row r="11" spans="2:11" ht="15.75" x14ac:dyDescent="0.25">
      <c r="B11" s="14">
        <v>42667</v>
      </c>
      <c r="C11" s="44">
        <v>11628</v>
      </c>
      <c r="D11" s="16" t="s">
        <v>10</v>
      </c>
      <c r="E11" s="17">
        <f>274.7+178.8+2+19.3</f>
        <v>474.8</v>
      </c>
      <c r="F11" s="13">
        <v>17292.5</v>
      </c>
      <c r="K11" s="3">
        <f t="shared" si="0"/>
        <v>0</v>
      </c>
    </row>
    <row r="12" spans="2:11" ht="15.75" x14ac:dyDescent="0.25">
      <c r="B12" s="14">
        <v>42667</v>
      </c>
      <c r="C12" s="15">
        <v>11630</v>
      </c>
      <c r="D12" s="16" t="s">
        <v>8</v>
      </c>
      <c r="E12" s="17">
        <v>85.8</v>
      </c>
      <c r="F12" s="13">
        <v>1887.6</v>
      </c>
      <c r="K12" s="3">
        <f t="shared" si="0"/>
        <v>0</v>
      </c>
    </row>
    <row r="13" spans="2:11" ht="15.75" x14ac:dyDescent="0.25">
      <c r="B13" s="14">
        <v>42667</v>
      </c>
      <c r="C13" s="15">
        <v>11631</v>
      </c>
      <c r="D13" s="16" t="s">
        <v>9</v>
      </c>
      <c r="E13" s="17">
        <f>38.98+223.6</f>
        <v>262.58</v>
      </c>
      <c r="F13" s="13">
        <v>8236.36</v>
      </c>
      <c r="K13" s="3">
        <f t="shared" si="0"/>
        <v>0</v>
      </c>
    </row>
    <row r="14" spans="2:11" ht="15.75" x14ac:dyDescent="0.25">
      <c r="B14" s="14">
        <v>42668</v>
      </c>
      <c r="C14" s="15">
        <v>11771</v>
      </c>
      <c r="D14" s="16" t="s">
        <v>12</v>
      </c>
      <c r="E14" s="17">
        <f>118.8+1002</f>
        <v>1120.8</v>
      </c>
      <c r="F14" s="13">
        <v>39073.199999999997</v>
      </c>
      <c r="K14" s="3">
        <f t="shared" si="0"/>
        <v>0</v>
      </c>
    </row>
    <row r="15" spans="2:11" ht="15.75" x14ac:dyDescent="0.25">
      <c r="B15" s="14">
        <v>42668</v>
      </c>
      <c r="C15" s="15">
        <v>11772</v>
      </c>
      <c r="D15" s="16" t="s">
        <v>20</v>
      </c>
      <c r="E15" s="17">
        <v>374.2</v>
      </c>
      <c r="F15" s="13">
        <v>14593.8</v>
      </c>
      <c r="K15" s="3">
        <f t="shared" si="0"/>
        <v>0</v>
      </c>
    </row>
    <row r="16" spans="2:11" ht="15.75" x14ac:dyDescent="0.25">
      <c r="B16" s="14">
        <v>42668</v>
      </c>
      <c r="C16" s="15">
        <v>11773</v>
      </c>
      <c r="D16" s="16" t="s">
        <v>9</v>
      </c>
      <c r="E16" s="17">
        <v>324.2</v>
      </c>
      <c r="F16" s="13">
        <v>12968</v>
      </c>
      <c r="K16" s="3">
        <f t="shared" si="0"/>
        <v>0</v>
      </c>
    </row>
    <row r="17" spans="1:13" ht="15.75" x14ac:dyDescent="0.25">
      <c r="B17" s="14">
        <v>42668</v>
      </c>
      <c r="C17" s="15">
        <v>11774</v>
      </c>
      <c r="D17" s="16" t="s">
        <v>7</v>
      </c>
      <c r="E17" s="17">
        <f>62.4+54.8</f>
        <v>117.19999999999999</v>
      </c>
      <c r="F17" s="13">
        <v>2828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42668</v>
      </c>
      <c r="C18" s="15">
        <v>11775</v>
      </c>
      <c r="D18" s="16" t="s">
        <v>11</v>
      </c>
      <c r="E18" s="17">
        <v>74.8</v>
      </c>
      <c r="F18" s="13">
        <v>2921.1</v>
      </c>
      <c r="I18" s="3"/>
      <c r="J18" s="3"/>
    </row>
    <row r="19" spans="1:13" ht="15.75" x14ac:dyDescent="0.25">
      <c r="B19" s="14">
        <v>42668</v>
      </c>
      <c r="C19" s="15">
        <v>11776</v>
      </c>
      <c r="D19" s="16" t="s">
        <v>153</v>
      </c>
      <c r="E19" s="17">
        <v>160.19999999999999</v>
      </c>
      <c r="F19" s="13">
        <v>6247.8</v>
      </c>
    </row>
    <row r="20" spans="1:13" ht="15.75" x14ac:dyDescent="0.25">
      <c r="B20" s="14">
        <v>42668</v>
      </c>
      <c r="C20" s="15">
        <v>11778</v>
      </c>
      <c r="D20" s="16" t="s">
        <v>8</v>
      </c>
      <c r="E20" s="17">
        <v>431.6</v>
      </c>
      <c r="F20" s="13">
        <v>14027</v>
      </c>
    </row>
    <row r="21" spans="1:13" ht="15.75" x14ac:dyDescent="0.25">
      <c r="B21" s="14">
        <v>42668</v>
      </c>
      <c r="C21" s="15">
        <v>11779</v>
      </c>
      <c r="D21" s="16" t="s">
        <v>6</v>
      </c>
      <c r="E21" s="17">
        <v>67.7</v>
      </c>
      <c r="F21" s="13">
        <v>2708</v>
      </c>
    </row>
    <row r="22" spans="1:13" ht="15.75" x14ac:dyDescent="0.25">
      <c r="A22" s="18"/>
      <c r="B22" s="14">
        <v>42668</v>
      </c>
      <c r="C22" s="15">
        <v>11781</v>
      </c>
      <c r="D22" s="16" t="s">
        <v>7</v>
      </c>
      <c r="E22" s="17">
        <v>29.3</v>
      </c>
      <c r="F22" s="13">
        <v>1640.8</v>
      </c>
    </row>
    <row r="23" spans="1:13" ht="15.75" x14ac:dyDescent="0.25">
      <c r="B23" s="14">
        <v>42668</v>
      </c>
      <c r="C23" s="15">
        <v>11782</v>
      </c>
      <c r="D23" s="16" t="s">
        <v>6</v>
      </c>
      <c r="E23" s="17">
        <v>71</v>
      </c>
      <c r="F23" s="13">
        <v>4202</v>
      </c>
      <c r="I23" s="48"/>
      <c r="J23" s="49"/>
      <c r="K23" s="50"/>
      <c r="L23" s="51"/>
      <c r="M23" s="52"/>
    </row>
    <row r="24" spans="1:13" ht="15.75" x14ac:dyDescent="0.25">
      <c r="B24" s="14">
        <v>42669</v>
      </c>
      <c r="C24" s="15">
        <v>11883</v>
      </c>
      <c r="D24" s="16" t="s">
        <v>153</v>
      </c>
      <c r="E24" s="17">
        <v>102.9</v>
      </c>
      <c r="F24" s="13">
        <v>4013.1</v>
      </c>
      <c r="I24" s="31"/>
      <c r="J24" s="31"/>
      <c r="K24" s="53"/>
      <c r="L24" s="31"/>
      <c r="M24" s="31"/>
    </row>
    <row r="25" spans="1:13" ht="15.75" x14ac:dyDescent="0.25">
      <c r="B25" s="14">
        <v>42669</v>
      </c>
      <c r="C25" s="15">
        <v>11884</v>
      </c>
      <c r="D25" s="16" t="s">
        <v>20</v>
      </c>
      <c r="E25" s="17">
        <f>442.8+31.6</f>
        <v>474.40000000000003</v>
      </c>
      <c r="F25" s="13">
        <v>18154</v>
      </c>
      <c r="I25" s="31"/>
      <c r="J25" s="31"/>
      <c r="K25" s="53"/>
      <c r="L25" s="31"/>
      <c r="M25" s="31"/>
    </row>
    <row r="26" spans="1:13" ht="15.75" x14ac:dyDescent="0.25">
      <c r="B26" s="14">
        <v>42669</v>
      </c>
      <c r="C26" s="15">
        <v>11885</v>
      </c>
      <c r="D26" s="16" t="s">
        <v>13</v>
      </c>
      <c r="E26" s="17">
        <v>429.6</v>
      </c>
      <c r="F26" s="13">
        <v>17184</v>
      </c>
    </row>
    <row r="27" spans="1:13" x14ac:dyDescent="0.25">
      <c r="B27" s="14">
        <v>42669</v>
      </c>
      <c r="C27" s="19">
        <v>11886</v>
      </c>
      <c r="D27" s="16" t="s">
        <v>8</v>
      </c>
      <c r="E27" s="17">
        <v>13.61</v>
      </c>
      <c r="F27" s="13">
        <v>884.65</v>
      </c>
    </row>
    <row r="28" spans="1:13" x14ac:dyDescent="0.25">
      <c r="B28" s="14">
        <v>42669</v>
      </c>
      <c r="C28" s="19">
        <v>11888</v>
      </c>
      <c r="D28" s="16" t="s">
        <v>9</v>
      </c>
      <c r="E28" s="17">
        <v>407.2</v>
      </c>
      <c r="F28" s="13">
        <v>16288</v>
      </c>
      <c r="K28" s="3">
        <f t="shared" ref="K28:K53" si="2">J28*I28</f>
        <v>0</v>
      </c>
    </row>
    <row r="29" spans="1:13" x14ac:dyDescent="0.25">
      <c r="B29" s="14">
        <v>42669</v>
      </c>
      <c r="C29" s="19">
        <v>11890</v>
      </c>
      <c r="D29" s="16" t="s">
        <v>6</v>
      </c>
      <c r="E29" s="17">
        <f>73.7+34+18.1+13.61</f>
        <v>139.41000000000003</v>
      </c>
      <c r="F29" s="13">
        <v>5614</v>
      </c>
      <c r="K29" s="3">
        <f t="shared" si="2"/>
        <v>0</v>
      </c>
    </row>
    <row r="30" spans="1:13" x14ac:dyDescent="0.25">
      <c r="B30" s="14">
        <v>42670</v>
      </c>
      <c r="C30" s="19">
        <v>11999</v>
      </c>
      <c r="D30" s="16" t="s">
        <v>20</v>
      </c>
      <c r="E30" s="17">
        <v>397.4</v>
      </c>
      <c r="F30" s="13">
        <v>15498.6</v>
      </c>
      <c r="K30" s="3">
        <f t="shared" si="2"/>
        <v>0</v>
      </c>
    </row>
    <row r="31" spans="1:13" x14ac:dyDescent="0.25">
      <c r="B31" s="14">
        <v>42670</v>
      </c>
      <c r="C31" s="19">
        <v>12000</v>
      </c>
      <c r="D31" s="16" t="s">
        <v>9</v>
      </c>
      <c r="E31" s="17">
        <v>413.4</v>
      </c>
      <c r="F31" s="13">
        <v>16122.6</v>
      </c>
      <c r="K31" s="3">
        <f t="shared" si="2"/>
        <v>0</v>
      </c>
    </row>
    <row r="32" spans="1:13" x14ac:dyDescent="0.25">
      <c r="B32" s="14">
        <v>42670</v>
      </c>
      <c r="C32" s="19">
        <v>12001</v>
      </c>
      <c r="D32" s="16" t="s">
        <v>11</v>
      </c>
      <c r="E32" s="17">
        <f>64.6+3+21.2</f>
        <v>88.8</v>
      </c>
      <c r="F32" s="13">
        <v>4378.6000000000004</v>
      </c>
      <c r="K32" s="3">
        <f t="shared" si="2"/>
        <v>0</v>
      </c>
    </row>
    <row r="33" spans="2:11" x14ac:dyDescent="0.25">
      <c r="B33" s="14">
        <v>42670</v>
      </c>
      <c r="C33" s="19">
        <v>12002</v>
      </c>
      <c r="D33" s="16" t="s">
        <v>153</v>
      </c>
      <c r="E33" s="17">
        <f>82.6+19.5</f>
        <v>102.1</v>
      </c>
      <c r="F33" s="13">
        <v>4371.8999999999996</v>
      </c>
      <c r="K33" s="3">
        <f t="shared" si="2"/>
        <v>0</v>
      </c>
    </row>
    <row r="34" spans="2:11" x14ac:dyDescent="0.25">
      <c r="B34" s="14">
        <v>42670</v>
      </c>
      <c r="C34" s="19">
        <v>12004</v>
      </c>
      <c r="D34" s="16" t="s">
        <v>10</v>
      </c>
      <c r="E34" s="17">
        <f>253.6+22.7</f>
        <v>276.3</v>
      </c>
      <c r="F34" s="13">
        <v>10526</v>
      </c>
    </row>
    <row r="35" spans="2:11" x14ac:dyDescent="0.25">
      <c r="B35" s="14">
        <v>42670</v>
      </c>
      <c r="C35" s="19">
        <v>12005</v>
      </c>
      <c r="D35" s="16" t="s">
        <v>8</v>
      </c>
      <c r="E35" s="17">
        <v>472.6</v>
      </c>
      <c r="F35" s="13">
        <v>15359.5</v>
      </c>
    </row>
    <row r="36" spans="2:11" x14ac:dyDescent="0.25">
      <c r="B36" s="14">
        <v>42671</v>
      </c>
      <c r="C36" s="19">
        <v>12120</v>
      </c>
      <c r="D36" s="16" t="s">
        <v>9</v>
      </c>
      <c r="E36" s="17">
        <f>270.4+84</f>
        <v>354.4</v>
      </c>
      <c r="F36" s="13">
        <v>10771.2</v>
      </c>
    </row>
    <row r="37" spans="2:11" x14ac:dyDescent="0.25">
      <c r="B37" s="14">
        <v>42671</v>
      </c>
      <c r="C37" s="19">
        <v>12123</v>
      </c>
      <c r="D37" s="16" t="s">
        <v>8</v>
      </c>
      <c r="E37" s="17">
        <f>904.76+138+17+31.3+308+76.2+13.61</f>
        <v>1488.87</v>
      </c>
      <c r="F37" s="13">
        <v>47094.57</v>
      </c>
    </row>
    <row r="38" spans="2:11" x14ac:dyDescent="0.25">
      <c r="B38" s="14">
        <v>42671</v>
      </c>
      <c r="C38" s="19">
        <v>12124</v>
      </c>
      <c r="D38" s="16" t="s">
        <v>153</v>
      </c>
      <c r="E38" s="17">
        <v>182.8</v>
      </c>
      <c r="F38" s="13">
        <v>7129.2</v>
      </c>
    </row>
    <row r="39" spans="2:11" x14ac:dyDescent="0.25">
      <c r="B39" s="14">
        <v>42671</v>
      </c>
      <c r="C39" s="19">
        <v>12128</v>
      </c>
      <c r="D39" s="16" t="s">
        <v>7</v>
      </c>
      <c r="E39" s="17">
        <v>79.400000000000006</v>
      </c>
      <c r="F39" s="13">
        <v>3096.6</v>
      </c>
    </row>
    <row r="40" spans="2:11" x14ac:dyDescent="0.25">
      <c r="B40" s="14">
        <v>42671</v>
      </c>
      <c r="C40" s="19">
        <v>12129</v>
      </c>
      <c r="D40" s="16" t="s">
        <v>10</v>
      </c>
      <c r="E40" s="17">
        <f>441.2+380.2+33.5</f>
        <v>854.9</v>
      </c>
      <c r="F40" s="13">
        <v>30691.4</v>
      </c>
    </row>
    <row r="41" spans="2:11" x14ac:dyDescent="0.25">
      <c r="B41" s="14">
        <v>42671</v>
      </c>
      <c r="C41" s="19">
        <v>12131</v>
      </c>
      <c r="D41" s="16" t="s">
        <v>14</v>
      </c>
      <c r="E41" s="17">
        <v>361.6</v>
      </c>
      <c r="F41" s="13">
        <v>14102.4</v>
      </c>
    </row>
    <row r="42" spans="2:11" x14ac:dyDescent="0.25">
      <c r="B42" s="14">
        <v>42671</v>
      </c>
      <c r="C42" s="19">
        <v>12135</v>
      </c>
      <c r="D42" s="16" t="s">
        <v>13</v>
      </c>
      <c r="E42" s="17">
        <v>370.6</v>
      </c>
      <c r="F42" s="13">
        <v>14453.4</v>
      </c>
    </row>
    <row r="43" spans="2:11" x14ac:dyDescent="0.25">
      <c r="B43" s="14">
        <v>42671</v>
      </c>
      <c r="C43" s="19">
        <v>12137</v>
      </c>
      <c r="D43" s="16" t="s">
        <v>9</v>
      </c>
      <c r="E43" s="17">
        <v>372.2</v>
      </c>
      <c r="F43" s="13">
        <v>14515.8</v>
      </c>
    </row>
    <row r="44" spans="2:11" x14ac:dyDescent="0.25">
      <c r="B44" s="14">
        <v>42671</v>
      </c>
      <c r="C44" s="19">
        <v>12144</v>
      </c>
      <c r="D44" s="16" t="s">
        <v>20</v>
      </c>
      <c r="E44" s="17">
        <f>30+592.8+723.6</f>
        <v>1346.4</v>
      </c>
      <c r="F44" s="13">
        <v>57878.400000000001</v>
      </c>
    </row>
    <row r="45" spans="2:11" x14ac:dyDescent="0.25">
      <c r="B45" s="14">
        <v>42672</v>
      </c>
      <c r="C45" s="19">
        <v>12269</v>
      </c>
      <c r="D45" s="16" t="s">
        <v>20</v>
      </c>
      <c r="E45" s="17">
        <v>920.8</v>
      </c>
      <c r="F45" s="13">
        <v>29465.599999999999</v>
      </c>
    </row>
    <row r="46" spans="2:11" x14ac:dyDescent="0.25">
      <c r="B46" s="14">
        <v>42672</v>
      </c>
      <c r="C46" s="19">
        <v>12271</v>
      </c>
      <c r="D46" s="16" t="s">
        <v>9</v>
      </c>
      <c r="E46" s="17">
        <v>426.2</v>
      </c>
      <c r="F46" s="13">
        <v>16621.8</v>
      </c>
    </row>
    <row r="47" spans="2:11" x14ac:dyDescent="0.25">
      <c r="B47" s="14">
        <v>42672</v>
      </c>
      <c r="C47" s="19">
        <v>12274</v>
      </c>
      <c r="D47" s="16" t="s">
        <v>14</v>
      </c>
      <c r="E47" s="17">
        <v>400.2</v>
      </c>
      <c r="F47" s="13">
        <v>15607.8</v>
      </c>
      <c r="K47" s="3">
        <f t="shared" si="2"/>
        <v>0</v>
      </c>
    </row>
    <row r="48" spans="2:11" x14ac:dyDescent="0.25">
      <c r="B48" s="14">
        <v>42672</v>
      </c>
      <c r="C48" s="19">
        <v>12275</v>
      </c>
      <c r="D48" s="16" t="s">
        <v>8</v>
      </c>
      <c r="E48" s="17">
        <v>85.8</v>
      </c>
      <c r="F48" s="13">
        <v>3346.2</v>
      </c>
    </row>
    <row r="49" spans="2:13" x14ac:dyDescent="0.25">
      <c r="B49" s="14">
        <v>42672</v>
      </c>
      <c r="C49" s="19">
        <v>12278</v>
      </c>
      <c r="D49" s="16" t="s">
        <v>10</v>
      </c>
      <c r="E49" s="17">
        <f>446+5+239.8</f>
        <v>690.8</v>
      </c>
      <c r="F49" s="13">
        <v>26472.2</v>
      </c>
    </row>
    <row r="50" spans="2:13" x14ac:dyDescent="0.25">
      <c r="B50" s="14">
        <v>42672</v>
      </c>
      <c r="C50" s="19">
        <v>12335</v>
      </c>
      <c r="D50" s="16" t="s">
        <v>153</v>
      </c>
      <c r="E50" s="17">
        <f>13.61+1+27.24</f>
        <v>41.849999999999994</v>
      </c>
      <c r="F50" s="13">
        <v>2934.93</v>
      </c>
    </row>
    <row r="51" spans="2:13" x14ac:dyDescent="0.25">
      <c r="B51" s="14"/>
      <c r="C51" s="19"/>
      <c r="D51" s="16"/>
      <c r="E51" s="17"/>
      <c r="F51" s="13"/>
    </row>
    <row r="52" spans="2:13" ht="15.75" thickBot="1" x14ac:dyDescent="0.3">
      <c r="B52" s="14"/>
      <c r="C52" s="19"/>
      <c r="D52" s="16"/>
      <c r="E52" s="17"/>
      <c r="F52" s="13"/>
    </row>
    <row r="53" spans="2:13" ht="15.75" thickBot="1" x14ac:dyDescent="0.3">
      <c r="B53" s="21" t="s">
        <v>233</v>
      </c>
      <c r="C53" s="22"/>
      <c r="D53" s="23"/>
      <c r="E53" s="24">
        <v>0</v>
      </c>
      <c r="F53" s="25">
        <f>SUM(F3:F52)</f>
        <v>664712.57000000007</v>
      </c>
      <c r="K53" s="3">
        <f t="shared" si="2"/>
        <v>0</v>
      </c>
    </row>
    <row r="54" spans="2:13" ht="19.5" thickBot="1" x14ac:dyDescent="0.35">
      <c r="B54" s="26"/>
      <c r="C54" s="27"/>
      <c r="D54" s="28" t="s">
        <v>5</v>
      </c>
      <c r="E54" s="29">
        <f>SUM(E3:E53)</f>
        <v>17901.899999999994</v>
      </c>
      <c r="I54" s="30">
        <f>SUM(I53:I53)</f>
        <v>0</v>
      </c>
      <c r="J54" s="30"/>
      <c r="K54" s="30">
        <f>SUM(K53:K53)</f>
        <v>0</v>
      </c>
    </row>
    <row r="55" spans="2:13" x14ac:dyDescent="0.25">
      <c r="B55" s="26"/>
      <c r="C55" s="27"/>
      <c r="D55" s="31"/>
      <c r="E55" s="32"/>
      <c r="I55" s="30">
        <f>SUM(I47:I54)</f>
        <v>0</v>
      </c>
      <c r="J55" s="30"/>
      <c r="K55" s="30">
        <f>SUM(K47:K54)</f>
        <v>0</v>
      </c>
    </row>
    <row r="56" spans="2:13" ht="21.75" thickBot="1" x14ac:dyDescent="0.4">
      <c r="B56" s="33"/>
      <c r="C56" s="34" t="s">
        <v>15</v>
      </c>
      <c r="D56" s="35">
        <f>E54*0.2</f>
        <v>3580.3799999999992</v>
      </c>
      <c r="F56"/>
      <c r="K56"/>
    </row>
    <row r="57" spans="2:13" ht="21.75" thickBot="1" x14ac:dyDescent="0.4">
      <c r="C57" s="36" t="s">
        <v>16</v>
      </c>
      <c r="D57" s="37">
        <v>3000</v>
      </c>
      <c r="E57" s="38"/>
      <c r="F57" s="85">
        <f>D56+D57</f>
        <v>6580.3799999999992</v>
      </c>
      <c r="G57" s="86"/>
      <c r="I57" s="39"/>
      <c r="J57" s="39"/>
      <c r="K57" s="39"/>
      <c r="L57" s="39"/>
      <c r="M57" s="39"/>
    </row>
    <row r="58" spans="2:13" ht="15.75" thickTop="1" x14ac:dyDescent="0.25">
      <c r="I58" s="39"/>
      <c r="J58" s="39"/>
      <c r="K58" s="40"/>
      <c r="L58" s="40"/>
      <c r="M58" s="40"/>
    </row>
    <row r="59" spans="2:13" ht="19.5" thickBot="1" x14ac:dyDescent="0.35">
      <c r="D59" s="62"/>
      <c r="E59" s="41" t="s">
        <v>311</v>
      </c>
      <c r="F59" s="87">
        <v>0</v>
      </c>
      <c r="G59" s="87"/>
      <c r="I59" s="39"/>
      <c r="J59" s="39"/>
      <c r="K59" s="40"/>
      <c r="L59" s="40"/>
      <c r="M59" s="40"/>
    </row>
    <row r="60" spans="2:13" ht="15.75" thickTop="1" x14ac:dyDescent="0.25">
      <c r="C60"/>
      <c r="F60" s="88">
        <f>F57+F59</f>
        <v>6580.3799999999992</v>
      </c>
      <c r="G60" s="88"/>
      <c r="I60" s="39"/>
      <c r="J60" s="39"/>
      <c r="K60" s="40"/>
      <c r="L60" s="40"/>
      <c r="M60" s="40"/>
    </row>
    <row r="61" spans="2:13" ht="18.75" x14ac:dyDescent="0.3">
      <c r="C61"/>
      <c r="E61" s="2" t="s">
        <v>18</v>
      </c>
      <c r="F61" s="89"/>
      <c r="G61" s="89"/>
      <c r="K61"/>
    </row>
  </sheetData>
  <mergeCells count="4">
    <mergeCell ref="B1:C1"/>
    <mergeCell ref="F57:G57"/>
    <mergeCell ref="F59:G59"/>
    <mergeCell ref="F60:G61"/>
  </mergeCells>
  <pageMargins left="0.70866141732283472" right="0.70866141732283472" top="0.15748031496062992" bottom="0.19685039370078741" header="0.31496062992125984" footer="0.31496062992125984"/>
  <pageSetup scale="80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7" workbookViewId="0">
      <selection activeCell="C65" sqref="C65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42684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349</v>
      </c>
      <c r="G2" s="8"/>
      <c r="K2"/>
    </row>
    <row r="3" spans="2:11" ht="15.75" x14ac:dyDescent="0.25">
      <c r="B3" s="9">
        <v>42671</v>
      </c>
      <c r="C3" s="10">
        <v>12153</v>
      </c>
      <c r="D3" s="11" t="s">
        <v>6</v>
      </c>
      <c r="E3" s="12">
        <f>394.5+11</f>
        <v>405.5</v>
      </c>
      <c r="F3" s="13">
        <v>16088</v>
      </c>
      <c r="K3"/>
    </row>
    <row r="4" spans="2:11" ht="15.75" x14ac:dyDescent="0.25">
      <c r="B4" s="14">
        <v>42671</v>
      </c>
      <c r="C4" s="15">
        <v>12162</v>
      </c>
      <c r="D4" s="16" t="s">
        <v>6</v>
      </c>
      <c r="E4" s="17">
        <v>81</v>
      </c>
      <c r="F4" s="13">
        <v>5022</v>
      </c>
      <c r="K4"/>
    </row>
    <row r="5" spans="2:11" ht="15.75" x14ac:dyDescent="0.25">
      <c r="B5" s="14">
        <v>42674</v>
      </c>
      <c r="C5" s="15">
        <v>12491</v>
      </c>
      <c r="D5" s="16" t="s">
        <v>192</v>
      </c>
      <c r="E5" s="17">
        <v>432.2</v>
      </c>
      <c r="F5" s="13">
        <v>14478.7</v>
      </c>
      <c r="K5"/>
    </row>
    <row r="6" spans="2:11" ht="15.75" x14ac:dyDescent="0.25">
      <c r="B6" s="14">
        <v>42674</v>
      </c>
      <c r="C6" s="66">
        <v>12493</v>
      </c>
      <c r="D6" s="16" t="s">
        <v>7</v>
      </c>
      <c r="E6" s="56">
        <v>86.4</v>
      </c>
      <c r="F6" s="13">
        <v>3369.6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42674</v>
      </c>
      <c r="C7" s="15">
        <v>12494</v>
      </c>
      <c r="D7" s="16" t="s">
        <v>20</v>
      </c>
      <c r="E7" s="17">
        <v>420.9</v>
      </c>
      <c r="F7" s="13">
        <v>16415.099999999999</v>
      </c>
      <c r="K7" s="3">
        <f t="shared" si="0"/>
        <v>0</v>
      </c>
    </row>
    <row r="8" spans="2:11" ht="15.75" x14ac:dyDescent="0.25">
      <c r="B8" s="14">
        <v>42674</v>
      </c>
      <c r="C8" s="15">
        <v>12495</v>
      </c>
      <c r="D8" s="16" t="s">
        <v>350</v>
      </c>
      <c r="E8" s="17">
        <v>406.6</v>
      </c>
      <c r="F8" s="13">
        <v>15857.4</v>
      </c>
      <c r="K8" s="3">
        <f t="shared" si="0"/>
        <v>0</v>
      </c>
    </row>
    <row r="9" spans="2:11" ht="15.75" x14ac:dyDescent="0.25">
      <c r="B9" s="14">
        <v>42674</v>
      </c>
      <c r="C9" s="15">
        <v>12497</v>
      </c>
      <c r="D9" s="16" t="s">
        <v>14</v>
      </c>
      <c r="E9" s="17">
        <v>414.1</v>
      </c>
      <c r="F9" s="13">
        <v>16149.9</v>
      </c>
      <c r="K9" s="3">
        <f t="shared" si="0"/>
        <v>0</v>
      </c>
    </row>
    <row r="10" spans="2:11" ht="15.75" x14ac:dyDescent="0.25">
      <c r="B10" s="14">
        <v>42674</v>
      </c>
      <c r="C10" s="15">
        <v>12498</v>
      </c>
      <c r="D10" s="16" t="s">
        <v>9</v>
      </c>
      <c r="E10" s="17">
        <v>406.8</v>
      </c>
      <c r="F10" s="13">
        <v>15865.2</v>
      </c>
      <c r="K10" s="3">
        <f t="shared" si="0"/>
        <v>0</v>
      </c>
    </row>
    <row r="11" spans="2:11" ht="15.75" x14ac:dyDescent="0.25">
      <c r="B11" s="14">
        <v>42674</v>
      </c>
      <c r="C11" s="44">
        <v>12503</v>
      </c>
      <c r="D11" s="16" t="s">
        <v>153</v>
      </c>
      <c r="E11" s="17">
        <f>86.2+23.9</f>
        <v>110.1</v>
      </c>
      <c r="F11" s="13">
        <v>4771.8999999999996</v>
      </c>
      <c r="K11" s="3">
        <f t="shared" si="0"/>
        <v>0</v>
      </c>
    </row>
    <row r="12" spans="2:11" ht="15.75" x14ac:dyDescent="0.25">
      <c r="B12" s="14">
        <v>42675</v>
      </c>
      <c r="C12" s="15">
        <v>12624</v>
      </c>
      <c r="D12" s="16" t="s">
        <v>14</v>
      </c>
      <c r="E12" s="17">
        <v>306.8</v>
      </c>
      <c r="F12" s="13">
        <v>11965.2</v>
      </c>
      <c r="K12" s="3">
        <f t="shared" si="0"/>
        <v>0</v>
      </c>
    </row>
    <row r="13" spans="2:11" ht="15.75" x14ac:dyDescent="0.25">
      <c r="B13" s="14">
        <v>42675</v>
      </c>
      <c r="C13" s="15">
        <v>12625</v>
      </c>
      <c r="D13" s="16" t="s">
        <v>9</v>
      </c>
      <c r="E13" s="17">
        <v>317.8</v>
      </c>
      <c r="F13" s="13">
        <v>12394.2</v>
      </c>
      <c r="K13" s="3">
        <f t="shared" si="0"/>
        <v>0</v>
      </c>
    </row>
    <row r="14" spans="2:11" ht="15.75" x14ac:dyDescent="0.25">
      <c r="B14" s="14">
        <v>42675</v>
      </c>
      <c r="C14" s="15">
        <v>12627</v>
      </c>
      <c r="D14" s="16" t="s">
        <v>20</v>
      </c>
      <c r="E14" s="17">
        <v>307.39999999999998</v>
      </c>
      <c r="F14" s="13">
        <v>11988.6</v>
      </c>
      <c r="K14" s="3">
        <f t="shared" si="0"/>
        <v>0</v>
      </c>
    </row>
    <row r="15" spans="2:11" ht="15.75" x14ac:dyDescent="0.25">
      <c r="B15" s="14">
        <v>42675</v>
      </c>
      <c r="C15" s="15">
        <v>12628</v>
      </c>
      <c r="D15" s="16" t="s">
        <v>192</v>
      </c>
      <c r="E15" s="17">
        <f>67.7+416.8+43.5</f>
        <v>528</v>
      </c>
      <c r="F15" s="13">
        <v>16583.2</v>
      </c>
      <c r="K15" s="3">
        <f t="shared" si="0"/>
        <v>0</v>
      </c>
    </row>
    <row r="16" spans="2:11" ht="15.75" x14ac:dyDescent="0.25">
      <c r="B16" s="14">
        <v>42676</v>
      </c>
      <c r="C16" s="15">
        <v>12704</v>
      </c>
      <c r="D16" s="16" t="s">
        <v>20</v>
      </c>
      <c r="E16" s="17">
        <v>429.4</v>
      </c>
      <c r="F16" s="13">
        <v>16746.599999999999</v>
      </c>
      <c r="K16" s="3">
        <f t="shared" si="0"/>
        <v>0</v>
      </c>
    </row>
    <row r="17" spans="1:13" ht="15.75" x14ac:dyDescent="0.25">
      <c r="B17" s="14">
        <v>42676</v>
      </c>
      <c r="C17" s="15">
        <v>12705</v>
      </c>
      <c r="D17" s="16" t="s">
        <v>9</v>
      </c>
      <c r="E17" s="17">
        <v>438.8</v>
      </c>
      <c r="F17" s="13">
        <v>17113.2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42676</v>
      </c>
      <c r="C18" s="15">
        <v>12706</v>
      </c>
      <c r="D18" s="16" t="s">
        <v>14</v>
      </c>
      <c r="E18" s="17">
        <v>467.8</v>
      </c>
      <c r="F18" s="13">
        <v>18244.2</v>
      </c>
      <c r="I18" s="3"/>
      <c r="J18" s="3"/>
    </row>
    <row r="19" spans="1:13" ht="15.75" x14ac:dyDescent="0.25">
      <c r="B19" s="14">
        <v>42676</v>
      </c>
      <c r="C19" s="15">
        <v>12709</v>
      </c>
      <c r="D19" s="16" t="s">
        <v>13</v>
      </c>
      <c r="E19" s="17">
        <v>465.6</v>
      </c>
      <c r="F19" s="13">
        <v>18158.400000000001</v>
      </c>
    </row>
    <row r="20" spans="1:13" ht="15.75" x14ac:dyDescent="0.25">
      <c r="B20" s="14">
        <v>42677</v>
      </c>
      <c r="C20" s="15">
        <v>12767</v>
      </c>
      <c r="D20" s="16" t="s">
        <v>20</v>
      </c>
      <c r="E20" s="17">
        <v>419.2</v>
      </c>
      <c r="F20" s="13">
        <v>16348.8</v>
      </c>
    </row>
    <row r="21" spans="1:13" ht="15.75" x14ac:dyDescent="0.25">
      <c r="B21" s="14">
        <v>42677</v>
      </c>
      <c r="C21" s="15">
        <v>12768</v>
      </c>
      <c r="D21" s="16" t="s">
        <v>9</v>
      </c>
      <c r="E21" s="17">
        <v>432</v>
      </c>
      <c r="F21" s="13">
        <v>17280</v>
      </c>
    </row>
    <row r="22" spans="1:13" ht="15.75" x14ac:dyDescent="0.25">
      <c r="A22" s="18"/>
      <c r="B22" s="14">
        <v>42677</v>
      </c>
      <c r="C22" s="15">
        <v>12769</v>
      </c>
      <c r="D22" s="16" t="s">
        <v>14</v>
      </c>
      <c r="E22" s="17">
        <v>406.2</v>
      </c>
      <c r="F22" s="13">
        <v>15841.8</v>
      </c>
    </row>
    <row r="23" spans="1:13" ht="15.75" x14ac:dyDescent="0.25">
      <c r="B23" s="14">
        <v>42677</v>
      </c>
      <c r="C23" s="15">
        <v>12770</v>
      </c>
      <c r="D23" s="16" t="s">
        <v>13</v>
      </c>
      <c r="E23" s="17">
        <v>442.4</v>
      </c>
      <c r="F23" s="13">
        <v>17253.599999999999</v>
      </c>
      <c r="I23" s="48"/>
      <c r="J23" s="49"/>
      <c r="K23" s="50"/>
      <c r="L23" s="51"/>
      <c r="M23" s="52"/>
    </row>
    <row r="24" spans="1:13" ht="15.75" x14ac:dyDescent="0.25">
      <c r="B24" s="14">
        <v>42677</v>
      </c>
      <c r="C24" s="15">
        <v>12772</v>
      </c>
      <c r="D24" s="16" t="s">
        <v>12</v>
      </c>
      <c r="E24" s="17">
        <v>929.25</v>
      </c>
      <c r="F24" s="13">
        <v>30665.25</v>
      </c>
      <c r="I24" s="31"/>
      <c r="J24" s="31"/>
      <c r="K24" s="53"/>
      <c r="L24" s="31"/>
      <c r="M24" s="31"/>
    </row>
    <row r="25" spans="1:13" ht="15.75" x14ac:dyDescent="0.25">
      <c r="B25" s="14">
        <v>42677</v>
      </c>
      <c r="C25" s="15">
        <v>12773</v>
      </c>
      <c r="D25" s="16" t="s">
        <v>192</v>
      </c>
      <c r="E25" s="17">
        <v>449</v>
      </c>
      <c r="F25" s="13">
        <v>15041.5</v>
      </c>
      <c r="I25" s="31"/>
      <c r="J25" s="31"/>
      <c r="K25" s="53"/>
      <c r="L25" s="31"/>
      <c r="M25" s="31"/>
    </row>
    <row r="26" spans="1:13" ht="15.75" x14ac:dyDescent="0.25">
      <c r="B26" s="14">
        <v>42677</v>
      </c>
      <c r="C26" s="15">
        <v>12774</v>
      </c>
      <c r="D26" s="16" t="s">
        <v>7</v>
      </c>
      <c r="E26" s="17">
        <f>1+1</f>
        <v>2</v>
      </c>
      <c r="F26" s="13">
        <v>955</v>
      </c>
    </row>
    <row r="27" spans="1:13" x14ac:dyDescent="0.25">
      <c r="B27" s="14">
        <v>42677</v>
      </c>
      <c r="C27" s="19">
        <v>12775</v>
      </c>
      <c r="D27" s="16" t="s">
        <v>20</v>
      </c>
      <c r="E27" s="17">
        <v>17.7</v>
      </c>
      <c r="F27" s="13">
        <v>495.6</v>
      </c>
    </row>
    <row r="28" spans="1:13" x14ac:dyDescent="0.25">
      <c r="B28" s="14">
        <v>42677</v>
      </c>
      <c r="C28" s="19">
        <v>12784</v>
      </c>
      <c r="D28" s="16" t="s">
        <v>10</v>
      </c>
      <c r="E28" s="17">
        <v>275.2</v>
      </c>
      <c r="F28" s="13">
        <v>10732.8</v>
      </c>
      <c r="I28">
        <v>289.10000000000002</v>
      </c>
      <c r="J28">
        <v>41</v>
      </c>
      <c r="K28" s="3">
        <f t="shared" ref="K28:K53" si="2">J28*I28</f>
        <v>11853.1</v>
      </c>
    </row>
    <row r="29" spans="1:13" x14ac:dyDescent="0.25">
      <c r="B29" s="14">
        <v>42677</v>
      </c>
      <c r="C29" s="19">
        <v>12785</v>
      </c>
      <c r="D29" s="16" t="s">
        <v>153</v>
      </c>
      <c r="E29" s="17">
        <v>181</v>
      </c>
      <c r="F29" s="13">
        <v>7240</v>
      </c>
      <c r="I29">
        <v>108.8</v>
      </c>
      <c r="J29">
        <v>40</v>
      </c>
      <c r="K29" s="3">
        <f t="shared" si="2"/>
        <v>4352</v>
      </c>
    </row>
    <row r="30" spans="1:13" x14ac:dyDescent="0.25">
      <c r="B30" s="14">
        <v>42677</v>
      </c>
      <c r="C30" s="19">
        <v>12797</v>
      </c>
      <c r="D30" s="16" t="s">
        <v>11</v>
      </c>
      <c r="E30" s="17">
        <f>3+117.4+14.3</f>
        <v>134.70000000000002</v>
      </c>
      <c r="F30" s="13">
        <v>4947</v>
      </c>
      <c r="I30">
        <v>6.5</v>
      </c>
      <c r="J30">
        <v>51</v>
      </c>
      <c r="K30" s="3">
        <f t="shared" si="2"/>
        <v>331.5</v>
      </c>
    </row>
    <row r="31" spans="1:13" x14ac:dyDescent="0.25">
      <c r="B31" s="14">
        <v>42677</v>
      </c>
      <c r="C31" s="19">
        <v>12807</v>
      </c>
      <c r="D31" s="16" t="s">
        <v>6</v>
      </c>
      <c r="E31" s="17">
        <v>82.8</v>
      </c>
      <c r="F31" s="13">
        <v>3312</v>
      </c>
      <c r="I31">
        <v>90.5</v>
      </c>
      <c r="J31">
        <v>62</v>
      </c>
      <c r="K31" s="3">
        <f t="shared" si="2"/>
        <v>5611</v>
      </c>
    </row>
    <row r="32" spans="1:13" x14ac:dyDescent="0.25">
      <c r="B32" s="14">
        <v>42678</v>
      </c>
      <c r="C32" s="19">
        <v>12916</v>
      </c>
      <c r="D32" s="16" t="s">
        <v>351</v>
      </c>
      <c r="E32" s="17">
        <v>514.79999999999995</v>
      </c>
      <c r="F32" s="13">
        <v>20592</v>
      </c>
      <c r="I32">
        <v>18.8</v>
      </c>
      <c r="J32">
        <v>61</v>
      </c>
      <c r="K32" s="3">
        <f t="shared" si="2"/>
        <v>1146.8</v>
      </c>
    </row>
    <row r="33" spans="2:11" x14ac:dyDescent="0.25">
      <c r="B33" s="14">
        <v>42678</v>
      </c>
      <c r="C33" s="19">
        <v>12917</v>
      </c>
      <c r="D33" s="16" t="s">
        <v>14</v>
      </c>
      <c r="E33" s="17">
        <v>514</v>
      </c>
      <c r="F33" s="13">
        <v>20560</v>
      </c>
      <c r="I33">
        <v>0</v>
      </c>
      <c r="K33" s="3">
        <f t="shared" si="2"/>
        <v>0</v>
      </c>
    </row>
    <row r="34" spans="2:11" x14ac:dyDescent="0.25">
      <c r="B34" s="14">
        <v>42678</v>
      </c>
      <c r="C34" s="19">
        <v>12922</v>
      </c>
      <c r="D34" s="16" t="s">
        <v>153</v>
      </c>
      <c r="E34" s="17">
        <v>427.2</v>
      </c>
      <c r="F34" s="13">
        <v>17088</v>
      </c>
      <c r="I34">
        <f>SUM(I28:I33)</f>
        <v>513.70000000000005</v>
      </c>
      <c r="K34" s="3">
        <f>SUM(K28:K33)</f>
        <v>23294.399999999998</v>
      </c>
    </row>
    <row r="35" spans="2:11" x14ac:dyDescent="0.25">
      <c r="B35" s="14">
        <v>42678</v>
      </c>
      <c r="C35" s="19">
        <v>12924</v>
      </c>
      <c r="D35" s="16" t="s">
        <v>7</v>
      </c>
      <c r="E35" s="17">
        <v>98.4</v>
      </c>
      <c r="F35" s="13">
        <v>3936</v>
      </c>
    </row>
    <row r="36" spans="2:11" x14ac:dyDescent="0.25">
      <c r="B36" s="14">
        <v>42678</v>
      </c>
      <c r="C36" s="19">
        <v>12942</v>
      </c>
      <c r="D36" s="16" t="s">
        <v>10</v>
      </c>
      <c r="E36" s="17">
        <f>431.2+362+23.4+4+54.48</f>
        <v>875.08</v>
      </c>
      <c r="F36" s="13">
        <v>33511.760000000002</v>
      </c>
    </row>
    <row r="37" spans="2:11" x14ac:dyDescent="0.25">
      <c r="B37" s="14">
        <v>42678</v>
      </c>
      <c r="C37" s="19">
        <v>12943</v>
      </c>
      <c r="D37" s="16" t="s">
        <v>9</v>
      </c>
      <c r="E37" s="17">
        <v>57.6</v>
      </c>
      <c r="F37" s="13">
        <v>1267.2</v>
      </c>
    </row>
    <row r="38" spans="2:11" x14ac:dyDescent="0.25">
      <c r="B38" s="14">
        <v>42678</v>
      </c>
      <c r="C38" s="19">
        <v>12944</v>
      </c>
      <c r="D38" s="16" t="s">
        <v>192</v>
      </c>
      <c r="E38" s="17">
        <f>110.3+13.61</f>
        <v>123.91</v>
      </c>
      <c r="F38" s="13">
        <v>3311.25</v>
      </c>
    </row>
    <row r="39" spans="2:11" x14ac:dyDescent="0.25">
      <c r="B39" s="14">
        <v>42678</v>
      </c>
      <c r="C39" s="19">
        <v>12954</v>
      </c>
      <c r="D39" s="16" t="s">
        <v>6</v>
      </c>
      <c r="E39" s="17">
        <f>289.1+108.8+6.5+90.5+18.8</f>
        <v>513.70000000000005</v>
      </c>
      <c r="F39" s="13">
        <v>23294.400000000001</v>
      </c>
    </row>
    <row r="40" spans="2:11" x14ac:dyDescent="0.25">
      <c r="B40" s="14">
        <v>42678</v>
      </c>
      <c r="C40" s="19">
        <v>12959</v>
      </c>
      <c r="D40" s="16" t="s">
        <v>20</v>
      </c>
      <c r="E40" s="17">
        <f>633.8+32.4</f>
        <v>666.19999999999993</v>
      </c>
      <c r="F40" s="13">
        <v>32593.200000000001</v>
      </c>
    </row>
    <row r="41" spans="2:11" x14ac:dyDescent="0.25">
      <c r="B41" s="14">
        <v>42679</v>
      </c>
      <c r="C41" s="19">
        <v>13062</v>
      </c>
      <c r="D41" s="16" t="s">
        <v>14</v>
      </c>
      <c r="E41" s="17">
        <v>427.3</v>
      </c>
      <c r="F41" s="13">
        <v>17519.3</v>
      </c>
    </row>
    <row r="42" spans="2:11" x14ac:dyDescent="0.25">
      <c r="B42" s="14">
        <v>42679</v>
      </c>
      <c r="C42" s="19">
        <v>13063</v>
      </c>
      <c r="D42" s="16" t="s">
        <v>20</v>
      </c>
      <c r="E42" s="17">
        <v>422.7</v>
      </c>
      <c r="F42" s="13">
        <v>17330.7</v>
      </c>
    </row>
    <row r="43" spans="2:11" x14ac:dyDescent="0.25">
      <c r="B43" s="14">
        <v>42679</v>
      </c>
      <c r="C43" s="19">
        <v>13065</v>
      </c>
      <c r="D43" s="16" t="s">
        <v>351</v>
      </c>
      <c r="E43" s="17">
        <v>454.2</v>
      </c>
      <c r="F43" s="13">
        <v>18622.2</v>
      </c>
    </row>
    <row r="44" spans="2:11" x14ac:dyDescent="0.25">
      <c r="B44" s="14">
        <v>42679</v>
      </c>
      <c r="C44" s="19">
        <v>13067</v>
      </c>
      <c r="D44" s="16" t="s">
        <v>9</v>
      </c>
      <c r="E44" s="17">
        <v>408.4</v>
      </c>
      <c r="F44" s="13">
        <v>16744.400000000001</v>
      </c>
    </row>
    <row r="45" spans="2:11" x14ac:dyDescent="0.25">
      <c r="B45" s="14">
        <v>42679</v>
      </c>
      <c r="C45" s="19">
        <v>13068</v>
      </c>
      <c r="D45" s="16" t="s">
        <v>7</v>
      </c>
      <c r="E45" s="17">
        <v>88.1</v>
      </c>
      <c r="F45" s="13">
        <v>3612.1</v>
      </c>
    </row>
    <row r="46" spans="2:11" x14ac:dyDescent="0.25">
      <c r="B46" s="14">
        <v>42679</v>
      </c>
      <c r="C46" s="19">
        <v>13083</v>
      </c>
      <c r="D46" s="16" t="s">
        <v>192</v>
      </c>
      <c r="E46" s="17">
        <f>914.4+34.9+27</f>
        <v>976.3</v>
      </c>
      <c r="F46" s="13">
        <v>33476</v>
      </c>
    </row>
    <row r="47" spans="2:11" x14ac:dyDescent="0.25">
      <c r="B47" s="14">
        <v>42679</v>
      </c>
      <c r="C47" s="19">
        <v>13089</v>
      </c>
      <c r="D47" s="16" t="s">
        <v>12</v>
      </c>
      <c r="E47" s="17">
        <v>307.2</v>
      </c>
      <c r="F47" s="13">
        <v>18739.2</v>
      </c>
      <c r="K47" s="3">
        <f t="shared" si="2"/>
        <v>0</v>
      </c>
    </row>
    <row r="48" spans="2:11" x14ac:dyDescent="0.25">
      <c r="B48" s="14">
        <v>42679</v>
      </c>
      <c r="C48" s="19">
        <v>13090</v>
      </c>
      <c r="D48" s="16" t="s">
        <v>9</v>
      </c>
      <c r="E48" s="17">
        <v>240.4</v>
      </c>
      <c r="F48" s="13">
        <v>8173.6</v>
      </c>
    </row>
    <row r="49" spans="2:13" x14ac:dyDescent="0.25">
      <c r="B49" s="14">
        <v>42679</v>
      </c>
      <c r="C49" s="19">
        <v>13091</v>
      </c>
      <c r="D49" s="16" t="s">
        <v>10</v>
      </c>
      <c r="E49" s="17">
        <f>58.8+191.6</f>
        <v>250.39999999999998</v>
      </c>
      <c r="F49" s="13">
        <v>11501.2</v>
      </c>
    </row>
    <row r="50" spans="2:13" x14ac:dyDescent="0.25">
      <c r="B50" s="14">
        <v>42679</v>
      </c>
      <c r="C50" s="19">
        <v>13092</v>
      </c>
      <c r="D50" s="16" t="s">
        <v>11</v>
      </c>
      <c r="E50" s="17">
        <f>112.6+14.2</f>
        <v>126.8</v>
      </c>
      <c r="F50" s="13">
        <v>4226</v>
      </c>
    </row>
    <row r="51" spans="2:13" x14ac:dyDescent="0.25">
      <c r="B51" s="14"/>
      <c r="C51" s="19"/>
      <c r="D51" s="16"/>
      <c r="E51" s="17"/>
      <c r="F51" s="13"/>
    </row>
    <row r="52" spans="2:13" ht="15.75" thickBot="1" x14ac:dyDescent="0.3">
      <c r="B52" s="14"/>
      <c r="C52" s="19"/>
      <c r="D52" s="16"/>
      <c r="E52" s="17"/>
      <c r="F52" s="13"/>
    </row>
    <row r="53" spans="2:13" ht="15.75" thickBot="1" x14ac:dyDescent="0.3">
      <c r="B53" s="21" t="s">
        <v>233</v>
      </c>
      <c r="C53" s="22"/>
      <c r="D53" s="23"/>
      <c r="E53" s="24">
        <v>0</v>
      </c>
      <c r="F53" s="25">
        <f>SUM(F3:F52)</f>
        <v>677423.25999999978</v>
      </c>
      <c r="K53" s="3">
        <f t="shared" si="2"/>
        <v>0</v>
      </c>
    </row>
    <row r="54" spans="2:13" ht="19.5" thickBot="1" x14ac:dyDescent="0.35">
      <c r="B54" s="26"/>
      <c r="C54" s="27"/>
      <c r="D54" s="28" t="s">
        <v>5</v>
      </c>
      <c r="E54" s="29">
        <f>SUM(E3:E53)</f>
        <v>17289.340000000004</v>
      </c>
      <c r="I54" s="30">
        <f>SUM(I53:I53)</f>
        <v>0</v>
      </c>
      <c r="J54" s="30"/>
      <c r="K54" s="30">
        <f>SUM(K53:K53)</f>
        <v>0</v>
      </c>
    </row>
    <row r="55" spans="2:13" x14ac:dyDescent="0.25">
      <c r="B55" s="26"/>
      <c r="C55" s="27"/>
      <c r="D55" s="31"/>
      <c r="E55" s="32"/>
      <c r="I55" s="30">
        <f>SUM(I47:I54)</f>
        <v>0</v>
      </c>
      <c r="J55" s="30"/>
      <c r="K55" s="30">
        <f>SUM(K47:K54)</f>
        <v>0</v>
      </c>
    </row>
    <row r="56" spans="2:13" ht="21.75" thickBot="1" x14ac:dyDescent="0.4">
      <c r="B56" s="33"/>
      <c r="C56" s="34" t="s">
        <v>15</v>
      </c>
      <c r="D56" s="35">
        <f>E54*0.2</f>
        <v>3457.8680000000008</v>
      </c>
      <c r="F56"/>
      <c r="K56"/>
    </row>
    <row r="57" spans="2:13" ht="21.75" thickBot="1" x14ac:dyDescent="0.4">
      <c r="C57" s="36" t="s">
        <v>16</v>
      </c>
      <c r="D57" s="37">
        <v>3000</v>
      </c>
      <c r="E57" s="38"/>
      <c r="F57" s="85">
        <f>D56+D57</f>
        <v>6457.8680000000004</v>
      </c>
      <c r="G57" s="86"/>
      <c r="I57" s="39"/>
      <c r="J57" s="39"/>
      <c r="K57" s="39"/>
      <c r="L57" s="39"/>
      <c r="M57" s="39"/>
    </row>
    <row r="58" spans="2:13" ht="15.75" thickTop="1" x14ac:dyDescent="0.25">
      <c r="I58" s="39"/>
      <c r="J58" s="39"/>
      <c r="K58" s="40"/>
      <c r="L58" s="40"/>
      <c r="M58" s="40"/>
    </row>
    <row r="59" spans="2:13" ht="19.5" thickBot="1" x14ac:dyDescent="0.35">
      <c r="D59" s="62"/>
      <c r="E59" s="41" t="s">
        <v>311</v>
      </c>
      <c r="F59" s="87">
        <v>0</v>
      </c>
      <c r="G59" s="87"/>
      <c r="I59" s="39"/>
      <c r="J59" s="39"/>
      <c r="K59" s="40"/>
      <c r="L59" s="40"/>
      <c r="M59" s="40"/>
    </row>
    <row r="60" spans="2:13" ht="15.75" thickTop="1" x14ac:dyDescent="0.25">
      <c r="C60"/>
      <c r="F60" s="88">
        <f>F57+F59</f>
        <v>6457.8680000000004</v>
      </c>
      <c r="G60" s="88"/>
      <c r="I60" s="39"/>
      <c r="J60" s="39"/>
      <c r="K60" s="40"/>
      <c r="L60" s="40"/>
      <c r="M60" s="40"/>
    </row>
    <row r="61" spans="2:13" ht="18.75" x14ac:dyDescent="0.3">
      <c r="C61"/>
      <c r="E61" s="2" t="s">
        <v>18</v>
      </c>
      <c r="F61" s="89"/>
      <c r="G61" s="89"/>
      <c r="K61"/>
    </row>
  </sheetData>
  <mergeCells count="4">
    <mergeCell ref="B1:C1"/>
    <mergeCell ref="F57:G57"/>
    <mergeCell ref="F59:G59"/>
    <mergeCell ref="F60:G61"/>
  </mergeCells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3" workbookViewId="0">
      <selection activeCell="D28" sqref="D27:D28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42691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352</v>
      </c>
      <c r="G2" s="8"/>
      <c r="K2"/>
    </row>
    <row r="3" spans="2:11" ht="15.75" x14ac:dyDescent="0.25">
      <c r="B3" s="9">
        <v>42681</v>
      </c>
      <c r="C3" s="10">
        <v>13262</v>
      </c>
      <c r="D3" s="11" t="s">
        <v>153</v>
      </c>
      <c r="E3" s="12">
        <v>279.10000000000002</v>
      </c>
      <c r="F3" s="13">
        <v>11443.1</v>
      </c>
      <c r="K3"/>
    </row>
    <row r="4" spans="2:11" ht="15.75" x14ac:dyDescent="0.25">
      <c r="B4" s="14">
        <v>42681</v>
      </c>
      <c r="C4" s="15">
        <v>13264</v>
      </c>
      <c r="D4" s="16" t="s">
        <v>9</v>
      </c>
      <c r="E4" s="17">
        <v>450.5</v>
      </c>
      <c r="F4" s="13">
        <v>18470.5</v>
      </c>
      <c r="K4"/>
    </row>
    <row r="5" spans="2:11" ht="15.75" x14ac:dyDescent="0.25">
      <c r="B5" s="14">
        <v>42681</v>
      </c>
      <c r="C5" s="15">
        <v>13265</v>
      </c>
      <c r="D5" s="16" t="s">
        <v>7</v>
      </c>
      <c r="E5" s="17">
        <v>84.8</v>
      </c>
      <c r="F5" s="13">
        <v>3476.8</v>
      </c>
      <c r="K5"/>
    </row>
    <row r="6" spans="2:11" ht="15.75" x14ac:dyDescent="0.25">
      <c r="B6" s="14">
        <v>42681</v>
      </c>
      <c r="C6" s="66">
        <v>13266</v>
      </c>
      <c r="D6" s="16" t="s">
        <v>353</v>
      </c>
      <c r="E6" s="56">
        <v>448.4</v>
      </c>
      <c r="F6" s="13">
        <v>18384.400000000001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42681</v>
      </c>
      <c r="C7" s="15">
        <v>13267</v>
      </c>
      <c r="D7" s="16" t="s">
        <v>14</v>
      </c>
      <c r="E7" s="17">
        <v>450.1</v>
      </c>
      <c r="F7" s="13">
        <v>18454.099999999999</v>
      </c>
      <c r="K7" s="3">
        <f t="shared" si="0"/>
        <v>0</v>
      </c>
    </row>
    <row r="8" spans="2:11" ht="15.75" x14ac:dyDescent="0.25">
      <c r="B8" s="14">
        <v>42682</v>
      </c>
      <c r="C8" s="15">
        <v>13427</v>
      </c>
      <c r="D8" s="16" t="s">
        <v>8</v>
      </c>
      <c r="E8" s="17">
        <f>52.7+37.4</f>
        <v>90.1</v>
      </c>
      <c r="F8" s="13">
        <v>2131.8000000000002</v>
      </c>
      <c r="K8" s="3">
        <f t="shared" si="0"/>
        <v>0</v>
      </c>
    </row>
    <row r="9" spans="2:11" ht="15.75" x14ac:dyDescent="0.25">
      <c r="B9" s="14">
        <v>42682</v>
      </c>
      <c r="C9" s="15">
        <v>13428</v>
      </c>
      <c r="D9" s="16" t="s">
        <v>9</v>
      </c>
      <c r="E9" s="17">
        <v>170.7</v>
      </c>
      <c r="F9" s="13">
        <v>6998.7</v>
      </c>
      <c r="K9" s="3">
        <f t="shared" si="0"/>
        <v>0</v>
      </c>
    </row>
    <row r="10" spans="2:11" ht="15.75" x14ac:dyDescent="0.25">
      <c r="B10" s="14">
        <v>42682</v>
      </c>
      <c r="C10" s="15">
        <v>13429</v>
      </c>
      <c r="D10" s="16" t="s">
        <v>302</v>
      </c>
      <c r="E10" s="17">
        <f>80.9+5.2</f>
        <v>86.100000000000009</v>
      </c>
      <c r="F10" s="13">
        <v>3732.9</v>
      </c>
      <c r="K10" s="3">
        <f t="shared" si="0"/>
        <v>0</v>
      </c>
    </row>
    <row r="11" spans="2:11" ht="15.75" x14ac:dyDescent="0.25">
      <c r="B11" s="14">
        <v>42682</v>
      </c>
      <c r="C11" s="44">
        <v>13431</v>
      </c>
      <c r="D11" s="16" t="s">
        <v>353</v>
      </c>
      <c r="E11" s="17">
        <v>249.9</v>
      </c>
      <c r="F11" s="13">
        <v>10245.9</v>
      </c>
      <c r="K11" s="3">
        <f t="shared" si="0"/>
        <v>0</v>
      </c>
    </row>
    <row r="12" spans="2:11" ht="15.75" x14ac:dyDescent="0.25">
      <c r="B12" s="14">
        <v>42682</v>
      </c>
      <c r="C12" s="15">
        <v>13432</v>
      </c>
      <c r="D12" s="16" t="s">
        <v>10</v>
      </c>
      <c r="E12" s="17">
        <v>336.4</v>
      </c>
      <c r="F12" s="13">
        <v>13792.4</v>
      </c>
      <c r="K12" s="3">
        <f t="shared" si="0"/>
        <v>0</v>
      </c>
    </row>
    <row r="13" spans="2:11" ht="15.75" x14ac:dyDescent="0.25">
      <c r="B13" s="14">
        <v>42683</v>
      </c>
      <c r="C13" s="15">
        <v>13521</v>
      </c>
      <c r="D13" s="16" t="s">
        <v>8</v>
      </c>
      <c r="E13" s="17">
        <v>466</v>
      </c>
      <c r="F13" s="13">
        <v>16543</v>
      </c>
      <c r="K13" s="3">
        <f t="shared" si="0"/>
        <v>0</v>
      </c>
    </row>
    <row r="14" spans="2:11" ht="15.75" x14ac:dyDescent="0.25">
      <c r="B14" s="14">
        <v>42683</v>
      </c>
      <c r="C14" s="15">
        <v>13522</v>
      </c>
      <c r="D14" s="16" t="s">
        <v>7</v>
      </c>
      <c r="E14" s="17">
        <v>89.7</v>
      </c>
      <c r="F14" s="13">
        <v>3677.7</v>
      </c>
      <c r="K14" s="3">
        <f t="shared" si="0"/>
        <v>0</v>
      </c>
    </row>
    <row r="15" spans="2:11" ht="15.75" x14ac:dyDescent="0.25">
      <c r="B15" s="14">
        <v>42683</v>
      </c>
      <c r="C15" s="15">
        <v>13523</v>
      </c>
      <c r="D15" s="16" t="s">
        <v>6</v>
      </c>
      <c r="E15" s="17">
        <v>96.7</v>
      </c>
      <c r="F15" s="13">
        <v>3964.7</v>
      </c>
      <c r="K15" s="3">
        <f t="shared" si="0"/>
        <v>0</v>
      </c>
    </row>
    <row r="16" spans="2:11" ht="15.75" x14ac:dyDescent="0.25">
      <c r="B16" s="14">
        <v>42683</v>
      </c>
      <c r="C16" s="15">
        <v>13527</v>
      </c>
      <c r="D16" s="16" t="s">
        <v>353</v>
      </c>
      <c r="E16" s="17">
        <v>81.400000000000006</v>
      </c>
      <c r="F16" s="13">
        <v>5046.8</v>
      </c>
      <c r="K16" s="3">
        <f t="shared" si="0"/>
        <v>0</v>
      </c>
    </row>
    <row r="17" spans="1:13" ht="15.75" x14ac:dyDescent="0.25">
      <c r="B17" s="14">
        <v>42683</v>
      </c>
      <c r="C17" s="15">
        <v>13528</v>
      </c>
      <c r="D17" s="16" t="s">
        <v>10</v>
      </c>
      <c r="E17" s="17">
        <f>422.9+4+30.4+119.8</f>
        <v>577.09999999999991</v>
      </c>
      <c r="F17" s="13">
        <v>23242.9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42683</v>
      </c>
      <c r="C18" s="15">
        <v>13532</v>
      </c>
      <c r="D18" s="16" t="s">
        <v>11</v>
      </c>
      <c r="E18" s="17">
        <v>2</v>
      </c>
      <c r="F18" s="13">
        <v>370</v>
      </c>
      <c r="I18" s="3"/>
      <c r="J18" s="3"/>
    </row>
    <row r="19" spans="1:13" ht="15.75" x14ac:dyDescent="0.25">
      <c r="B19" s="14">
        <v>42683</v>
      </c>
      <c r="C19" s="15">
        <v>13534</v>
      </c>
      <c r="D19" s="16" t="s">
        <v>353</v>
      </c>
      <c r="E19" s="17">
        <v>84.6</v>
      </c>
      <c r="F19" s="13">
        <v>5245.2</v>
      </c>
    </row>
    <row r="20" spans="1:13" ht="15.75" x14ac:dyDescent="0.25">
      <c r="B20" s="14">
        <v>42684</v>
      </c>
      <c r="C20" s="15">
        <v>13676</v>
      </c>
      <c r="D20" s="16" t="s">
        <v>153</v>
      </c>
      <c r="E20" s="17">
        <v>177.6</v>
      </c>
      <c r="F20" s="13">
        <v>7370.4</v>
      </c>
    </row>
    <row r="21" spans="1:13" ht="15.75" x14ac:dyDescent="0.25">
      <c r="B21" s="14">
        <v>42684</v>
      </c>
      <c r="C21" s="15">
        <v>13678</v>
      </c>
      <c r="D21" s="16" t="s">
        <v>353</v>
      </c>
      <c r="E21" s="17">
        <f>2+115.9</f>
        <v>117.9</v>
      </c>
      <c r="F21" s="13">
        <v>5712.4</v>
      </c>
    </row>
    <row r="22" spans="1:13" ht="15.75" x14ac:dyDescent="0.25">
      <c r="A22" s="18"/>
      <c r="B22" s="14">
        <v>42685</v>
      </c>
      <c r="C22" s="15">
        <v>13760</v>
      </c>
      <c r="D22" s="16" t="s">
        <v>9</v>
      </c>
      <c r="E22" s="17">
        <v>422.9</v>
      </c>
      <c r="F22" s="13">
        <v>17550.349999999999</v>
      </c>
    </row>
    <row r="23" spans="1:13" ht="15.75" x14ac:dyDescent="0.25">
      <c r="B23" s="14">
        <v>42685</v>
      </c>
      <c r="C23" s="15">
        <v>13761</v>
      </c>
      <c r="D23" s="16" t="s">
        <v>13</v>
      </c>
      <c r="E23" s="17">
        <v>423.2</v>
      </c>
      <c r="F23" s="13">
        <v>17562.8</v>
      </c>
      <c r="I23" s="48"/>
      <c r="J23" s="49"/>
      <c r="K23" s="50"/>
      <c r="L23" s="51"/>
      <c r="M23" s="52"/>
    </row>
    <row r="24" spans="1:13" ht="15.75" x14ac:dyDescent="0.25">
      <c r="B24" s="14">
        <v>42685</v>
      </c>
      <c r="C24" s="15">
        <v>13766</v>
      </c>
      <c r="D24" s="16" t="s">
        <v>14</v>
      </c>
      <c r="E24" s="17">
        <v>432.1</v>
      </c>
      <c r="F24" s="13">
        <v>17932.150000000001</v>
      </c>
      <c r="I24" s="31"/>
      <c r="J24" s="31"/>
      <c r="K24" s="53"/>
      <c r="L24" s="31"/>
      <c r="M24" s="31"/>
    </row>
    <row r="25" spans="1:13" ht="15.75" x14ac:dyDescent="0.25">
      <c r="B25" s="14">
        <v>42685</v>
      </c>
      <c r="C25" s="15">
        <v>13783</v>
      </c>
      <c r="D25" s="16" t="s">
        <v>153</v>
      </c>
      <c r="E25" s="17">
        <f>267.2+1+17.3</f>
        <v>285.5</v>
      </c>
      <c r="F25" s="13">
        <v>12239.4</v>
      </c>
      <c r="I25" s="31"/>
      <c r="J25" s="31"/>
      <c r="K25" s="53"/>
      <c r="L25" s="31"/>
      <c r="M25" s="31"/>
    </row>
    <row r="26" spans="1:13" ht="15.75" x14ac:dyDescent="0.25">
      <c r="B26" s="14">
        <v>42685</v>
      </c>
      <c r="C26" s="15">
        <v>13789</v>
      </c>
      <c r="D26" s="16" t="s">
        <v>353</v>
      </c>
      <c r="E26" s="17">
        <f>441.4+327.4</f>
        <v>768.8</v>
      </c>
      <c r="F26" s="13">
        <v>35015.5</v>
      </c>
    </row>
    <row r="27" spans="1:13" x14ac:dyDescent="0.25">
      <c r="B27" s="14">
        <v>42685</v>
      </c>
      <c r="C27" s="19">
        <v>13791</v>
      </c>
      <c r="D27" s="16" t="s">
        <v>6</v>
      </c>
      <c r="E27" s="17">
        <f>75.2+82.2+239.4+22.5</f>
        <v>419.3</v>
      </c>
      <c r="F27" s="13">
        <v>19328.2</v>
      </c>
    </row>
    <row r="28" spans="1:13" x14ac:dyDescent="0.25">
      <c r="B28" s="14">
        <v>42685</v>
      </c>
      <c r="C28" s="19">
        <v>13828</v>
      </c>
      <c r="D28" s="16" t="s">
        <v>11</v>
      </c>
      <c r="E28" s="17">
        <f>60.9+15.5+55.8</f>
        <v>132.19999999999999</v>
      </c>
      <c r="F28" s="13">
        <v>6568.4</v>
      </c>
      <c r="K28" s="3">
        <f t="shared" ref="K28:K38" si="2">J28*I28</f>
        <v>0</v>
      </c>
    </row>
    <row r="29" spans="1:13" x14ac:dyDescent="0.25">
      <c r="B29" s="14">
        <v>42685</v>
      </c>
      <c r="C29" s="19">
        <v>13834</v>
      </c>
      <c r="D29" s="16" t="s">
        <v>7</v>
      </c>
      <c r="E29" s="17">
        <v>163.6</v>
      </c>
      <c r="F29" s="13">
        <v>6789.4</v>
      </c>
      <c r="K29" s="3">
        <f t="shared" si="2"/>
        <v>0</v>
      </c>
    </row>
    <row r="30" spans="1:13" x14ac:dyDescent="0.25">
      <c r="B30" s="14">
        <v>42686</v>
      </c>
      <c r="C30" s="19">
        <v>13922</v>
      </c>
      <c r="D30" s="16" t="s">
        <v>353</v>
      </c>
      <c r="E30" s="17">
        <v>451.9</v>
      </c>
      <c r="F30" s="13">
        <v>18753.849999999999</v>
      </c>
      <c r="K30" s="3">
        <f t="shared" si="2"/>
        <v>0</v>
      </c>
    </row>
    <row r="31" spans="1:13" x14ac:dyDescent="0.25">
      <c r="B31" s="14">
        <v>42686</v>
      </c>
      <c r="C31" s="19">
        <v>13923</v>
      </c>
      <c r="D31" s="16" t="s">
        <v>9</v>
      </c>
      <c r="E31" s="17">
        <v>458.9</v>
      </c>
      <c r="F31" s="13">
        <v>19044.349999999999</v>
      </c>
      <c r="K31" s="3">
        <f t="shared" si="2"/>
        <v>0</v>
      </c>
    </row>
    <row r="32" spans="1:13" x14ac:dyDescent="0.25">
      <c r="B32" s="14">
        <v>42686</v>
      </c>
      <c r="C32" s="19">
        <v>13924</v>
      </c>
      <c r="D32" s="16" t="s">
        <v>12</v>
      </c>
      <c r="E32" s="17">
        <v>904.9</v>
      </c>
      <c r="F32" s="13">
        <v>32576.400000000001</v>
      </c>
      <c r="K32" s="3">
        <f t="shared" si="2"/>
        <v>0</v>
      </c>
    </row>
    <row r="33" spans="2:13" x14ac:dyDescent="0.25">
      <c r="B33" s="14">
        <v>42686</v>
      </c>
      <c r="C33" s="19">
        <v>13925</v>
      </c>
      <c r="D33" s="16" t="s">
        <v>7</v>
      </c>
      <c r="E33" s="17">
        <v>103.6</v>
      </c>
      <c r="F33" s="13">
        <v>4299.3999999999996</v>
      </c>
      <c r="K33" s="3">
        <f t="shared" si="2"/>
        <v>0</v>
      </c>
    </row>
    <row r="34" spans="2:13" x14ac:dyDescent="0.25">
      <c r="B34" s="14">
        <v>42686</v>
      </c>
      <c r="C34" s="19">
        <v>13926</v>
      </c>
      <c r="D34" s="16" t="s">
        <v>9</v>
      </c>
      <c r="E34" s="17">
        <f>180.1+81</f>
        <v>261.10000000000002</v>
      </c>
      <c r="F34" s="13">
        <v>8445.7000000000007</v>
      </c>
      <c r="I34">
        <f>SUM(I28:I33)</f>
        <v>0</v>
      </c>
      <c r="K34" s="3">
        <f>SUM(K28:K33)</f>
        <v>0</v>
      </c>
    </row>
    <row r="35" spans="2:13" x14ac:dyDescent="0.25">
      <c r="B35" s="14">
        <v>42686</v>
      </c>
      <c r="C35" s="19">
        <v>13927</v>
      </c>
      <c r="D35" s="16" t="s">
        <v>8</v>
      </c>
      <c r="E35" s="17">
        <v>60.5</v>
      </c>
      <c r="F35" s="13">
        <v>1331</v>
      </c>
    </row>
    <row r="36" spans="2:13" x14ac:dyDescent="0.25">
      <c r="B36" s="14">
        <v>42686</v>
      </c>
      <c r="C36" s="19">
        <v>13932</v>
      </c>
      <c r="D36" s="16" t="s">
        <v>7</v>
      </c>
      <c r="E36" s="17">
        <v>12.6</v>
      </c>
      <c r="F36" s="13">
        <v>806.4</v>
      </c>
    </row>
    <row r="37" spans="2:13" ht="15.75" thickBot="1" x14ac:dyDescent="0.3">
      <c r="B37" s="14"/>
      <c r="C37" s="19"/>
      <c r="D37" s="16"/>
      <c r="E37" s="17"/>
      <c r="F37" s="13"/>
    </row>
    <row r="38" spans="2:13" ht="15.75" thickBot="1" x14ac:dyDescent="0.3">
      <c r="B38" s="21" t="s">
        <v>233</v>
      </c>
      <c r="C38" s="22"/>
      <c r="D38" s="23"/>
      <c r="E38" s="24">
        <v>0</v>
      </c>
      <c r="F38" s="25">
        <f>SUM(F3:F37)</f>
        <v>396547</v>
      </c>
      <c r="K38" s="3">
        <f t="shared" si="2"/>
        <v>0</v>
      </c>
    </row>
    <row r="39" spans="2:13" ht="19.5" thickBot="1" x14ac:dyDescent="0.35">
      <c r="B39" s="26"/>
      <c r="C39" s="27"/>
      <c r="D39" s="28" t="s">
        <v>5</v>
      </c>
      <c r="E39" s="29">
        <f>SUM(E3:E38)</f>
        <v>9640.2000000000007</v>
      </c>
      <c r="I39" s="30">
        <f>SUM(I38:I38)</f>
        <v>0</v>
      </c>
      <c r="J39" s="30"/>
      <c r="K39" s="30">
        <f>SUM(K38:K38)</f>
        <v>0</v>
      </c>
    </row>
    <row r="40" spans="2:13" x14ac:dyDescent="0.25">
      <c r="B40" s="26"/>
      <c r="C40" s="27"/>
      <c r="D40" s="31"/>
      <c r="E40" s="32"/>
      <c r="I40" s="30">
        <f>SUM(I37:I39)</f>
        <v>0</v>
      </c>
      <c r="J40" s="30"/>
      <c r="K40" s="30">
        <f>SUM(K37:K39)</f>
        <v>0</v>
      </c>
    </row>
    <row r="41" spans="2:13" ht="21.75" thickBot="1" x14ac:dyDescent="0.4">
      <c r="B41" s="33"/>
      <c r="C41" s="34" t="s">
        <v>15</v>
      </c>
      <c r="D41" s="35">
        <f>E39*0.2</f>
        <v>1928.0400000000002</v>
      </c>
      <c r="F41"/>
      <c r="K41"/>
    </row>
    <row r="42" spans="2:13" ht="21.75" thickBot="1" x14ac:dyDescent="0.4">
      <c r="C42" s="36" t="s">
        <v>16</v>
      </c>
      <c r="D42" s="37">
        <v>3000</v>
      </c>
      <c r="E42" s="38"/>
      <c r="F42" s="85">
        <f>D41+D42</f>
        <v>4928.04</v>
      </c>
      <c r="G42" s="86"/>
      <c r="I42" s="39"/>
      <c r="J42" s="39"/>
      <c r="K42" s="39"/>
      <c r="L42" s="39"/>
      <c r="M42" s="39"/>
    </row>
    <row r="43" spans="2:13" ht="15.75" thickTop="1" x14ac:dyDescent="0.25">
      <c r="I43" s="39"/>
      <c r="J43" s="39"/>
      <c r="K43" s="40"/>
      <c r="L43" s="40"/>
      <c r="M43" s="40"/>
    </row>
    <row r="44" spans="2:13" ht="19.5" thickBot="1" x14ac:dyDescent="0.35">
      <c r="D44" s="62"/>
      <c r="E44" s="41" t="s">
        <v>311</v>
      </c>
      <c r="F44" s="87">
        <v>-1500</v>
      </c>
      <c r="G44" s="87"/>
      <c r="I44" s="39"/>
      <c r="J44" s="39"/>
      <c r="K44" s="40"/>
      <c r="L44" s="40"/>
      <c r="M44" s="40"/>
    </row>
    <row r="45" spans="2:13" ht="15.75" thickTop="1" x14ac:dyDescent="0.25">
      <c r="C45"/>
      <c r="F45" s="88">
        <f>F42+F44</f>
        <v>3428.04</v>
      </c>
      <c r="G45" s="88"/>
      <c r="I45" s="39"/>
      <c r="J45" s="39"/>
      <c r="K45" s="40"/>
      <c r="L45" s="40"/>
      <c r="M45" s="40"/>
    </row>
    <row r="46" spans="2:13" ht="18.75" x14ac:dyDescent="0.3">
      <c r="C46"/>
      <c r="E46" s="2" t="s">
        <v>18</v>
      </c>
      <c r="F46" s="89"/>
      <c r="G46" s="89"/>
      <c r="K46"/>
    </row>
  </sheetData>
  <mergeCells count="4">
    <mergeCell ref="B1:C1"/>
    <mergeCell ref="F42:G42"/>
    <mergeCell ref="F44:G44"/>
    <mergeCell ref="F45:G46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7" workbookViewId="0">
      <selection activeCell="G36" sqref="G3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42699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357</v>
      </c>
      <c r="G2" s="8"/>
      <c r="K2"/>
    </row>
    <row r="3" spans="2:11" ht="15.75" x14ac:dyDescent="0.25">
      <c r="B3" s="9">
        <v>42685</v>
      </c>
      <c r="C3" s="10">
        <v>13755</v>
      </c>
      <c r="D3" s="11" t="s">
        <v>192</v>
      </c>
      <c r="E3" s="12">
        <f>944.8+65.2+13.61+25.1</f>
        <v>1048.71</v>
      </c>
      <c r="F3" s="13">
        <v>35788.199999999997</v>
      </c>
      <c r="K3"/>
    </row>
    <row r="4" spans="2:11" ht="15.75" x14ac:dyDescent="0.25">
      <c r="B4" s="14">
        <v>42685</v>
      </c>
      <c r="C4" s="15">
        <v>13762</v>
      </c>
      <c r="D4" s="16" t="s">
        <v>11</v>
      </c>
      <c r="E4" s="17">
        <v>446.4</v>
      </c>
      <c r="F4" s="13">
        <v>15847</v>
      </c>
      <c r="K4"/>
    </row>
    <row r="5" spans="2:11" ht="15.75" x14ac:dyDescent="0.25">
      <c r="B5" s="14">
        <v>42685</v>
      </c>
      <c r="C5" s="15">
        <v>13777</v>
      </c>
      <c r="D5" s="16" t="s">
        <v>10</v>
      </c>
      <c r="E5" s="17">
        <f>361.8+753.2</f>
        <v>1115</v>
      </c>
      <c r="F5" s="13">
        <v>44644.4</v>
      </c>
      <c r="K5"/>
    </row>
    <row r="6" spans="2:11" ht="15.75" x14ac:dyDescent="0.25">
      <c r="B6" s="14">
        <v>42688</v>
      </c>
      <c r="C6" s="66">
        <v>14111</v>
      </c>
      <c r="D6" s="16" t="s">
        <v>20</v>
      </c>
      <c r="E6" s="56">
        <v>478.7</v>
      </c>
      <c r="F6" s="13">
        <v>19866.05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42688</v>
      </c>
      <c r="C7" s="15">
        <v>14112</v>
      </c>
      <c r="D7" s="16" t="s">
        <v>9</v>
      </c>
      <c r="E7" s="17">
        <v>455.6</v>
      </c>
      <c r="F7" s="13">
        <v>18907.400000000001</v>
      </c>
      <c r="K7" s="3">
        <f t="shared" si="0"/>
        <v>0</v>
      </c>
    </row>
    <row r="8" spans="2:11" ht="15.75" x14ac:dyDescent="0.25">
      <c r="B8" s="14">
        <v>42688</v>
      </c>
      <c r="C8" s="15">
        <v>14113</v>
      </c>
      <c r="D8" s="16" t="s">
        <v>153</v>
      </c>
      <c r="E8" s="17">
        <f>208.8+28.5</f>
        <v>237.3</v>
      </c>
      <c r="F8" s="13">
        <v>10489.2</v>
      </c>
      <c r="K8" s="3">
        <f t="shared" si="0"/>
        <v>0</v>
      </c>
    </row>
    <row r="9" spans="2:11" ht="15.75" x14ac:dyDescent="0.25">
      <c r="B9" s="14">
        <v>42688</v>
      </c>
      <c r="C9" s="15">
        <v>14114</v>
      </c>
      <c r="D9" s="16" t="s">
        <v>7</v>
      </c>
      <c r="E9" s="17">
        <v>85.2</v>
      </c>
      <c r="F9" s="13">
        <v>3535.8</v>
      </c>
      <c r="K9" s="3">
        <f t="shared" si="0"/>
        <v>0</v>
      </c>
    </row>
    <row r="10" spans="2:11" ht="15.75" x14ac:dyDescent="0.25">
      <c r="B10" s="14">
        <v>42689</v>
      </c>
      <c r="C10" s="15">
        <v>14239</v>
      </c>
      <c r="D10" s="16" t="s">
        <v>8</v>
      </c>
      <c r="E10" s="17">
        <f>504+1+36</f>
        <v>541</v>
      </c>
      <c r="F10" s="13">
        <v>19409</v>
      </c>
      <c r="K10" s="3">
        <f t="shared" si="0"/>
        <v>0</v>
      </c>
    </row>
    <row r="11" spans="2:11" ht="15.75" x14ac:dyDescent="0.25">
      <c r="B11" s="14">
        <v>42689</v>
      </c>
      <c r="C11" s="44">
        <v>14240</v>
      </c>
      <c r="D11" s="16" t="s">
        <v>11</v>
      </c>
      <c r="E11" s="17">
        <v>91.3</v>
      </c>
      <c r="F11" s="13">
        <v>3788.95</v>
      </c>
      <c r="K11" s="3">
        <f t="shared" si="0"/>
        <v>0</v>
      </c>
    </row>
    <row r="12" spans="2:11" ht="15.75" x14ac:dyDescent="0.25">
      <c r="B12" s="14">
        <v>42689</v>
      </c>
      <c r="C12" s="15">
        <v>14242</v>
      </c>
      <c r="D12" s="16" t="s">
        <v>9</v>
      </c>
      <c r="E12" s="17">
        <v>435.7</v>
      </c>
      <c r="F12" s="13">
        <v>18081.55</v>
      </c>
      <c r="K12" s="3">
        <f t="shared" si="0"/>
        <v>0</v>
      </c>
    </row>
    <row r="13" spans="2:11" ht="15.75" x14ac:dyDescent="0.25">
      <c r="B13" s="14">
        <v>42689</v>
      </c>
      <c r="C13" s="15">
        <v>14243</v>
      </c>
      <c r="D13" s="16" t="s">
        <v>20</v>
      </c>
      <c r="E13" s="17">
        <f>444.7+24.9</f>
        <v>469.59999999999997</v>
      </c>
      <c r="F13" s="13">
        <v>19127.349999999999</v>
      </c>
      <c r="K13" s="3">
        <f t="shared" si="0"/>
        <v>0</v>
      </c>
    </row>
    <row r="14" spans="2:11" ht="15.75" x14ac:dyDescent="0.25">
      <c r="B14" s="14">
        <v>42689</v>
      </c>
      <c r="C14" s="15">
        <v>14249</v>
      </c>
      <c r="D14" s="16" t="s">
        <v>7</v>
      </c>
      <c r="E14" s="17">
        <f>37.4+27.4</f>
        <v>64.8</v>
      </c>
      <c r="F14" s="13">
        <v>3997.6</v>
      </c>
      <c r="K14" s="3">
        <f t="shared" si="0"/>
        <v>0</v>
      </c>
    </row>
    <row r="15" spans="2:11" ht="15.75" x14ac:dyDescent="0.25">
      <c r="B15" s="14">
        <v>42690</v>
      </c>
      <c r="C15" s="15">
        <v>14366</v>
      </c>
      <c r="D15" s="16" t="s">
        <v>20</v>
      </c>
      <c r="E15" s="17">
        <v>427.6</v>
      </c>
      <c r="F15" s="13">
        <v>18173</v>
      </c>
      <c r="K15" s="3">
        <f t="shared" si="0"/>
        <v>0</v>
      </c>
    </row>
    <row r="16" spans="2:11" ht="15.75" x14ac:dyDescent="0.25">
      <c r="B16" s="14">
        <v>42690</v>
      </c>
      <c r="C16" s="15">
        <v>14367</v>
      </c>
      <c r="D16" s="16" t="s">
        <v>9</v>
      </c>
      <c r="E16" s="17">
        <v>434.3</v>
      </c>
      <c r="F16" s="13">
        <v>18457.75</v>
      </c>
      <c r="K16" s="3">
        <f t="shared" si="0"/>
        <v>0</v>
      </c>
    </row>
    <row r="17" spans="1:13" ht="15.75" x14ac:dyDescent="0.25">
      <c r="B17" s="14">
        <v>42690</v>
      </c>
      <c r="C17" s="15">
        <v>14369</v>
      </c>
      <c r="D17" s="16" t="s">
        <v>6</v>
      </c>
      <c r="E17" s="17">
        <v>179.2</v>
      </c>
      <c r="F17" s="13">
        <v>7616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42690</v>
      </c>
      <c r="C18" s="15">
        <v>14370</v>
      </c>
      <c r="D18" s="16" t="s">
        <v>192</v>
      </c>
      <c r="E18" s="17">
        <f>31.5+36.6</f>
        <v>68.099999999999994</v>
      </c>
      <c r="F18" s="13">
        <v>1649.7</v>
      </c>
      <c r="I18" s="3"/>
      <c r="J18" s="3"/>
    </row>
    <row r="19" spans="1:13" ht="15.75" x14ac:dyDescent="0.25">
      <c r="B19" s="14">
        <v>42690</v>
      </c>
      <c r="C19" s="15">
        <v>14371</v>
      </c>
      <c r="D19" s="16" t="s">
        <v>153</v>
      </c>
      <c r="E19" s="17">
        <v>196.2</v>
      </c>
      <c r="F19" s="13">
        <v>8338.5</v>
      </c>
    </row>
    <row r="20" spans="1:13" ht="15.75" x14ac:dyDescent="0.25">
      <c r="B20" s="14">
        <v>42690</v>
      </c>
      <c r="C20" s="15">
        <v>14380</v>
      </c>
      <c r="D20" s="16" t="s">
        <v>11</v>
      </c>
      <c r="E20" s="17">
        <f>2+85.7</f>
        <v>87.7</v>
      </c>
      <c r="F20" s="13">
        <v>4997.8</v>
      </c>
    </row>
    <row r="21" spans="1:13" ht="15.75" x14ac:dyDescent="0.25">
      <c r="B21" s="14">
        <v>42690</v>
      </c>
      <c r="C21" s="15">
        <v>14387</v>
      </c>
      <c r="D21" s="16" t="s">
        <v>6</v>
      </c>
      <c r="E21" s="17">
        <f>6.3+10.4</f>
        <v>16.7</v>
      </c>
      <c r="F21" s="13">
        <v>908.7</v>
      </c>
    </row>
    <row r="22" spans="1:13" ht="15.75" x14ac:dyDescent="0.25">
      <c r="A22" s="18"/>
      <c r="B22" s="14">
        <v>42691</v>
      </c>
      <c r="C22" s="15">
        <v>14501</v>
      </c>
      <c r="D22" s="16" t="s">
        <v>20</v>
      </c>
      <c r="E22" s="17">
        <v>441.9</v>
      </c>
      <c r="F22" s="13">
        <v>18780.75</v>
      </c>
    </row>
    <row r="23" spans="1:13" ht="15.75" x14ac:dyDescent="0.25">
      <c r="B23" s="14">
        <v>42691</v>
      </c>
      <c r="C23" s="15">
        <v>14502</v>
      </c>
      <c r="D23" s="16" t="s">
        <v>11</v>
      </c>
      <c r="E23" s="17">
        <v>131.5</v>
      </c>
      <c r="F23" s="13">
        <v>6838</v>
      </c>
      <c r="I23" s="48"/>
      <c r="J23" s="49"/>
      <c r="K23" s="50"/>
      <c r="L23" s="51"/>
      <c r="M23" s="52"/>
    </row>
    <row r="24" spans="1:13" ht="15.75" x14ac:dyDescent="0.25">
      <c r="B24" s="14">
        <v>42691</v>
      </c>
      <c r="C24" s="15">
        <v>14503</v>
      </c>
      <c r="D24" s="16" t="s">
        <v>9</v>
      </c>
      <c r="E24" s="17">
        <v>432.5</v>
      </c>
      <c r="F24" s="13">
        <v>18381.25</v>
      </c>
      <c r="I24" s="31"/>
      <c r="J24" s="31"/>
      <c r="K24" s="53"/>
      <c r="L24" s="31"/>
      <c r="M24" s="31"/>
    </row>
    <row r="25" spans="1:13" ht="15.75" x14ac:dyDescent="0.25">
      <c r="B25" s="14">
        <v>42691</v>
      </c>
      <c r="C25" s="15">
        <v>14507</v>
      </c>
      <c r="D25" s="16" t="s">
        <v>192</v>
      </c>
      <c r="E25" s="17">
        <v>56.6</v>
      </c>
      <c r="F25" s="13">
        <v>1301.8</v>
      </c>
      <c r="I25" s="31"/>
      <c r="J25" s="31"/>
      <c r="K25" s="53"/>
      <c r="L25" s="31"/>
      <c r="M25" s="31"/>
    </row>
    <row r="26" spans="1:13" ht="15.75" x14ac:dyDescent="0.25">
      <c r="B26" s="14">
        <v>42691</v>
      </c>
      <c r="C26" s="15">
        <v>14542</v>
      </c>
      <c r="D26" s="16" t="s">
        <v>286</v>
      </c>
      <c r="E26" s="17">
        <f>4.4+17.4+1</f>
        <v>22.799999999999997</v>
      </c>
      <c r="F26" s="13">
        <v>2044.4</v>
      </c>
    </row>
    <row r="27" spans="1:13" x14ac:dyDescent="0.25">
      <c r="B27" s="14">
        <v>42692</v>
      </c>
      <c r="C27" s="19">
        <v>14610</v>
      </c>
      <c r="D27" s="16" t="s">
        <v>192</v>
      </c>
      <c r="E27" s="17">
        <f>937.1+13.61+28.7+65.2</f>
        <v>1044.6100000000001</v>
      </c>
      <c r="F27" s="13">
        <v>37920.449999999997</v>
      </c>
    </row>
    <row r="28" spans="1:13" x14ac:dyDescent="0.25">
      <c r="B28" s="14">
        <v>42692</v>
      </c>
      <c r="C28" s="19">
        <v>14626</v>
      </c>
      <c r="D28" s="16" t="s">
        <v>11</v>
      </c>
      <c r="E28" s="17">
        <f>68.8+94.6</f>
        <v>163.39999999999998</v>
      </c>
      <c r="F28" s="13">
        <v>7598.1</v>
      </c>
      <c r="I28">
        <v>137.6</v>
      </c>
      <c r="J28">
        <v>38</v>
      </c>
      <c r="K28" s="3">
        <f t="shared" ref="K28:K47" si="2">J28*I28</f>
        <v>5228.8</v>
      </c>
    </row>
    <row r="29" spans="1:13" x14ac:dyDescent="0.25">
      <c r="B29" s="14">
        <v>42692</v>
      </c>
      <c r="C29" s="19">
        <v>14629</v>
      </c>
      <c r="D29" s="16" t="s">
        <v>9</v>
      </c>
      <c r="E29" s="17">
        <v>459</v>
      </c>
      <c r="F29" s="13">
        <v>19737</v>
      </c>
      <c r="I29">
        <v>46.5</v>
      </c>
      <c r="J29">
        <v>23</v>
      </c>
      <c r="K29" s="3">
        <f t="shared" si="2"/>
        <v>1069.5</v>
      </c>
    </row>
    <row r="30" spans="1:13" x14ac:dyDescent="0.25">
      <c r="B30" s="14">
        <v>42692</v>
      </c>
      <c r="C30" s="19">
        <v>14630</v>
      </c>
      <c r="D30" s="16" t="s">
        <v>14</v>
      </c>
      <c r="E30" s="17">
        <v>427.3</v>
      </c>
      <c r="F30" s="13">
        <v>18373.900000000001</v>
      </c>
      <c r="K30" s="3">
        <f t="shared" si="2"/>
        <v>0</v>
      </c>
    </row>
    <row r="31" spans="1:13" x14ac:dyDescent="0.25">
      <c r="B31" s="14">
        <v>42692</v>
      </c>
      <c r="C31" s="19">
        <v>14637</v>
      </c>
      <c r="D31" s="16" t="s">
        <v>7</v>
      </c>
      <c r="E31" s="17">
        <v>95.6</v>
      </c>
      <c r="F31" s="13">
        <v>4063</v>
      </c>
      <c r="K31" s="3">
        <f t="shared" si="2"/>
        <v>0</v>
      </c>
    </row>
    <row r="32" spans="1:13" x14ac:dyDescent="0.25">
      <c r="B32" s="14">
        <v>42692</v>
      </c>
      <c r="C32" s="19">
        <v>14638</v>
      </c>
      <c r="D32" s="16" t="s">
        <v>20</v>
      </c>
      <c r="E32" s="17">
        <v>466.2</v>
      </c>
      <c r="F32" s="13">
        <v>19813.5</v>
      </c>
      <c r="K32" s="3">
        <f t="shared" si="2"/>
        <v>0</v>
      </c>
    </row>
    <row r="33" spans="2:11" x14ac:dyDescent="0.25">
      <c r="B33" s="14">
        <v>42692</v>
      </c>
      <c r="C33" s="19">
        <v>14641</v>
      </c>
      <c r="D33" s="16" t="s">
        <v>20</v>
      </c>
      <c r="E33" s="17">
        <v>56.4</v>
      </c>
      <c r="F33" s="13">
        <v>1579.2</v>
      </c>
      <c r="K33" s="3">
        <f t="shared" si="2"/>
        <v>0</v>
      </c>
    </row>
    <row r="34" spans="2:11" x14ac:dyDescent="0.25">
      <c r="B34" s="14">
        <v>42692</v>
      </c>
      <c r="C34" s="19">
        <v>14642</v>
      </c>
      <c r="D34" s="16" t="s">
        <v>11</v>
      </c>
      <c r="E34" s="17">
        <v>17.399999999999999</v>
      </c>
      <c r="F34" s="13">
        <v>487.2</v>
      </c>
      <c r="I34">
        <f>SUM(I28:I33)</f>
        <v>184.1</v>
      </c>
      <c r="K34" s="3">
        <f>SUM(K28:K33)</f>
        <v>6298.3</v>
      </c>
    </row>
    <row r="35" spans="2:11" x14ac:dyDescent="0.25">
      <c r="B35" s="14">
        <v>42692</v>
      </c>
      <c r="C35" s="19">
        <v>14644</v>
      </c>
      <c r="D35" s="16" t="s">
        <v>9</v>
      </c>
      <c r="E35" s="17">
        <f>137.6+46.5</f>
        <v>184.1</v>
      </c>
      <c r="F35" s="13">
        <v>6298.3</v>
      </c>
    </row>
    <row r="36" spans="2:11" x14ac:dyDescent="0.25">
      <c r="B36" s="14">
        <v>42692</v>
      </c>
      <c r="C36" s="19">
        <v>14646</v>
      </c>
      <c r="D36" s="16" t="s">
        <v>10</v>
      </c>
      <c r="E36" s="17">
        <f>332.4+27.4+498.2+38+5</f>
        <v>901</v>
      </c>
      <c r="F36" s="13">
        <v>41467.4</v>
      </c>
    </row>
    <row r="37" spans="2:11" x14ac:dyDescent="0.25">
      <c r="B37" s="14">
        <v>42692</v>
      </c>
      <c r="C37" s="19">
        <v>14649</v>
      </c>
      <c r="D37" s="16" t="s">
        <v>20</v>
      </c>
      <c r="E37" s="17">
        <v>107.2</v>
      </c>
      <c r="F37" s="13">
        <v>1822.4</v>
      </c>
    </row>
    <row r="38" spans="2:11" x14ac:dyDescent="0.25">
      <c r="B38" s="14">
        <v>42692</v>
      </c>
      <c r="C38" s="19">
        <v>14651</v>
      </c>
      <c r="D38" s="16" t="s">
        <v>6</v>
      </c>
      <c r="E38" s="17">
        <f>272.2+71.4+9+16.7</f>
        <v>369.3</v>
      </c>
      <c r="F38" s="13">
        <v>16830.7</v>
      </c>
    </row>
    <row r="39" spans="2:11" x14ac:dyDescent="0.25">
      <c r="B39" s="14">
        <v>42692</v>
      </c>
      <c r="C39" s="19">
        <v>14652</v>
      </c>
      <c r="D39" s="16" t="s">
        <v>7</v>
      </c>
      <c r="E39" s="17">
        <f>1+2+71.6</f>
        <v>74.599999999999994</v>
      </c>
      <c r="F39" s="13">
        <v>5579.2</v>
      </c>
    </row>
    <row r="40" spans="2:11" x14ac:dyDescent="0.25">
      <c r="B40" s="14">
        <v>42693</v>
      </c>
      <c r="C40" s="19">
        <v>14775</v>
      </c>
      <c r="D40" s="16" t="s">
        <v>153</v>
      </c>
      <c r="E40" s="17">
        <v>391.7</v>
      </c>
      <c r="F40" s="13">
        <v>16843.099999999999</v>
      </c>
    </row>
    <row r="41" spans="2:11" x14ac:dyDescent="0.25">
      <c r="B41" s="14">
        <v>42693</v>
      </c>
      <c r="C41" s="19">
        <v>14776</v>
      </c>
      <c r="D41" s="16" t="s">
        <v>14</v>
      </c>
      <c r="E41" s="17">
        <v>375.5</v>
      </c>
      <c r="F41" s="13">
        <v>16146.5</v>
      </c>
    </row>
    <row r="42" spans="2:11" x14ac:dyDescent="0.25">
      <c r="B42" s="14">
        <v>42693</v>
      </c>
      <c r="C42" s="19">
        <v>14777</v>
      </c>
      <c r="D42" s="16" t="s">
        <v>20</v>
      </c>
      <c r="E42" s="17">
        <v>63.4</v>
      </c>
      <c r="F42" s="13">
        <v>4121</v>
      </c>
    </row>
    <row r="43" spans="2:11" x14ac:dyDescent="0.25">
      <c r="B43" s="14">
        <v>42693</v>
      </c>
      <c r="C43" s="19">
        <v>14778</v>
      </c>
      <c r="D43" s="16" t="s">
        <v>20</v>
      </c>
      <c r="E43" s="17">
        <v>385.9</v>
      </c>
      <c r="F43" s="13">
        <v>16593.7</v>
      </c>
    </row>
    <row r="44" spans="2:11" x14ac:dyDescent="0.25">
      <c r="B44" s="14">
        <v>42693</v>
      </c>
      <c r="C44" s="19">
        <v>14780</v>
      </c>
      <c r="D44" s="16" t="s">
        <v>6</v>
      </c>
      <c r="E44" s="17">
        <f>85.6+19.3</f>
        <v>104.89999999999999</v>
      </c>
      <c r="F44" s="13">
        <v>4626.5</v>
      </c>
    </row>
    <row r="45" spans="2:11" x14ac:dyDescent="0.25">
      <c r="B45" s="14">
        <v>42693</v>
      </c>
      <c r="C45" s="19">
        <v>14781</v>
      </c>
      <c r="D45" s="16" t="s">
        <v>7</v>
      </c>
      <c r="E45" s="17">
        <f>31.4+15.7</f>
        <v>47.099999999999994</v>
      </c>
      <c r="F45" s="13">
        <v>2307.9</v>
      </c>
    </row>
    <row r="46" spans="2:11" ht="15.75" thickBot="1" x14ac:dyDescent="0.3">
      <c r="B46" s="14">
        <v>42693</v>
      </c>
      <c r="C46" s="19">
        <v>14782</v>
      </c>
      <c r="D46" s="16" t="s">
        <v>11</v>
      </c>
      <c r="E46" s="17">
        <f>52.8+146.6</f>
        <v>199.39999999999998</v>
      </c>
      <c r="F46" s="13">
        <v>9829</v>
      </c>
    </row>
    <row r="47" spans="2:11" ht="15.75" thickBot="1" x14ac:dyDescent="0.3">
      <c r="B47" s="21" t="s">
        <v>233</v>
      </c>
      <c r="C47" s="22"/>
      <c r="D47" s="23"/>
      <c r="E47" s="24">
        <v>0</v>
      </c>
      <c r="F47" s="25">
        <f>SUM(F3:F46)</f>
        <v>573008.20000000007</v>
      </c>
      <c r="K47" s="3">
        <f t="shared" si="2"/>
        <v>0</v>
      </c>
    </row>
    <row r="48" spans="2:11" ht="19.5" thickBot="1" x14ac:dyDescent="0.35">
      <c r="B48" s="26"/>
      <c r="C48" s="27"/>
      <c r="D48" s="28" t="s">
        <v>5</v>
      </c>
      <c r="E48" s="29">
        <f>SUM(E3:E47)</f>
        <v>13898.42</v>
      </c>
      <c r="I48" s="30">
        <f>SUM(I47:I47)</f>
        <v>0</v>
      </c>
      <c r="J48" s="30"/>
      <c r="K48" s="30">
        <f>SUM(K47:K47)</f>
        <v>0</v>
      </c>
    </row>
    <row r="49" spans="2:13" x14ac:dyDescent="0.25">
      <c r="B49" s="26"/>
      <c r="C49" s="27"/>
      <c r="D49" s="31"/>
      <c r="E49" s="32"/>
      <c r="I49" s="30">
        <f>SUM(I46:I48)</f>
        <v>0</v>
      </c>
      <c r="J49" s="30"/>
      <c r="K49" s="30">
        <f>SUM(K46:K48)</f>
        <v>0</v>
      </c>
    </row>
    <row r="50" spans="2:13" ht="21.75" thickBot="1" x14ac:dyDescent="0.4">
      <c r="B50" s="33"/>
      <c r="C50" s="34" t="s">
        <v>15</v>
      </c>
      <c r="D50" s="35">
        <f>E48*0.2</f>
        <v>2779.6840000000002</v>
      </c>
      <c r="F50"/>
      <c r="K50"/>
    </row>
    <row r="51" spans="2:13" ht="21.75" thickBot="1" x14ac:dyDescent="0.4">
      <c r="C51" s="36" t="s">
        <v>16</v>
      </c>
      <c r="D51" s="37">
        <v>3400</v>
      </c>
      <c r="E51" s="38"/>
      <c r="F51" s="85">
        <f>D50+D51</f>
        <v>6179.6840000000002</v>
      </c>
      <c r="G51" s="86"/>
      <c r="I51" s="39"/>
      <c r="J51" s="39"/>
      <c r="K51" s="39"/>
      <c r="L51" s="39"/>
      <c r="M51" s="39"/>
    </row>
    <row r="52" spans="2:13" ht="15.75" thickTop="1" x14ac:dyDescent="0.25">
      <c r="I52" s="39"/>
      <c r="J52" s="39"/>
      <c r="K52" s="40"/>
      <c r="L52" s="40"/>
      <c r="M52" s="40"/>
    </row>
    <row r="53" spans="2:13" ht="19.5" thickBot="1" x14ac:dyDescent="0.35">
      <c r="D53" s="62"/>
      <c r="E53" s="41" t="s">
        <v>311</v>
      </c>
      <c r="F53" s="87">
        <v>-1600</v>
      </c>
      <c r="G53" s="87"/>
      <c r="I53" s="39"/>
      <c r="J53" s="39"/>
      <c r="K53" s="40"/>
      <c r="L53" s="40"/>
      <c r="M53" s="40"/>
    </row>
    <row r="54" spans="2:13" ht="15.75" thickTop="1" x14ac:dyDescent="0.25">
      <c r="C54"/>
      <c r="F54" s="88">
        <f>F51+F53</f>
        <v>4579.6840000000002</v>
      </c>
      <c r="G54" s="88"/>
      <c r="I54" s="39"/>
      <c r="J54" s="39"/>
      <c r="K54" s="40"/>
      <c r="L54" s="40"/>
      <c r="M54" s="40"/>
    </row>
    <row r="55" spans="2:13" ht="18.75" x14ac:dyDescent="0.3">
      <c r="C55"/>
      <c r="E55" s="2" t="s">
        <v>18</v>
      </c>
      <c r="F55" s="89"/>
      <c r="G55" s="89"/>
      <c r="K55"/>
    </row>
  </sheetData>
  <mergeCells count="4">
    <mergeCell ref="B1:C1"/>
    <mergeCell ref="F51:G51"/>
    <mergeCell ref="F53:G53"/>
    <mergeCell ref="F54:G55"/>
  </mergeCells>
  <pageMargins left="0.70866141732283472" right="0.70866141732283472" top="0.35433070866141736" bottom="0.15748031496062992" header="0.31496062992125984" footer="0.31496062992125984"/>
  <pageSetup scale="80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34" workbookViewId="0">
      <selection activeCell="D57" sqref="D57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42706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358</v>
      </c>
      <c r="G2" s="8"/>
      <c r="K2"/>
    </row>
    <row r="3" spans="2:11" ht="15.75" x14ac:dyDescent="0.25">
      <c r="B3" s="9">
        <v>42695</v>
      </c>
      <c r="C3" s="10">
        <v>14993</v>
      </c>
      <c r="D3" s="11" t="s">
        <v>359</v>
      </c>
      <c r="E3" s="12">
        <v>406.2</v>
      </c>
      <c r="F3" s="13">
        <v>17466.599999999999</v>
      </c>
      <c r="K3"/>
    </row>
    <row r="4" spans="2:11" ht="15.75" x14ac:dyDescent="0.25">
      <c r="B4" s="14">
        <v>42695</v>
      </c>
      <c r="C4" s="15">
        <v>15017</v>
      </c>
      <c r="D4" s="16" t="s">
        <v>192</v>
      </c>
      <c r="E4" s="17">
        <f>485.2+96+12.1</f>
        <v>593.30000000000007</v>
      </c>
      <c r="F4" s="13">
        <v>21166.5</v>
      </c>
      <c r="K4"/>
    </row>
    <row r="5" spans="2:11" ht="15.75" x14ac:dyDescent="0.25">
      <c r="B5" s="14">
        <v>42695</v>
      </c>
      <c r="C5" s="15">
        <v>15019</v>
      </c>
      <c r="D5" s="16" t="s">
        <v>10</v>
      </c>
      <c r="E5" s="17">
        <f>203.1+18.7+115.8</f>
        <v>337.59999999999997</v>
      </c>
      <c r="F5" s="13">
        <v>13773.1</v>
      </c>
      <c r="K5"/>
    </row>
    <row r="6" spans="2:11" ht="15.75" x14ac:dyDescent="0.25">
      <c r="B6" s="14">
        <v>42696</v>
      </c>
      <c r="C6" s="66">
        <v>15161</v>
      </c>
      <c r="D6" s="16" t="s">
        <v>20</v>
      </c>
      <c r="E6" s="56">
        <v>358.1</v>
      </c>
      <c r="F6" s="13">
        <v>15398.3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42696</v>
      </c>
      <c r="C7" s="15">
        <v>15162</v>
      </c>
      <c r="D7" s="16" t="s">
        <v>9</v>
      </c>
      <c r="E7" s="17">
        <v>364.6</v>
      </c>
      <c r="F7" s="13">
        <v>15677.8</v>
      </c>
      <c r="K7" s="3">
        <f t="shared" si="0"/>
        <v>0</v>
      </c>
    </row>
    <row r="8" spans="2:11" ht="15.75" x14ac:dyDescent="0.25">
      <c r="B8" s="14">
        <v>42696</v>
      </c>
      <c r="C8" s="15">
        <v>15164</v>
      </c>
      <c r="D8" s="16" t="s">
        <v>10</v>
      </c>
      <c r="E8" s="17">
        <v>195.8</v>
      </c>
      <c r="F8" s="13">
        <v>8419.4</v>
      </c>
      <c r="K8" s="3">
        <f t="shared" si="0"/>
        <v>0</v>
      </c>
    </row>
    <row r="9" spans="2:11" ht="15.75" x14ac:dyDescent="0.25">
      <c r="B9" s="14">
        <v>42696</v>
      </c>
      <c r="C9" s="15">
        <v>15165</v>
      </c>
      <c r="D9" s="16" t="s">
        <v>153</v>
      </c>
      <c r="E9" s="17">
        <v>194.5</v>
      </c>
      <c r="F9" s="13">
        <v>8363.5</v>
      </c>
      <c r="K9" s="3">
        <f t="shared" si="0"/>
        <v>0</v>
      </c>
    </row>
    <row r="10" spans="2:11" ht="15.75" x14ac:dyDescent="0.25">
      <c r="B10" s="14">
        <v>42696</v>
      </c>
      <c r="C10" s="15">
        <v>15166</v>
      </c>
      <c r="D10" s="16" t="s">
        <v>7</v>
      </c>
      <c r="E10" s="17">
        <v>92.8</v>
      </c>
      <c r="F10" s="13">
        <v>3890.4</v>
      </c>
      <c r="K10" s="3">
        <f t="shared" si="0"/>
        <v>0</v>
      </c>
    </row>
    <row r="11" spans="2:11" ht="15.75" x14ac:dyDescent="0.25">
      <c r="B11" s="14">
        <v>42696</v>
      </c>
      <c r="C11" s="44">
        <v>15167</v>
      </c>
      <c r="D11" s="16" t="s">
        <v>11</v>
      </c>
      <c r="E11" s="17">
        <v>53.8</v>
      </c>
      <c r="F11" s="13">
        <v>2851.4</v>
      </c>
      <c r="K11" s="3">
        <f t="shared" si="0"/>
        <v>0</v>
      </c>
    </row>
    <row r="12" spans="2:11" ht="15.75" x14ac:dyDescent="0.25">
      <c r="B12" s="14">
        <v>42697</v>
      </c>
      <c r="C12" s="15">
        <v>15268</v>
      </c>
      <c r="D12" s="16" t="s">
        <v>20</v>
      </c>
      <c r="E12" s="17">
        <v>338.9</v>
      </c>
      <c r="F12" s="13">
        <v>14572.7</v>
      </c>
      <c r="K12" s="3">
        <f t="shared" si="0"/>
        <v>0</v>
      </c>
    </row>
    <row r="13" spans="2:11" ht="15.75" x14ac:dyDescent="0.25">
      <c r="B13" s="14">
        <v>42697</v>
      </c>
      <c r="C13" s="15">
        <v>15270</v>
      </c>
      <c r="D13" s="16" t="s">
        <v>14</v>
      </c>
      <c r="E13" s="17">
        <f>182.3+164.3</f>
        <v>346.6</v>
      </c>
      <c r="F13" s="13">
        <v>15068.1</v>
      </c>
      <c r="K13" s="3">
        <f t="shared" si="0"/>
        <v>0</v>
      </c>
    </row>
    <row r="14" spans="2:11" ht="15.75" x14ac:dyDescent="0.25">
      <c r="B14" s="14">
        <v>42697</v>
      </c>
      <c r="C14" s="15">
        <v>15274</v>
      </c>
      <c r="D14" s="16" t="s">
        <v>13</v>
      </c>
      <c r="E14" s="17">
        <v>319.10000000000002</v>
      </c>
      <c r="F14" s="13">
        <v>14040.4</v>
      </c>
      <c r="K14" s="3">
        <f t="shared" si="0"/>
        <v>0</v>
      </c>
    </row>
    <row r="15" spans="2:11" ht="15.75" x14ac:dyDescent="0.25">
      <c r="B15" s="14">
        <v>42697</v>
      </c>
      <c r="C15" s="15">
        <v>15276</v>
      </c>
      <c r="D15" s="16" t="s">
        <v>192</v>
      </c>
      <c r="E15" s="17">
        <f>456.2+30.6+50</f>
        <v>536.79999999999995</v>
      </c>
      <c r="F15" s="13">
        <v>20073.7</v>
      </c>
      <c r="K15" s="3">
        <f t="shared" si="0"/>
        <v>0</v>
      </c>
    </row>
    <row r="16" spans="2:11" ht="15.75" x14ac:dyDescent="0.25">
      <c r="B16" s="14">
        <v>42697</v>
      </c>
      <c r="C16" s="15">
        <v>15278</v>
      </c>
      <c r="D16" s="16" t="s">
        <v>7</v>
      </c>
      <c r="E16" s="17">
        <f>6.9+100.7</f>
        <v>107.60000000000001</v>
      </c>
      <c r="F16" s="13">
        <v>4624</v>
      </c>
      <c r="K16" s="3">
        <f t="shared" si="0"/>
        <v>0</v>
      </c>
    </row>
    <row r="17" spans="1:13" ht="15.75" x14ac:dyDescent="0.25">
      <c r="B17" s="14">
        <v>42697</v>
      </c>
      <c r="C17" s="15">
        <v>15279</v>
      </c>
      <c r="D17" s="16" t="s">
        <v>11</v>
      </c>
      <c r="E17" s="17">
        <v>46.1</v>
      </c>
      <c r="F17" s="13">
        <v>2663.1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42697</v>
      </c>
      <c r="C18" s="15">
        <v>15280</v>
      </c>
      <c r="D18" s="16" t="s">
        <v>9</v>
      </c>
      <c r="E18" s="17">
        <f>105.2+9.2</f>
        <v>114.4</v>
      </c>
      <c r="F18" s="13">
        <v>4419.6000000000004</v>
      </c>
      <c r="I18" s="3"/>
      <c r="J18" s="3"/>
    </row>
    <row r="19" spans="1:13" ht="15.75" x14ac:dyDescent="0.25">
      <c r="B19" s="14">
        <v>42697</v>
      </c>
      <c r="C19" s="15">
        <v>15281</v>
      </c>
      <c r="D19" s="16" t="s">
        <v>6</v>
      </c>
      <c r="E19" s="17">
        <f>14.2+8.7+40.3</f>
        <v>63.199999999999996</v>
      </c>
      <c r="F19" s="13">
        <v>3162.8</v>
      </c>
    </row>
    <row r="20" spans="1:13" ht="15.75" x14ac:dyDescent="0.25">
      <c r="B20" s="14">
        <v>42698</v>
      </c>
      <c r="C20" s="15">
        <v>15345</v>
      </c>
      <c r="D20" s="16" t="s">
        <v>20</v>
      </c>
      <c r="E20" s="17">
        <v>361.7</v>
      </c>
      <c r="F20" s="13">
        <v>15553.1</v>
      </c>
    </row>
    <row r="21" spans="1:13" ht="15.75" x14ac:dyDescent="0.25">
      <c r="B21" s="14">
        <v>42698</v>
      </c>
      <c r="C21" s="15">
        <v>15346</v>
      </c>
      <c r="D21" s="16" t="s">
        <v>9</v>
      </c>
      <c r="E21" s="17">
        <v>264.8</v>
      </c>
      <c r="F21" s="13">
        <v>11386.4</v>
      </c>
    </row>
    <row r="22" spans="1:13" ht="15.75" x14ac:dyDescent="0.25">
      <c r="A22" s="18"/>
      <c r="B22" s="14">
        <v>42698</v>
      </c>
      <c r="C22" s="15">
        <v>15347</v>
      </c>
      <c r="D22" s="16" t="s">
        <v>153</v>
      </c>
      <c r="E22" s="17">
        <v>290.89999999999998</v>
      </c>
      <c r="F22" s="13">
        <v>12508.7</v>
      </c>
    </row>
    <row r="23" spans="1:13" ht="15.75" x14ac:dyDescent="0.25">
      <c r="B23" s="14">
        <v>42698</v>
      </c>
      <c r="C23" s="15">
        <v>15349</v>
      </c>
      <c r="D23" s="16" t="s">
        <v>10</v>
      </c>
      <c r="E23" s="17">
        <f>190.4+127.8+5</f>
        <v>323.2</v>
      </c>
      <c r="F23" s="13">
        <v>14224.2</v>
      </c>
      <c r="I23" s="48"/>
      <c r="J23" s="49"/>
      <c r="K23" s="50"/>
      <c r="L23" s="51"/>
      <c r="M23" s="52"/>
    </row>
    <row r="24" spans="1:13" ht="15.75" x14ac:dyDescent="0.25">
      <c r="B24" s="14">
        <v>42699</v>
      </c>
      <c r="C24" s="15">
        <v>15484</v>
      </c>
      <c r="D24" s="16" t="s">
        <v>192</v>
      </c>
      <c r="E24" s="17">
        <f>960.09+18.9+34.6+13.61+39</f>
        <v>1066.2</v>
      </c>
      <c r="F24" s="13">
        <v>41573.050000000003</v>
      </c>
      <c r="I24" s="31"/>
      <c r="J24" s="31"/>
      <c r="K24" s="53"/>
      <c r="L24" s="31"/>
      <c r="M24" s="31"/>
    </row>
    <row r="25" spans="1:13" ht="15.75" x14ac:dyDescent="0.25">
      <c r="B25" s="14">
        <v>42699</v>
      </c>
      <c r="C25" s="15">
        <v>15485</v>
      </c>
      <c r="D25" s="16" t="s">
        <v>7</v>
      </c>
      <c r="E25" s="17">
        <v>104</v>
      </c>
      <c r="F25" s="13">
        <v>4472</v>
      </c>
      <c r="I25" s="31"/>
      <c r="J25" s="31"/>
      <c r="K25" s="53"/>
      <c r="L25" s="31"/>
      <c r="M25" s="31"/>
    </row>
    <row r="26" spans="1:13" ht="15.75" x14ac:dyDescent="0.25">
      <c r="B26" s="14">
        <v>42699</v>
      </c>
      <c r="C26" s="15">
        <v>15487</v>
      </c>
      <c r="D26" s="16" t="s">
        <v>20</v>
      </c>
      <c r="E26" s="17">
        <v>446</v>
      </c>
      <c r="F26" s="13">
        <v>19178</v>
      </c>
    </row>
    <row r="27" spans="1:13" x14ac:dyDescent="0.25">
      <c r="B27" s="14">
        <v>42699</v>
      </c>
      <c r="C27" s="19">
        <v>15488</v>
      </c>
      <c r="D27" s="16" t="s">
        <v>13</v>
      </c>
      <c r="E27" s="17">
        <v>431.1</v>
      </c>
      <c r="F27" s="13">
        <v>18537.3</v>
      </c>
    </row>
    <row r="28" spans="1:13" x14ac:dyDescent="0.25">
      <c r="B28" s="14">
        <v>42699</v>
      </c>
      <c r="C28" s="19">
        <v>15489</v>
      </c>
      <c r="D28" s="16" t="s">
        <v>14</v>
      </c>
      <c r="E28" s="17">
        <v>450.7</v>
      </c>
      <c r="F28" s="13">
        <v>19380.099999999999</v>
      </c>
      <c r="K28" s="3">
        <f t="shared" ref="K28:K47" si="2">J28*I28</f>
        <v>0</v>
      </c>
    </row>
    <row r="29" spans="1:13" x14ac:dyDescent="0.25">
      <c r="B29" s="14">
        <v>42699</v>
      </c>
      <c r="C29" s="19">
        <v>15492</v>
      </c>
      <c r="D29" s="16" t="s">
        <v>20</v>
      </c>
      <c r="E29" s="17">
        <v>103</v>
      </c>
      <c r="F29" s="13">
        <v>4223</v>
      </c>
      <c r="K29" s="3">
        <f t="shared" si="2"/>
        <v>0</v>
      </c>
    </row>
    <row r="30" spans="1:13" x14ac:dyDescent="0.25">
      <c r="B30" s="14">
        <v>42699</v>
      </c>
      <c r="C30" s="19">
        <v>15499</v>
      </c>
      <c r="D30" s="16" t="s">
        <v>10</v>
      </c>
      <c r="E30" s="17">
        <f>475.2+18+5+28.9</f>
        <v>527.1</v>
      </c>
      <c r="F30" s="13">
        <v>21641.200000000001</v>
      </c>
      <c r="K30" s="3">
        <f t="shared" si="2"/>
        <v>0</v>
      </c>
    </row>
    <row r="31" spans="1:13" x14ac:dyDescent="0.25">
      <c r="B31" s="14">
        <v>42699</v>
      </c>
      <c r="C31" s="19">
        <v>15502</v>
      </c>
      <c r="D31" s="16" t="s">
        <v>6</v>
      </c>
      <c r="E31" s="17">
        <f>91.2+365.4+19.8+16.5</f>
        <v>492.9</v>
      </c>
      <c r="F31" s="13">
        <v>21348.9</v>
      </c>
      <c r="K31" s="3">
        <f t="shared" si="2"/>
        <v>0</v>
      </c>
    </row>
    <row r="32" spans="1:13" x14ac:dyDescent="0.25">
      <c r="B32" s="14">
        <v>42699</v>
      </c>
      <c r="C32" s="19">
        <v>15507</v>
      </c>
      <c r="D32" s="16" t="s">
        <v>10</v>
      </c>
      <c r="E32" s="17">
        <v>323</v>
      </c>
      <c r="F32" s="13">
        <v>19380</v>
      </c>
      <c r="K32" s="3">
        <f t="shared" si="2"/>
        <v>0</v>
      </c>
    </row>
    <row r="33" spans="2:11" x14ac:dyDescent="0.25">
      <c r="B33" s="14">
        <v>42699</v>
      </c>
      <c r="C33" s="19">
        <v>15540</v>
      </c>
      <c r="D33" s="16" t="s">
        <v>9</v>
      </c>
      <c r="E33" s="17">
        <f>59.6+143</f>
        <v>202.6</v>
      </c>
      <c r="F33" s="13">
        <v>7233.8</v>
      </c>
      <c r="K33" s="3">
        <f t="shared" si="2"/>
        <v>0</v>
      </c>
    </row>
    <row r="34" spans="2:11" x14ac:dyDescent="0.25">
      <c r="B34" s="14">
        <v>42700</v>
      </c>
      <c r="C34" s="19">
        <v>15624</v>
      </c>
      <c r="D34" s="16" t="s">
        <v>20</v>
      </c>
      <c r="E34" s="17">
        <v>419.8</v>
      </c>
      <c r="F34" s="13">
        <v>18051.400000000001</v>
      </c>
      <c r="I34">
        <f>SUM(I28:I33)</f>
        <v>0</v>
      </c>
      <c r="K34" s="3">
        <f>SUM(K28:K33)</f>
        <v>0</v>
      </c>
    </row>
    <row r="35" spans="2:11" x14ac:dyDescent="0.25">
      <c r="B35" s="14">
        <v>42700</v>
      </c>
      <c r="C35" s="19">
        <v>15625</v>
      </c>
      <c r="D35" s="16" t="s">
        <v>9</v>
      </c>
      <c r="E35" s="17">
        <v>437.7</v>
      </c>
      <c r="F35" s="13">
        <v>18821.099999999999</v>
      </c>
    </row>
    <row r="36" spans="2:11" x14ac:dyDescent="0.25">
      <c r="B36" s="14">
        <v>42700</v>
      </c>
      <c r="C36" s="19">
        <v>15626</v>
      </c>
      <c r="D36" s="16" t="s">
        <v>14</v>
      </c>
      <c r="E36" s="17">
        <v>447.1</v>
      </c>
      <c r="F36" s="13">
        <v>19225.3</v>
      </c>
    </row>
    <row r="37" spans="2:11" x14ac:dyDescent="0.25">
      <c r="B37" s="14">
        <v>42700</v>
      </c>
      <c r="C37" s="19">
        <v>15627</v>
      </c>
      <c r="D37" s="16" t="s">
        <v>192</v>
      </c>
      <c r="E37" s="17">
        <f>84.4+58.6+40.7+25.6</f>
        <v>209.29999999999998</v>
      </c>
      <c r="F37" s="13">
        <v>6761.9</v>
      </c>
    </row>
    <row r="38" spans="2:11" x14ac:dyDescent="0.25">
      <c r="B38" s="14">
        <v>42700</v>
      </c>
      <c r="C38" s="19">
        <v>15628</v>
      </c>
      <c r="D38" s="16" t="s">
        <v>153</v>
      </c>
      <c r="E38" s="17">
        <f>284.7+13.61+1</f>
        <v>299.31</v>
      </c>
      <c r="F38" s="13">
        <v>13896.75</v>
      </c>
    </row>
    <row r="39" spans="2:11" x14ac:dyDescent="0.25">
      <c r="B39" s="14">
        <v>42700</v>
      </c>
      <c r="C39" s="19">
        <v>15629</v>
      </c>
      <c r="D39" s="16" t="s">
        <v>11</v>
      </c>
      <c r="E39" s="17">
        <v>35.1</v>
      </c>
      <c r="F39" s="13">
        <v>1930.5</v>
      </c>
    </row>
    <row r="40" spans="2:11" x14ac:dyDescent="0.25">
      <c r="B40" s="14">
        <v>42700</v>
      </c>
      <c r="C40" s="19">
        <v>15634</v>
      </c>
      <c r="D40" s="16" t="s">
        <v>20</v>
      </c>
      <c r="E40" s="17">
        <v>236.8</v>
      </c>
      <c r="F40" s="13">
        <v>9708.7999999999993</v>
      </c>
    </row>
    <row r="41" spans="2:11" x14ac:dyDescent="0.25">
      <c r="B41" s="14">
        <v>42700</v>
      </c>
      <c r="C41" s="19">
        <v>15808</v>
      </c>
      <c r="D41" s="16" t="s">
        <v>20</v>
      </c>
      <c r="E41" s="17">
        <v>427.9</v>
      </c>
      <c r="F41" s="13">
        <v>18399.7</v>
      </c>
    </row>
    <row r="42" spans="2:11" x14ac:dyDescent="0.25">
      <c r="B42" s="14"/>
      <c r="C42" s="19"/>
      <c r="D42" s="16"/>
      <c r="E42" s="17"/>
      <c r="F42" s="13"/>
    </row>
    <row r="43" spans="2:11" x14ac:dyDescent="0.25">
      <c r="B43" s="14"/>
      <c r="C43" s="19"/>
      <c r="D43" s="16"/>
      <c r="E43" s="17"/>
      <c r="F43" s="13"/>
    </row>
    <row r="44" spans="2:11" x14ac:dyDescent="0.25">
      <c r="B44" s="14"/>
      <c r="C44" s="19"/>
      <c r="D44" s="16"/>
      <c r="E44" s="17"/>
      <c r="F44" s="13"/>
    </row>
    <row r="45" spans="2:11" x14ac:dyDescent="0.25">
      <c r="B45" s="14"/>
      <c r="C45" s="19"/>
      <c r="D45" s="16"/>
      <c r="E45" s="17"/>
      <c r="F45" s="13"/>
    </row>
    <row r="46" spans="2:11" ht="15.75" thickBot="1" x14ac:dyDescent="0.3">
      <c r="B46" s="14"/>
      <c r="C46" s="19"/>
      <c r="D46" s="16"/>
      <c r="E46" s="17"/>
      <c r="F46" s="13"/>
    </row>
    <row r="47" spans="2:11" ht="15.75" thickBot="1" x14ac:dyDescent="0.3">
      <c r="B47" s="21" t="s">
        <v>233</v>
      </c>
      <c r="C47" s="22"/>
      <c r="D47" s="23"/>
      <c r="E47" s="24">
        <v>0</v>
      </c>
      <c r="F47" s="25">
        <f>SUM(F3:F46)</f>
        <v>523066.60000000003</v>
      </c>
      <c r="K47" s="3">
        <f t="shared" si="2"/>
        <v>0</v>
      </c>
    </row>
    <row r="48" spans="2:11" ht="19.5" thickBot="1" x14ac:dyDescent="0.35">
      <c r="B48" s="26"/>
      <c r="C48" s="27"/>
      <c r="D48" s="28" t="s">
        <v>5</v>
      </c>
      <c r="E48" s="29">
        <f>SUM(E3:E47)</f>
        <v>12369.609999999999</v>
      </c>
      <c r="I48" s="30">
        <f>SUM(I47:I47)</f>
        <v>0</v>
      </c>
      <c r="J48" s="30"/>
      <c r="K48" s="30">
        <f>SUM(K47:K47)</f>
        <v>0</v>
      </c>
    </row>
    <row r="49" spans="2:13" x14ac:dyDescent="0.25">
      <c r="B49" s="26"/>
      <c r="C49" s="27"/>
      <c r="D49" s="31"/>
      <c r="E49" s="32"/>
      <c r="I49" s="30">
        <f>SUM(I46:I48)</f>
        <v>0</v>
      </c>
      <c r="J49" s="30"/>
      <c r="K49" s="30">
        <f>SUM(K46:K48)</f>
        <v>0</v>
      </c>
    </row>
    <row r="50" spans="2:13" ht="21.75" thickBot="1" x14ac:dyDescent="0.4">
      <c r="B50" s="33"/>
      <c r="C50" s="34" t="s">
        <v>15</v>
      </c>
      <c r="D50" s="35">
        <f>E48*0.2</f>
        <v>2473.922</v>
      </c>
      <c r="F50"/>
      <c r="K50"/>
    </row>
    <row r="51" spans="2:13" ht="21.75" thickBot="1" x14ac:dyDescent="0.4">
      <c r="C51" s="36" t="s">
        <v>16</v>
      </c>
      <c r="D51" s="37">
        <v>3400</v>
      </c>
      <c r="E51" s="38"/>
      <c r="F51" s="85">
        <f>D50+D51</f>
        <v>5873.9220000000005</v>
      </c>
      <c r="G51" s="86"/>
      <c r="I51" s="39"/>
      <c r="J51" s="39"/>
      <c r="K51" s="39"/>
      <c r="L51" s="39"/>
      <c r="M51" s="39"/>
    </row>
    <row r="52" spans="2:13" ht="16.5" thickTop="1" x14ac:dyDescent="0.25">
      <c r="G52" s="75">
        <v>-3000</v>
      </c>
      <c r="I52" s="39"/>
      <c r="J52" s="39"/>
      <c r="K52" s="40"/>
      <c r="L52" s="40"/>
      <c r="M52" s="40"/>
    </row>
    <row r="53" spans="2:13" ht="16.5" thickBot="1" x14ac:dyDescent="0.3">
      <c r="D53" s="62"/>
      <c r="E53" s="41" t="s">
        <v>311</v>
      </c>
      <c r="F53" s="90">
        <v>-3400</v>
      </c>
      <c r="G53" s="90"/>
      <c r="I53" s="39"/>
      <c r="J53" s="39"/>
      <c r="K53" s="40"/>
      <c r="L53" s="40"/>
      <c r="M53" s="40"/>
    </row>
    <row r="54" spans="2:13" ht="15.75" thickTop="1" x14ac:dyDescent="0.25">
      <c r="C54"/>
      <c r="F54" s="91">
        <f>F51+F53+G52</f>
        <v>-526.07799999999952</v>
      </c>
      <c r="G54" s="91"/>
      <c r="I54" s="39"/>
      <c r="J54" s="39"/>
      <c r="K54" s="40"/>
      <c r="L54" s="40"/>
      <c r="M54" s="40"/>
    </row>
    <row r="55" spans="2:13" ht="19.5" thickBot="1" x14ac:dyDescent="0.35">
      <c r="C55"/>
      <c r="E55" s="2" t="s">
        <v>18</v>
      </c>
      <c r="F55" s="92"/>
      <c r="G55" s="92"/>
      <c r="K55"/>
    </row>
  </sheetData>
  <mergeCells count="4">
    <mergeCell ref="B1:C1"/>
    <mergeCell ref="F51:G51"/>
    <mergeCell ref="F53:G53"/>
    <mergeCell ref="F54:G55"/>
  </mergeCells>
  <pageMargins left="0.70866141732283472" right="0.70866141732283472" top="0.74803149606299213" bottom="0.15748031496062992" header="0.31496062992125984" footer="0.31496062992125984"/>
  <pageSetup scale="80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28" workbookViewId="0">
      <selection activeCell="A28" sqref="A1:XFD104857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42713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360</v>
      </c>
      <c r="G2" s="8"/>
      <c r="K2"/>
    </row>
    <row r="3" spans="2:11" ht="15.75" x14ac:dyDescent="0.25">
      <c r="B3" s="9">
        <v>42702</v>
      </c>
      <c r="C3" s="10">
        <v>15809</v>
      </c>
      <c r="D3" s="11" t="s">
        <v>9</v>
      </c>
      <c r="E3" s="12">
        <v>443.6</v>
      </c>
      <c r="F3" s="13">
        <v>19074.8</v>
      </c>
      <c r="K3"/>
    </row>
    <row r="4" spans="2:11" ht="15.75" x14ac:dyDescent="0.25">
      <c r="B4" s="14">
        <v>42702</v>
      </c>
      <c r="C4" s="15">
        <v>15811</v>
      </c>
      <c r="D4" s="16" t="s">
        <v>192</v>
      </c>
      <c r="E4" s="17">
        <f>434.2+49.9</f>
        <v>484.09999999999997</v>
      </c>
      <c r="F4" s="13">
        <v>18732.8</v>
      </c>
      <c r="K4"/>
    </row>
    <row r="5" spans="2:11" ht="15.75" x14ac:dyDescent="0.25">
      <c r="B5" s="14">
        <v>42702</v>
      </c>
      <c r="C5" s="15">
        <v>15814</v>
      </c>
      <c r="D5" s="16" t="s">
        <v>11</v>
      </c>
      <c r="E5" s="17">
        <f>12+71.5</f>
        <v>83.5</v>
      </c>
      <c r="F5" s="13">
        <v>4137.5</v>
      </c>
      <c r="K5"/>
    </row>
    <row r="6" spans="2:11" ht="15.75" x14ac:dyDescent="0.25">
      <c r="B6" s="14">
        <v>42703</v>
      </c>
      <c r="C6" s="66">
        <v>15984</v>
      </c>
      <c r="D6" s="16" t="s">
        <v>20</v>
      </c>
      <c r="E6" s="56">
        <v>434</v>
      </c>
      <c r="F6" s="13">
        <v>18662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42703</v>
      </c>
      <c r="C7" s="15">
        <v>15986</v>
      </c>
      <c r="D7" s="16" t="s">
        <v>9</v>
      </c>
      <c r="E7" s="17">
        <v>447.8</v>
      </c>
      <c r="F7" s="13">
        <v>19255.400000000001</v>
      </c>
      <c r="K7" s="3">
        <f t="shared" si="0"/>
        <v>0</v>
      </c>
    </row>
    <row r="8" spans="2:11" ht="15.75" x14ac:dyDescent="0.25">
      <c r="B8" s="14">
        <v>42703</v>
      </c>
      <c r="C8" s="15">
        <v>15988</v>
      </c>
      <c r="D8" s="16" t="s">
        <v>153</v>
      </c>
      <c r="E8" s="17">
        <v>191.3</v>
      </c>
      <c r="F8" s="13">
        <v>8225.9</v>
      </c>
      <c r="K8" s="3">
        <f t="shared" si="0"/>
        <v>0</v>
      </c>
    </row>
    <row r="9" spans="2:11" ht="15.75" x14ac:dyDescent="0.25">
      <c r="B9" s="14">
        <v>42703</v>
      </c>
      <c r="C9" s="15">
        <v>15992</v>
      </c>
      <c r="D9" s="16" t="s">
        <v>11</v>
      </c>
      <c r="E9" s="17">
        <v>79.8</v>
      </c>
      <c r="F9" s="13">
        <v>4947.6000000000004</v>
      </c>
      <c r="K9" s="3">
        <f t="shared" si="0"/>
        <v>0</v>
      </c>
    </row>
    <row r="10" spans="2:11" ht="15.75" x14ac:dyDescent="0.25">
      <c r="B10" s="14">
        <v>42703</v>
      </c>
      <c r="C10" s="15">
        <v>15993</v>
      </c>
      <c r="D10" s="16" t="s">
        <v>7</v>
      </c>
      <c r="E10" s="17">
        <v>91.2</v>
      </c>
      <c r="F10" s="13">
        <v>3921.6</v>
      </c>
      <c r="K10" s="3">
        <f t="shared" si="0"/>
        <v>0</v>
      </c>
    </row>
    <row r="11" spans="2:11" ht="15.75" x14ac:dyDescent="0.25">
      <c r="B11" s="14">
        <v>42703</v>
      </c>
      <c r="C11" s="44">
        <v>15995</v>
      </c>
      <c r="D11" s="16" t="s">
        <v>10</v>
      </c>
      <c r="E11" s="17">
        <v>128.19999999999999</v>
      </c>
      <c r="F11" s="13">
        <v>5256.2</v>
      </c>
      <c r="K11" s="3">
        <f t="shared" si="0"/>
        <v>0</v>
      </c>
    </row>
    <row r="12" spans="2:11" ht="15.75" x14ac:dyDescent="0.25">
      <c r="B12" s="14">
        <v>42703</v>
      </c>
      <c r="C12" s="15">
        <v>15996</v>
      </c>
      <c r="D12" s="16" t="s">
        <v>192</v>
      </c>
      <c r="E12" s="17">
        <v>39.5</v>
      </c>
      <c r="F12" s="13">
        <v>908.5</v>
      </c>
      <c r="K12" s="3">
        <f t="shared" si="0"/>
        <v>0</v>
      </c>
    </row>
    <row r="13" spans="2:11" ht="15.75" x14ac:dyDescent="0.25">
      <c r="B13" s="14">
        <v>42704</v>
      </c>
      <c r="C13" s="15">
        <v>16080</v>
      </c>
      <c r="D13" s="16" t="s">
        <v>10</v>
      </c>
      <c r="E13" s="17">
        <v>70.8</v>
      </c>
      <c r="F13" s="13">
        <v>4248</v>
      </c>
      <c r="K13" s="3">
        <f t="shared" si="0"/>
        <v>0</v>
      </c>
    </row>
    <row r="14" spans="2:11" ht="15.75" x14ac:dyDescent="0.25">
      <c r="B14" s="14">
        <v>42704</v>
      </c>
      <c r="C14" s="15">
        <v>16081</v>
      </c>
      <c r="D14" s="16" t="s">
        <v>6</v>
      </c>
      <c r="E14" s="17">
        <f>71.4+25.3+11</f>
        <v>107.7</v>
      </c>
      <c r="F14" s="13">
        <v>6322.1</v>
      </c>
      <c r="K14" s="3">
        <f t="shared" si="0"/>
        <v>0</v>
      </c>
    </row>
    <row r="15" spans="2:11" ht="15.75" x14ac:dyDescent="0.25">
      <c r="B15" s="14">
        <v>42704</v>
      </c>
      <c r="C15" s="15">
        <v>16082</v>
      </c>
      <c r="D15" s="16" t="s">
        <v>192</v>
      </c>
      <c r="E15" s="17">
        <f>1+12.5</f>
        <v>13.5</v>
      </c>
      <c r="F15" s="13">
        <v>497.5</v>
      </c>
      <c r="K15" s="3">
        <f t="shared" si="0"/>
        <v>0</v>
      </c>
    </row>
    <row r="16" spans="2:11" ht="15.75" x14ac:dyDescent="0.25">
      <c r="B16" s="14">
        <v>42704</v>
      </c>
      <c r="C16" s="15">
        <v>16087</v>
      </c>
      <c r="D16" s="16" t="s">
        <v>20</v>
      </c>
      <c r="E16" s="17">
        <f>350+117.4</f>
        <v>467.4</v>
      </c>
      <c r="F16" s="13">
        <v>20680.8</v>
      </c>
      <c r="K16" s="3">
        <f t="shared" si="0"/>
        <v>0</v>
      </c>
    </row>
    <row r="17" spans="1:13" ht="15.75" x14ac:dyDescent="0.25">
      <c r="B17" s="14">
        <v>42704</v>
      </c>
      <c r="C17" s="15">
        <v>16088</v>
      </c>
      <c r="D17" s="16" t="s">
        <v>9</v>
      </c>
      <c r="E17" s="17">
        <v>328</v>
      </c>
      <c r="F17" s="13">
        <v>14760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42704</v>
      </c>
      <c r="C18" s="15">
        <v>16089</v>
      </c>
      <c r="D18" s="16" t="s">
        <v>13</v>
      </c>
      <c r="E18" s="17">
        <v>331.9</v>
      </c>
      <c r="F18" s="13">
        <v>14935.5</v>
      </c>
      <c r="I18" s="3"/>
      <c r="J18" s="3"/>
    </row>
    <row r="19" spans="1:13" ht="15.75" x14ac:dyDescent="0.25">
      <c r="B19" s="14">
        <v>42704</v>
      </c>
      <c r="C19" s="15">
        <v>16090</v>
      </c>
      <c r="D19" s="16" t="s">
        <v>12</v>
      </c>
      <c r="E19" s="17">
        <f>939.68+69.5</f>
        <v>1009.18</v>
      </c>
      <c r="F19" s="13">
        <v>41409.699999999997</v>
      </c>
    </row>
    <row r="20" spans="1:13" ht="15.75" x14ac:dyDescent="0.25">
      <c r="B20" s="14">
        <v>42704</v>
      </c>
      <c r="C20" s="15">
        <v>16091</v>
      </c>
      <c r="D20" s="16" t="s">
        <v>7</v>
      </c>
      <c r="E20" s="17">
        <v>76.2</v>
      </c>
      <c r="F20" s="13">
        <v>3429</v>
      </c>
    </row>
    <row r="21" spans="1:13" ht="15.75" x14ac:dyDescent="0.25">
      <c r="B21" s="14">
        <v>42705</v>
      </c>
      <c r="C21" s="15">
        <v>16216</v>
      </c>
      <c r="D21" s="16" t="s">
        <v>20</v>
      </c>
      <c r="E21" s="17">
        <v>448.2</v>
      </c>
      <c r="F21" s="13">
        <v>20169</v>
      </c>
    </row>
    <row r="22" spans="1:13" ht="15.75" x14ac:dyDescent="0.25">
      <c r="A22" s="18"/>
      <c r="B22" s="14">
        <v>42705</v>
      </c>
      <c r="C22" s="15">
        <v>16217</v>
      </c>
      <c r="D22" s="16" t="s">
        <v>9</v>
      </c>
      <c r="E22" s="17">
        <v>439</v>
      </c>
      <c r="F22" s="13">
        <v>19755</v>
      </c>
    </row>
    <row r="23" spans="1:13" ht="15.75" x14ac:dyDescent="0.25">
      <c r="B23" s="14">
        <v>42705</v>
      </c>
      <c r="C23" s="15">
        <v>16223</v>
      </c>
      <c r="D23" s="16" t="s">
        <v>11</v>
      </c>
      <c r="E23" s="17">
        <v>159.30000000000001</v>
      </c>
      <c r="F23" s="13">
        <v>8145</v>
      </c>
      <c r="I23" s="48"/>
      <c r="J23" s="49"/>
      <c r="K23" s="50"/>
      <c r="L23" s="51"/>
      <c r="M23" s="52"/>
    </row>
    <row r="24" spans="1:13" ht="15.75" x14ac:dyDescent="0.25">
      <c r="B24" s="14">
        <v>42705</v>
      </c>
      <c r="C24" s="15">
        <v>16224</v>
      </c>
      <c r="D24" s="16" t="s">
        <v>10</v>
      </c>
      <c r="E24" s="17">
        <v>112.6</v>
      </c>
      <c r="F24" s="13">
        <v>4729.2</v>
      </c>
      <c r="I24" s="31"/>
      <c r="J24" s="31"/>
      <c r="K24" s="53"/>
      <c r="L24" s="31"/>
      <c r="M24" s="31"/>
    </row>
    <row r="25" spans="1:13" ht="15.75" x14ac:dyDescent="0.25">
      <c r="B25" s="14">
        <v>42705</v>
      </c>
      <c r="C25" s="15">
        <v>16226</v>
      </c>
      <c r="D25" s="16" t="s">
        <v>192</v>
      </c>
      <c r="E25" s="17">
        <f>448.2+35.7</f>
        <v>483.9</v>
      </c>
      <c r="F25" s="13">
        <v>19421.400000000001</v>
      </c>
      <c r="I25" s="31"/>
      <c r="J25" s="31"/>
      <c r="K25" s="53"/>
      <c r="L25" s="31"/>
      <c r="M25" s="31"/>
    </row>
    <row r="26" spans="1:13" ht="15.75" x14ac:dyDescent="0.25">
      <c r="B26" s="14">
        <v>42705</v>
      </c>
      <c r="C26" s="15">
        <v>16231</v>
      </c>
      <c r="D26" s="16" t="s">
        <v>192</v>
      </c>
      <c r="E26" s="17">
        <v>1</v>
      </c>
      <c r="F26" s="13">
        <v>185</v>
      </c>
    </row>
    <row r="27" spans="1:13" x14ac:dyDescent="0.25">
      <c r="B27" s="14">
        <v>42706</v>
      </c>
      <c r="C27" s="19">
        <v>16349</v>
      </c>
      <c r="D27" s="16" t="s">
        <v>20</v>
      </c>
      <c r="E27" s="17">
        <f>415.2+22.2</f>
        <v>437.4</v>
      </c>
      <c r="F27" s="13">
        <v>19372.2</v>
      </c>
    </row>
    <row r="28" spans="1:13" x14ac:dyDescent="0.25">
      <c r="B28" s="14">
        <v>42706</v>
      </c>
      <c r="C28" s="19">
        <v>16350</v>
      </c>
      <c r="D28" s="16" t="s">
        <v>9</v>
      </c>
      <c r="E28" s="17">
        <v>404.6</v>
      </c>
      <c r="F28" s="13">
        <v>18207</v>
      </c>
      <c r="K28" s="3">
        <f t="shared" ref="K28:K47" si="2">J28*I28</f>
        <v>0</v>
      </c>
    </row>
    <row r="29" spans="1:13" x14ac:dyDescent="0.25">
      <c r="B29" s="14">
        <v>42706</v>
      </c>
      <c r="C29" s="19">
        <v>16351</v>
      </c>
      <c r="D29" s="16" t="s">
        <v>14</v>
      </c>
      <c r="E29" s="17">
        <v>388.1</v>
      </c>
      <c r="F29" s="13">
        <v>17464.5</v>
      </c>
      <c r="K29" s="3">
        <f t="shared" si="2"/>
        <v>0</v>
      </c>
    </row>
    <row r="30" spans="1:13" x14ac:dyDescent="0.25">
      <c r="B30" s="14">
        <v>42706</v>
      </c>
      <c r="C30" s="19">
        <v>16352</v>
      </c>
      <c r="D30" s="16" t="s">
        <v>153</v>
      </c>
      <c r="E30" s="17">
        <v>354.2</v>
      </c>
      <c r="F30" s="13">
        <v>15939</v>
      </c>
      <c r="K30" s="3">
        <f t="shared" si="2"/>
        <v>0</v>
      </c>
    </row>
    <row r="31" spans="1:13" x14ac:dyDescent="0.25">
      <c r="B31" s="14">
        <v>42706</v>
      </c>
      <c r="C31" s="19">
        <v>16354</v>
      </c>
      <c r="D31" s="16" t="s">
        <v>192</v>
      </c>
      <c r="E31" s="17">
        <f>87.6+20.5+28.6</f>
        <v>136.69999999999999</v>
      </c>
      <c r="F31" s="13">
        <v>5226.7</v>
      </c>
      <c r="K31" s="3">
        <f t="shared" si="2"/>
        <v>0</v>
      </c>
    </row>
    <row r="32" spans="1:13" x14ac:dyDescent="0.25">
      <c r="B32" s="14">
        <v>42706</v>
      </c>
      <c r="C32" s="19">
        <v>16356</v>
      </c>
      <c r="D32" s="16" t="s">
        <v>6</v>
      </c>
      <c r="E32" s="17">
        <f>81.8+220+67.6+28.9+50.6</f>
        <v>448.9</v>
      </c>
      <c r="F32" s="13">
        <v>21809.5</v>
      </c>
      <c r="K32" s="3">
        <f t="shared" si="2"/>
        <v>0</v>
      </c>
    </row>
    <row r="33" spans="2:11" x14ac:dyDescent="0.25">
      <c r="B33" s="14">
        <v>42706</v>
      </c>
      <c r="C33" s="19">
        <v>16357</v>
      </c>
      <c r="D33" s="16" t="s">
        <v>10</v>
      </c>
      <c r="E33" s="17">
        <f>606.4+276+24.6</f>
        <v>907</v>
      </c>
      <c r="F33" s="13">
        <v>42643.8</v>
      </c>
      <c r="K33" s="3">
        <f t="shared" si="2"/>
        <v>0</v>
      </c>
    </row>
    <row r="34" spans="2:11" x14ac:dyDescent="0.25">
      <c r="B34" s="14">
        <v>42706</v>
      </c>
      <c r="C34" s="19">
        <v>16358</v>
      </c>
      <c r="D34" s="16" t="s">
        <v>7</v>
      </c>
      <c r="E34" s="17">
        <v>7.96</v>
      </c>
      <c r="F34" s="13">
        <v>246.76</v>
      </c>
      <c r="I34">
        <f>SUM(I28:I33)</f>
        <v>0</v>
      </c>
      <c r="K34" s="3">
        <f>SUM(K28:K33)</f>
        <v>0</v>
      </c>
    </row>
    <row r="35" spans="2:11" x14ac:dyDescent="0.25">
      <c r="B35" s="14">
        <v>42706</v>
      </c>
      <c r="C35" s="19">
        <v>16360</v>
      </c>
      <c r="D35" s="16" t="s">
        <v>20</v>
      </c>
      <c r="E35" s="17">
        <v>72.8</v>
      </c>
      <c r="F35" s="13">
        <v>1674.4</v>
      </c>
    </row>
    <row r="36" spans="2:11" x14ac:dyDescent="0.25">
      <c r="B36" s="14">
        <v>42707</v>
      </c>
      <c r="C36" s="19">
        <v>16486</v>
      </c>
      <c r="D36" s="16" t="s">
        <v>192</v>
      </c>
      <c r="E36" s="17">
        <f>934.8+49</f>
        <v>983.8</v>
      </c>
      <c r="F36" s="13">
        <v>39453.800000000003</v>
      </c>
    </row>
    <row r="37" spans="2:11" x14ac:dyDescent="0.25">
      <c r="B37" s="14">
        <v>42707</v>
      </c>
      <c r="C37" s="19">
        <v>16488</v>
      </c>
      <c r="D37" s="16" t="s">
        <v>9</v>
      </c>
      <c r="E37" s="17">
        <v>424.8</v>
      </c>
      <c r="F37" s="13">
        <v>19116</v>
      </c>
    </row>
    <row r="38" spans="2:11" x14ac:dyDescent="0.25">
      <c r="B38" s="14">
        <v>42707</v>
      </c>
      <c r="C38" s="19">
        <v>16489</v>
      </c>
      <c r="D38" s="16" t="s">
        <v>14</v>
      </c>
      <c r="E38" s="17">
        <v>389.3</v>
      </c>
      <c r="F38" s="13">
        <v>17518.5</v>
      </c>
    </row>
    <row r="39" spans="2:11" x14ac:dyDescent="0.25">
      <c r="B39" s="14">
        <v>42707</v>
      </c>
      <c r="C39" s="19">
        <v>16491</v>
      </c>
      <c r="D39" s="16" t="s">
        <v>6</v>
      </c>
      <c r="E39" s="17">
        <v>91.3</v>
      </c>
      <c r="F39" s="13">
        <v>4108.5</v>
      </c>
    </row>
    <row r="40" spans="2:11" x14ac:dyDescent="0.25">
      <c r="B40" s="14">
        <v>42707</v>
      </c>
      <c r="C40" s="19">
        <v>16492</v>
      </c>
      <c r="D40" s="16" t="s">
        <v>10</v>
      </c>
      <c r="E40" s="17">
        <f>102.2+20.8</f>
        <v>123</v>
      </c>
      <c r="F40" s="13">
        <v>4937.2</v>
      </c>
    </row>
    <row r="41" spans="2:11" x14ac:dyDescent="0.25">
      <c r="B41" s="14">
        <v>42707</v>
      </c>
      <c r="C41" s="19">
        <v>16493</v>
      </c>
      <c r="D41" s="16" t="s">
        <v>7</v>
      </c>
      <c r="E41" s="17">
        <v>66.5</v>
      </c>
      <c r="F41" s="13">
        <v>1529.5</v>
      </c>
    </row>
    <row r="42" spans="2:11" x14ac:dyDescent="0.25">
      <c r="B42" s="14">
        <v>42707</v>
      </c>
      <c r="C42" s="19">
        <v>16513</v>
      </c>
      <c r="D42" s="16" t="s">
        <v>7</v>
      </c>
      <c r="E42" s="17">
        <f>7.8+1+9.6</f>
        <v>18.399999999999999</v>
      </c>
      <c r="F42" s="13">
        <v>923.6</v>
      </c>
    </row>
    <row r="43" spans="2:11" x14ac:dyDescent="0.25">
      <c r="B43" s="14">
        <v>42707</v>
      </c>
      <c r="C43" s="19">
        <v>16515</v>
      </c>
      <c r="D43" s="16" t="s">
        <v>20</v>
      </c>
      <c r="E43" s="17">
        <f>436.2+104+106.2</f>
        <v>646.40000000000009</v>
      </c>
      <c r="F43" s="13">
        <v>29413.200000000001</v>
      </c>
    </row>
    <row r="44" spans="2:11" x14ac:dyDescent="0.25">
      <c r="B44" s="14">
        <v>42707</v>
      </c>
      <c r="C44" s="19">
        <v>16570</v>
      </c>
      <c r="D44" s="16" t="s">
        <v>11</v>
      </c>
      <c r="E44" s="17">
        <f>39+128.2+119.6</f>
        <v>286.79999999999995</v>
      </c>
      <c r="F44" s="13">
        <v>14169</v>
      </c>
    </row>
    <row r="45" spans="2:11" x14ac:dyDescent="0.25">
      <c r="B45" s="14">
        <v>42707</v>
      </c>
      <c r="C45" s="19">
        <v>16572</v>
      </c>
      <c r="D45" s="16" t="s">
        <v>9</v>
      </c>
      <c r="E45" s="17">
        <v>73</v>
      </c>
      <c r="F45" s="13">
        <v>1679</v>
      </c>
    </row>
    <row r="46" spans="2:11" ht="15.75" thickBot="1" x14ac:dyDescent="0.3">
      <c r="B46" s="14"/>
      <c r="C46" s="19"/>
      <c r="D46" s="16"/>
      <c r="E46" s="17"/>
      <c r="F46" s="13"/>
    </row>
    <row r="47" spans="2:11" ht="15.75" thickBot="1" x14ac:dyDescent="0.3">
      <c r="B47" s="21" t="s">
        <v>233</v>
      </c>
      <c r="C47" s="22"/>
      <c r="D47" s="23"/>
      <c r="E47" s="24">
        <v>0</v>
      </c>
      <c r="F47" s="25">
        <f>SUM(F3:F46)</f>
        <v>557241.66</v>
      </c>
      <c r="K47" s="3">
        <f t="shared" si="2"/>
        <v>0</v>
      </c>
    </row>
    <row r="48" spans="2:11" ht="19.5" thickBot="1" x14ac:dyDescent="0.35">
      <c r="B48" s="26"/>
      <c r="C48" s="27"/>
      <c r="D48" s="28" t="s">
        <v>5</v>
      </c>
      <c r="E48" s="29">
        <f>SUM(E3:E47)</f>
        <v>12732.639999999994</v>
      </c>
      <c r="I48" s="30">
        <f>SUM(I47:I47)</f>
        <v>0</v>
      </c>
      <c r="J48" s="30"/>
      <c r="K48" s="30">
        <f>SUM(K47:K47)</f>
        <v>0</v>
      </c>
    </row>
    <row r="49" spans="2:13" x14ac:dyDescent="0.25">
      <c r="B49" s="26"/>
      <c r="C49" s="27"/>
      <c r="D49" s="31"/>
      <c r="E49" s="32"/>
      <c r="I49" s="30">
        <f>SUM(I46:I48)</f>
        <v>0</v>
      </c>
      <c r="J49" s="30"/>
      <c r="K49" s="30">
        <f>SUM(K46:K48)</f>
        <v>0</v>
      </c>
    </row>
    <row r="50" spans="2:13" ht="21.75" thickBot="1" x14ac:dyDescent="0.4">
      <c r="B50" s="33"/>
      <c r="C50" s="34" t="s">
        <v>15</v>
      </c>
      <c r="D50" s="35">
        <f>E48*0.2</f>
        <v>2546.5279999999989</v>
      </c>
      <c r="F50"/>
      <c r="K50"/>
    </row>
    <row r="51" spans="2:13" ht="21.75" thickBot="1" x14ac:dyDescent="0.4">
      <c r="C51" s="36" t="s">
        <v>16</v>
      </c>
      <c r="D51" s="37">
        <v>3400</v>
      </c>
      <c r="E51" s="38"/>
      <c r="F51" s="85">
        <f>D50+D51</f>
        <v>5946.5279999999984</v>
      </c>
      <c r="G51" s="86"/>
      <c r="I51" s="39"/>
      <c r="J51" s="39"/>
      <c r="K51" s="39"/>
      <c r="L51" s="39"/>
      <c r="M51" s="39"/>
    </row>
    <row r="52" spans="2:13" ht="16.5" thickTop="1" x14ac:dyDescent="0.25">
      <c r="E52" s="41" t="s">
        <v>311</v>
      </c>
      <c r="G52" s="75">
        <v>-526</v>
      </c>
      <c r="I52" s="39"/>
      <c r="J52" s="39"/>
      <c r="K52" s="40"/>
      <c r="L52" s="40"/>
      <c r="M52" s="40"/>
    </row>
    <row r="53" spans="2:13" ht="16.5" thickBot="1" x14ac:dyDescent="0.3">
      <c r="D53" s="62"/>
      <c r="E53" s="41" t="s">
        <v>311</v>
      </c>
      <c r="F53" s="90">
        <v>-3400</v>
      </c>
      <c r="G53" s="90"/>
      <c r="I53" s="39"/>
      <c r="J53" s="39"/>
      <c r="K53" s="40"/>
      <c r="L53" s="40"/>
      <c r="M53" s="40"/>
    </row>
    <row r="54" spans="2:13" ht="15.75" thickTop="1" x14ac:dyDescent="0.25">
      <c r="C54"/>
      <c r="F54" s="88">
        <f>F51+F53+G52</f>
        <v>2020.5279999999984</v>
      </c>
      <c r="G54" s="88"/>
      <c r="I54" s="39"/>
      <c r="J54" s="39"/>
      <c r="K54" s="40"/>
      <c r="L54" s="40"/>
      <c r="M54" s="40"/>
    </row>
    <row r="55" spans="2:13" ht="19.5" thickBot="1" x14ac:dyDescent="0.35">
      <c r="C55"/>
      <c r="E55" s="2" t="s">
        <v>18</v>
      </c>
      <c r="F55" s="93"/>
      <c r="G55" s="93"/>
      <c r="K55"/>
    </row>
  </sheetData>
  <mergeCells count="4">
    <mergeCell ref="B1:C1"/>
    <mergeCell ref="F51:G51"/>
    <mergeCell ref="F53:G53"/>
    <mergeCell ref="F54:G55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opLeftCell="A22" workbookViewId="0">
      <selection activeCell="G40" sqref="G40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42719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361</v>
      </c>
      <c r="G2" s="8"/>
      <c r="K2"/>
    </row>
    <row r="3" spans="2:11" ht="15.75" x14ac:dyDescent="0.25">
      <c r="B3" s="9">
        <v>42405</v>
      </c>
      <c r="C3" s="10">
        <v>16737</v>
      </c>
      <c r="D3" s="11" t="s">
        <v>7</v>
      </c>
      <c r="E3" s="12">
        <f>8.4+87.6</f>
        <v>96</v>
      </c>
      <c r="F3" s="13">
        <v>4202.3999999999996</v>
      </c>
      <c r="K3"/>
    </row>
    <row r="4" spans="2:11" ht="15.75" x14ac:dyDescent="0.25">
      <c r="B4" s="14">
        <v>42709</v>
      </c>
      <c r="C4" s="15">
        <v>16738</v>
      </c>
      <c r="D4" s="16" t="s">
        <v>189</v>
      </c>
      <c r="E4" s="17">
        <v>423</v>
      </c>
      <c r="F4" s="13">
        <v>19035</v>
      </c>
      <c r="K4"/>
    </row>
    <row r="5" spans="2:11" ht="15.75" x14ac:dyDescent="0.25">
      <c r="B5" s="14">
        <v>42709</v>
      </c>
      <c r="C5" s="15">
        <v>16739</v>
      </c>
      <c r="D5" s="16" t="s">
        <v>9</v>
      </c>
      <c r="E5" s="17">
        <v>424.1</v>
      </c>
      <c r="F5" s="13">
        <v>19084.5</v>
      </c>
      <c r="K5"/>
    </row>
    <row r="6" spans="2:11" ht="15.75" x14ac:dyDescent="0.25">
      <c r="B6" s="14">
        <v>42709</v>
      </c>
      <c r="C6" s="66">
        <v>16753</v>
      </c>
      <c r="D6" s="16" t="s">
        <v>286</v>
      </c>
      <c r="E6" s="56">
        <f>11.1+1.5+4.5</f>
        <v>17.100000000000001</v>
      </c>
      <c r="F6" s="13">
        <v>940.8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42710</v>
      </c>
      <c r="C7" s="15">
        <v>16854</v>
      </c>
      <c r="D7" s="16" t="s">
        <v>10</v>
      </c>
      <c r="E7" s="17">
        <f>109.8+56.2+34.1+24.38</f>
        <v>224.48</v>
      </c>
      <c r="F7" s="13">
        <v>9649.7000000000007</v>
      </c>
      <c r="K7" s="3">
        <f t="shared" si="0"/>
        <v>0</v>
      </c>
    </row>
    <row r="8" spans="2:11" ht="15.75" x14ac:dyDescent="0.25">
      <c r="B8" s="14">
        <v>42710</v>
      </c>
      <c r="C8" s="15">
        <v>16858</v>
      </c>
      <c r="D8" s="16" t="s">
        <v>9</v>
      </c>
      <c r="E8" s="17">
        <v>409.8</v>
      </c>
      <c r="F8" s="13">
        <v>18850.8</v>
      </c>
      <c r="K8" s="3">
        <f t="shared" si="0"/>
        <v>0</v>
      </c>
    </row>
    <row r="9" spans="2:11" ht="15.75" x14ac:dyDescent="0.25">
      <c r="B9" s="14">
        <v>42710</v>
      </c>
      <c r="C9" s="15">
        <v>16860</v>
      </c>
      <c r="D9" s="16" t="s">
        <v>192</v>
      </c>
      <c r="E9" s="17">
        <v>467.2</v>
      </c>
      <c r="F9" s="13">
        <v>19388.8</v>
      </c>
      <c r="K9" s="3">
        <f t="shared" si="0"/>
        <v>0</v>
      </c>
    </row>
    <row r="10" spans="2:11" ht="15.75" x14ac:dyDescent="0.25">
      <c r="B10" s="14">
        <v>42710</v>
      </c>
      <c r="C10" s="15">
        <v>16861</v>
      </c>
      <c r="D10" s="16" t="s">
        <v>189</v>
      </c>
      <c r="E10" s="17">
        <v>418.2</v>
      </c>
      <c r="F10" s="13">
        <v>19237.2</v>
      </c>
      <c r="K10" s="3">
        <f t="shared" si="0"/>
        <v>0</v>
      </c>
    </row>
    <row r="11" spans="2:11" ht="15.75" x14ac:dyDescent="0.25">
      <c r="B11" s="14">
        <v>42710</v>
      </c>
      <c r="C11" s="44">
        <v>16862</v>
      </c>
      <c r="D11" s="16" t="s">
        <v>7</v>
      </c>
      <c r="E11" s="17">
        <v>82.5</v>
      </c>
      <c r="F11" s="13">
        <v>3795</v>
      </c>
      <c r="K11" s="3">
        <f t="shared" si="0"/>
        <v>0</v>
      </c>
    </row>
    <row r="12" spans="2:11" ht="15.75" x14ac:dyDescent="0.25">
      <c r="B12" s="14">
        <v>42710</v>
      </c>
      <c r="C12" s="15">
        <v>16919</v>
      </c>
      <c r="D12" s="16" t="s">
        <v>9</v>
      </c>
      <c r="E12" s="17">
        <v>199.4</v>
      </c>
      <c r="F12" s="13">
        <v>8374.7999999999993</v>
      </c>
      <c r="K12" s="3">
        <f t="shared" si="0"/>
        <v>0</v>
      </c>
    </row>
    <row r="13" spans="2:11" ht="15.75" x14ac:dyDescent="0.25">
      <c r="B13" s="14">
        <v>42710</v>
      </c>
      <c r="C13" s="15">
        <v>16923</v>
      </c>
      <c r="D13" s="16" t="s">
        <v>11</v>
      </c>
      <c r="E13" s="17">
        <f>88.4+88.4</f>
        <v>176.8</v>
      </c>
      <c r="F13" s="13">
        <v>9105.2000000000007</v>
      </c>
      <c r="K13" s="3">
        <f t="shared" si="0"/>
        <v>0</v>
      </c>
    </row>
    <row r="14" spans="2:11" ht="15.75" x14ac:dyDescent="0.25">
      <c r="B14" s="14">
        <v>42711</v>
      </c>
      <c r="C14" s="15">
        <v>17049</v>
      </c>
      <c r="D14" s="16" t="s">
        <v>9</v>
      </c>
      <c r="E14" s="17">
        <v>412.6</v>
      </c>
      <c r="F14" s="13">
        <v>18979.599999999999</v>
      </c>
      <c r="K14" s="3">
        <f t="shared" si="0"/>
        <v>0</v>
      </c>
    </row>
    <row r="15" spans="2:11" ht="15.75" x14ac:dyDescent="0.25">
      <c r="B15" s="14">
        <v>42711</v>
      </c>
      <c r="C15" s="15">
        <v>17050</v>
      </c>
      <c r="D15" s="16" t="s">
        <v>12</v>
      </c>
      <c r="E15" s="17">
        <v>1001</v>
      </c>
      <c r="F15" s="13">
        <v>41041</v>
      </c>
      <c r="K15" s="3">
        <f t="shared" si="0"/>
        <v>0</v>
      </c>
    </row>
    <row r="16" spans="2:11" ht="15.75" x14ac:dyDescent="0.25">
      <c r="B16" s="14">
        <v>42711</v>
      </c>
      <c r="C16" s="15">
        <v>17051</v>
      </c>
      <c r="D16" s="16" t="s">
        <v>10</v>
      </c>
      <c r="E16" s="17">
        <v>85.7</v>
      </c>
      <c r="F16" s="13">
        <v>5142</v>
      </c>
      <c r="K16" s="3">
        <f t="shared" si="0"/>
        <v>0</v>
      </c>
    </row>
    <row r="17" spans="1:13" ht="15.75" x14ac:dyDescent="0.25">
      <c r="B17" s="14">
        <v>42711</v>
      </c>
      <c r="C17" s="15">
        <v>17052</v>
      </c>
      <c r="D17" s="16" t="s">
        <v>192</v>
      </c>
      <c r="E17" s="17">
        <f>31.3+63.7</f>
        <v>95</v>
      </c>
      <c r="F17" s="13">
        <v>2247.6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42711</v>
      </c>
      <c r="C18" s="15">
        <v>17053</v>
      </c>
      <c r="D18" s="16" t="s">
        <v>153</v>
      </c>
      <c r="E18" s="17">
        <v>88.2</v>
      </c>
      <c r="F18" s="13">
        <v>4057.2</v>
      </c>
      <c r="I18" s="3"/>
      <c r="J18" s="3"/>
    </row>
    <row r="19" spans="1:13" ht="15.75" x14ac:dyDescent="0.25">
      <c r="B19" s="14">
        <v>42711</v>
      </c>
      <c r="C19" s="15">
        <v>17054</v>
      </c>
      <c r="D19" s="16" t="s">
        <v>7</v>
      </c>
      <c r="E19" s="17">
        <v>81.400000000000006</v>
      </c>
      <c r="F19" s="13">
        <v>3744.4</v>
      </c>
    </row>
    <row r="20" spans="1:13" ht="15.75" x14ac:dyDescent="0.25">
      <c r="B20" s="14">
        <v>42711</v>
      </c>
      <c r="C20" s="15">
        <v>17055</v>
      </c>
      <c r="D20" s="16" t="s">
        <v>11</v>
      </c>
      <c r="E20" s="17">
        <v>131.6</v>
      </c>
      <c r="F20" s="13">
        <v>7106.4</v>
      </c>
    </row>
    <row r="21" spans="1:13" ht="15.75" x14ac:dyDescent="0.25">
      <c r="B21" s="14">
        <v>42711</v>
      </c>
      <c r="C21" s="15">
        <v>17056</v>
      </c>
      <c r="D21" s="16" t="s">
        <v>6</v>
      </c>
      <c r="E21" s="17">
        <f>54.6+69.6+1+11.9</f>
        <v>137.1</v>
      </c>
      <c r="F21" s="13">
        <v>7285.2</v>
      </c>
    </row>
    <row r="22" spans="1:13" ht="15.75" x14ac:dyDescent="0.25">
      <c r="A22" s="18"/>
      <c r="B22" s="14">
        <v>42711</v>
      </c>
      <c r="C22" s="15">
        <v>17057</v>
      </c>
      <c r="D22" s="16" t="s">
        <v>189</v>
      </c>
      <c r="E22" s="17">
        <f>405.2+117.2+110</f>
        <v>632.4</v>
      </c>
      <c r="F22" s="13">
        <v>25431.599999999999</v>
      </c>
    </row>
    <row r="23" spans="1:13" ht="15.75" x14ac:dyDescent="0.25">
      <c r="B23" s="14">
        <v>42712</v>
      </c>
      <c r="C23" s="15">
        <v>17157</v>
      </c>
      <c r="D23" s="16" t="s">
        <v>189</v>
      </c>
      <c r="E23" s="17">
        <v>440.6</v>
      </c>
      <c r="F23" s="13">
        <v>20267.599999999999</v>
      </c>
      <c r="I23" s="48"/>
      <c r="J23" s="49"/>
      <c r="K23" s="50"/>
      <c r="L23" s="51"/>
      <c r="M23" s="52"/>
    </row>
    <row r="24" spans="1:13" ht="15.75" x14ac:dyDescent="0.25">
      <c r="B24" s="14">
        <v>42712</v>
      </c>
      <c r="C24" s="15">
        <v>17158</v>
      </c>
      <c r="D24" s="16" t="s">
        <v>9</v>
      </c>
      <c r="E24" s="17">
        <v>411.4</v>
      </c>
      <c r="F24" s="13">
        <v>18924.400000000001</v>
      </c>
      <c r="I24" s="31"/>
      <c r="J24" s="31"/>
      <c r="K24" s="53"/>
      <c r="L24" s="31"/>
      <c r="M24" s="31"/>
    </row>
    <row r="25" spans="1:13" ht="15.75" x14ac:dyDescent="0.25">
      <c r="B25" s="14">
        <v>42712</v>
      </c>
      <c r="C25" s="15">
        <v>17159</v>
      </c>
      <c r="D25" s="16" t="s">
        <v>153</v>
      </c>
      <c r="E25" s="17">
        <v>87.6</v>
      </c>
      <c r="F25" s="13">
        <v>4029.6</v>
      </c>
      <c r="I25" s="31"/>
      <c r="J25" s="31"/>
      <c r="K25" s="53"/>
      <c r="L25" s="31"/>
      <c r="M25" s="31"/>
    </row>
    <row r="26" spans="1:13" ht="15.75" x14ac:dyDescent="0.25">
      <c r="B26" s="14">
        <v>42712</v>
      </c>
      <c r="C26" s="15">
        <v>17160</v>
      </c>
      <c r="D26" s="16" t="s">
        <v>10</v>
      </c>
      <c r="E26" s="17">
        <v>256.8</v>
      </c>
      <c r="F26" s="13">
        <v>10785.6</v>
      </c>
    </row>
    <row r="27" spans="1:13" x14ac:dyDescent="0.25">
      <c r="B27" s="14">
        <v>42712</v>
      </c>
      <c r="C27" s="19">
        <v>17161</v>
      </c>
      <c r="D27" s="16" t="s">
        <v>192</v>
      </c>
      <c r="E27" s="17">
        <f>13.61+19.8</f>
        <v>33.409999999999997</v>
      </c>
      <c r="F27" s="13">
        <v>1379.65</v>
      </c>
    </row>
    <row r="28" spans="1:13" x14ac:dyDescent="0.25">
      <c r="B28" s="14">
        <v>42712</v>
      </c>
      <c r="C28" s="19">
        <v>17163</v>
      </c>
      <c r="D28" s="16" t="s">
        <v>12</v>
      </c>
      <c r="E28" s="17">
        <v>108.5</v>
      </c>
      <c r="F28" s="13">
        <v>8184.5</v>
      </c>
      <c r="K28" s="3">
        <f t="shared" ref="K28:K47" si="2">J28*I28</f>
        <v>0</v>
      </c>
    </row>
    <row r="29" spans="1:13" x14ac:dyDescent="0.25">
      <c r="B29" s="14">
        <v>42712</v>
      </c>
      <c r="C29" s="19">
        <v>17244</v>
      </c>
      <c r="D29" s="16" t="s">
        <v>11</v>
      </c>
      <c r="E29" s="17">
        <v>125.2</v>
      </c>
      <c r="F29" s="13">
        <v>6760.8</v>
      </c>
      <c r="K29" s="3">
        <f t="shared" si="2"/>
        <v>0</v>
      </c>
    </row>
    <row r="30" spans="1:13" x14ac:dyDescent="0.25">
      <c r="B30" s="14">
        <v>42713</v>
      </c>
      <c r="C30" s="19">
        <v>17295</v>
      </c>
      <c r="D30" s="16" t="s">
        <v>14</v>
      </c>
      <c r="E30" s="17">
        <v>387.4</v>
      </c>
      <c r="F30" s="13">
        <v>17820.400000000001</v>
      </c>
      <c r="K30" s="3">
        <f t="shared" si="2"/>
        <v>0</v>
      </c>
    </row>
    <row r="31" spans="1:13" x14ac:dyDescent="0.25">
      <c r="B31" s="14">
        <v>42713</v>
      </c>
      <c r="C31" s="19">
        <v>17296</v>
      </c>
      <c r="D31" s="16" t="s">
        <v>13</v>
      </c>
      <c r="E31" s="17">
        <v>389.2</v>
      </c>
      <c r="F31" s="13">
        <v>17903</v>
      </c>
      <c r="K31" s="3">
        <f t="shared" si="2"/>
        <v>0</v>
      </c>
    </row>
    <row r="32" spans="1:13" x14ac:dyDescent="0.25">
      <c r="B32" s="14">
        <v>42713</v>
      </c>
      <c r="C32" s="19">
        <v>17297</v>
      </c>
      <c r="D32" s="16" t="s">
        <v>9</v>
      </c>
      <c r="E32" s="17">
        <v>384.2</v>
      </c>
      <c r="F32" s="13">
        <v>17673.2</v>
      </c>
      <c r="K32" s="3">
        <f t="shared" si="2"/>
        <v>0</v>
      </c>
    </row>
    <row r="33" spans="2:11" x14ac:dyDescent="0.25">
      <c r="B33" s="14">
        <v>42713</v>
      </c>
      <c r="C33" s="19">
        <v>17306</v>
      </c>
      <c r="D33" s="16" t="s">
        <v>153</v>
      </c>
      <c r="E33" s="17">
        <f>361.4+56</f>
        <v>417.4</v>
      </c>
      <c r="F33" s="13">
        <v>19648.400000000001</v>
      </c>
      <c r="K33" s="3">
        <f t="shared" si="2"/>
        <v>0</v>
      </c>
    </row>
    <row r="34" spans="2:11" x14ac:dyDescent="0.25">
      <c r="B34" s="14">
        <v>42713</v>
      </c>
      <c r="C34" s="19">
        <v>17316</v>
      </c>
      <c r="D34" s="16" t="s">
        <v>10</v>
      </c>
      <c r="E34" s="17">
        <f>236.6+235.8+237.6+34.2+24.7</f>
        <v>768.90000000000009</v>
      </c>
      <c r="F34" s="13">
        <v>36279.1</v>
      </c>
      <c r="I34">
        <f>SUM(I28:I33)</f>
        <v>0</v>
      </c>
      <c r="K34" s="3">
        <f>SUM(K28:K33)</f>
        <v>0</v>
      </c>
    </row>
    <row r="35" spans="2:11" x14ac:dyDescent="0.25">
      <c r="B35" s="14">
        <v>42713</v>
      </c>
      <c r="C35" s="19">
        <v>17321</v>
      </c>
      <c r="D35" s="16" t="s">
        <v>9</v>
      </c>
      <c r="E35" s="17">
        <f>232+147.6</f>
        <v>379.6</v>
      </c>
      <c r="F35" s="13">
        <v>13138.8</v>
      </c>
    </row>
    <row r="36" spans="2:11" x14ac:dyDescent="0.25">
      <c r="B36" s="14">
        <v>42713</v>
      </c>
      <c r="C36" s="19">
        <v>17322</v>
      </c>
      <c r="D36" s="16" t="s">
        <v>192</v>
      </c>
      <c r="E36" s="17">
        <f>973+73.2</f>
        <v>1046.2</v>
      </c>
      <c r="F36" s="13">
        <v>41576.6</v>
      </c>
    </row>
    <row r="37" spans="2:11" x14ac:dyDescent="0.25">
      <c r="B37" s="14">
        <v>42713</v>
      </c>
      <c r="C37" s="19">
        <v>17330</v>
      </c>
      <c r="D37" s="16" t="s">
        <v>11</v>
      </c>
      <c r="E37" s="17">
        <f>31.5+22.5</f>
        <v>54</v>
      </c>
      <c r="F37" s="13">
        <v>2493</v>
      </c>
    </row>
    <row r="38" spans="2:11" x14ac:dyDescent="0.25">
      <c r="B38" s="14">
        <v>42713</v>
      </c>
      <c r="C38" s="19">
        <v>17335</v>
      </c>
      <c r="D38" s="16" t="s">
        <v>189</v>
      </c>
      <c r="E38" s="17">
        <f>422.9+1007+41.9</f>
        <v>1471.8000000000002</v>
      </c>
      <c r="F38" s="13">
        <v>64000.800000000003</v>
      </c>
    </row>
    <row r="39" spans="2:11" x14ac:dyDescent="0.25">
      <c r="B39" s="14">
        <v>42713</v>
      </c>
      <c r="C39" s="19">
        <v>17336</v>
      </c>
      <c r="D39" s="16" t="s">
        <v>6</v>
      </c>
      <c r="E39" s="17">
        <f>23.1+228.4+16.5</f>
        <v>268</v>
      </c>
      <c r="F39" s="13">
        <v>12084.5</v>
      </c>
    </row>
    <row r="40" spans="2:11" x14ac:dyDescent="0.25">
      <c r="B40" s="14">
        <v>42713</v>
      </c>
      <c r="C40" s="19">
        <v>17339</v>
      </c>
      <c r="D40" s="16" t="s">
        <v>6</v>
      </c>
      <c r="E40" s="17">
        <v>88.5</v>
      </c>
      <c r="F40" s="13">
        <v>5487</v>
      </c>
    </row>
    <row r="41" spans="2:11" x14ac:dyDescent="0.25">
      <c r="B41" s="14">
        <v>42714</v>
      </c>
      <c r="C41" s="19">
        <v>17497</v>
      </c>
      <c r="D41" s="16" t="s">
        <v>14</v>
      </c>
      <c r="E41" s="17">
        <v>403.3</v>
      </c>
      <c r="F41" s="13">
        <v>18551.8</v>
      </c>
    </row>
    <row r="42" spans="2:11" x14ac:dyDescent="0.25">
      <c r="B42" s="14">
        <v>42714</v>
      </c>
      <c r="C42" s="19">
        <v>17498</v>
      </c>
      <c r="D42" s="16" t="s">
        <v>13</v>
      </c>
      <c r="E42" s="17">
        <v>418.8</v>
      </c>
      <c r="F42" s="13">
        <v>19264.8</v>
      </c>
    </row>
    <row r="43" spans="2:11" x14ac:dyDescent="0.25">
      <c r="B43" s="14">
        <v>42714</v>
      </c>
      <c r="C43" s="19">
        <v>17499</v>
      </c>
      <c r="D43" s="16" t="s">
        <v>189</v>
      </c>
      <c r="E43" s="17">
        <v>408.8</v>
      </c>
      <c r="F43" s="13">
        <v>18804.8</v>
      </c>
    </row>
    <row r="44" spans="2:11" x14ac:dyDescent="0.25">
      <c r="B44" s="14">
        <v>42714</v>
      </c>
      <c r="C44" s="19">
        <v>17501</v>
      </c>
      <c r="D44" s="16" t="s">
        <v>192</v>
      </c>
      <c r="E44" s="17">
        <f>1+32.1</f>
        <v>33.1</v>
      </c>
      <c r="F44" s="13">
        <v>1051.7</v>
      </c>
    </row>
    <row r="45" spans="2:11" x14ac:dyDescent="0.25">
      <c r="B45" s="14"/>
      <c r="C45" s="19"/>
      <c r="D45" s="16"/>
      <c r="E45" s="17"/>
      <c r="F45" s="13"/>
    </row>
    <row r="46" spans="2:11" ht="15.75" thickBot="1" x14ac:dyDescent="0.3">
      <c r="B46" s="14"/>
      <c r="C46" s="19"/>
      <c r="D46" s="16"/>
      <c r="E46" s="17"/>
      <c r="F46" s="13"/>
    </row>
    <row r="47" spans="2:11" ht="15.75" thickBot="1" x14ac:dyDescent="0.3">
      <c r="B47" s="21" t="s">
        <v>233</v>
      </c>
      <c r="C47" s="22"/>
      <c r="D47" s="23"/>
      <c r="E47" s="24">
        <v>0</v>
      </c>
      <c r="F47" s="25">
        <f>SUM(F3:F46)</f>
        <v>622809.25000000012</v>
      </c>
      <c r="K47" s="3">
        <f t="shared" si="2"/>
        <v>0</v>
      </c>
    </row>
    <row r="48" spans="2:11" ht="19.5" thickBot="1" x14ac:dyDescent="0.35">
      <c r="B48" s="26"/>
      <c r="C48" s="27"/>
      <c r="D48" s="28" t="s">
        <v>5</v>
      </c>
      <c r="E48" s="29">
        <f>SUM(E3:E47)</f>
        <v>13986.289999999999</v>
      </c>
      <c r="I48" s="30">
        <f>SUM(I47:I47)</f>
        <v>0</v>
      </c>
      <c r="J48" s="30"/>
      <c r="K48" s="30">
        <f>SUM(K47:K47)</f>
        <v>0</v>
      </c>
    </row>
    <row r="49" spans="2:13" x14ac:dyDescent="0.25">
      <c r="B49" s="26"/>
      <c r="C49" s="27"/>
      <c r="D49" s="31"/>
      <c r="E49" s="32"/>
      <c r="I49" s="30">
        <f>SUM(I46:I48)</f>
        <v>0</v>
      </c>
      <c r="J49" s="30"/>
      <c r="K49" s="30">
        <f>SUM(K46:K48)</f>
        <v>0</v>
      </c>
    </row>
    <row r="50" spans="2:13" ht="21.75" thickBot="1" x14ac:dyDescent="0.4">
      <c r="B50" s="33"/>
      <c r="C50" s="34" t="s">
        <v>15</v>
      </c>
      <c r="D50" s="35">
        <f>E48*0.2</f>
        <v>2797.2579999999998</v>
      </c>
      <c r="F50"/>
      <c r="K50"/>
    </row>
    <row r="51" spans="2:13" ht="21.75" thickBot="1" x14ac:dyDescent="0.4">
      <c r="C51" s="36" t="s">
        <v>16</v>
      </c>
      <c r="D51" s="37">
        <v>3400</v>
      </c>
      <c r="E51" s="38"/>
      <c r="F51" s="85">
        <f>D50+D51</f>
        <v>6197.2579999999998</v>
      </c>
      <c r="G51" s="86"/>
      <c r="I51" s="39"/>
      <c r="J51" s="39"/>
      <c r="K51" s="39"/>
      <c r="L51" s="39"/>
      <c r="M51" s="39"/>
    </row>
    <row r="52" spans="2:13" ht="16.5" thickTop="1" x14ac:dyDescent="0.25">
      <c r="E52" s="41" t="s">
        <v>311</v>
      </c>
      <c r="G52" s="75">
        <v>0</v>
      </c>
      <c r="I52" s="39"/>
      <c r="J52" s="39"/>
      <c r="K52" s="40"/>
      <c r="L52" s="40"/>
      <c r="M52" s="40"/>
    </row>
    <row r="53" spans="2:13" ht="16.5" thickBot="1" x14ac:dyDescent="0.3">
      <c r="D53" s="62"/>
      <c r="E53" s="41" t="s">
        <v>311</v>
      </c>
      <c r="F53" s="90">
        <v>0</v>
      </c>
      <c r="G53" s="90"/>
      <c r="I53" s="39"/>
      <c r="J53" s="39"/>
      <c r="K53" s="40"/>
      <c r="L53" s="40"/>
      <c r="M53" s="40"/>
    </row>
    <row r="54" spans="2:13" ht="15.75" thickTop="1" x14ac:dyDescent="0.25">
      <c r="C54"/>
      <c r="F54" s="88">
        <f>F51+F53+G52</f>
        <v>6197.2579999999998</v>
      </c>
      <c r="G54" s="88"/>
      <c r="I54" s="39"/>
      <c r="J54" s="39"/>
      <c r="K54" s="40"/>
      <c r="L54" s="40"/>
      <c r="M54" s="40"/>
    </row>
    <row r="55" spans="2:13" ht="19.5" thickBot="1" x14ac:dyDescent="0.35">
      <c r="C55"/>
      <c r="E55" s="2" t="s">
        <v>18</v>
      </c>
      <c r="F55" s="93"/>
      <c r="G55" s="93"/>
      <c r="K55"/>
    </row>
  </sheetData>
  <mergeCells count="4">
    <mergeCell ref="B1:C1"/>
    <mergeCell ref="F51:G51"/>
    <mergeCell ref="F53:G53"/>
    <mergeCell ref="F54:G55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62"/>
  <sheetViews>
    <sheetView topLeftCell="A37" workbookViewId="0">
      <selection activeCell="C55" sqref="C55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11" max="11" width="11.42578125" style="3"/>
  </cols>
  <sheetData>
    <row r="1" spans="2:11" ht="19.5" thickBot="1" x14ac:dyDescent="0.35">
      <c r="B1" s="84">
        <v>42411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7" t="s">
        <v>178</v>
      </c>
      <c r="G2" s="8"/>
      <c r="K2"/>
    </row>
    <row r="3" spans="2:11" ht="15.75" x14ac:dyDescent="0.25">
      <c r="B3" s="9">
        <v>42399</v>
      </c>
      <c r="C3" s="10" t="s">
        <v>179</v>
      </c>
      <c r="D3" s="11" t="s">
        <v>14</v>
      </c>
      <c r="E3" s="12">
        <v>225.6</v>
      </c>
      <c r="F3" s="13">
        <v>7219.2</v>
      </c>
      <c r="K3"/>
    </row>
    <row r="4" spans="2:11" ht="15.75" x14ac:dyDescent="0.25">
      <c r="B4" s="14">
        <v>42399</v>
      </c>
      <c r="C4" s="15" t="s">
        <v>180</v>
      </c>
      <c r="D4" s="16" t="s">
        <v>9</v>
      </c>
      <c r="E4" s="17">
        <v>145.4</v>
      </c>
      <c r="F4" s="13">
        <v>4652.8</v>
      </c>
      <c r="K4"/>
    </row>
    <row r="5" spans="2:11" ht="15.75" x14ac:dyDescent="0.25">
      <c r="B5" s="14">
        <v>42401</v>
      </c>
      <c r="C5" s="15" t="s">
        <v>181</v>
      </c>
      <c r="D5" s="16" t="s">
        <v>13</v>
      </c>
      <c r="E5" s="17">
        <f>987+21.5+27.24+62.2+92.4</f>
        <v>1190.3400000000001</v>
      </c>
      <c r="F5" s="13">
        <v>36467.54</v>
      </c>
      <c r="K5"/>
    </row>
    <row r="6" spans="2:11" ht="15.75" x14ac:dyDescent="0.25">
      <c r="B6" s="14">
        <v>42401</v>
      </c>
      <c r="C6" s="15" t="s">
        <v>182</v>
      </c>
      <c r="D6" s="16" t="s">
        <v>192</v>
      </c>
      <c r="E6" s="17">
        <f>1003+87.8</f>
        <v>1090.8</v>
      </c>
      <c r="F6" s="13">
        <v>32259.7</v>
      </c>
      <c r="K6" s="3">
        <f t="shared" ref="K6:K18" si="0">J6*I6</f>
        <v>0</v>
      </c>
    </row>
    <row r="7" spans="2:11" ht="15.75" x14ac:dyDescent="0.25">
      <c r="B7" s="14">
        <v>42401</v>
      </c>
      <c r="C7" s="15" t="s">
        <v>183</v>
      </c>
      <c r="D7" s="16" t="s">
        <v>10</v>
      </c>
      <c r="E7" s="17">
        <f>254.8+130.6</f>
        <v>385.4</v>
      </c>
      <c r="F7" s="13">
        <v>14161.2</v>
      </c>
      <c r="K7" s="3">
        <f t="shared" si="0"/>
        <v>0</v>
      </c>
    </row>
    <row r="8" spans="2:11" ht="15.75" x14ac:dyDescent="0.25">
      <c r="B8" s="14">
        <v>42401</v>
      </c>
      <c r="C8" s="15" t="s">
        <v>184</v>
      </c>
      <c r="D8" s="16" t="s">
        <v>9</v>
      </c>
      <c r="E8" s="17">
        <f>200.8+13.6+39.8</f>
        <v>254.2</v>
      </c>
      <c r="F8" s="13">
        <v>7738.4</v>
      </c>
      <c r="K8" s="3">
        <f t="shared" si="0"/>
        <v>0</v>
      </c>
    </row>
    <row r="9" spans="2:11" ht="15.75" x14ac:dyDescent="0.25">
      <c r="B9" s="14">
        <v>42401</v>
      </c>
      <c r="C9" s="15" t="s">
        <v>185</v>
      </c>
      <c r="D9" s="16" t="s">
        <v>6</v>
      </c>
      <c r="E9" s="17">
        <f>10.2+12.4</f>
        <v>22.6</v>
      </c>
      <c r="F9" s="13">
        <v>937.4</v>
      </c>
      <c r="K9" s="3">
        <f t="shared" si="0"/>
        <v>0</v>
      </c>
    </row>
    <row r="10" spans="2:11" ht="15.75" x14ac:dyDescent="0.25">
      <c r="B10" s="14">
        <v>42401</v>
      </c>
      <c r="C10" s="15" t="s">
        <v>186</v>
      </c>
      <c r="D10" s="16" t="s">
        <v>7</v>
      </c>
      <c r="E10" s="17">
        <f>59.4+1</f>
        <v>60.4</v>
      </c>
      <c r="F10" s="13">
        <v>2085.8000000000002</v>
      </c>
      <c r="K10" s="3">
        <f t="shared" si="0"/>
        <v>0</v>
      </c>
    </row>
    <row r="11" spans="2:11" ht="15.75" x14ac:dyDescent="0.25">
      <c r="B11" s="14">
        <v>42401</v>
      </c>
      <c r="C11" s="15" t="s">
        <v>187</v>
      </c>
      <c r="D11" s="16" t="s">
        <v>12</v>
      </c>
      <c r="E11" s="17">
        <f>32.8+70.2</f>
        <v>103</v>
      </c>
      <c r="F11" s="13">
        <v>6844</v>
      </c>
      <c r="K11" s="3">
        <f t="shared" si="0"/>
        <v>0</v>
      </c>
    </row>
    <row r="12" spans="2:11" ht="15.75" x14ac:dyDescent="0.25">
      <c r="B12" s="14">
        <v>42401</v>
      </c>
      <c r="C12" s="15" t="s">
        <v>188</v>
      </c>
      <c r="D12" s="16" t="s">
        <v>189</v>
      </c>
      <c r="E12" s="17">
        <f>407.8+344.8</f>
        <v>752.6</v>
      </c>
      <c r="F12" s="13">
        <v>23675.4</v>
      </c>
      <c r="K12" s="3">
        <f t="shared" si="0"/>
        <v>0</v>
      </c>
    </row>
    <row r="13" spans="2:11" ht="15.75" x14ac:dyDescent="0.25">
      <c r="B13" s="14">
        <v>42401</v>
      </c>
      <c r="C13" s="15" t="s">
        <v>190</v>
      </c>
      <c r="D13" s="16" t="s">
        <v>14</v>
      </c>
      <c r="E13" s="17">
        <v>448.4</v>
      </c>
      <c r="F13" s="13">
        <v>13900.4</v>
      </c>
      <c r="K13" s="3">
        <f t="shared" si="0"/>
        <v>0</v>
      </c>
    </row>
    <row r="14" spans="2:11" ht="15.75" x14ac:dyDescent="0.25">
      <c r="B14" s="14">
        <v>42402</v>
      </c>
      <c r="C14" s="15" t="s">
        <v>191</v>
      </c>
      <c r="D14" s="16" t="s">
        <v>192</v>
      </c>
      <c r="E14" s="17">
        <f>18.1+51.6</f>
        <v>69.7</v>
      </c>
      <c r="F14" s="13">
        <v>1342.4</v>
      </c>
      <c r="K14" s="3">
        <f t="shared" si="0"/>
        <v>0</v>
      </c>
    </row>
    <row r="15" spans="2:11" ht="15.75" x14ac:dyDescent="0.25">
      <c r="B15" s="14">
        <v>42402</v>
      </c>
      <c r="C15" s="15" t="s">
        <v>193</v>
      </c>
      <c r="D15" s="16" t="s">
        <v>189</v>
      </c>
      <c r="E15" s="17">
        <f>44.1+347.6+317.8</f>
        <v>709.5</v>
      </c>
      <c r="F15" s="13">
        <v>24466.9</v>
      </c>
      <c r="K15" s="3">
        <f t="shared" si="0"/>
        <v>0</v>
      </c>
    </row>
    <row r="16" spans="2:11" ht="15.75" x14ac:dyDescent="0.25">
      <c r="B16" s="14">
        <v>42402</v>
      </c>
      <c r="C16" s="15" t="s">
        <v>194</v>
      </c>
      <c r="D16" s="16" t="s">
        <v>11</v>
      </c>
      <c r="E16" s="17">
        <f>26.7+21.7</f>
        <v>48.4</v>
      </c>
      <c r="F16" s="13">
        <v>2226.4</v>
      </c>
      <c r="K16" s="3">
        <f t="shared" si="0"/>
        <v>0</v>
      </c>
    </row>
    <row r="17" spans="1:11" ht="15.75" x14ac:dyDescent="0.25">
      <c r="B17" s="14">
        <v>42402</v>
      </c>
      <c r="C17" s="15" t="s">
        <v>195</v>
      </c>
      <c r="D17" s="16" t="s">
        <v>6</v>
      </c>
      <c r="E17" s="17">
        <f>9.4+6+46.6</f>
        <v>62</v>
      </c>
      <c r="F17" s="13">
        <v>2670</v>
      </c>
      <c r="K17" s="3">
        <f t="shared" si="0"/>
        <v>0</v>
      </c>
    </row>
    <row r="18" spans="1:11" ht="15.75" x14ac:dyDescent="0.25">
      <c r="B18" s="14">
        <v>42402</v>
      </c>
      <c r="C18" s="15" t="s">
        <v>196</v>
      </c>
      <c r="D18" s="16" t="s">
        <v>12</v>
      </c>
      <c r="E18" s="17">
        <f>110.4+90.6+84.2</f>
        <v>285.2</v>
      </c>
      <c r="F18" s="13">
        <v>11744.8</v>
      </c>
      <c r="K18" s="3">
        <f t="shared" si="0"/>
        <v>0</v>
      </c>
    </row>
    <row r="19" spans="1:11" ht="15.75" x14ac:dyDescent="0.25">
      <c r="B19" s="14">
        <v>42402</v>
      </c>
      <c r="C19" s="15" t="s">
        <v>197</v>
      </c>
      <c r="D19" s="16" t="s">
        <v>14</v>
      </c>
      <c r="E19" s="17">
        <f>218.2</f>
        <v>218.2</v>
      </c>
      <c r="F19" s="13">
        <v>6982.4</v>
      </c>
      <c r="I19" s="3">
        <f t="shared" ref="I19" si="1">SUM(I6:I18)</f>
        <v>0</v>
      </c>
      <c r="J19" s="3"/>
      <c r="K19" s="3">
        <f>SUM(K6:K18)</f>
        <v>0</v>
      </c>
    </row>
    <row r="20" spans="1:11" ht="15.75" x14ac:dyDescent="0.25">
      <c r="B20" s="14">
        <v>42402</v>
      </c>
      <c r="C20" s="15" t="s">
        <v>198</v>
      </c>
      <c r="D20" s="16" t="s">
        <v>10</v>
      </c>
      <c r="E20" s="17">
        <f>105.8</f>
        <v>105.8</v>
      </c>
      <c r="F20" s="13">
        <v>8040.8</v>
      </c>
    </row>
    <row r="21" spans="1:11" ht="15.75" x14ac:dyDescent="0.25">
      <c r="B21" s="14">
        <v>42403</v>
      </c>
      <c r="C21" s="15" t="s">
        <v>199</v>
      </c>
      <c r="D21" s="16" t="s">
        <v>153</v>
      </c>
      <c r="E21" s="17">
        <v>253.2</v>
      </c>
      <c r="F21" s="13">
        <v>7849.2</v>
      </c>
    </row>
    <row r="22" spans="1:11" ht="15.75" x14ac:dyDescent="0.25">
      <c r="A22" s="18"/>
      <c r="B22" s="14">
        <v>42403</v>
      </c>
      <c r="C22" s="15" t="s">
        <v>200</v>
      </c>
      <c r="D22" s="16" t="s">
        <v>14</v>
      </c>
      <c r="E22" s="17">
        <v>241.8</v>
      </c>
      <c r="F22" s="13">
        <v>7495.8</v>
      </c>
    </row>
    <row r="23" spans="1:11" ht="15.75" x14ac:dyDescent="0.25">
      <c r="B23" s="14">
        <v>42403</v>
      </c>
      <c r="C23" s="15" t="s">
        <v>201</v>
      </c>
      <c r="D23" s="16" t="s">
        <v>7</v>
      </c>
      <c r="E23" s="17">
        <v>80.8</v>
      </c>
      <c r="F23" s="13">
        <v>2504.8000000000002</v>
      </c>
    </row>
    <row r="24" spans="1:11" x14ac:dyDescent="0.25">
      <c r="B24" s="14">
        <v>42403</v>
      </c>
      <c r="C24" s="19" t="s">
        <v>202</v>
      </c>
      <c r="D24" s="16" t="s">
        <v>189</v>
      </c>
      <c r="E24" s="17">
        <v>676</v>
      </c>
      <c r="F24" s="13">
        <v>21632</v>
      </c>
    </row>
    <row r="25" spans="1:11" x14ac:dyDescent="0.25">
      <c r="B25" s="14">
        <v>42403</v>
      </c>
      <c r="C25" s="19" t="s">
        <v>203</v>
      </c>
      <c r="D25" s="16" t="s">
        <v>6</v>
      </c>
      <c r="E25" s="17">
        <f>8.8+5.4+262.8+47.6</f>
        <v>324.60000000000002</v>
      </c>
      <c r="F25" s="13">
        <v>10885.6</v>
      </c>
    </row>
    <row r="26" spans="1:11" x14ac:dyDescent="0.25">
      <c r="B26" s="14">
        <v>42403</v>
      </c>
      <c r="C26" s="19" t="s">
        <v>204</v>
      </c>
      <c r="D26" s="16" t="s">
        <v>10</v>
      </c>
      <c r="E26" s="17">
        <f>36.9+48.9</f>
        <v>85.8</v>
      </c>
      <c r="F26" s="13">
        <v>3024.3</v>
      </c>
    </row>
    <row r="27" spans="1:11" x14ac:dyDescent="0.25">
      <c r="B27" s="14">
        <v>42403</v>
      </c>
      <c r="C27" s="19" t="s">
        <v>205</v>
      </c>
      <c r="D27" s="16" t="s">
        <v>13</v>
      </c>
      <c r="E27" s="17">
        <f>57.4+81.72+13.6+68.6+304.6+28.8+44.8</f>
        <v>599.52</v>
      </c>
      <c r="F27" s="13">
        <v>15033.32</v>
      </c>
    </row>
    <row r="28" spans="1:11" x14ac:dyDescent="0.25">
      <c r="B28" s="14">
        <v>42403</v>
      </c>
      <c r="C28" s="19" t="s">
        <v>206</v>
      </c>
      <c r="D28" s="16" t="s">
        <v>11</v>
      </c>
      <c r="E28" s="17">
        <v>17.8</v>
      </c>
      <c r="F28" s="13">
        <v>818.8</v>
      </c>
    </row>
    <row r="29" spans="1:11" x14ac:dyDescent="0.25">
      <c r="B29" s="14">
        <v>42403</v>
      </c>
      <c r="C29" s="19" t="s">
        <v>207</v>
      </c>
      <c r="D29" s="16" t="s">
        <v>10</v>
      </c>
      <c r="E29" s="17">
        <v>130.4</v>
      </c>
      <c r="F29" s="13">
        <v>4172.8</v>
      </c>
    </row>
    <row r="30" spans="1:11" x14ac:dyDescent="0.25">
      <c r="B30" s="14">
        <v>42403</v>
      </c>
      <c r="C30" s="19" t="s">
        <v>208</v>
      </c>
      <c r="D30" s="16" t="s">
        <v>192</v>
      </c>
      <c r="E30" s="17">
        <v>65.8</v>
      </c>
      <c r="F30" s="13">
        <v>1316</v>
      </c>
    </row>
    <row r="31" spans="1:11" x14ac:dyDescent="0.25">
      <c r="B31" s="14">
        <v>42404</v>
      </c>
      <c r="C31" s="19" t="s">
        <v>209</v>
      </c>
      <c r="D31" s="16" t="s">
        <v>6</v>
      </c>
      <c r="E31" s="17">
        <f>11.9+91.8</f>
        <v>103.7</v>
      </c>
      <c r="F31" s="13">
        <v>3226.6</v>
      </c>
    </row>
    <row r="32" spans="1:11" x14ac:dyDescent="0.25">
      <c r="B32" s="14">
        <v>42404</v>
      </c>
      <c r="C32" s="19" t="s">
        <v>210</v>
      </c>
      <c r="D32" s="16" t="s">
        <v>14</v>
      </c>
      <c r="E32" s="17">
        <v>236.6</v>
      </c>
      <c r="F32" s="13">
        <v>7334.6</v>
      </c>
    </row>
    <row r="33" spans="2:11" ht="15.75" x14ac:dyDescent="0.25">
      <c r="B33" s="14">
        <v>42404</v>
      </c>
      <c r="C33" s="15" t="s">
        <v>211</v>
      </c>
      <c r="D33" s="16" t="s">
        <v>189</v>
      </c>
      <c r="E33" s="17">
        <v>724</v>
      </c>
      <c r="F33" s="13">
        <v>23168</v>
      </c>
    </row>
    <row r="34" spans="2:11" x14ac:dyDescent="0.25">
      <c r="B34" s="14">
        <v>42404</v>
      </c>
      <c r="C34" s="19" t="s">
        <v>212</v>
      </c>
      <c r="D34" s="16" t="s">
        <v>9</v>
      </c>
      <c r="E34" s="17">
        <v>746.4</v>
      </c>
      <c r="F34" s="13">
        <v>23138.400000000001</v>
      </c>
      <c r="K34" s="3">
        <f t="shared" ref="K34:K40" si="2">J34*I34</f>
        <v>0</v>
      </c>
    </row>
    <row r="35" spans="2:11" x14ac:dyDescent="0.25">
      <c r="B35" s="14">
        <v>42404</v>
      </c>
      <c r="C35" s="19" t="s">
        <v>213</v>
      </c>
      <c r="D35" s="16" t="s">
        <v>11</v>
      </c>
      <c r="E35" s="17">
        <v>106.1</v>
      </c>
      <c r="F35" s="13">
        <v>4350.1000000000004</v>
      </c>
      <c r="K35" s="3">
        <f t="shared" si="2"/>
        <v>0</v>
      </c>
    </row>
    <row r="36" spans="2:11" x14ac:dyDescent="0.25">
      <c r="B36" s="14">
        <v>42405</v>
      </c>
      <c r="C36" s="19" t="s">
        <v>214</v>
      </c>
      <c r="D36" s="16" t="s">
        <v>14</v>
      </c>
      <c r="E36" s="17">
        <v>448</v>
      </c>
      <c r="F36" s="13">
        <v>13888</v>
      </c>
      <c r="K36" s="3">
        <f t="shared" si="2"/>
        <v>0</v>
      </c>
    </row>
    <row r="37" spans="2:11" ht="15.75" x14ac:dyDescent="0.25">
      <c r="B37" s="14">
        <v>42405</v>
      </c>
      <c r="C37" s="15" t="s">
        <v>215</v>
      </c>
      <c r="D37" s="16" t="s">
        <v>10</v>
      </c>
      <c r="E37" s="17">
        <f>131.2+14.8+104.6+177.4</f>
        <v>428</v>
      </c>
      <c r="F37" s="13">
        <v>14820.2</v>
      </c>
      <c r="K37" s="3">
        <f t="shared" si="2"/>
        <v>0</v>
      </c>
    </row>
    <row r="38" spans="2:11" ht="15.75" x14ac:dyDescent="0.25">
      <c r="B38" s="14">
        <v>42405</v>
      </c>
      <c r="C38" s="15" t="s">
        <v>216</v>
      </c>
      <c r="D38" s="16" t="s">
        <v>153</v>
      </c>
      <c r="E38" s="17">
        <v>87.6</v>
      </c>
      <c r="F38" s="13">
        <v>2715.6</v>
      </c>
      <c r="K38" s="3">
        <f t="shared" si="2"/>
        <v>0</v>
      </c>
    </row>
    <row r="39" spans="2:11" ht="15.75" x14ac:dyDescent="0.25">
      <c r="B39" s="14">
        <v>42405</v>
      </c>
      <c r="C39" s="15" t="s">
        <v>217</v>
      </c>
      <c r="D39" s="16" t="s">
        <v>7</v>
      </c>
      <c r="E39" s="17">
        <f>9+1+1+77.8</f>
        <v>88.8</v>
      </c>
      <c r="F39" s="13">
        <v>3576.7</v>
      </c>
      <c r="K39" s="3">
        <f t="shared" si="2"/>
        <v>0</v>
      </c>
    </row>
    <row r="40" spans="2:11" x14ac:dyDescent="0.25">
      <c r="B40" s="14">
        <v>42405</v>
      </c>
      <c r="C40" s="19" t="s">
        <v>218</v>
      </c>
      <c r="D40" s="16" t="s">
        <v>189</v>
      </c>
      <c r="E40" s="17">
        <f>433.6+300.6</f>
        <v>734.2</v>
      </c>
      <c r="F40" s="13">
        <v>25766.2</v>
      </c>
      <c r="K40" s="3">
        <f t="shared" si="2"/>
        <v>0</v>
      </c>
    </row>
    <row r="41" spans="2:11" ht="15.75" x14ac:dyDescent="0.25">
      <c r="B41" s="14">
        <v>42405</v>
      </c>
      <c r="C41" s="15" t="s">
        <v>219</v>
      </c>
      <c r="D41" s="16" t="s">
        <v>6</v>
      </c>
      <c r="E41" s="17">
        <f>14.1+46.2+48.4</f>
        <v>108.7</v>
      </c>
      <c r="F41" s="13">
        <v>2798.7</v>
      </c>
      <c r="K41" s="3">
        <f>J41*I41</f>
        <v>0</v>
      </c>
    </row>
    <row r="42" spans="2:11" ht="15.75" x14ac:dyDescent="0.25">
      <c r="B42" s="14">
        <v>42405</v>
      </c>
      <c r="C42" s="15" t="s">
        <v>220</v>
      </c>
      <c r="D42" s="16" t="s">
        <v>189</v>
      </c>
      <c r="E42" s="17">
        <f>72.8</f>
        <v>72.8</v>
      </c>
      <c r="F42" s="13">
        <v>4804.8</v>
      </c>
      <c r="K42" s="3">
        <f t="shared" ref="K42:K54" si="3">J42*I42</f>
        <v>0</v>
      </c>
    </row>
    <row r="43" spans="2:11" x14ac:dyDescent="0.25">
      <c r="B43" s="14">
        <v>42405</v>
      </c>
      <c r="C43" s="19" t="s">
        <v>221</v>
      </c>
      <c r="D43" s="16" t="s">
        <v>9</v>
      </c>
      <c r="E43" s="17">
        <f>99.4+264.6</f>
        <v>364</v>
      </c>
      <c r="F43" s="13">
        <v>10455.200000000001</v>
      </c>
      <c r="K43" s="3">
        <f t="shared" si="3"/>
        <v>0</v>
      </c>
    </row>
    <row r="44" spans="2:11" x14ac:dyDescent="0.25">
      <c r="B44" s="14">
        <v>42405</v>
      </c>
      <c r="C44" s="19" t="s">
        <v>222</v>
      </c>
      <c r="D44" s="16" t="s">
        <v>192</v>
      </c>
      <c r="E44" s="17">
        <v>942.1</v>
      </c>
      <c r="F44" s="13">
        <v>29205.1</v>
      </c>
    </row>
    <row r="45" spans="2:11" x14ac:dyDescent="0.25">
      <c r="B45" s="14">
        <v>42406</v>
      </c>
      <c r="C45" s="19" t="s">
        <v>223</v>
      </c>
      <c r="D45" s="16" t="s">
        <v>189</v>
      </c>
      <c r="E45" s="17">
        <f>21.1+410.4+357.6+130.8</f>
        <v>919.90000000000009</v>
      </c>
      <c r="F45" s="13">
        <v>28794.3</v>
      </c>
    </row>
    <row r="46" spans="2:11" x14ac:dyDescent="0.25">
      <c r="B46" s="14">
        <v>42406</v>
      </c>
      <c r="C46" s="19" t="s">
        <v>224</v>
      </c>
      <c r="D46" s="16" t="s">
        <v>11</v>
      </c>
      <c r="E46" s="17">
        <f>37.3+213.6</f>
        <v>250.89999999999998</v>
      </c>
      <c r="F46" s="13">
        <v>8551</v>
      </c>
    </row>
    <row r="47" spans="2:11" x14ac:dyDescent="0.25">
      <c r="B47" s="14">
        <v>42406</v>
      </c>
      <c r="C47" s="19" t="s">
        <v>225</v>
      </c>
      <c r="D47" s="16" t="s">
        <v>153</v>
      </c>
      <c r="E47" s="17">
        <v>352.8</v>
      </c>
      <c r="F47" s="13">
        <v>10936.8</v>
      </c>
    </row>
    <row r="48" spans="2:11" x14ac:dyDescent="0.25">
      <c r="B48" s="14">
        <v>42406</v>
      </c>
      <c r="C48" s="19" t="s">
        <v>226</v>
      </c>
      <c r="D48" s="16" t="s">
        <v>192</v>
      </c>
      <c r="E48" s="17">
        <v>53.2</v>
      </c>
      <c r="F48" s="13">
        <v>798</v>
      </c>
    </row>
    <row r="49" spans="2:13" x14ac:dyDescent="0.25">
      <c r="B49" s="14">
        <v>42406</v>
      </c>
      <c r="C49" s="19" t="s">
        <v>227</v>
      </c>
      <c r="D49" s="16" t="s">
        <v>14</v>
      </c>
      <c r="E49" s="17">
        <v>225.2</v>
      </c>
      <c r="F49" s="13">
        <v>6981.2</v>
      </c>
    </row>
    <row r="50" spans="2:13" x14ac:dyDescent="0.25">
      <c r="B50" s="14">
        <v>42406</v>
      </c>
      <c r="C50" s="19" t="s">
        <v>228</v>
      </c>
      <c r="D50" s="16" t="s">
        <v>6</v>
      </c>
      <c r="E50" s="17">
        <v>12.6</v>
      </c>
      <c r="F50" s="13">
        <v>403.2</v>
      </c>
    </row>
    <row r="51" spans="2:13" x14ac:dyDescent="0.25">
      <c r="B51" s="14">
        <v>42406</v>
      </c>
      <c r="C51" s="19" t="s">
        <v>229</v>
      </c>
      <c r="D51" s="16" t="s">
        <v>6</v>
      </c>
      <c r="E51" s="17">
        <v>13</v>
      </c>
      <c r="F51" s="13">
        <v>416</v>
      </c>
    </row>
    <row r="52" spans="2:13" x14ac:dyDescent="0.25">
      <c r="B52" s="14">
        <v>42407</v>
      </c>
      <c r="C52" s="19" t="s">
        <v>230</v>
      </c>
      <c r="D52" s="16" t="s">
        <v>13</v>
      </c>
      <c r="E52" s="17">
        <v>940.3</v>
      </c>
      <c r="F52" s="13">
        <v>29149.3</v>
      </c>
    </row>
    <row r="53" spans="2:13" ht="15.75" thickBot="1" x14ac:dyDescent="0.3">
      <c r="B53" s="14"/>
      <c r="C53" s="19"/>
      <c r="D53" s="16"/>
      <c r="E53" s="17"/>
      <c r="F53" s="13"/>
    </row>
    <row r="54" spans="2:13" ht="15.75" thickBot="1" x14ac:dyDescent="0.3">
      <c r="B54" s="21"/>
      <c r="C54" s="22"/>
      <c r="D54" s="23"/>
      <c r="E54" s="24">
        <v>0</v>
      </c>
      <c r="F54" s="25">
        <f>SUM(F3:F53)</f>
        <v>537426.15999999992</v>
      </c>
      <c r="K54" s="3">
        <f t="shared" si="3"/>
        <v>0</v>
      </c>
    </row>
    <row r="55" spans="2:13" ht="19.5" thickBot="1" x14ac:dyDescent="0.35">
      <c r="B55" s="26"/>
      <c r="C55" s="27"/>
      <c r="D55" s="28" t="s">
        <v>5</v>
      </c>
      <c r="E55" s="29">
        <f>SUM(E3:E54)</f>
        <v>16612.16</v>
      </c>
      <c r="I55" s="30">
        <f>SUM(I34:I54)</f>
        <v>0</v>
      </c>
      <c r="J55" s="30"/>
      <c r="K55" s="30">
        <f>SUM(K34:K54)</f>
        <v>0</v>
      </c>
    </row>
    <row r="56" spans="2:13" x14ac:dyDescent="0.25">
      <c r="B56" s="26"/>
      <c r="C56" s="27"/>
      <c r="D56" s="31"/>
      <c r="E56" s="32"/>
      <c r="K56"/>
    </row>
    <row r="57" spans="2:13" ht="21.75" thickBot="1" x14ac:dyDescent="0.4">
      <c r="B57" s="33"/>
      <c r="C57" s="34" t="s">
        <v>15</v>
      </c>
      <c r="D57" s="35">
        <f>E55*0.2</f>
        <v>3322.4320000000002</v>
      </c>
      <c r="F57"/>
      <c r="K57"/>
    </row>
    <row r="58" spans="2:13" ht="21.75" thickBot="1" x14ac:dyDescent="0.4">
      <c r="C58" s="36" t="s">
        <v>16</v>
      </c>
      <c r="D58" s="37">
        <v>3000</v>
      </c>
      <c r="E58" s="38"/>
      <c r="F58" s="85">
        <f>D57+D58</f>
        <v>6322.4320000000007</v>
      </c>
      <c r="G58" s="86"/>
      <c r="I58" s="39"/>
      <c r="J58" s="39"/>
      <c r="K58" s="39"/>
      <c r="L58" s="39"/>
      <c r="M58" s="39"/>
    </row>
    <row r="59" spans="2:13" ht="15.75" thickTop="1" x14ac:dyDescent="0.25">
      <c r="I59" s="39"/>
      <c r="J59" s="39"/>
      <c r="K59" s="40"/>
      <c r="L59" s="40"/>
      <c r="M59" s="40"/>
    </row>
    <row r="60" spans="2:13" ht="19.5" thickBot="1" x14ac:dyDescent="0.35">
      <c r="E60" s="41" t="s">
        <v>17</v>
      </c>
      <c r="F60" s="87">
        <v>-1500</v>
      </c>
      <c r="G60" s="87"/>
      <c r="I60" s="39"/>
      <c r="J60" s="39"/>
      <c r="K60" s="40"/>
      <c r="L60" s="40"/>
      <c r="M60" s="40"/>
    </row>
    <row r="61" spans="2:13" ht="15.75" thickTop="1" x14ac:dyDescent="0.25">
      <c r="C61"/>
      <c r="F61" s="88">
        <f>F58+F60</f>
        <v>4822.4320000000007</v>
      </c>
      <c r="G61" s="88"/>
      <c r="I61" s="39"/>
      <c r="J61" s="39"/>
      <c r="K61" s="40"/>
      <c r="L61" s="40"/>
      <c r="M61" s="40"/>
    </row>
    <row r="62" spans="2:13" ht="18.75" x14ac:dyDescent="0.3">
      <c r="C62"/>
      <c r="E62" s="2" t="s">
        <v>18</v>
      </c>
      <c r="F62" s="89"/>
      <c r="G62" s="89"/>
      <c r="K62"/>
    </row>
  </sheetData>
  <mergeCells count="4">
    <mergeCell ref="B1:C1"/>
    <mergeCell ref="F58:G58"/>
    <mergeCell ref="F60:G60"/>
    <mergeCell ref="F61:G62"/>
  </mergeCells>
  <pageMargins left="0.70866141732283472" right="0.70866141732283472" top="0.35433070866141736" bottom="0.15748031496062992" header="0.31496062992125984" footer="0.31496062992125984"/>
  <pageSetup scale="75"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sqref="A1:XFD1048576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42727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362</v>
      </c>
      <c r="G2" s="8"/>
      <c r="K2"/>
    </row>
    <row r="3" spans="2:11" ht="15.75" x14ac:dyDescent="0.25">
      <c r="B3" s="9">
        <v>42714</v>
      </c>
      <c r="C3" s="10">
        <v>17500</v>
      </c>
      <c r="D3" s="11" t="s">
        <v>9</v>
      </c>
      <c r="E3" s="12">
        <v>400.37</v>
      </c>
      <c r="F3" s="13">
        <v>18432.32</v>
      </c>
      <c r="K3"/>
    </row>
    <row r="4" spans="2:11" ht="15.75" x14ac:dyDescent="0.25">
      <c r="B4" s="14">
        <v>42716</v>
      </c>
      <c r="C4" s="15">
        <v>17723</v>
      </c>
      <c r="D4" s="16" t="s">
        <v>8</v>
      </c>
      <c r="E4" s="17">
        <v>917.91</v>
      </c>
      <c r="F4" s="13">
        <v>38552.22</v>
      </c>
      <c r="K4"/>
    </row>
    <row r="5" spans="2:11" ht="15.75" x14ac:dyDescent="0.25">
      <c r="B5" s="14">
        <v>42716</v>
      </c>
      <c r="C5" s="15">
        <v>17724</v>
      </c>
      <c r="D5" s="16" t="s">
        <v>363</v>
      </c>
      <c r="E5" s="17">
        <f>430+107.6</f>
        <v>537.6</v>
      </c>
      <c r="F5" s="13">
        <v>25482.799999999999</v>
      </c>
      <c r="K5"/>
    </row>
    <row r="6" spans="2:11" ht="15.75" x14ac:dyDescent="0.25">
      <c r="B6" s="14">
        <v>42716</v>
      </c>
      <c r="C6" s="66">
        <v>17726</v>
      </c>
      <c r="D6" s="16" t="s">
        <v>14</v>
      </c>
      <c r="E6" s="56">
        <v>432.5</v>
      </c>
      <c r="F6" s="13">
        <v>19895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42716</v>
      </c>
      <c r="C7" s="15">
        <v>17727</v>
      </c>
      <c r="D7" s="16" t="s">
        <v>9</v>
      </c>
      <c r="E7" s="17">
        <f>236.6+95</f>
        <v>331.6</v>
      </c>
      <c r="F7" s="13">
        <v>12358.8</v>
      </c>
      <c r="K7" s="3">
        <f t="shared" si="0"/>
        <v>0</v>
      </c>
    </row>
    <row r="8" spans="2:11" ht="15.75" x14ac:dyDescent="0.25">
      <c r="B8" s="14">
        <v>42716</v>
      </c>
      <c r="C8" s="15">
        <v>17729</v>
      </c>
      <c r="D8" s="16" t="s">
        <v>6</v>
      </c>
      <c r="E8" s="17">
        <v>83.6</v>
      </c>
      <c r="F8" s="13">
        <v>3845.6</v>
      </c>
      <c r="K8" s="3">
        <f t="shared" si="0"/>
        <v>0</v>
      </c>
    </row>
    <row r="9" spans="2:11" ht="15.75" x14ac:dyDescent="0.25">
      <c r="B9" s="14">
        <v>42716</v>
      </c>
      <c r="C9" s="15">
        <v>17730</v>
      </c>
      <c r="D9" s="16" t="s">
        <v>7</v>
      </c>
      <c r="E9" s="17">
        <v>2.8</v>
      </c>
      <c r="F9" s="13">
        <v>224</v>
      </c>
      <c r="K9" s="3">
        <f t="shared" si="0"/>
        <v>0</v>
      </c>
    </row>
    <row r="10" spans="2:11" ht="15.75" x14ac:dyDescent="0.25">
      <c r="B10" s="14">
        <v>42717</v>
      </c>
      <c r="C10" s="15">
        <v>17887</v>
      </c>
      <c r="D10" s="16" t="s">
        <v>153</v>
      </c>
      <c r="E10" s="17">
        <v>188.3</v>
      </c>
      <c r="F10" s="13">
        <v>8661.7999999999993</v>
      </c>
      <c r="K10" s="3">
        <f t="shared" si="0"/>
        <v>0</v>
      </c>
    </row>
    <row r="11" spans="2:11" ht="15.75" x14ac:dyDescent="0.25">
      <c r="B11" s="14">
        <v>42717</v>
      </c>
      <c r="C11" s="44">
        <v>17888</v>
      </c>
      <c r="D11" s="16" t="s">
        <v>8</v>
      </c>
      <c r="E11" s="17">
        <v>60.2</v>
      </c>
      <c r="F11" s="13">
        <v>1625.4</v>
      </c>
      <c r="K11" s="3">
        <f t="shared" si="0"/>
        <v>0</v>
      </c>
    </row>
    <row r="12" spans="2:11" ht="15.75" x14ac:dyDescent="0.25">
      <c r="B12" s="14">
        <v>42717</v>
      </c>
      <c r="C12" s="15">
        <v>17889</v>
      </c>
      <c r="D12" s="16" t="s">
        <v>10</v>
      </c>
      <c r="E12" s="17">
        <v>82.3</v>
      </c>
      <c r="F12" s="13">
        <v>3785.8</v>
      </c>
      <c r="K12" s="3">
        <f t="shared" si="0"/>
        <v>0</v>
      </c>
    </row>
    <row r="13" spans="2:11" ht="15.75" x14ac:dyDescent="0.25">
      <c r="B13" s="14">
        <v>42717</v>
      </c>
      <c r="C13" s="15">
        <v>17890</v>
      </c>
      <c r="D13" s="16" t="s">
        <v>10</v>
      </c>
      <c r="E13" s="17">
        <f>90.6+59.6</f>
        <v>150.19999999999999</v>
      </c>
      <c r="F13" s="13">
        <v>6730.4</v>
      </c>
      <c r="K13" s="3">
        <f t="shared" si="0"/>
        <v>0</v>
      </c>
    </row>
    <row r="14" spans="2:11" ht="15.75" x14ac:dyDescent="0.25">
      <c r="B14" s="14">
        <v>42717</v>
      </c>
      <c r="C14" s="15">
        <v>17892</v>
      </c>
      <c r="D14" s="16" t="s">
        <v>10</v>
      </c>
      <c r="E14" s="17">
        <f>63.5+59.5</f>
        <v>123</v>
      </c>
      <c r="F14" s="13">
        <v>6495.5</v>
      </c>
      <c r="K14" s="3">
        <f t="shared" si="0"/>
        <v>0</v>
      </c>
    </row>
    <row r="15" spans="2:11" ht="15.75" x14ac:dyDescent="0.25">
      <c r="B15" s="14">
        <v>42717</v>
      </c>
      <c r="C15" s="15">
        <v>17893</v>
      </c>
      <c r="D15" s="16" t="s">
        <v>7</v>
      </c>
      <c r="E15" s="17">
        <v>77</v>
      </c>
      <c r="F15" s="13">
        <v>3542</v>
      </c>
      <c r="K15" s="3">
        <f t="shared" si="0"/>
        <v>0</v>
      </c>
    </row>
    <row r="16" spans="2:11" ht="15.75" x14ac:dyDescent="0.25">
      <c r="B16" s="14">
        <v>42718</v>
      </c>
      <c r="C16" s="15">
        <v>17993</v>
      </c>
      <c r="D16" s="16" t="s">
        <v>7</v>
      </c>
      <c r="E16" s="17">
        <v>86.4</v>
      </c>
      <c r="F16" s="13">
        <v>3974.4</v>
      </c>
      <c r="K16" s="3">
        <f t="shared" si="0"/>
        <v>0</v>
      </c>
    </row>
    <row r="17" spans="1:13" ht="15.75" x14ac:dyDescent="0.25">
      <c r="B17" s="14">
        <v>42718</v>
      </c>
      <c r="C17" s="15">
        <v>17994</v>
      </c>
      <c r="D17" s="16" t="s">
        <v>11</v>
      </c>
      <c r="E17" s="17">
        <v>40</v>
      </c>
      <c r="F17" s="13">
        <v>2360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42718</v>
      </c>
      <c r="C18" s="15">
        <v>17995</v>
      </c>
      <c r="D18" s="16" t="s">
        <v>10</v>
      </c>
      <c r="E18" s="17">
        <f>90.6+25.25</f>
        <v>115.85</v>
      </c>
      <c r="F18" s="13">
        <v>5556.35</v>
      </c>
      <c r="I18" s="3"/>
      <c r="J18" s="3"/>
    </row>
    <row r="19" spans="1:13" ht="15.75" x14ac:dyDescent="0.25">
      <c r="B19" s="14">
        <v>42718</v>
      </c>
      <c r="C19" s="15">
        <v>17997</v>
      </c>
      <c r="D19" s="16" t="s">
        <v>10</v>
      </c>
      <c r="E19" s="17">
        <v>91.6</v>
      </c>
      <c r="F19" s="13">
        <v>4213.6000000000004</v>
      </c>
    </row>
    <row r="20" spans="1:13" ht="15.75" x14ac:dyDescent="0.25">
      <c r="B20" s="14">
        <v>42718</v>
      </c>
      <c r="C20" s="15">
        <v>17999</v>
      </c>
      <c r="D20" s="16" t="s">
        <v>9</v>
      </c>
      <c r="E20" s="17">
        <v>427.2</v>
      </c>
      <c r="F20" s="13">
        <v>19651.2</v>
      </c>
    </row>
    <row r="21" spans="1:13" ht="15.75" x14ac:dyDescent="0.25">
      <c r="B21" s="14">
        <v>42718</v>
      </c>
      <c r="C21" s="15">
        <v>18001</v>
      </c>
      <c r="D21" s="16" t="s">
        <v>10</v>
      </c>
      <c r="E21" s="17">
        <f>94.5+133.8</f>
        <v>228.3</v>
      </c>
      <c r="F21" s="13">
        <v>10100.4</v>
      </c>
    </row>
    <row r="22" spans="1:13" ht="15.75" x14ac:dyDescent="0.25">
      <c r="A22" s="18"/>
      <c r="B22" s="14">
        <v>42718</v>
      </c>
      <c r="C22" s="15">
        <v>18005</v>
      </c>
      <c r="D22" s="16" t="s">
        <v>363</v>
      </c>
      <c r="E22" s="17">
        <f>422.3+50.2</f>
        <v>472.5</v>
      </c>
      <c r="F22" s="13">
        <v>20279.2</v>
      </c>
    </row>
    <row r="23" spans="1:13" ht="15.75" x14ac:dyDescent="0.25">
      <c r="B23" s="14">
        <v>42718</v>
      </c>
      <c r="C23" s="15">
        <v>18006</v>
      </c>
      <c r="D23" s="16" t="s">
        <v>8</v>
      </c>
      <c r="E23" s="17">
        <f>37.2+13.7+1</f>
        <v>51.900000000000006</v>
      </c>
      <c r="F23" s="13">
        <v>1410.5</v>
      </c>
      <c r="I23" s="48"/>
      <c r="J23" s="49"/>
      <c r="K23" s="50"/>
      <c r="L23" s="51"/>
      <c r="M23" s="52"/>
    </row>
    <row r="24" spans="1:13" ht="15.75" x14ac:dyDescent="0.25">
      <c r="B24" s="14">
        <v>42718</v>
      </c>
      <c r="C24" s="15">
        <v>18007</v>
      </c>
      <c r="D24" s="16" t="s">
        <v>13</v>
      </c>
      <c r="E24" s="17">
        <v>52.3</v>
      </c>
      <c r="F24" s="13">
        <v>1412.1</v>
      </c>
      <c r="I24" s="31"/>
      <c r="J24" s="31"/>
      <c r="K24" s="53"/>
      <c r="L24" s="31"/>
      <c r="M24" s="31"/>
    </row>
    <row r="25" spans="1:13" ht="15.75" x14ac:dyDescent="0.25">
      <c r="B25" s="14">
        <v>42718</v>
      </c>
      <c r="C25" s="15">
        <v>18008</v>
      </c>
      <c r="D25" s="16" t="s">
        <v>6</v>
      </c>
      <c r="E25" s="17">
        <f>90.4+39.8+9</f>
        <v>139.19999999999999</v>
      </c>
      <c r="F25" s="13">
        <v>6545.8</v>
      </c>
      <c r="I25" s="31"/>
      <c r="J25" s="31"/>
      <c r="K25" s="53"/>
      <c r="L25" s="31"/>
      <c r="M25" s="31"/>
    </row>
    <row r="26" spans="1:13" ht="15.75" x14ac:dyDescent="0.25">
      <c r="B26" s="14">
        <v>42719</v>
      </c>
      <c r="C26" s="15">
        <v>18174</v>
      </c>
      <c r="D26" s="16" t="s">
        <v>363</v>
      </c>
      <c r="E26" s="17">
        <f>387.2+100.8</f>
        <v>488</v>
      </c>
      <c r="F26" s="13">
        <v>19524.8</v>
      </c>
    </row>
    <row r="27" spans="1:13" x14ac:dyDescent="0.25">
      <c r="B27" s="14">
        <v>42719</v>
      </c>
      <c r="C27" s="19">
        <v>18175</v>
      </c>
      <c r="D27" s="16" t="s">
        <v>9</v>
      </c>
      <c r="E27" s="17">
        <v>416.2</v>
      </c>
      <c r="F27" s="13">
        <v>19145.2</v>
      </c>
    </row>
    <row r="28" spans="1:13" x14ac:dyDescent="0.25">
      <c r="B28" s="14">
        <v>42719</v>
      </c>
      <c r="C28" s="19">
        <v>18176</v>
      </c>
      <c r="D28" s="16" t="s">
        <v>8</v>
      </c>
      <c r="E28" s="17">
        <f>924.26+13.61</f>
        <v>937.87</v>
      </c>
      <c r="F28" s="13">
        <v>40627.83</v>
      </c>
      <c r="I28">
        <v>139</v>
      </c>
      <c r="J28">
        <v>62</v>
      </c>
      <c r="K28" s="3">
        <f t="shared" ref="K28:K49" si="2">J28*I28</f>
        <v>8618</v>
      </c>
    </row>
    <row r="29" spans="1:13" x14ac:dyDescent="0.25">
      <c r="B29" s="14">
        <v>42719</v>
      </c>
      <c r="C29" s="19">
        <v>18177</v>
      </c>
      <c r="D29" s="16" t="s">
        <v>153</v>
      </c>
      <c r="E29" s="17">
        <v>126</v>
      </c>
      <c r="F29" s="13">
        <v>7056</v>
      </c>
      <c r="I29">
        <v>295.8</v>
      </c>
      <c r="J29">
        <v>44</v>
      </c>
      <c r="K29" s="3">
        <f t="shared" si="2"/>
        <v>13015.2</v>
      </c>
    </row>
    <row r="30" spans="1:13" x14ac:dyDescent="0.25">
      <c r="B30" s="14">
        <v>42719</v>
      </c>
      <c r="C30" s="19">
        <v>18179</v>
      </c>
      <c r="D30" s="16" t="s">
        <v>12</v>
      </c>
      <c r="E30" s="17">
        <f>901.59+201.6+217.4</f>
        <v>1320.5900000000001</v>
      </c>
      <c r="F30" s="13">
        <v>64995.37</v>
      </c>
      <c r="I30">
        <v>20.2</v>
      </c>
      <c r="J30">
        <v>31</v>
      </c>
      <c r="K30" s="3">
        <f t="shared" si="2"/>
        <v>626.19999999999993</v>
      </c>
    </row>
    <row r="31" spans="1:13" x14ac:dyDescent="0.25">
      <c r="B31" s="14">
        <v>42720</v>
      </c>
      <c r="C31" s="19">
        <v>18320</v>
      </c>
      <c r="D31" s="16" t="s">
        <v>8</v>
      </c>
      <c r="E31" s="17">
        <f>67.1+45</f>
        <v>112.1</v>
      </c>
      <c r="F31" s="13">
        <v>2758.3</v>
      </c>
      <c r="I31">
        <v>23.3</v>
      </c>
      <c r="J31">
        <v>28</v>
      </c>
      <c r="K31" s="3">
        <f t="shared" si="2"/>
        <v>652.4</v>
      </c>
    </row>
    <row r="32" spans="1:13" x14ac:dyDescent="0.25">
      <c r="B32" s="14">
        <v>42720</v>
      </c>
      <c r="C32" s="19">
        <v>18321</v>
      </c>
      <c r="D32" s="16" t="s">
        <v>13</v>
      </c>
      <c r="E32" s="17">
        <f>413.3</f>
        <v>413.3</v>
      </c>
      <c r="F32" s="13">
        <v>18425.099999999999</v>
      </c>
      <c r="K32" s="3">
        <f t="shared" si="2"/>
        <v>0</v>
      </c>
    </row>
    <row r="33" spans="2:11" x14ac:dyDescent="0.25">
      <c r="B33" s="14">
        <v>42720</v>
      </c>
      <c r="C33" s="19">
        <v>18327</v>
      </c>
      <c r="D33" s="16" t="s">
        <v>153</v>
      </c>
      <c r="E33" s="17">
        <v>285.2</v>
      </c>
      <c r="F33" s="13">
        <v>15971.2</v>
      </c>
      <c r="K33" s="3">
        <f t="shared" si="2"/>
        <v>0</v>
      </c>
    </row>
    <row r="34" spans="2:11" x14ac:dyDescent="0.25">
      <c r="B34" s="14">
        <v>42720</v>
      </c>
      <c r="C34" s="19">
        <v>18329</v>
      </c>
      <c r="D34" s="16" t="s">
        <v>10</v>
      </c>
      <c r="E34" s="17">
        <f>105.4+67.5+19.1</f>
        <v>192</v>
      </c>
      <c r="F34" s="13">
        <v>9414.7000000000007</v>
      </c>
      <c r="I34">
        <f>SUM(I28:I33)</f>
        <v>478.3</v>
      </c>
      <c r="K34" s="3">
        <f>SUM(K28:K33)</f>
        <v>22911.800000000003</v>
      </c>
    </row>
    <row r="35" spans="2:11" x14ac:dyDescent="0.25">
      <c r="B35" s="14">
        <v>42720</v>
      </c>
      <c r="C35" s="19">
        <v>18331</v>
      </c>
      <c r="D35" s="16" t="s">
        <v>10</v>
      </c>
      <c r="E35" s="17">
        <f>139+295.8+20.2+23.3</f>
        <v>478.3</v>
      </c>
      <c r="F35" s="13">
        <v>22911.8</v>
      </c>
    </row>
    <row r="36" spans="2:11" x14ac:dyDescent="0.25">
      <c r="B36" s="14">
        <v>42720</v>
      </c>
      <c r="C36" s="19">
        <v>18337</v>
      </c>
      <c r="D36" s="16" t="s">
        <v>363</v>
      </c>
      <c r="E36" s="17">
        <f>371.2+177+18.5</f>
        <v>566.70000000000005</v>
      </c>
      <c r="F36" s="13">
        <v>27400.9</v>
      </c>
    </row>
    <row r="37" spans="2:11" x14ac:dyDescent="0.25">
      <c r="B37" s="14">
        <v>42720</v>
      </c>
      <c r="C37" s="19">
        <v>18341</v>
      </c>
      <c r="D37" s="16" t="s">
        <v>9</v>
      </c>
      <c r="E37" s="17">
        <f>166.6+41.2</f>
        <v>207.8</v>
      </c>
      <c r="F37" s="13">
        <v>8278</v>
      </c>
    </row>
    <row r="38" spans="2:11" x14ac:dyDescent="0.25">
      <c r="B38" s="14">
        <v>42720</v>
      </c>
      <c r="C38" s="19">
        <v>18342</v>
      </c>
      <c r="D38" s="16" t="s">
        <v>10</v>
      </c>
      <c r="E38" s="17">
        <f>159.4+11.5+74.8</f>
        <v>245.7</v>
      </c>
      <c r="F38" s="13">
        <v>12007.7</v>
      </c>
    </row>
    <row r="39" spans="2:11" x14ac:dyDescent="0.25">
      <c r="B39" s="14">
        <v>42720</v>
      </c>
      <c r="C39" s="19">
        <v>18347</v>
      </c>
      <c r="D39" s="16" t="s">
        <v>6</v>
      </c>
      <c r="E39" s="17">
        <f>261.3+55.8+59.8+20.6+20.6+12.9+25+14.7+8.1</f>
        <v>478.80000000000007</v>
      </c>
      <c r="F39" s="13">
        <v>23795.7</v>
      </c>
    </row>
    <row r="40" spans="2:11" x14ac:dyDescent="0.25">
      <c r="B40" s="14">
        <v>42721</v>
      </c>
      <c r="C40" s="19">
        <v>18487</v>
      </c>
      <c r="D40" s="16" t="s">
        <v>8</v>
      </c>
      <c r="E40" s="17">
        <f>931.7+19.34+55.8+52</f>
        <v>1058.8400000000001</v>
      </c>
      <c r="F40" s="13">
        <v>42362</v>
      </c>
    </row>
    <row r="41" spans="2:11" x14ac:dyDescent="0.25">
      <c r="B41" s="14">
        <v>42721</v>
      </c>
      <c r="C41" s="19">
        <v>18492</v>
      </c>
      <c r="D41" s="16" t="s">
        <v>363</v>
      </c>
      <c r="E41" s="17">
        <v>446.4</v>
      </c>
      <c r="F41" s="13">
        <v>20534.400000000001</v>
      </c>
    </row>
    <row r="42" spans="2:11" x14ac:dyDescent="0.25">
      <c r="B42" s="14">
        <v>42721</v>
      </c>
      <c r="C42" s="19">
        <v>18496</v>
      </c>
      <c r="D42" s="16" t="s">
        <v>9</v>
      </c>
      <c r="E42" s="17">
        <v>437.8</v>
      </c>
      <c r="F42" s="13">
        <v>20138.8</v>
      </c>
    </row>
    <row r="43" spans="2:11" x14ac:dyDescent="0.25">
      <c r="B43" s="14">
        <v>42721</v>
      </c>
      <c r="C43" s="19">
        <v>18499</v>
      </c>
      <c r="D43" s="16" t="s">
        <v>14</v>
      </c>
      <c r="E43" s="17">
        <v>408</v>
      </c>
      <c r="F43" s="13">
        <v>19176</v>
      </c>
    </row>
    <row r="44" spans="2:11" x14ac:dyDescent="0.25">
      <c r="B44" s="14">
        <v>42721</v>
      </c>
      <c r="C44" s="19">
        <v>18502</v>
      </c>
      <c r="D44" s="16" t="s">
        <v>7</v>
      </c>
      <c r="E44" s="17">
        <v>86.4</v>
      </c>
      <c r="F44" s="13">
        <v>3974.4</v>
      </c>
    </row>
    <row r="45" spans="2:11" x14ac:dyDescent="0.25">
      <c r="B45" s="14">
        <v>42721</v>
      </c>
      <c r="C45" s="19">
        <v>18503</v>
      </c>
      <c r="D45" s="16" t="s">
        <v>11</v>
      </c>
      <c r="E45" s="17">
        <v>82.6</v>
      </c>
      <c r="F45" s="13">
        <v>3799.6</v>
      </c>
    </row>
    <row r="46" spans="2:11" x14ac:dyDescent="0.25">
      <c r="B46" s="14">
        <v>42721</v>
      </c>
      <c r="C46" s="19">
        <v>18511</v>
      </c>
      <c r="D46" s="16" t="s">
        <v>314</v>
      </c>
      <c r="E46" s="17">
        <f>43.1+159.8+1</f>
        <v>203.9</v>
      </c>
      <c r="F46" s="13">
        <v>9888.4</v>
      </c>
    </row>
    <row r="47" spans="2:11" x14ac:dyDescent="0.25">
      <c r="B47" s="57">
        <v>42721</v>
      </c>
      <c r="C47" s="58">
        <v>18512</v>
      </c>
      <c r="D47" s="59" t="s">
        <v>363</v>
      </c>
      <c r="E47" s="60">
        <v>29.6</v>
      </c>
      <c r="F47" s="13">
        <v>917.6</v>
      </c>
    </row>
    <row r="48" spans="2:11" ht="15.75" thickBot="1" x14ac:dyDescent="0.3">
      <c r="B48" s="57">
        <v>42721</v>
      </c>
      <c r="C48" s="58">
        <v>18581</v>
      </c>
      <c r="D48" s="59" t="s">
        <v>153</v>
      </c>
      <c r="E48" s="60">
        <f>21.8+13.61+1</f>
        <v>36.409999999999997</v>
      </c>
      <c r="F48" s="13">
        <v>2156.0500000000002</v>
      </c>
    </row>
    <row r="49" spans="2:13" ht="15.75" thickBot="1" x14ac:dyDescent="0.3">
      <c r="B49" s="21" t="s">
        <v>233</v>
      </c>
      <c r="C49" s="22"/>
      <c r="D49" s="23"/>
      <c r="E49" s="24">
        <v>0</v>
      </c>
      <c r="F49" s="25">
        <f>SUM(F3:F48)</f>
        <v>640395.04000000015</v>
      </c>
      <c r="K49" s="3">
        <f t="shared" si="2"/>
        <v>0</v>
      </c>
    </row>
    <row r="50" spans="2:13" ht="19.5" thickBot="1" x14ac:dyDescent="0.35">
      <c r="B50" s="26"/>
      <c r="C50" s="27"/>
      <c r="D50" s="28" t="s">
        <v>5</v>
      </c>
      <c r="E50" s="29">
        <f>SUM(E3:E49)</f>
        <v>14151.14</v>
      </c>
      <c r="I50" s="30">
        <f>SUM(I49:I49)</f>
        <v>0</v>
      </c>
      <c r="J50" s="30"/>
      <c r="K50" s="30">
        <f>SUM(K49:K49)</f>
        <v>0</v>
      </c>
    </row>
    <row r="51" spans="2:13" x14ac:dyDescent="0.25">
      <c r="B51" s="26"/>
      <c r="C51" s="27"/>
      <c r="D51" s="31"/>
      <c r="E51" s="32"/>
      <c r="I51" s="30">
        <f>SUM(I46:I50)</f>
        <v>0</v>
      </c>
      <c r="J51" s="30"/>
      <c r="K51" s="30">
        <f>SUM(K46:K50)</f>
        <v>0</v>
      </c>
    </row>
    <row r="52" spans="2:13" ht="21.75" thickBot="1" x14ac:dyDescent="0.4">
      <c r="B52" s="33"/>
      <c r="C52" s="34" t="s">
        <v>15</v>
      </c>
      <c r="D52" s="35">
        <f>E50*0.2</f>
        <v>2830.2280000000001</v>
      </c>
      <c r="F52"/>
      <c r="K52"/>
    </row>
    <row r="53" spans="2:13" ht="21.75" thickBot="1" x14ac:dyDescent="0.4">
      <c r="C53" s="36" t="s">
        <v>16</v>
      </c>
      <c r="D53" s="37">
        <v>3400</v>
      </c>
      <c r="E53" s="38"/>
      <c r="F53" s="85">
        <f>D52+D53</f>
        <v>6230.2280000000001</v>
      </c>
      <c r="G53" s="86"/>
      <c r="I53" s="39"/>
      <c r="J53" s="39"/>
      <c r="K53" s="39"/>
      <c r="L53" s="39"/>
      <c r="M53" s="39"/>
    </row>
    <row r="54" spans="2:13" ht="16.5" thickTop="1" x14ac:dyDescent="0.25">
      <c r="E54" s="41" t="s">
        <v>311</v>
      </c>
      <c r="G54" s="75">
        <v>0</v>
      </c>
      <c r="I54" s="39"/>
      <c r="J54" s="39"/>
      <c r="K54" s="40"/>
      <c r="L54" s="40"/>
      <c r="M54" s="40"/>
    </row>
    <row r="55" spans="2:13" ht="16.5" thickBot="1" x14ac:dyDescent="0.3">
      <c r="D55" s="62"/>
      <c r="E55" s="41" t="s">
        <v>311</v>
      </c>
      <c r="F55" s="90">
        <v>0</v>
      </c>
      <c r="G55" s="90"/>
      <c r="I55" s="39"/>
      <c r="J55" s="39"/>
      <c r="K55" s="40"/>
      <c r="L55" s="40"/>
      <c r="M55" s="40"/>
    </row>
    <row r="56" spans="2:13" ht="15.75" thickTop="1" x14ac:dyDescent="0.25">
      <c r="C56"/>
      <c r="F56" s="88">
        <f>F53+F55+G54</f>
        <v>6230.2280000000001</v>
      </c>
      <c r="G56" s="88"/>
      <c r="I56" s="39"/>
      <c r="J56" s="39"/>
      <c r="K56" s="40"/>
      <c r="L56" s="40"/>
      <c r="M56" s="40"/>
    </row>
    <row r="57" spans="2:13" ht="19.5" thickBot="1" x14ac:dyDescent="0.35">
      <c r="C57"/>
      <c r="E57" s="2" t="s">
        <v>18</v>
      </c>
      <c r="F57" s="93"/>
      <c r="G57" s="93"/>
      <c r="K57"/>
    </row>
  </sheetData>
  <mergeCells count="4">
    <mergeCell ref="B1:C1"/>
    <mergeCell ref="F53:G53"/>
    <mergeCell ref="F55:G55"/>
    <mergeCell ref="F56:G57"/>
  </mergeCells>
  <pageMargins left="0.70866141732283472" right="0.70866141732283472" top="0.35433070866141736" bottom="0.15748031496062992" header="0.31496062992125984" footer="0.31496062992125984"/>
  <pageSetup scale="85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D23" sqref="D23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42732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365</v>
      </c>
      <c r="G2" s="8"/>
      <c r="K2"/>
    </row>
    <row r="3" spans="2:11" ht="15.75" x14ac:dyDescent="0.25">
      <c r="B3" s="9">
        <v>42723</v>
      </c>
      <c r="C3" s="10">
        <v>18741</v>
      </c>
      <c r="D3" s="11" t="s">
        <v>9</v>
      </c>
      <c r="E3" s="12">
        <v>333.4</v>
      </c>
      <c r="F3" s="13">
        <v>15336.4</v>
      </c>
      <c r="K3"/>
    </row>
    <row r="4" spans="2:11" ht="15.75" x14ac:dyDescent="0.25">
      <c r="B4" s="14">
        <v>42723</v>
      </c>
      <c r="C4" s="15">
        <v>18742</v>
      </c>
      <c r="D4" s="16" t="s">
        <v>7</v>
      </c>
      <c r="E4" s="17">
        <v>85.8</v>
      </c>
      <c r="F4" s="13">
        <v>3946.8</v>
      </c>
      <c r="K4"/>
    </row>
    <row r="5" spans="2:11" ht="15.75" x14ac:dyDescent="0.25">
      <c r="B5" s="14">
        <v>42723</v>
      </c>
      <c r="C5" s="15">
        <v>18743</v>
      </c>
      <c r="D5" s="16" t="s">
        <v>153</v>
      </c>
      <c r="E5" s="17">
        <v>61.6</v>
      </c>
      <c r="F5" s="13">
        <v>3449.6</v>
      </c>
      <c r="K5"/>
    </row>
    <row r="6" spans="2:11" ht="15.75" x14ac:dyDescent="0.25">
      <c r="B6" s="14">
        <v>42723</v>
      </c>
      <c r="C6" s="66">
        <v>18744</v>
      </c>
      <c r="D6" s="16" t="s">
        <v>20</v>
      </c>
      <c r="E6" s="56">
        <v>280.7</v>
      </c>
      <c r="F6" s="13">
        <v>14789.2</v>
      </c>
      <c r="G6" t="s">
        <v>233</v>
      </c>
      <c r="K6" s="3">
        <f t="shared" ref="K6:K16" si="0">J6*I6</f>
        <v>0</v>
      </c>
    </row>
    <row r="7" spans="2:11" ht="15.75" x14ac:dyDescent="0.25">
      <c r="B7" s="14">
        <v>42723</v>
      </c>
      <c r="C7" s="15">
        <v>18748</v>
      </c>
      <c r="D7" s="16" t="s">
        <v>10</v>
      </c>
      <c r="E7" s="17">
        <f>39.3+124.6</f>
        <v>163.89999999999998</v>
      </c>
      <c r="F7" s="13">
        <v>7840.4</v>
      </c>
      <c r="K7" s="3">
        <f t="shared" si="0"/>
        <v>0</v>
      </c>
    </row>
    <row r="8" spans="2:11" ht="15.75" x14ac:dyDescent="0.25">
      <c r="B8" s="14">
        <v>42723</v>
      </c>
      <c r="C8" s="15">
        <v>18751</v>
      </c>
      <c r="D8" s="16" t="s">
        <v>286</v>
      </c>
      <c r="E8" s="17">
        <f>9.8+2+4.3</f>
        <v>16.100000000000001</v>
      </c>
      <c r="F8" s="13">
        <v>877.8</v>
      </c>
      <c r="K8" s="3">
        <f t="shared" si="0"/>
        <v>0</v>
      </c>
    </row>
    <row r="9" spans="2:11" ht="15.75" x14ac:dyDescent="0.25">
      <c r="B9" s="14">
        <v>42724</v>
      </c>
      <c r="C9" s="15">
        <v>18878</v>
      </c>
      <c r="D9" s="16" t="s">
        <v>192</v>
      </c>
      <c r="E9" s="17">
        <f>843.99+17.9+50.6</f>
        <v>912.49</v>
      </c>
      <c r="F9" s="13">
        <v>38141.07</v>
      </c>
      <c r="K9" s="3">
        <f t="shared" si="0"/>
        <v>0</v>
      </c>
    </row>
    <row r="10" spans="2:11" ht="15.75" x14ac:dyDescent="0.25">
      <c r="B10" s="14">
        <v>42724</v>
      </c>
      <c r="C10" s="15">
        <v>18884</v>
      </c>
      <c r="D10" s="16" t="s">
        <v>10</v>
      </c>
      <c r="E10" s="17">
        <f>51.9+29</f>
        <v>80.900000000000006</v>
      </c>
      <c r="F10" s="13">
        <v>4081.6</v>
      </c>
      <c r="K10" s="3">
        <f t="shared" si="0"/>
        <v>0</v>
      </c>
    </row>
    <row r="11" spans="2:11" ht="15.75" x14ac:dyDescent="0.25">
      <c r="B11" s="14">
        <v>42724</v>
      </c>
      <c r="C11" s="44">
        <v>18885</v>
      </c>
      <c r="D11" s="16" t="s">
        <v>7</v>
      </c>
      <c r="E11" s="17">
        <f>31.3+3.2</f>
        <v>34.5</v>
      </c>
      <c r="F11" s="13">
        <v>2196.6</v>
      </c>
      <c r="K11" s="3">
        <f t="shared" si="0"/>
        <v>0</v>
      </c>
    </row>
    <row r="12" spans="2:11" ht="15.75" x14ac:dyDescent="0.25">
      <c r="B12" s="14">
        <v>42724</v>
      </c>
      <c r="C12" s="15">
        <v>18887</v>
      </c>
      <c r="D12" s="16" t="s">
        <v>12</v>
      </c>
      <c r="E12" s="17">
        <f>871.2+872.56+139</f>
        <v>1882.76</v>
      </c>
      <c r="F12" s="13">
        <v>83321.679999999993</v>
      </c>
      <c r="K12" s="3">
        <f t="shared" si="0"/>
        <v>0</v>
      </c>
    </row>
    <row r="13" spans="2:11" ht="15.75" x14ac:dyDescent="0.25">
      <c r="B13" s="14">
        <v>42724</v>
      </c>
      <c r="C13" s="15">
        <v>18889</v>
      </c>
      <c r="D13" s="16" t="s">
        <v>153</v>
      </c>
      <c r="E13" s="17">
        <v>130</v>
      </c>
      <c r="F13" s="13">
        <v>7410</v>
      </c>
      <c r="K13" s="3">
        <f t="shared" si="0"/>
        <v>0</v>
      </c>
    </row>
    <row r="14" spans="2:11" ht="15.75" x14ac:dyDescent="0.25">
      <c r="B14" s="14">
        <v>42724</v>
      </c>
      <c r="C14" s="15">
        <v>18890</v>
      </c>
      <c r="D14" s="16" t="s">
        <v>11</v>
      </c>
      <c r="E14" s="17">
        <f>125.2+14.3</f>
        <v>139.5</v>
      </c>
      <c r="F14" s="13">
        <v>7508.2</v>
      </c>
      <c r="K14" s="3">
        <f t="shared" si="0"/>
        <v>0</v>
      </c>
    </row>
    <row r="15" spans="2:11" ht="15.75" x14ac:dyDescent="0.25">
      <c r="B15" s="14">
        <v>42724</v>
      </c>
      <c r="C15" s="15">
        <v>18891</v>
      </c>
      <c r="D15" s="16" t="s">
        <v>9</v>
      </c>
      <c r="E15" s="17">
        <v>374.1</v>
      </c>
      <c r="F15" s="13">
        <v>17208.599999999999</v>
      </c>
      <c r="K15" s="3">
        <f t="shared" si="0"/>
        <v>0</v>
      </c>
    </row>
    <row r="16" spans="2:11" ht="15.75" x14ac:dyDescent="0.25">
      <c r="B16" s="14">
        <v>42724</v>
      </c>
      <c r="C16" s="15">
        <v>18892</v>
      </c>
      <c r="D16" s="16" t="s">
        <v>20</v>
      </c>
      <c r="E16" s="17">
        <f>28.9+410</f>
        <v>438.9</v>
      </c>
      <c r="F16" s="13">
        <v>19640.3</v>
      </c>
      <c r="K16" s="3">
        <f t="shared" si="0"/>
        <v>0</v>
      </c>
    </row>
    <row r="17" spans="1:13" ht="15.75" x14ac:dyDescent="0.25">
      <c r="B17" s="14">
        <v>42724</v>
      </c>
      <c r="C17" s="15">
        <v>18897</v>
      </c>
      <c r="D17" s="16" t="s">
        <v>12</v>
      </c>
      <c r="E17" s="17">
        <v>63.7</v>
      </c>
      <c r="F17" s="13">
        <v>5096</v>
      </c>
      <c r="I17" s="3">
        <f t="shared" ref="I17" si="1">SUM(I6:I16)</f>
        <v>0</v>
      </c>
      <c r="J17" s="3"/>
      <c r="K17" s="3">
        <f>SUM(K6:K16)</f>
        <v>0</v>
      </c>
    </row>
    <row r="18" spans="1:13" ht="15.75" x14ac:dyDescent="0.25">
      <c r="B18" s="14">
        <v>42724</v>
      </c>
      <c r="C18" s="15">
        <v>18913</v>
      </c>
      <c r="D18" s="16" t="s">
        <v>11</v>
      </c>
      <c r="E18" s="17">
        <v>44</v>
      </c>
      <c r="F18" s="13">
        <v>2684</v>
      </c>
      <c r="I18" s="3"/>
      <c r="J18" s="3"/>
    </row>
    <row r="19" spans="1:13" ht="15.75" x14ac:dyDescent="0.25">
      <c r="B19" s="14">
        <v>42724</v>
      </c>
      <c r="C19" s="15">
        <v>18914</v>
      </c>
      <c r="D19" s="16" t="s">
        <v>20</v>
      </c>
      <c r="E19" s="17">
        <v>142.6</v>
      </c>
      <c r="F19" s="13">
        <v>8270.7999999999993</v>
      </c>
    </row>
    <row r="20" spans="1:13" ht="15.75" x14ac:dyDescent="0.25">
      <c r="B20" s="14">
        <v>42725</v>
      </c>
      <c r="C20" s="15">
        <v>19036</v>
      </c>
      <c r="D20" s="16" t="s">
        <v>9</v>
      </c>
      <c r="E20" s="17">
        <v>872.7</v>
      </c>
      <c r="F20" s="13">
        <v>37962.449999999997</v>
      </c>
    </row>
    <row r="21" spans="1:13" ht="15.75" x14ac:dyDescent="0.25">
      <c r="B21" s="14">
        <v>42725</v>
      </c>
      <c r="C21" s="15">
        <v>19037</v>
      </c>
      <c r="D21" s="16" t="s">
        <v>20</v>
      </c>
      <c r="E21" s="17">
        <v>402.9</v>
      </c>
      <c r="F21" s="13">
        <v>18936.3</v>
      </c>
    </row>
    <row r="22" spans="1:13" ht="15.75" x14ac:dyDescent="0.25">
      <c r="A22" s="18"/>
      <c r="B22" s="14">
        <v>42725</v>
      </c>
      <c r="C22" s="15">
        <v>19038</v>
      </c>
      <c r="D22" s="16" t="s">
        <v>13</v>
      </c>
      <c r="E22" s="17">
        <v>416.8</v>
      </c>
      <c r="F22" s="13">
        <v>19589.599999999999</v>
      </c>
    </row>
    <row r="23" spans="1:13" ht="15.75" x14ac:dyDescent="0.25">
      <c r="B23" s="14">
        <v>42725</v>
      </c>
      <c r="C23" s="15">
        <v>19049</v>
      </c>
      <c r="D23" s="16" t="s">
        <v>9</v>
      </c>
      <c r="E23" s="17">
        <v>61.2</v>
      </c>
      <c r="F23" s="13">
        <v>1407.6</v>
      </c>
      <c r="I23" s="48"/>
      <c r="J23" s="49"/>
      <c r="K23" s="50"/>
      <c r="L23" s="51"/>
      <c r="M23" s="52"/>
    </row>
    <row r="24" spans="1:13" ht="15.75" x14ac:dyDescent="0.25">
      <c r="B24" s="14">
        <v>42725</v>
      </c>
      <c r="C24" s="15">
        <v>19051</v>
      </c>
      <c r="D24" s="16" t="s">
        <v>192</v>
      </c>
      <c r="E24" s="17">
        <v>243.1</v>
      </c>
      <c r="F24" s="13">
        <v>11425.7</v>
      </c>
      <c r="I24" s="31"/>
      <c r="J24" s="31"/>
      <c r="K24" s="53"/>
      <c r="L24" s="31"/>
      <c r="M24" s="31"/>
    </row>
    <row r="25" spans="1:13" ht="15.75" x14ac:dyDescent="0.25">
      <c r="B25" s="14">
        <v>42725</v>
      </c>
      <c r="C25" s="15">
        <v>19052</v>
      </c>
      <c r="D25" s="16" t="s">
        <v>20</v>
      </c>
      <c r="E25" s="17">
        <v>104</v>
      </c>
      <c r="F25" s="13">
        <v>6344</v>
      </c>
      <c r="I25" s="31"/>
      <c r="J25" s="31"/>
      <c r="K25" s="53"/>
      <c r="L25" s="31"/>
      <c r="M25" s="31"/>
    </row>
    <row r="26" spans="1:13" ht="15.75" x14ac:dyDescent="0.25">
      <c r="B26" s="14">
        <v>42725</v>
      </c>
      <c r="C26" s="15">
        <v>19054</v>
      </c>
      <c r="D26" s="16" t="s">
        <v>6</v>
      </c>
      <c r="E26" s="17">
        <v>63.5</v>
      </c>
      <c r="F26" s="13">
        <v>3048</v>
      </c>
    </row>
    <row r="27" spans="1:13" x14ac:dyDescent="0.25">
      <c r="B27" s="14">
        <v>42725</v>
      </c>
      <c r="C27" s="19">
        <v>19063</v>
      </c>
      <c r="D27" s="16" t="s">
        <v>6</v>
      </c>
      <c r="E27" s="17">
        <f>72.8+16.4+7.1</f>
        <v>96.299999999999983</v>
      </c>
      <c r="F27" s="13">
        <v>5892</v>
      </c>
    </row>
    <row r="28" spans="1:13" x14ac:dyDescent="0.25">
      <c r="B28" s="14">
        <v>42725</v>
      </c>
      <c r="C28" s="19">
        <v>19066</v>
      </c>
      <c r="D28" s="16" t="s">
        <v>20</v>
      </c>
      <c r="E28" s="17">
        <v>145.6</v>
      </c>
      <c r="F28" s="13">
        <v>8736</v>
      </c>
      <c r="K28" s="3">
        <f t="shared" ref="K28:K56" si="2">J28*I28</f>
        <v>0</v>
      </c>
    </row>
    <row r="29" spans="1:13" x14ac:dyDescent="0.25">
      <c r="B29" s="14">
        <v>42726</v>
      </c>
      <c r="C29" s="19">
        <v>19195</v>
      </c>
      <c r="D29" s="16" t="s">
        <v>10</v>
      </c>
      <c r="E29" s="17">
        <f>49.8+122.4</f>
        <v>172.2</v>
      </c>
      <c r="F29" s="13">
        <v>8473.2000000000007</v>
      </c>
      <c r="K29" s="3">
        <f t="shared" si="2"/>
        <v>0</v>
      </c>
    </row>
    <row r="30" spans="1:13" x14ac:dyDescent="0.25">
      <c r="B30" s="14">
        <v>42726</v>
      </c>
      <c r="C30" s="19">
        <v>19203</v>
      </c>
      <c r="D30" s="16" t="s">
        <v>11</v>
      </c>
      <c r="E30" s="17">
        <f>186.2+927.1+34.1+159.4+3</f>
        <v>1309.8</v>
      </c>
      <c r="F30" s="13">
        <v>62506.45</v>
      </c>
      <c r="K30" s="3">
        <f t="shared" si="2"/>
        <v>0</v>
      </c>
    </row>
    <row r="31" spans="1:13" x14ac:dyDescent="0.25">
      <c r="B31" s="14">
        <v>42726</v>
      </c>
      <c r="C31" s="19">
        <v>19204</v>
      </c>
      <c r="D31" s="16" t="s">
        <v>12</v>
      </c>
      <c r="E31" s="17">
        <f>38+870.9+912.2+217.8+205.8</f>
        <v>2244.6999999999998</v>
      </c>
      <c r="F31" s="13">
        <v>105057.85</v>
      </c>
      <c r="K31" s="3">
        <f t="shared" si="2"/>
        <v>0</v>
      </c>
    </row>
    <row r="32" spans="1:13" x14ac:dyDescent="0.25">
      <c r="B32" s="14">
        <v>42726</v>
      </c>
      <c r="C32" s="19">
        <v>19205</v>
      </c>
      <c r="D32" s="16" t="s">
        <v>14</v>
      </c>
      <c r="E32" s="17">
        <f>244.8+244.2</f>
        <v>489</v>
      </c>
      <c r="F32" s="13">
        <v>21516</v>
      </c>
      <c r="K32" s="3">
        <f t="shared" si="2"/>
        <v>0</v>
      </c>
    </row>
    <row r="33" spans="2:11" x14ac:dyDescent="0.25">
      <c r="B33" s="14">
        <v>42726</v>
      </c>
      <c r="C33" s="19">
        <v>19206</v>
      </c>
      <c r="D33" s="16" t="s">
        <v>10</v>
      </c>
      <c r="E33" s="17">
        <f>902.6+37.2</f>
        <v>939.80000000000007</v>
      </c>
      <c r="F33" s="13">
        <v>40267.5</v>
      </c>
      <c r="K33" s="3">
        <f t="shared" si="2"/>
        <v>0</v>
      </c>
    </row>
    <row r="34" spans="2:11" x14ac:dyDescent="0.25">
      <c r="B34" s="14">
        <v>42726</v>
      </c>
      <c r="C34" s="19">
        <v>19207</v>
      </c>
      <c r="D34" s="16" t="s">
        <v>10</v>
      </c>
      <c r="E34" s="17">
        <v>893.6</v>
      </c>
      <c r="F34" s="13">
        <v>38871.599999999999</v>
      </c>
      <c r="I34">
        <f>SUM(I28:I33)</f>
        <v>0</v>
      </c>
      <c r="K34" s="3">
        <f>SUM(K28:K33)</f>
        <v>0</v>
      </c>
    </row>
    <row r="35" spans="2:11" x14ac:dyDescent="0.25">
      <c r="B35" s="14">
        <v>42726</v>
      </c>
      <c r="C35" s="19">
        <v>19208</v>
      </c>
      <c r="D35" s="16" t="s">
        <v>20</v>
      </c>
      <c r="E35" s="17">
        <f>298.2+343.6</f>
        <v>641.79999999999995</v>
      </c>
      <c r="F35" s="13">
        <v>33318.400000000001</v>
      </c>
    </row>
    <row r="36" spans="2:11" x14ac:dyDescent="0.25">
      <c r="B36" s="14">
        <v>42726</v>
      </c>
      <c r="C36" s="19">
        <v>19210</v>
      </c>
      <c r="D36" s="16" t="s">
        <v>192</v>
      </c>
      <c r="E36" s="17">
        <v>1</v>
      </c>
      <c r="F36" s="13">
        <v>185</v>
      </c>
    </row>
    <row r="37" spans="2:11" x14ac:dyDescent="0.25">
      <c r="B37" s="14">
        <v>42726</v>
      </c>
      <c r="C37" s="19">
        <v>19235</v>
      </c>
      <c r="D37" s="16" t="s">
        <v>10</v>
      </c>
      <c r="E37" s="17">
        <v>242.4</v>
      </c>
      <c r="F37" s="13">
        <v>15028.8</v>
      </c>
    </row>
    <row r="38" spans="2:11" x14ac:dyDescent="0.25">
      <c r="B38" s="14">
        <v>42726</v>
      </c>
      <c r="C38" s="19">
        <v>19238</v>
      </c>
      <c r="D38" s="16" t="s">
        <v>10</v>
      </c>
      <c r="E38" s="17">
        <v>215.8</v>
      </c>
      <c r="F38" s="13">
        <v>13379.6</v>
      </c>
    </row>
    <row r="39" spans="2:11" x14ac:dyDescent="0.25">
      <c r="B39" s="14">
        <v>42726</v>
      </c>
      <c r="C39" s="19">
        <v>19244</v>
      </c>
      <c r="D39" s="16" t="s">
        <v>11</v>
      </c>
      <c r="E39" s="17">
        <v>191.1</v>
      </c>
      <c r="F39" s="13">
        <v>11095.4</v>
      </c>
    </row>
    <row r="40" spans="2:11" x14ac:dyDescent="0.25">
      <c r="B40" s="14">
        <v>42727</v>
      </c>
      <c r="C40" s="19">
        <v>19406</v>
      </c>
      <c r="D40" s="16" t="s">
        <v>9</v>
      </c>
      <c r="E40" s="17">
        <v>894.5</v>
      </c>
      <c r="F40" s="13">
        <v>38910.75</v>
      </c>
    </row>
    <row r="41" spans="2:11" x14ac:dyDescent="0.25">
      <c r="B41" s="14">
        <v>42727</v>
      </c>
      <c r="C41" s="19">
        <v>19407</v>
      </c>
      <c r="D41" s="16" t="s">
        <v>192</v>
      </c>
      <c r="E41" s="17">
        <f>912.2+31.9+71.4+159</f>
        <v>1174.5</v>
      </c>
      <c r="F41" s="13">
        <v>49100.7</v>
      </c>
    </row>
    <row r="42" spans="2:11" x14ac:dyDescent="0.25">
      <c r="B42" s="14">
        <v>42727</v>
      </c>
      <c r="C42" s="19">
        <v>19408</v>
      </c>
      <c r="D42" s="16" t="s">
        <v>14</v>
      </c>
      <c r="E42" s="17">
        <v>956.2</v>
      </c>
      <c r="F42" s="13">
        <v>41594.699999999997</v>
      </c>
    </row>
    <row r="43" spans="2:11" x14ac:dyDescent="0.25">
      <c r="B43" s="14">
        <v>42727</v>
      </c>
      <c r="C43" s="19">
        <v>19409</v>
      </c>
      <c r="D43" s="16" t="s">
        <v>20</v>
      </c>
      <c r="E43" s="17">
        <f>889+348.5</f>
        <v>1237.5</v>
      </c>
      <c r="F43" s="13">
        <v>58536</v>
      </c>
    </row>
    <row r="44" spans="2:11" x14ac:dyDescent="0.25">
      <c r="B44" s="14">
        <v>42727</v>
      </c>
      <c r="C44" s="19">
        <v>19410</v>
      </c>
      <c r="D44" s="16" t="s">
        <v>153</v>
      </c>
      <c r="E44" s="17">
        <f>64.6+179.2+447.6</f>
        <v>691.4</v>
      </c>
      <c r="F44" s="13">
        <v>32798</v>
      </c>
    </row>
    <row r="45" spans="2:11" x14ac:dyDescent="0.25">
      <c r="B45" s="14">
        <v>42727</v>
      </c>
      <c r="C45" s="19">
        <v>19411</v>
      </c>
      <c r="D45" s="16" t="s">
        <v>10</v>
      </c>
      <c r="E45" s="17">
        <v>130</v>
      </c>
      <c r="F45" s="13">
        <v>7800</v>
      </c>
    </row>
    <row r="46" spans="2:11" x14ac:dyDescent="0.25">
      <c r="B46" s="14">
        <v>42727</v>
      </c>
      <c r="C46" s="19">
        <v>19412</v>
      </c>
      <c r="D46" s="16" t="s">
        <v>7</v>
      </c>
      <c r="E46" s="17">
        <f>89.1+35.9+139.8</f>
        <v>264.8</v>
      </c>
      <c r="F46" s="13">
        <v>13569.9</v>
      </c>
    </row>
    <row r="47" spans="2:11" x14ac:dyDescent="0.25">
      <c r="B47" s="14">
        <v>42727</v>
      </c>
      <c r="C47" s="58">
        <v>19414</v>
      </c>
      <c r="D47" s="59" t="s">
        <v>13</v>
      </c>
      <c r="E47" s="60">
        <v>395.8</v>
      </c>
      <c r="F47" s="13">
        <v>22560.6</v>
      </c>
    </row>
    <row r="48" spans="2:11" x14ac:dyDescent="0.25">
      <c r="B48" s="14">
        <v>42727</v>
      </c>
      <c r="C48" s="58">
        <v>19417</v>
      </c>
      <c r="D48" s="59" t="s">
        <v>6</v>
      </c>
      <c r="E48" s="60">
        <f>20.9+6.3</f>
        <v>27.2</v>
      </c>
      <c r="F48" s="13">
        <v>1663.5</v>
      </c>
    </row>
    <row r="49" spans="2:13" x14ac:dyDescent="0.25">
      <c r="B49" s="14">
        <v>42728</v>
      </c>
      <c r="C49" s="58">
        <v>19607</v>
      </c>
      <c r="D49" s="59" t="s">
        <v>192</v>
      </c>
      <c r="E49" s="60">
        <v>971.6</v>
      </c>
      <c r="F49" s="13">
        <v>42264.6</v>
      </c>
    </row>
    <row r="50" spans="2:13" x14ac:dyDescent="0.25">
      <c r="B50" s="14">
        <v>42728</v>
      </c>
      <c r="C50" s="58">
        <v>19608</v>
      </c>
      <c r="D50" s="59" t="s">
        <v>153</v>
      </c>
      <c r="E50" s="60">
        <v>25.6</v>
      </c>
      <c r="F50" s="13">
        <v>1664</v>
      </c>
    </row>
    <row r="51" spans="2:13" x14ac:dyDescent="0.25">
      <c r="B51" s="14">
        <v>42728</v>
      </c>
      <c r="C51" s="58">
        <v>19610</v>
      </c>
      <c r="D51" s="59" t="s">
        <v>12</v>
      </c>
      <c r="E51" s="60">
        <f>267.8+886.8</f>
        <v>1154.5999999999999</v>
      </c>
      <c r="F51" s="13">
        <v>55982.8</v>
      </c>
    </row>
    <row r="52" spans="2:13" x14ac:dyDescent="0.25">
      <c r="B52" s="14">
        <v>42728</v>
      </c>
      <c r="C52" s="58">
        <v>19611</v>
      </c>
      <c r="D52" s="59" t="s">
        <v>10</v>
      </c>
      <c r="E52" s="60">
        <f>25.7+60.1</f>
        <v>85.8</v>
      </c>
      <c r="F52" s="13">
        <v>4237.8</v>
      </c>
    </row>
    <row r="53" spans="2:13" x14ac:dyDescent="0.25">
      <c r="B53" s="14">
        <v>42728</v>
      </c>
      <c r="C53" s="58">
        <v>19614</v>
      </c>
      <c r="D53" s="59" t="s">
        <v>13</v>
      </c>
      <c r="E53" s="60">
        <v>293.39999999999998</v>
      </c>
      <c r="F53" s="13">
        <v>16723.8</v>
      </c>
    </row>
    <row r="54" spans="2:13" ht="15.75" thickBot="1" x14ac:dyDescent="0.3">
      <c r="B54" s="14">
        <v>42728</v>
      </c>
      <c r="C54" s="58">
        <v>19620</v>
      </c>
      <c r="D54" s="59" t="s">
        <v>7</v>
      </c>
      <c r="E54" s="60">
        <f>79.4+3.1</f>
        <v>82.5</v>
      </c>
      <c r="F54" s="13">
        <v>3979.8</v>
      </c>
    </row>
    <row r="55" spans="2:13" ht="15.75" thickBot="1" x14ac:dyDescent="0.3">
      <c r="B55" s="21" t="s">
        <v>233</v>
      </c>
      <c r="C55" s="22"/>
      <c r="D55" s="23"/>
      <c r="E55" s="24">
        <v>0</v>
      </c>
      <c r="F55" s="25">
        <f>SUM(F3:F54)</f>
        <v>1096227.45</v>
      </c>
      <c r="K55" s="3">
        <f t="shared" si="2"/>
        <v>0</v>
      </c>
    </row>
    <row r="56" spans="2:13" ht="19.5" thickBot="1" x14ac:dyDescent="0.35">
      <c r="B56" s="26"/>
      <c r="C56" s="27"/>
      <c r="D56" s="28" t="s">
        <v>5</v>
      </c>
      <c r="E56" s="29">
        <f>SUM(E3:E55)</f>
        <v>23317.649999999998</v>
      </c>
      <c r="I56" s="30"/>
      <c r="J56" s="30"/>
      <c r="K56" s="3">
        <f t="shared" si="2"/>
        <v>0</v>
      </c>
    </row>
    <row r="57" spans="2:13" x14ac:dyDescent="0.25">
      <c r="B57" s="26"/>
      <c r="C57" s="27"/>
      <c r="D57" s="31"/>
      <c r="E57" s="32"/>
      <c r="I57" s="30">
        <f>SUM(I46:I56)</f>
        <v>0</v>
      </c>
      <c r="J57" s="30"/>
      <c r="K57" s="30">
        <f>SUM(K46:K56)</f>
        <v>0</v>
      </c>
    </row>
    <row r="58" spans="2:13" ht="21.75" thickBot="1" x14ac:dyDescent="0.4">
      <c r="B58" s="33"/>
      <c r="C58" s="34" t="s">
        <v>15</v>
      </c>
      <c r="D58" s="35">
        <f>E56*0.2</f>
        <v>4663.53</v>
      </c>
      <c r="F58"/>
      <c r="K58"/>
    </row>
    <row r="59" spans="2:13" ht="21.75" thickBot="1" x14ac:dyDescent="0.4">
      <c r="C59" s="36" t="s">
        <v>16</v>
      </c>
      <c r="D59" s="37">
        <v>3400</v>
      </c>
      <c r="E59" s="38"/>
      <c r="F59" s="85">
        <f>D58+D59</f>
        <v>8063.53</v>
      </c>
      <c r="G59" s="86"/>
      <c r="I59" s="39"/>
      <c r="J59" s="39"/>
      <c r="K59" s="39"/>
      <c r="L59" s="39"/>
      <c r="M59" s="39"/>
    </row>
    <row r="60" spans="2:13" ht="16.5" thickTop="1" x14ac:dyDescent="0.25">
      <c r="E60" s="41" t="s">
        <v>311</v>
      </c>
      <c r="G60" s="75">
        <v>0</v>
      </c>
      <c r="I60" s="39"/>
      <c r="J60" s="39"/>
      <c r="K60" s="40"/>
      <c r="L60" s="40"/>
      <c r="M60" s="40"/>
    </row>
    <row r="61" spans="2:13" ht="16.5" thickBot="1" x14ac:dyDescent="0.3">
      <c r="D61" s="62"/>
      <c r="E61" s="41" t="s">
        <v>311</v>
      </c>
      <c r="F61" s="90">
        <v>0</v>
      </c>
      <c r="G61" s="90"/>
      <c r="I61" s="39"/>
      <c r="J61" s="39"/>
      <c r="K61" s="40"/>
      <c r="L61" s="40"/>
      <c r="M61" s="40"/>
    </row>
    <row r="62" spans="2:13" ht="15.75" thickTop="1" x14ac:dyDescent="0.25">
      <c r="C62"/>
      <c r="F62" s="88">
        <f>F59+F61+G60</f>
        <v>8063.53</v>
      </c>
      <c r="G62" s="88"/>
      <c r="I62" s="39"/>
      <c r="J62" s="39"/>
      <c r="K62" s="40"/>
      <c r="L62" s="40"/>
      <c r="M62" s="40"/>
    </row>
    <row r="63" spans="2:13" ht="19.5" thickBot="1" x14ac:dyDescent="0.35">
      <c r="C63"/>
      <c r="E63" s="2" t="s">
        <v>18</v>
      </c>
      <c r="F63" s="93"/>
      <c r="G63" s="93"/>
      <c r="K63"/>
    </row>
  </sheetData>
  <mergeCells count="4">
    <mergeCell ref="B1:C1"/>
    <mergeCell ref="F59:G59"/>
    <mergeCell ref="F61:G61"/>
    <mergeCell ref="F62:G63"/>
  </mergeCells>
  <pageMargins left="0.70866141732283472" right="0.70866141732283472" top="0" bottom="0" header="0.31496062992125984" footer="0.31496062992125984"/>
  <pageSetup scale="75"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58"/>
  <sheetViews>
    <sheetView tabSelected="1" topLeftCell="A23" workbookViewId="0">
      <selection activeCell="J51" sqref="J51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4.1406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42740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366</v>
      </c>
      <c r="G2" s="8"/>
      <c r="K2"/>
    </row>
    <row r="3" spans="2:11" ht="15.75" x14ac:dyDescent="0.25">
      <c r="B3" s="9">
        <v>42727</v>
      </c>
      <c r="C3" s="10">
        <v>19413</v>
      </c>
      <c r="D3" s="11" t="s">
        <v>6</v>
      </c>
      <c r="E3" s="12">
        <v>342.4</v>
      </c>
      <c r="F3" s="13">
        <v>16435.2</v>
      </c>
      <c r="K3"/>
    </row>
    <row r="4" spans="2:11" ht="15.75" x14ac:dyDescent="0.25">
      <c r="B4" s="14">
        <v>42727</v>
      </c>
      <c r="C4" s="15">
        <v>19510</v>
      </c>
      <c r="D4" s="16" t="s">
        <v>14</v>
      </c>
      <c r="E4" s="17">
        <v>115.34</v>
      </c>
      <c r="F4" s="13">
        <v>6924</v>
      </c>
      <c r="K4"/>
    </row>
    <row r="5" spans="2:11" ht="15.75" x14ac:dyDescent="0.25">
      <c r="B5" s="14">
        <v>42728</v>
      </c>
      <c r="C5" s="15">
        <v>19612</v>
      </c>
      <c r="D5" s="16" t="s">
        <v>20</v>
      </c>
      <c r="E5" s="17">
        <f>767+17.9</f>
        <v>784.9</v>
      </c>
      <c r="F5" s="13">
        <v>36514.400000000001</v>
      </c>
      <c r="K5"/>
    </row>
    <row r="6" spans="2:11" ht="15.75" x14ac:dyDescent="0.25">
      <c r="B6" s="14">
        <v>42728</v>
      </c>
      <c r="C6" s="66">
        <v>19616</v>
      </c>
      <c r="D6" s="16" t="s">
        <v>14</v>
      </c>
      <c r="E6" s="56">
        <v>308.8</v>
      </c>
      <c r="F6" s="13">
        <v>17601.599999999999</v>
      </c>
      <c r="G6" t="s">
        <v>233</v>
      </c>
      <c r="I6">
        <v>6.7</v>
      </c>
      <c r="J6">
        <v>44</v>
      </c>
      <c r="K6" s="3">
        <f t="shared" ref="K6:K16" si="0">J6*I6</f>
        <v>294.8</v>
      </c>
    </row>
    <row r="7" spans="2:11" ht="15.75" x14ac:dyDescent="0.25">
      <c r="B7" s="14">
        <v>42731</v>
      </c>
      <c r="C7" s="15">
        <v>19845</v>
      </c>
      <c r="D7" s="16" t="s">
        <v>7</v>
      </c>
      <c r="E7" s="17">
        <f>42.4+29.4</f>
        <v>71.8</v>
      </c>
      <c r="F7" s="13">
        <v>3518.8</v>
      </c>
      <c r="K7" s="3">
        <f t="shared" si="0"/>
        <v>0</v>
      </c>
    </row>
    <row r="8" spans="2:11" ht="15.75" x14ac:dyDescent="0.25">
      <c r="B8" s="14">
        <v>42731</v>
      </c>
      <c r="C8" s="15">
        <v>19846</v>
      </c>
      <c r="D8" s="16" t="s">
        <v>10</v>
      </c>
      <c r="E8" s="17">
        <f>33.3+65.6</f>
        <v>98.899999999999991</v>
      </c>
      <c r="F8" s="13">
        <v>4688.6000000000004</v>
      </c>
      <c r="K8" s="3">
        <f t="shared" si="0"/>
        <v>0</v>
      </c>
    </row>
    <row r="9" spans="2:11" ht="15.75" x14ac:dyDescent="0.25">
      <c r="B9" s="14">
        <v>42731</v>
      </c>
      <c r="C9" s="15">
        <v>19848</v>
      </c>
      <c r="D9" s="16" t="s">
        <v>10</v>
      </c>
      <c r="E9" s="17">
        <f>25.9+130</f>
        <v>155.9</v>
      </c>
      <c r="F9" s="13">
        <v>5899.3</v>
      </c>
      <c r="K9" s="3">
        <f t="shared" si="0"/>
        <v>0</v>
      </c>
    </row>
    <row r="10" spans="2:11" ht="15.75" x14ac:dyDescent="0.25">
      <c r="B10" s="14">
        <v>42731</v>
      </c>
      <c r="C10" s="15">
        <v>19850</v>
      </c>
      <c r="D10" s="16" t="s">
        <v>153</v>
      </c>
      <c r="E10" s="17">
        <v>65.599999999999994</v>
      </c>
      <c r="F10" s="13">
        <v>3739.2</v>
      </c>
      <c r="K10" s="3">
        <f t="shared" si="0"/>
        <v>0</v>
      </c>
    </row>
    <row r="11" spans="2:11" ht="15.75" x14ac:dyDescent="0.25">
      <c r="B11" s="14">
        <v>42731</v>
      </c>
      <c r="C11" s="44">
        <v>19851</v>
      </c>
      <c r="D11" s="16" t="s">
        <v>192</v>
      </c>
      <c r="E11" s="17">
        <f>23.5+44.9+13.61</f>
        <v>82.01</v>
      </c>
      <c r="F11" s="13">
        <v>2483.8000000000002</v>
      </c>
      <c r="K11" s="3">
        <f t="shared" si="0"/>
        <v>0</v>
      </c>
    </row>
    <row r="12" spans="2:11" ht="15.75" x14ac:dyDescent="0.25">
      <c r="B12" s="14">
        <v>42732</v>
      </c>
      <c r="C12" s="15">
        <v>19985</v>
      </c>
      <c r="D12" s="16" t="s">
        <v>10</v>
      </c>
      <c r="E12" s="17">
        <v>915.65</v>
      </c>
      <c r="F12" s="13">
        <v>35710.35</v>
      </c>
      <c r="K12" s="3">
        <f t="shared" si="0"/>
        <v>0</v>
      </c>
    </row>
    <row r="13" spans="2:11" ht="15.75" x14ac:dyDescent="0.25">
      <c r="B13" s="14">
        <v>42732</v>
      </c>
      <c r="C13" s="15">
        <v>19986</v>
      </c>
      <c r="D13" s="16" t="s">
        <v>11</v>
      </c>
      <c r="E13" s="17">
        <v>58.4</v>
      </c>
      <c r="F13" s="13">
        <v>3854.4</v>
      </c>
      <c r="K13" s="3">
        <f t="shared" si="0"/>
        <v>0</v>
      </c>
    </row>
    <row r="14" spans="2:11" ht="15.75" x14ac:dyDescent="0.25">
      <c r="B14" s="14">
        <v>42732</v>
      </c>
      <c r="C14" s="15">
        <v>19987</v>
      </c>
      <c r="D14" s="16" t="s">
        <v>192</v>
      </c>
      <c r="E14" s="17">
        <f>863.49+20.4</f>
        <v>883.89</v>
      </c>
      <c r="F14" s="13">
        <v>34226.910000000003</v>
      </c>
      <c r="K14" s="3">
        <f t="shared" si="0"/>
        <v>0</v>
      </c>
    </row>
    <row r="15" spans="2:11" ht="15.75" x14ac:dyDescent="0.25">
      <c r="B15" s="14">
        <v>42732</v>
      </c>
      <c r="C15" s="15">
        <v>19988</v>
      </c>
      <c r="D15" s="16" t="s">
        <v>9</v>
      </c>
      <c r="E15" s="17">
        <f>67.8+29.6</f>
        <v>97.4</v>
      </c>
      <c r="F15" s="13">
        <v>4547.2</v>
      </c>
      <c r="K15" s="3">
        <f t="shared" si="0"/>
        <v>0</v>
      </c>
    </row>
    <row r="16" spans="2:11" ht="15.75" x14ac:dyDescent="0.25">
      <c r="B16" s="14">
        <v>42732</v>
      </c>
      <c r="C16" s="15">
        <v>19989</v>
      </c>
      <c r="D16" s="16" t="s">
        <v>153</v>
      </c>
      <c r="E16" s="17">
        <f>77.4+61.8</f>
        <v>139.19999999999999</v>
      </c>
      <c r="F16" s="13">
        <v>6927.6</v>
      </c>
      <c r="K16" s="3">
        <f t="shared" si="0"/>
        <v>0</v>
      </c>
    </row>
    <row r="17" spans="1:13" ht="15.75" x14ac:dyDescent="0.25">
      <c r="B17" s="14">
        <v>42732</v>
      </c>
      <c r="C17" s="15">
        <v>19990</v>
      </c>
      <c r="D17" s="16" t="s">
        <v>6</v>
      </c>
      <c r="E17" s="17">
        <f>6.7+5.7+39.5+66</f>
        <v>117.9</v>
      </c>
      <c r="F17" s="13">
        <v>7133</v>
      </c>
      <c r="I17" s="3">
        <f t="shared" ref="I17" si="1">SUM(I6:I16)</f>
        <v>6.7</v>
      </c>
      <c r="J17" s="3"/>
      <c r="K17" s="3">
        <f>SUM(K6:K16)</f>
        <v>294.8</v>
      </c>
    </row>
    <row r="18" spans="1:13" ht="15.75" x14ac:dyDescent="0.25">
      <c r="B18" s="14">
        <v>42732</v>
      </c>
      <c r="C18" s="15">
        <v>19991</v>
      </c>
      <c r="D18" s="16" t="s">
        <v>7</v>
      </c>
      <c r="E18" s="17">
        <v>88.38</v>
      </c>
      <c r="F18" s="13">
        <v>4150.1000000000004</v>
      </c>
      <c r="I18" s="3"/>
      <c r="J18" s="3"/>
    </row>
    <row r="19" spans="1:13" ht="15.75" x14ac:dyDescent="0.25">
      <c r="B19" s="14">
        <v>42733</v>
      </c>
      <c r="C19" s="15">
        <v>20099</v>
      </c>
      <c r="D19" s="16" t="s">
        <v>6</v>
      </c>
      <c r="E19" s="17">
        <f>6.4+84.8</f>
        <v>91.2</v>
      </c>
      <c r="F19" s="13">
        <v>4158.3999999999996</v>
      </c>
    </row>
    <row r="20" spans="1:13" ht="15.75" x14ac:dyDescent="0.25">
      <c r="B20" s="14">
        <v>42733</v>
      </c>
      <c r="C20" s="15">
        <v>20125</v>
      </c>
      <c r="D20" s="16" t="s">
        <v>9</v>
      </c>
      <c r="E20" s="17">
        <v>428.2</v>
      </c>
      <c r="F20" s="13">
        <v>20125.400000000001</v>
      </c>
    </row>
    <row r="21" spans="1:13" ht="15.75" x14ac:dyDescent="0.25">
      <c r="B21" s="14">
        <v>42733</v>
      </c>
      <c r="C21" s="15">
        <v>20126</v>
      </c>
      <c r="D21" s="16" t="s">
        <v>20</v>
      </c>
      <c r="E21" s="17">
        <v>391.3</v>
      </c>
      <c r="F21" s="13">
        <v>18391.099999999999</v>
      </c>
    </row>
    <row r="22" spans="1:13" ht="15.75" x14ac:dyDescent="0.25">
      <c r="A22" s="18"/>
      <c r="B22" s="14">
        <v>42733</v>
      </c>
      <c r="C22" s="15">
        <v>20127</v>
      </c>
      <c r="D22" s="16" t="s">
        <v>12</v>
      </c>
      <c r="E22" s="17">
        <f>923.5+926.2+876.3</f>
        <v>2726</v>
      </c>
      <c r="F22" s="13">
        <v>106314</v>
      </c>
    </row>
    <row r="23" spans="1:13" ht="15.75" x14ac:dyDescent="0.25">
      <c r="B23" s="14">
        <v>42733</v>
      </c>
      <c r="C23" s="15">
        <v>20128</v>
      </c>
      <c r="D23" s="16" t="s">
        <v>14</v>
      </c>
      <c r="E23" s="17">
        <v>883.45</v>
      </c>
      <c r="F23" s="13">
        <v>34454.550000000003</v>
      </c>
      <c r="I23" s="48"/>
      <c r="J23" s="49"/>
      <c r="K23" s="50"/>
      <c r="L23" s="51"/>
      <c r="M23" s="52"/>
    </row>
    <row r="24" spans="1:13" ht="15.75" x14ac:dyDescent="0.25">
      <c r="B24" s="14">
        <v>42733</v>
      </c>
      <c r="C24" s="15">
        <v>20191</v>
      </c>
      <c r="D24" s="16" t="s">
        <v>11</v>
      </c>
      <c r="E24" s="17">
        <f>450+311</f>
        <v>761</v>
      </c>
      <c r="F24" s="13">
        <v>37732</v>
      </c>
      <c r="I24" s="31"/>
      <c r="J24" s="31"/>
      <c r="K24" s="53"/>
      <c r="L24" s="31"/>
      <c r="M24" s="31"/>
    </row>
    <row r="25" spans="1:13" ht="15.75" x14ac:dyDescent="0.25">
      <c r="B25" s="14">
        <v>42733</v>
      </c>
      <c r="C25" s="15">
        <v>20192</v>
      </c>
      <c r="D25" s="16" t="s">
        <v>13</v>
      </c>
      <c r="E25" s="17">
        <f>29.5+57.9</f>
        <v>87.4</v>
      </c>
      <c r="F25" s="13">
        <v>4202.8999999999996</v>
      </c>
      <c r="I25" s="31"/>
      <c r="J25" s="31"/>
      <c r="K25" s="53"/>
      <c r="L25" s="31"/>
      <c r="M25" s="31"/>
    </row>
    <row r="26" spans="1:13" ht="15.75" x14ac:dyDescent="0.25">
      <c r="B26" s="14">
        <v>42733</v>
      </c>
      <c r="C26" s="15">
        <v>20193</v>
      </c>
      <c r="D26" s="16" t="s">
        <v>338</v>
      </c>
      <c r="E26" s="17">
        <f>67+30.6+2</f>
        <v>99.6</v>
      </c>
      <c r="F26" s="13">
        <v>5014.2</v>
      </c>
    </row>
    <row r="27" spans="1:13" x14ac:dyDescent="0.25">
      <c r="B27" s="14">
        <v>42733</v>
      </c>
      <c r="C27" s="19">
        <v>20194</v>
      </c>
      <c r="D27" s="16" t="s">
        <v>10</v>
      </c>
      <c r="E27" s="17">
        <f>128.7+57.1+249.4</f>
        <v>435.2</v>
      </c>
      <c r="F27" s="13">
        <v>24726.5</v>
      </c>
    </row>
    <row r="28" spans="1:13" x14ac:dyDescent="0.25">
      <c r="B28" s="14">
        <v>42733</v>
      </c>
      <c r="C28" s="19">
        <v>20195</v>
      </c>
      <c r="D28" s="16" t="s">
        <v>192</v>
      </c>
      <c r="E28" s="17">
        <f>43.3+59.2</f>
        <v>102.5</v>
      </c>
      <c r="F28" s="13">
        <v>2767.5</v>
      </c>
      <c r="K28" s="3">
        <f t="shared" ref="K28:K51" si="2">J28*I28</f>
        <v>0</v>
      </c>
    </row>
    <row r="29" spans="1:13" x14ac:dyDescent="0.25">
      <c r="B29" s="14">
        <v>42733</v>
      </c>
      <c r="C29" s="19">
        <v>20198</v>
      </c>
      <c r="D29" s="16" t="s">
        <v>7</v>
      </c>
      <c r="E29" s="17">
        <v>88.6</v>
      </c>
      <c r="F29" s="13">
        <v>4070.2</v>
      </c>
      <c r="K29" s="3">
        <f t="shared" si="2"/>
        <v>0</v>
      </c>
    </row>
    <row r="30" spans="1:13" x14ac:dyDescent="0.25">
      <c r="B30" s="14">
        <v>42733</v>
      </c>
      <c r="C30" s="19">
        <v>20199</v>
      </c>
      <c r="D30" s="16" t="s">
        <v>10</v>
      </c>
      <c r="E30" s="17">
        <v>163.80000000000001</v>
      </c>
      <c r="F30" s="13">
        <v>10155.6</v>
      </c>
      <c r="K30" s="3">
        <f t="shared" si="2"/>
        <v>0</v>
      </c>
    </row>
    <row r="31" spans="1:13" x14ac:dyDescent="0.25">
      <c r="B31" s="14">
        <v>42733</v>
      </c>
      <c r="C31" s="19">
        <v>20200</v>
      </c>
      <c r="D31" s="16" t="s">
        <v>10</v>
      </c>
      <c r="E31" s="17">
        <v>251.4</v>
      </c>
      <c r="F31" s="13">
        <v>15586.8</v>
      </c>
      <c r="K31" s="3">
        <f t="shared" si="2"/>
        <v>0</v>
      </c>
    </row>
    <row r="32" spans="1:13" x14ac:dyDescent="0.25">
      <c r="B32" s="14">
        <v>42734</v>
      </c>
      <c r="C32" s="19">
        <v>20340</v>
      </c>
      <c r="D32" s="16" t="s">
        <v>0</v>
      </c>
      <c r="E32" s="17">
        <v>240.6</v>
      </c>
      <c r="F32" s="13">
        <v>9864.6</v>
      </c>
      <c r="K32" s="3">
        <f t="shared" si="2"/>
        <v>0</v>
      </c>
    </row>
    <row r="33" spans="2:11" x14ac:dyDescent="0.25">
      <c r="B33" s="14">
        <v>42734</v>
      </c>
      <c r="C33" s="19">
        <v>20343</v>
      </c>
      <c r="D33" s="16" t="s">
        <v>9</v>
      </c>
      <c r="E33" s="17">
        <v>870.75</v>
      </c>
      <c r="F33" s="13">
        <v>34830</v>
      </c>
      <c r="K33" s="3">
        <f t="shared" si="2"/>
        <v>0</v>
      </c>
    </row>
    <row r="34" spans="2:11" x14ac:dyDescent="0.25">
      <c r="B34" s="14">
        <v>42734</v>
      </c>
      <c r="C34" s="19">
        <v>20344</v>
      </c>
      <c r="D34" s="16" t="s">
        <v>192</v>
      </c>
      <c r="E34" s="17">
        <f>902.48+31.8+81.72</f>
        <v>1016</v>
      </c>
      <c r="F34" s="13">
        <v>40880.36</v>
      </c>
      <c r="I34">
        <f>SUM(I28:I33)</f>
        <v>0</v>
      </c>
      <c r="K34" s="3">
        <f>SUM(K28:K33)</f>
        <v>0</v>
      </c>
    </row>
    <row r="35" spans="2:11" x14ac:dyDescent="0.25">
      <c r="B35" s="14">
        <v>42734</v>
      </c>
      <c r="C35" s="19">
        <v>20346</v>
      </c>
      <c r="D35" s="16" t="s">
        <v>13</v>
      </c>
      <c r="E35" s="17">
        <v>329.7</v>
      </c>
      <c r="F35" s="13">
        <v>18792.900000000001</v>
      </c>
    </row>
    <row r="36" spans="2:11" x14ac:dyDescent="0.25">
      <c r="B36" s="14">
        <v>42734</v>
      </c>
      <c r="C36" s="19">
        <v>20350</v>
      </c>
      <c r="D36" s="16" t="s">
        <v>153</v>
      </c>
      <c r="E36" s="17">
        <f>303.9+109.2+338</f>
        <v>751.09999999999991</v>
      </c>
      <c r="F36" s="13">
        <v>37732.300000000003</v>
      </c>
    </row>
    <row r="37" spans="2:11" x14ac:dyDescent="0.25">
      <c r="B37" s="14">
        <v>42734</v>
      </c>
      <c r="C37" s="19">
        <v>20351</v>
      </c>
      <c r="D37" s="16" t="s">
        <v>6</v>
      </c>
      <c r="E37" s="17">
        <f>272.3+13.8+76.4</f>
        <v>362.5</v>
      </c>
      <c r="F37" s="13">
        <v>18179.8</v>
      </c>
    </row>
    <row r="38" spans="2:11" x14ac:dyDescent="0.25">
      <c r="B38" s="14">
        <v>42734</v>
      </c>
      <c r="C38" s="19">
        <v>20352</v>
      </c>
      <c r="D38" s="16" t="s">
        <v>20</v>
      </c>
      <c r="E38" s="17">
        <f>851+38.1</f>
        <v>889.1</v>
      </c>
      <c r="F38" s="13">
        <v>43083.1</v>
      </c>
    </row>
    <row r="39" spans="2:11" x14ac:dyDescent="0.25">
      <c r="B39" s="14">
        <v>42734</v>
      </c>
      <c r="C39" s="19">
        <v>20353</v>
      </c>
      <c r="D39" s="16" t="s">
        <v>10</v>
      </c>
      <c r="E39" s="17">
        <v>479.8</v>
      </c>
      <c r="F39" s="13">
        <v>19671.8</v>
      </c>
    </row>
    <row r="40" spans="2:11" x14ac:dyDescent="0.25">
      <c r="B40" s="14">
        <v>42734</v>
      </c>
      <c r="C40" s="19">
        <v>20354</v>
      </c>
      <c r="D40" s="16" t="s">
        <v>7</v>
      </c>
      <c r="E40" s="17">
        <v>102.4</v>
      </c>
      <c r="F40" s="13">
        <v>4812.8</v>
      </c>
    </row>
    <row r="41" spans="2:11" x14ac:dyDescent="0.25">
      <c r="B41" s="14">
        <v>42734</v>
      </c>
      <c r="C41" s="19">
        <v>20398</v>
      </c>
      <c r="D41" s="16" t="s">
        <v>14</v>
      </c>
      <c r="E41" s="17">
        <f>341.9</f>
        <v>341.9</v>
      </c>
      <c r="F41" s="13">
        <v>19488.3</v>
      </c>
    </row>
    <row r="42" spans="2:11" x14ac:dyDescent="0.25">
      <c r="B42" s="14">
        <v>42735</v>
      </c>
      <c r="C42" s="19">
        <v>20524</v>
      </c>
      <c r="D42" s="16" t="s">
        <v>192</v>
      </c>
      <c r="E42" s="17">
        <f>72.3+53.7+54.4</f>
        <v>180.4</v>
      </c>
      <c r="F42" s="13">
        <v>7459.2</v>
      </c>
    </row>
    <row r="43" spans="2:11" x14ac:dyDescent="0.25">
      <c r="B43" s="14">
        <v>42735</v>
      </c>
      <c r="C43" s="19">
        <v>20525</v>
      </c>
      <c r="D43" s="16" t="s">
        <v>11</v>
      </c>
      <c r="E43" s="17">
        <f>46.7+100</f>
        <v>146.69999999999999</v>
      </c>
      <c r="F43" s="13">
        <v>8161.4</v>
      </c>
    </row>
    <row r="44" spans="2:11" x14ac:dyDescent="0.25">
      <c r="B44" s="14">
        <v>42735</v>
      </c>
      <c r="C44" s="19">
        <v>20527</v>
      </c>
      <c r="D44" s="16" t="s">
        <v>7</v>
      </c>
      <c r="E44" s="17">
        <v>95.7</v>
      </c>
      <c r="F44" s="13">
        <v>4497.8999999999996</v>
      </c>
    </row>
    <row r="45" spans="2:11" x14ac:dyDescent="0.25">
      <c r="B45" s="14">
        <v>42735</v>
      </c>
      <c r="C45" s="19">
        <v>20528</v>
      </c>
      <c r="D45" s="16" t="s">
        <v>6</v>
      </c>
      <c r="E45" s="17">
        <v>86.2</v>
      </c>
      <c r="F45" s="13">
        <v>4051.4</v>
      </c>
    </row>
    <row r="46" spans="2:11" x14ac:dyDescent="0.25">
      <c r="B46" s="14">
        <v>42735</v>
      </c>
      <c r="C46" s="19">
        <v>20529</v>
      </c>
      <c r="D46" s="16" t="s">
        <v>9</v>
      </c>
      <c r="E46" s="17">
        <v>436</v>
      </c>
      <c r="F46" s="13">
        <v>20492</v>
      </c>
    </row>
    <row r="47" spans="2:11" x14ac:dyDescent="0.25">
      <c r="B47" s="14">
        <v>42735</v>
      </c>
      <c r="C47" s="58">
        <v>20530</v>
      </c>
      <c r="D47" s="59" t="s">
        <v>20</v>
      </c>
      <c r="E47" s="60">
        <v>434.8</v>
      </c>
      <c r="F47" s="13">
        <v>20435.599999999999</v>
      </c>
    </row>
    <row r="48" spans="2:11" x14ac:dyDescent="0.25">
      <c r="B48" s="14">
        <v>42735</v>
      </c>
      <c r="C48" s="58">
        <v>20535</v>
      </c>
      <c r="D48" s="59" t="s">
        <v>13</v>
      </c>
      <c r="E48" s="60">
        <v>331.4</v>
      </c>
      <c r="F48" s="13">
        <v>18885.8</v>
      </c>
    </row>
    <row r="49" spans="2:13" ht="15.75" thickBot="1" x14ac:dyDescent="0.3">
      <c r="B49" s="14">
        <v>42728</v>
      </c>
      <c r="C49" s="58">
        <v>19620</v>
      </c>
      <c r="D49" s="59" t="s">
        <v>7</v>
      </c>
      <c r="E49" s="60">
        <f>79.4+3.1</f>
        <v>82.5</v>
      </c>
      <c r="F49" s="13">
        <v>3979.8</v>
      </c>
    </row>
    <row r="50" spans="2:13" ht="15.75" thickBot="1" x14ac:dyDescent="0.3">
      <c r="B50" s="21" t="s">
        <v>233</v>
      </c>
      <c r="C50" s="22"/>
      <c r="D50" s="23"/>
      <c r="E50" s="24">
        <v>0</v>
      </c>
      <c r="F50" s="25">
        <f>SUM(F3:F49)</f>
        <v>817352.67000000027</v>
      </c>
      <c r="K50" s="3">
        <f t="shared" si="2"/>
        <v>0</v>
      </c>
    </row>
    <row r="51" spans="2:13" ht="19.5" thickBot="1" x14ac:dyDescent="0.35">
      <c r="B51" s="26"/>
      <c r="C51" s="27"/>
      <c r="D51" s="28" t="s">
        <v>5</v>
      </c>
      <c r="E51" s="29">
        <f>SUM(E3:E50)</f>
        <v>18013.670000000002</v>
      </c>
      <c r="I51" s="30"/>
      <c r="J51" s="30"/>
      <c r="K51" s="3">
        <f t="shared" si="2"/>
        <v>0</v>
      </c>
    </row>
    <row r="52" spans="2:13" x14ac:dyDescent="0.25">
      <c r="B52" s="26"/>
      <c r="C52" s="27"/>
      <c r="D52" s="31"/>
      <c r="E52" s="32"/>
      <c r="I52" s="30">
        <f>SUM(I46:I51)</f>
        <v>0</v>
      </c>
      <c r="J52" s="30"/>
      <c r="K52" s="30">
        <f>SUM(K46:K51)</f>
        <v>0</v>
      </c>
    </row>
    <row r="53" spans="2:13" ht="21.75" thickBot="1" x14ac:dyDescent="0.4">
      <c r="B53" s="33"/>
      <c r="C53" s="34" t="s">
        <v>15</v>
      </c>
      <c r="D53" s="35">
        <f>E51*0.2</f>
        <v>3602.7340000000004</v>
      </c>
      <c r="F53"/>
      <c r="K53"/>
    </row>
    <row r="54" spans="2:13" ht="21.75" thickBot="1" x14ac:dyDescent="0.4">
      <c r="C54" s="36" t="s">
        <v>16</v>
      </c>
      <c r="D54" s="37">
        <v>3400</v>
      </c>
      <c r="E54" s="38"/>
      <c r="F54" s="85">
        <f>D53+D54</f>
        <v>7002.7340000000004</v>
      </c>
      <c r="G54" s="86"/>
      <c r="I54" s="39"/>
      <c r="J54" s="39"/>
      <c r="K54" s="39"/>
      <c r="L54" s="39"/>
      <c r="M54" s="39"/>
    </row>
    <row r="55" spans="2:13" ht="17.25" thickTop="1" thickBot="1" x14ac:dyDescent="0.3">
      <c r="E55" s="41" t="s">
        <v>311</v>
      </c>
      <c r="G55" s="75">
        <v>0</v>
      </c>
      <c r="I55" s="39"/>
      <c r="J55" s="39"/>
      <c r="K55" s="40"/>
      <c r="L55" s="40"/>
      <c r="M55" s="40"/>
    </row>
    <row r="56" spans="2:13" ht="19.5" thickBot="1" x14ac:dyDescent="0.35">
      <c r="C56" s="80" t="s">
        <v>367</v>
      </c>
      <c r="D56" s="81">
        <v>1500</v>
      </c>
      <c r="E56" s="41" t="s">
        <v>311</v>
      </c>
      <c r="F56" s="90">
        <v>0</v>
      </c>
      <c r="G56" s="90"/>
      <c r="I56" s="39"/>
      <c r="J56" s="39"/>
      <c r="K56" s="40"/>
      <c r="L56" s="40"/>
      <c r="M56" s="40"/>
    </row>
    <row r="57" spans="2:13" ht="20.25" thickTop="1" thickBot="1" x14ac:dyDescent="0.35">
      <c r="C57" s="82" t="s">
        <v>367</v>
      </c>
      <c r="D57" s="83">
        <v>5502</v>
      </c>
      <c r="F57" s="88">
        <f>F54+F56+G55</f>
        <v>7002.7340000000004</v>
      </c>
      <c r="G57" s="88"/>
      <c r="I57" s="39"/>
      <c r="J57" s="39"/>
      <c r="K57" s="40"/>
      <c r="L57" s="40"/>
      <c r="M57" s="40"/>
    </row>
    <row r="58" spans="2:13" ht="19.5" thickBot="1" x14ac:dyDescent="0.35">
      <c r="C58"/>
      <c r="E58" s="2" t="s">
        <v>18</v>
      </c>
      <c r="F58" s="93"/>
      <c r="G58" s="93"/>
      <c r="K58"/>
    </row>
  </sheetData>
  <mergeCells count="4">
    <mergeCell ref="B1:C1"/>
    <mergeCell ref="F54:G54"/>
    <mergeCell ref="F56:G56"/>
    <mergeCell ref="F57:G58"/>
  </mergeCells>
  <pageMargins left="0.70866141732283472" right="0.70866141732283472" top="0.15748031496062992" bottom="0.15748031496062992" header="0.31496062992125984" footer="0.31496062992125984"/>
  <pageSetup scale="80"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44"/>
  <sheetViews>
    <sheetView topLeftCell="A34" workbookViewId="0">
      <selection activeCell="C39" sqref="C39"/>
    </sheetView>
  </sheetViews>
  <sheetFormatPr baseColWidth="10" defaultRowHeight="15.75" x14ac:dyDescent="0.25"/>
  <cols>
    <col min="1" max="1" width="4" style="69" customWidth="1"/>
    <col min="2" max="2" width="11" style="73" customWidth="1"/>
    <col min="3" max="3" width="17.140625" style="3" customWidth="1"/>
    <col min="4" max="4" width="3.5703125" customWidth="1"/>
    <col min="6" max="7" width="11.42578125" style="3"/>
    <col min="9" max="9" width="11.42578125" style="76"/>
  </cols>
  <sheetData>
    <row r="1" spans="1:9" ht="18.75" x14ac:dyDescent="0.3">
      <c r="B1" s="72" t="s">
        <v>354</v>
      </c>
      <c r="H1" s="77" t="s">
        <v>364</v>
      </c>
      <c r="I1" s="76">
        <v>70000</v>
      </c>
    </row>
    <row r="2" spans="1:9" x14ac:dyDescent="0.25">
      <c r="H2" s="18">
        <v>42712</v>
      </c>
      <c r="I2" s="76">
        <f>4500+2500</f>
        <v>7000</v>
      </c>
    </row>
    <row r="3" spans="1:9" ht="16.5" thickBot="1" x14ac:dyDescent="0.3">
      <c r="A3" s="70"/>
      <c r="B3" s="71" t="s">
        <v>2</v>
      </c>
      <c r="C3" s="74" t="s">
        <v>355</v>
      </c>
      <c r="D3" s="67"/>
      <c r="E3" s="67" t="s">
        <v>2</v>
      </c>
      <c r="F3" s="74" t="s">
        <v>355</v>
      </c>
      <c r="G3" s="74" t="s">
        <v>356</v>
      </c>
      <c r="H3" s="18">
        <v>42714</v>
      </c>
      <c r="I3" s="76">
        <v>2500</v>
      </c>
    </row>
    <row r="4" spans="1:9" ht="17.25" thickTop="1" thickBot="1" x14ac:dyDescent="0.3">
      <c r="A4" s="69">
        <v>1</v>
      </c>
      <c r="B4" s="73">
        <v>42375</v>
      </c>
      <c r="C4" s="13">
        <v>12000</v>
      </c>
      <c r="D4" s="68">
        <v>41</v>
      </c>
      <c r="G4" s="3">
        <f>C44+F4</f>
        <v>69143</v>
      </c>
      <c r="H4" s="79">
        <v>42719</v>
      </c>
      <c r="I4" s="78">
        <v>9000</v>
      </c>
    </row>
    <row r="5" spans="1:9" ht="16.5" thickTop="1" x14ac:dyDescent="0.25">
      <c r="A5" s="69">
        <v>2</v>
      </c>
      <c r="B5" s="73">
        <v>42390</v>
      </c>
      <c r="C5" s="13">
        <v>1500</v>
      </c>
      <c r="D5" s="68">
        <v>42</v>
      </c>
      <c r="G5" s="3">
        <f>G4+F5</f>
        <v>69143</v>
      </c>
      <c r="I5" s="76">
        <f>SUM(I1:I4)</f>
        <v>88500</v>
      </c>
    </row>
    <row r="6" spans="1:9" x14ac:dyDescent="0.25">
      <c r="A6" s="69">
        <v>3</v>
      </c>
      <c r="B6" s="73">
        <v>42403</v>
      </c>
      <c r="C6" s="13">
        <v>1500</v>
      </c>
      <c r="D6" s="68">
        <v>43</v>
      </c>
      <c r="G6" s="3">
        <f t="shared" ref="G6:G41" si="0">G5+F6</f>
        <v>69143</v>
      </c>
    </row>
    <row r="7" spans="1:9" x14ac:dyDescent="0.25">
      <c r="A7" s="69">
        <v>4</v>
      </c>
      <c r="B7" s="73">
        <v>42404</v>
      </c>
      <c r="C7" s="13">
        <v>1500</v>
      </c>
      <c r="D7" s="68">
        <v>44</v>
      </c>
      <c r="G7" s="3">
        <f t="shared" si="0"/>
        <v>69143</v>
      </c>
    </row>
    <row r="8" spans="1:9" x14ac:dyDescent="0.25">
      <c r="A8" s="69">
        <v>5</v>
      </c>
      <c r="B8" s="73">
        <v>42415</v>
      </c>
      <c r="C8" s="13">
        <v>1500</v>
      </c>
      <c r="D8" s="68">
        <v>45</v>
      </c>
      <c r="G8" s="3">
        <f t="shared" si="0"/>
        <v>69143</v>
      </c>
    </row>
    <row r="9" spans="1:9" x14ac:dyDescent="0.25">
      <c r="A9" s="69">
        <v>6</v>
      </c>
      <c r="B9" s="73">
        <v>42422</v>
      </c>
      <c r="C9" s="13">
        <v>1500</v>
      </c>
      <c r="D9" s="68">
        <v>46</v>
      </c>
      <c r="G9" s="3">
        <f t="shared" si="0"/>
        <v>69143</v>
      </c>
    </row>
    <row r="10" spans="1:9" x14ac:dyDescent="0.25">
      <c r="A10" s="69">
        <v>7</v>
      </c>
      <c r="B10" s="73">
        <v>42425</v>
      </c>
      <c r="C10" s="13">
        <v>1500</v>
      </c>
      <c r="D10" s="68">
        <v>47</v>
      </c>
      <c r="G10" s="3">
        <f t="shared" si="0"/>
        <v>69143</v>
      </c>
    </row>
    <row r="11" spans="1:9" x14ac:dyDescent="0.25">
      <c r="A11" s="69">
        <v>8</v>
      </c>
      <c r="B11" s="73">
        <v>42433</v>
      </c>
      <c r="C11" s="13">
        <v>1500</v>
      </c>
      <c r="D11" s="68">
        <v>48</v>
      </c>
      <c r="G11" s="3">
        <f t="shared" si="0"/>
        <v>69143</v>
      </c>
    </row>
    <row r="12" spans="1:9" x14ac:dyDescent="0.25">
      <c r="A12" s="69">
        <v>9</v>
      </c>
      <c r="B12" s="73">
        <v>42446</v>
      </c>
      <c r="C12" s="13">
        <v>1500</v>
      </c>
      <c r="D12" s="68">
        <v>49</v>
      </c>
      <c r="G12" s="3">
        <f t="shared" si="0"/>
        <v>69143</v>
      </c>
    </row>
    <row r="13" spans="1:9" x14ac:dyDescent="0.25">
      <c r="A13" s="69">
        <v>10</v>
      </c>
      <c r="B13" s="73">
        <v>42451</v>
      </c>
      <c r="C13" s="13">
        <v>1500</v>
      </c>
      <c r="D13" s="68">
        <v>50</v>
      </c>
      <c r="G13" s="3">
        <f t="shared" si="0"/>
        <v>69143</v>
      </c>
    </row>
    <row r="14" spans="1:9" x14ac:dyDescent="0.25">
      <c r="A14" s="69">
        <v>11</v>
      </c>
      <c r="B14" s="73">
        <v>42459</v>
      </c>
      <c r="C14" s="13">
        <v>1500</v>
      </c>
      <c r="D14" s="68">
        <v>51</v>
      </c>
      <c r="G14" s="3">
        <f t="shared" si="0"/>
        <v>69143</v>
      </c>
    </row>
    <row r="15" spans="1:9" x14ac:dyDescent="0.25">
      <c r="A15" s="69">
        <v>12</v>
      </c>
      <c r="B15" s="73">
        <v>42460</v>
      </c>
      <c r="C15" s="13">
        <v>1500</v>
      </c>
      <c r="D15" s="68">
        <v>52</v>
      </c>
      <c r="G15" s="3">
        <f t="shared" si="0"/>
        <v>69143</v>
      </c>
    </row>
    <row r="16" spans="1:9" x14ac:dyDescent="0.25">
      <c r="A16" s="69">
        <v>13</v>
      </c>
      <c r="B16" s="73">
        <v>42475</v>
      </c>
      <c r="C16" s="13">
        <v>1500</v>
      </c>
      <c r="D16" s="68">
        <v>53</v>
      </c>
      <c r="G16" s="3">
        <f t="shared" si="0"/>
        <v>69143</v>
      </c>
    </row>
    <row r="17" spans="1:7" x14ac:dyDescent="0.25">
      <c r="A17" s="69">
        <v>14</v>
      </c>
      <c r="B17" s="73">
        <v>42475</v>
      </c>
      <c r="C17" s="13">
        <v>1500</v>
      </c>
      <c r="D17" s="68">
        <v>54</v>
      </c>
      <c r="G17" s="3">
        <f t="shared" si="0"/>
        <v>69143</v>
      </c>
    </row>
    <row r="18" spans="1:7" x14ac:dyDescent="0.25">
      <c r="A18" s="69">
        <v>15</v>
      </c>
      <c r="B18" s="73">
        <v>42483</v>
      </c>
      <c r="C18" s="13">
        <v>1500</v>
      </c>
      <c r="D18" s="68">
        <v>55</v>
      </c>
      <c r="G18" s="3">
        <f t="shared" si="0"/>
        <v>69143</v>
      </c>
    </row>
    <row r="19" spans="1:7" x14ac:dyDescent="0.25">
      <c r="A19" s="69">
        <v>16</v>
      </c>
      <c r="B19" s="73">
        <v>42495</v>
      </c>
      <c r="C19" s="13">
        <v>1500</v>
      </c>
      <c r="D19" s="68">
        <v>56</v>
      </c>
      <c r="G19" s="3">
        <f t="shared" si="0"/>
        <v>69143</v>
      </c>
    </row>
    <row r="20" spans="1:7" x14ac:dyDescent="0.25">
      <c r="A20" s="69">
        <v>17</v>
      </c>
      <c r="B20" s="73">
        <v>42495</v>
      </c>
      <c r="C20" s="13">
        <v>1500</v>
      </c>
      <c r="D20" s="68">
        <v>57</v>
      </c>
      <c r="G20" s="3">
        <f t="shared" si="0"/>
        <v>69143</v>
      </c>
    </row>
    <row r="21" spans="1:7" x14ac:dyDescent="0.25">
      <c r="A21" s="69">
        <v>18</v>
      </c>
      <c r="B21" s="73">
        <v>42503</v>
      </c>
      <c r="C21" s="13">
        <v>1500</v>
      </c>
      <c r="D21" s="68">
        <v>58</v>
      </c>
      <c r="G21" s="3">
        <f t="shared" si="0"/>
        <v>69143</v>
      </c>
    </row>
    <row r="22" spans="1:7" x14ac:dyDescent="0.25">
      <c r="A22" s="69">
        <v>19</v>
      </c>
      <c r="B22" s="73">
        <v>42517</v>
      </c>
      <c r="C22" s="13">
        <v>1500</v>
      </c>
      <c r="D22" s="68">
        <v>59</v>
      </c>
      <c r="G22" s="3">
        <f t="shared" si="0"/>
        <v>69143</v>
      </c>
    </row>
    <row r="23" spans="1:7" x14ac:dyDescent="0.25">
      <c r="A23" s="69">
        <v>20</v>
      </c>
      <c r="B23" s="73">
        <v>42530</v>
      </c>
      <c r="C23" s="13">
        <v>1500</v>
      </c>
      <c r="D23" s="68">
        <v>60</v>
      </c>
      <c r="G23" s="3">
        <f t="shared" si="0"/>
        <v>69143</v>
      </c>
    </row>
    <row r="24" spans="1:7" x14ac:dyDescent="0.25">
      <c r="A24" s="69">
        <v>21</v>
      </c>
      <c r="B24" s="73">
        <v>42545</v>
      </c>
      <c r="C24" s="13">
        <v>1500</v>
      </c>
      <c r="D24" s="68">
        <v>61</v>
      </c>
      <c r="G24" s="3">
        <f t="shared" si="0"/>
        <v>69143</v>
      </c>
    </row>
    <row r="25" spans="1:7" x14ac:dyDescent="0.25">
      <c r="A25" s="69">
        <v>22</v>
      </c>
      <c r="B25" s="73">
        <v>42579</v>
      </c>
      <c r="C25" s="13">
        <v>1500</v>
      </c>
      <c r="D25" s="68">
        <v>62</v>
      </c>
      <c r="G25" s="3">
        <f t="shared" si="0"/>
        <v>69143</v>
      </c>
    </row>
    <row r="26" spans="1:7" x14ac:dyDescent="0.25">
      <c r="A26" s="69">
        <v>23</v>
      </c>
      <c r="B26" s="73">
        <v>42588</v>
      </c>
      <c r="C26" s="13">
        <v>1500</v>
      </c>
      <c r="D26" s="68">
        <v>63</v>
      </c>
      <c r="G26" s="3">
        <f t="shared" si="0"/>
        <v>69143</v>
      </c>
    </row>
    <row r="27" spans="1:7" x14ac:dyDescent="0.25">
      <c r="A27" s="69">
        <v>24</v>
      </c>
      <c r="B27" s="73">
        <v>42608</v>
      </c>
      <c r="C27" s="13">
        <v>1500</v>
      </c>
      <c r="D27" s="68">
        <v>64</v>
      </c>
      <c r="G27" s="3">
        <f t="shared" si="0"/>
        <v>69143</v>
      </c>
    </row>
    <row r="28" spans="1:7" x14ac:dyDescent="0.25">
      <c r="A28" s="69">
        <v>25</v>
      </c>
      <c r="B28" s="73">
        <v>42622</v>
      </c>
      <c r="C28" s="13">
        <v>1500</v>
      </c>
      <c r="D28" s="68">
        <v>65</v>
      </c>
      <c r="G28" s="3">
        <f t="shared" si="0"/>
        <v>69143</v>
      </c>
    </row>
    <row r="29" spans="1:7" x14ac:dyDescent="0.25">
      <c r="A29" s="69">
        <v>26</v>
      </c>
      <c r="B29" s="73">
        <v>42634</v>
      </c>
      <c r="C29" s="13">
        <v>1000</v>
      </c>
      <c r="D29" s="68">
        <v>66</v>
      </c>
      <c r="G29" s="3">
        <f t="shared" si="0"/>
        <v>69143</v>
      </c>
    </row>
    <row r="30" spans="1:7" x14ac:dyDescent="0.25">
      <c r="A30" s="69">
        <v>27</v>
      </c>
      <c r="B30" s="73">
        <v>42647</v>
      </c>
      <c r="C30" s="13">
        <v>1500</v>
      </c>
      <c r="D30" s="68">
        <v>67</v>
      </c>
      <c r="G30" s="3">
        <f t="shared" si="0"/>
        <v>69143</v>
      </c>
    </row>
    <row r="31" spans="1:7" x14ac:dyDescent="0.25">
      <c r="A31" s="69">
        <v>28</v>
      </c>
      <c r="B31" s="73">
        <v>42657</v>
      </c>
      <c r="C31" s="13">
        <v>1500</v>
      </c>
      <c r="D31" s="68">
        <v>68</v>
      </c>
      <c r="G31" s="3">
        <f t="shared" si="0"/>
        <v>69143</v>
      </c>
    </row>
    <row r="32" spans="1:7" x14ac:dyDescent="0.25">
      <c r="A32" s="69">
        <v>29</v>
      </c>
      <c r="B32" s="73">
        <v>42657</v>
      </c>
      <c r="C32" s="13">
        <v>1500</v>
      </c>
      <c r="D32" s="68">
        <v>69</v>
      </c>
      <c r="G32" s="3">
        <f t="shared" si="0"/>
        <v>69143</v>
      </c>
    </row>
    <row r="33" spans="1:7" x14ac:dyDescent="0.25">
      <c r="A33" s="69">
        <v>30</v>
      </c>
      <c r="B33" s="73">
        <v>42664</v>
      </c>
      <c r="C33" s="13">
        <v>1500</v>
      </c>
      <c r="D33" s="68">
        <v>70</v>
      </c>
      <c r="G33" s="3">
        <f t="shared" si="0"/>
        <v>69143</v>
      </c>
    </row>
    <row r="34" spans="1:7" x14ac:dyDescent="0.25">
      <c r="A34" s="69">
        <v>31</v>
      </c>
      <c r="B34" s="73">
        <v>42672</v>
      </c>
      <c r="C34" s="13">
        <v>1500</v>
      </c>
      <c r="D34" s="68"/>
      <c r="G34" s="3">
        <f t="shared" si="0"/>
        <v>69143</v>
      </c>
    </row>
    <row r="35" spans="1:7" x14ac:dyDescent="0.25">
      <c r="A35" s="69">
        <v>32</v>
      </c>
      <c r="B35" s="73">
        <v>42678</v>
      </c>
      <c r="C35" s="13">
        <v>1500</v>
      </c>
      <c r="D35" s="68"/>
      <c r="G35" s="3">
        <f t="shared" si="0"/>
        <v>69143</v>
      </c>
    </row>
    <row r="36" spans="1:7" x14ac:dyDescent="0.25">
      <c r="A36" s="69">
        <v>33</v>
      </c>
      <c r="B36" s="73">
        <v>42686</v>
      </c>
      <c r="C36" s="13">
        <v>1500</v>
      </c>
      <c r="D36" s="68"/>
      <c r="G36" s="3">
        <f t="shared" si="0"/>
        <v>69143</v>
      </c>
    </row>
    <row r="37" spans="1:7" x14ac:dyDescent="0.25">
      <c r="A37" s="69">
        <v>34</v>
      </c>
      <c r="B37" s="73">
        <v>42718</v>
      </c>
      <c r="C37" s="13">
        <v>3000</v>
      </c>
      <c r="D37" s="68"/>
      <c r="G37" s="3">
        <f t="shared" si="0"/>
        <v>69143</v>
      </c>
    </row>
    <row r="38" spans="1:7" x14ac:dyDescent="0.25">
      <c r="A38" s="69">
        <v>35</v>
      </c>
      <c r="B38" s="73">
        <v>42726</v>
      </c>
      <c r="C38" s="13">
        <v>1500</v>
      </c>
      <c r="D38" s="68"/>
      <c r="G38" s="3">
        <f t="shared" si="0"/>
        <v>69143</v>
      </c>
    </row>
    <row r="39" spans="1:7" x14ac:dyDescent="0.25">
      <c r="A39" s="69">
        <v>36</v>
      </c>
      <c r="B39" s="73">
        <v>42726</v>
      </c>
      <c r="C39" s="13">
        <v>3643</v>
      </c>
      <c r="D39" s="68"/>
      <c r="G39" s="3">
        <f t="shared" si="0"/>
        <v>69143</v>
      </c>
    </row>
    <row r="40" spans="1:7" x14ac:dyDescent="0.25">
      <c r="A40" s="69">
        <v>37</v>
      </c>
      <c r="B40" s="73">
        <v>42732</v>
      </c>
      <c r="C40" s="13">
        <v>1500</v>
      </c>
      <c r="D40" s="68"/>
      <c r="G40" s="3">
        <f t="shared" si="0"/>
        <v>69143</v>
      </c>
    </row>
    <row r="41" spans="1:7" x14ac:dyDescent="0.25">
      <c r="A41" s="69">
        <v>38</v>
      </c>
      <c r="C41" s="3">
        <v>0</v>
      </c>
      <c r="D41" s="68"/>
      <c r="G41" s="3">
        <f t="shared" si="0"/>
        <v>69143</v>
      </c>
    </row>
    <row r="42" spans="1:7" x14ac:dyDescent="0.25">
      <c r="A42" s="69">
        <v>39</v>
      </c>
      <c r="C42" s="3">
        <v>0</v>
      </c>
    </row>
    <row r="43" spans="1:7" x14ac:dyDescent="0.25">
      <c r="A43" s="69">
        <v>40</v>
      </c>
      <c r="C43" s="3">
        <v>0</v>
      </c>
    </row>
    <row r="44" spans="1:7" x14ac:dyDescent="0.25">
      <c r="C44" s="75">
        <f>SUM(C4:C43)</f>
        <v>69143</v>
      </c>
    </row>
  </sheetData>
  <sortState ref="B24:C37">
    <sortCondition ref="B24:B37"/>
  </sortState>
  <pageMargins left="0.7" right="0.7" top="0.75" bottom="0.75" header="0.3" footer="0.3"/>
  <pageSetup orientation="portrait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45"/>
  <sheetViews>
    <sheetView workbookViewId="0">
      <selection activeCell="E27" sqref="E27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42416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/>
      <c r="C2" s="5" t="s">
        <v>3</v>
      </c>
      <c r="D2" s="5" t="s">
        <v>4</v>
      </c>
      <c r="E2" s="6" t="s">
        <v>5</v>
      </c>
      <c r="F2" s="42" t="s">
        <v>231</v>
      </c>
      <c r="G2" s="8"/>
      <c r="K2"/>
    </row>
    <row r="3" spans="2:11" ht="15.75" x14ac:dyDescent="0.25">
      <c r="B3" s="9">
        <v>42408</v>
      </c>
      <c r="C3" s="10">
        <v>4186</v>
      </c>
      <c r="D3" s="11" t="s">
        <v>20</v>
      </c>
      <c r="E3" s="12">
        <v>338.4</v>
      </c>
      <c r="F3" s="13">
        <v>10490.4</v>
      </c>
      <c r="K3"/>
    </row>
    <row r="4" spans="2:11" ht="15.75" x14ac:dyDescent="0.25">
      <c r="B4" s="14">
        <v>42408</v>
      </c>
      <c r="C4" s="15">
        <v>4187</v>
      </c>
      <c r="D4" s="16" t="s">
        <v>11</v>
      </c>
      <c r="E4" s="17">
        <v>119.2</v>
      </c>
      <c r="F4" s="13">
        <v>4887.2</v>
      </c>
      <c r="K4"/>
    </row>
    <row r="5" spans="2:11" ht="15.75" x14ac:dyDescent="0.25">
      <c r="B5" s="14">
        <v>42408</v>
      </c>
      <c r="C5" s="15">
        <v>4188</v>
      </c>
      <c r="D5" s="16" t="s">
        <v>232</v>
      </c>
      <c r="E5" s="17">
        <f>39.7+238</f>
        <v>277.7</v>
      </c>
      <c r="F5" s="13">
        <v>8648.4</v>
      </c>
      <c r="K5"/>
    </row>
    <row r="6" spans="2:11" ht="15.75" x14ac:dyDescent="0.25">
      <c r="B6" s="14">
        <v>42408</v>
      </c>
      <c r="C6" s="15">
        <v>4189</v>
      </c>
      <c r="D6" s="16" t="s">
        <v>20</v>
      </c>
      <c r="E6" s="17">
        <v>70.599999999999994</v>
      </c>
      <c r="F6" s="13">
        <v>4659.6000000000004</v>
      </c>
      <c r="G6" t="s">
        <v>233</v>
      </c>
      <c r="K6" s="3">
        <f t="shared" ref="K6:K18" si="0">J6*I6</f>
        <v>0</v>
      </c>
    </row>
    <row r="7" spans="2:11" ht="15.75" x14ac:dyDescent="0.25">
      <c r="B7" s="14">
        <v>42408</v>
      </c>
      <c r="C7" s="15">
        <v>4190</v>
      </c>
      <c r="D7" s="16" t="s">
        <v>10</v>
      </c>
      <c r="E7" s="17">
        <f>16.1+28.6+112.2</f>
        <v>156.9</v>
      </c>
      <c r="F7" s="13">
        <v>5244.1</v>
      </c>
      <c r="K7" s="3">
        <f t="shared" si="0"/>
        <v>0</v>
      </c>
    </row>
    <row r="8" spans="2:11" ht="15.75" x14ac:dyDescent="0.25">
      <c r="B8" s="14">
        <v>42409</v>
      </c>
      <c r="C8" s="15">
        <v>4333</v>
      </c>
      <c r="D8" s="16" t="s">
        <v>13</v>
      </c>
      <c r="E8" s="17">
        <v>972.5</v>
      </c>
      <c r="F8" s="13">
        <v>29899.5</v>
      </c>
      <c r="K8" s="3">
        <f t="shared" si="0"/>
        <v>0</v>
      </c>
    </row>
    <row r="9" spans="2:11" ht="15.75" x14ac:dyDescent="0.25">
      <c r="B9" s="14">
        <v>42409</v>
      </c>
      <c r="C9" s="15">
        <v>4334</v>
      </c>
      <c r="D9" s="16" t="s">
        <v>9</v>
      </c>
      <c r="E9" s="17">
        <v>245.8</v>
      </c>
      <c r="F9" s="13">
        <v>7865.6</v>
      </c>
      <c r="K9" s="3">
        <f t="shared" si="0"/>
        <v>0</v>
      </c>
    </row>
    <row r="10" spans="2:11" ht="15.75" x14ac:dyDescent="0.25">
      <c r="B10" s="14">
        <v>42409</v>
      </c>
      <c r="C10" s="15">
        <v>4335</v>
      </c>
      <c r="D10" s="16" t="s">
        <v>11</v>
      </c>
      <c r="E10" s="17">
        <f>22+64.4</f>
        <v>86.4</v>
      </c>
      <c r="F10" s="13">
        <v>3102.4</v>
      </c>
      <c r="K10" s="3">
        <f t="shared" si="0"/>
        <v>0</v>
      </c>
    </row>
    <row r="11" spans="2:11" ht="15.75" x14ac:dyDescent="0.25">
      <c r="B11" s="14">
        <v>42409</v>
      </c>
      <c r="C11" s="15">
        <v>4336</v>
      </c>
      <c r="D11" s="16" t="s">
        <v>232</v>
      </c>
      <c r="E11" s="17">
        <v>245.8</v>
      </c>
      <c r="F11" s="13">
        <v>7619.8</v>
      </c>
      <c r="K11" s="3">
        <f t="shared" si="0"/>
        <v>0</v>
      </c>
    </row>
    <row r="12" spans="2:11" ht="15.75" x14ac:dyDescent="0.25">
      <c r="B12" s="14">
        <v>42409</v>
      </c>
      <c r="C12" s="15">
        <v>4337</v>
      </c>
      <c r="D12" s="16" t="s">
        <v>6</v>
      </c>
      <c r="E12" s="17">
        <v>13.3</v>
      </c>
      <c r="F12" s="13">
        <v>704.9</v>
      </c>
      <c r="K12" s="3">
        <f t="shared" si="0"/>
        <v>0</v>
      </c>
    </row>
    <row r="13" spans="2:11" ht="15.75" x14ac:dyDescent="0.25">
      <c r="B13" s="14">
        <v>42409</v>
      </c>
      <c r="C13" s="15">
        <v>4376</v>
      </c>
      <c r="D13" s="16" t="s">
        <v>0</v>
      </c>
      <c r="E13" s="17">
        <v>12.8</v>
      </c>
      <c r="F13" s="13">
        <v>409.6</v>
      </c>
      <c r="K13" s="3">
        <f t="shared" si="0"/>
        <v>0</v>
      </c>
    </row>
    <row r="14" spans="2:11" ht="15.75" x14ac:dyDescent="0.25">
      <c r="B14" s="14">
        <v>42411</v>
      </c>
      <c r="C14" s="15">
        <v>4520</v>
      </c>
      <c r="D14" s="16" t="s">
        <v>7</v>
      </c>
      <c r="E14" s="17">
        <v>71.8</v>
      </c>
      <c r="F14" s="13">
        <v>2225.8000000000002</v>
      </c>
      <c r="K14" s="3">
        <f t="shared" si="0"/>
        <v>0</v>
      </c>
    </row>
    <row r="15" spans="2:11" ht="15.75" x14ac:dyDescent="0.25">
      <c r="B15" s="14">
        <v>42411</v>
      </c>
      <c r="C15" s="15">
        <v>4522</v>
      </c>
      <c r="D15" s="16" t="s">
        <v>11</v>
      </c>
      <c r="E15" s="17">
        <f>19.3+119.2</f>
        <v>138.5</v>
      </c>
      <c r="F15" s="13">
        <v>5292.5</v>
      </c>
      <c r="K15" s="3">
        <f t="shared" si="0"/>
        <v>0</v>
      </c>
    </row>
    <row r="16" spans="2:11" ht="15.75" x14ac:dyDescent="0.25">
      <c r="B16" s="14">
        <v>42411</v>
      </c>
      <c r="C16" s="15">
        <v>4525</v>
      </c>
      <c r="D16" s="16" t="s">
        <v>20</v>
      </c>
      <c r="E16" s="17">
        <f>349.8+234.6</f>
        <v>584.4</v>
      </c>
      <c r="F16" s="13">
        <v>20462.400000000001</v>
      </c>
      <c r="K16" s="3">
        <f t="shared" si="0"/>
        <v>0</v>
      </c>
    </row>
    <row r="17" spans="1:11" ht="15.75" x14ac:dyDescent="0.25">
      <c r="B17" s="14">
        <v>42411</v>
      </c>
      <c r="C17" s="15">
        <v>4526</v>
      </c>
      <c r="D17" s="16" t="s">
        <v>14</v>
      </c>
      <c r="E17" s="17">
        <v>372.8</v>
      </c>
      <c r="F17" s="13">
        <v>11556.8</v>
      </c>
      <c r="K17" s="3">
        <f t="shared" si="0"/>
        <v>0</v>
      </c>
    </row>
    <row r="18" spans="1:11" ht="15.75" x14ac:dyDescent="0.25">
      <c r="B18" s="14">
        <v>42411</v>
      </c>
      <c r="C18" s="15">
        <v>4531</v>
      </c>
      <c r="D18" s="16" t="s">
        <v>20</v>
      </c>
      <c r="E18" s="17">
        <f>79.2</f>
        <v>79.2</v>
      </c>
      <c r="F18" s="13">
        <v>5227.2</v>
      </c>
      <c r="K18" s="3">
        <f t="shared" si="0"/>
        <v>0</v>
      </c>
    </row>
    <row r="19" spans="1:11" ht="15.75" x14ac:dyDescent="0.25">
      <c r="B19" s="14">
        <v>42412</v>
      </c>
      <c r="C19" s="15">
        <v>4648</v>
      </c>
      <c r="D19" s="16" t="s">
        <v>7</v>
      </c>
      <c r="E19" s="17">
        <f>77+1+8.3</f>
        <v>86.3</v>
      </c>
      <c r="F19" s="13">
        <v>2729.7</v>
      </c>
      <c r="I19" s="3">
        <f t="shared" ref="I19" si="1">SUM(I6:I18)</f>
        <v>0</v>
      </c>
      <c r="J19" s="3"/>
      <c r="K19" s="3">
        <f>SUM(K6:K18)</f>
        <v>0</v>
      </c>
    </row>
    <row r="20" spans="1:11" ht="15.75" x14ac:dyDescent="0.25">
      <c r="B20" s="14">
        <v>42412</v>
      </c>
      <c r="C20" s="15">
        <v>4651</v>
      </c>
      <c r="D20" s="16" t="s">
        <v>10</v>
      </c>
      <c r="E20" s="17">
        <f>140.4+31.8+163+101.2</f>
        <v>436.40000000000003</v>
      </c>
      <c r="F20" s="13">
        <v>24332</v>
      </c>
    </row>
    <row r="21" spans="1:11" ht="15.75" x14ac:dyDescent="0.25">
      <c r="B21" s="14">
        <v>42412</v>
      </c>
      <c r="C21" s="15">
        <v>4653</v>
      </c>
      <c r="D21" s="16" t="s">
        <v>192</v>
      </c>
      <c r="E21" s="17">
        <f>924.4</f>
        <v>924.4</v>
      </c>
      <c r="F21" s="13">
        <v>29118.6</v>
      </c>
    </row>
    <row r="22" spans="1:11" ht="15.75" x14ac:dyDescent="0.25">
      <c r="A22" s="18"/>
      <c r="B22" s="14">
        <v>42412</v>
      </c>
      <c r="C22" s="15">
        <v>4654</v>
      </c>
      <c r="D22" s="16" t="s">
        <v>13</v>
      </c>
      <c r="E22" s="17">
        <f>397.5</f>
        <v>397.5</v>
      </c>
      <c r="F22" s="13">
        <v>12322.5</v>
      </c>
    </row>
    <row r="23" spans="1:11" ht="15.75" x14ac:dyDescent="0.25">
      <c r="B23" s="14">
        <v>42412</v>
      </c>
      <c r="C23" s="15">
        <v>4655</v>
      </c>
      <c r="D23" s="16" t="s">
        <v>20</v>
      </c>
      <c r="E23" s="17">
        <f>389.5+369.1+59.6</f>
        <v>818.2</v>
      </c>
      <c r="F23" s="13">
        <v>27819.3</v>
      </c>
    </row>
    <row r="24" spans="1:11" x14ac:dyDescent="0.25">
      <c r="B24" s="14">
        <v>42412</v>
      </c>
      <c r="C24" s="19">
        <v>4656</v>
      </c>
      <c r="D24" s="16" t="s">
        <v>11</v>
      </c>
      <c r="E24" s="17">
        <v>23.2</v>
      </c>
      <c r="F24" s="13">
        <v>1067.2</v>
      </c>
    </row>
    <row r="25" spans="1:11" x14ac:dyDescent="0.25">
      <c r="B25" s="14">
        <v>42412</v>
      </c>
      <c r="C25" s="19">
        <v>4657</v>
      </c>
      <c r="D25" s="16" t="s">
        <v>9</v>
      </c>
      <c r="E25" s="17">
        <v>86.6</v>
      </c>
      <c r="F25" s="13">
        <v>1732</v>
      </c>
    </row>
    <row r="26" spans="1:11" x14ac:dyDescent="0.25">
      <c r="B26" s="14">
        <v>42412</v>
      </c>
      <c r="C26" s="19">
        <v>4664</v>
      </c>
      <c r="D26" s="16" t="s">
        <v>11</v>
      </c>
      <c r="E26" s="17">
        <v>46.2</v>
      </c>
      <c r="F26" s="13">
        <v>1894.2</v>
      </c>
    </row>
    <row r="27" spans="1:11" x14ac:dyDescent="0.25">
      <c r="B27" s="14">
        <v>42412</v>
      </c>
      <c r="C27" s="19">
        <v>4665</v>
      </c>
      <c r="D27" s="16" t="s">
        <v>11</v>
      </c>
      <c r="E27" s="17">
        <v>77.2</v>
      </c>
      <c r="F27" s="13">
        <v>2393.1999999999998</v>
      </c>
    </row>
    <row r="28" spans="1:11" x14ac:dyDescent="0.25">
      <c r="B28" s="14">
        <v>42412</v>
      </c>
      <c r="C28" s="19">
        <v>4671</v>
      </c>
      <c r="D28" s="16" t="s">
        <v>11</v>
      </c>
      <c r="E28" s="17">
        <f>44.2</f>
        <v>44.2</v>
      </c>
      <c r="F28" s="13">
        <v>1944.8</v>
      </c>
    </row>
    <row r="29" spans="1:11" x14ac:dyDescent="0.25">
      <c r="B29" s="14">
        <v>42413</v>
      </c>
      <c r="C29" s="19">
        <v>4775</v>
      </c>
      <c r="D29" s="16" t="s">
        <v>20</v>
      </c>
      <c r="E29" s="17">
        <f>436+436.6+129.4+18.6</f>
        <v>1020.6</v>
      </c>
      <c r="F29" s="13">
        <v>32083.3</v>
      </c>
    </row>
    <row r="30" spans="1:11" x14ac:dyDescent="0.25">
      <c r="B30" s="14">
        <v>42413</v>
      </c>
      <c r="C30" s="19">
        <v>4776</v>
      </c>
      <c r="D30" s="16" t="s">
        <v>14</v>
      </c>
      <c r="E30" s="17">
        <v>322.8</v>
      </c>
      <c r="F30" s="13">
        <v>10006.799999999999</v>
      </c>
    </row>
    <row r="31" spans="1:11" x14ac:dyDescent="0.25">
      <c r="B31" s="14">
        <v>42413</v>
      </c>
      <c r="C31" s="19">
        <v>4777</v>
      </c>
      <c r="D31" s="16" t="s">
        <v>192</v>
      </c>
      <c r="E31" s="17">
        <v>95.6</v>
      </c>
      <c r="F31" s="13">
        <v>2963.6</v>
      </c>
    </row>
    <row r="32" spans="1:11" x14ac:dyDescent="0.25">
      <c r="B32" s="14">
        <v>42408</v>
      </c>
      <c r="C32" s="19">
        <v>4191</v>
      </c>
      <c r="D32" s="16" t="s">
        <v>9</v>
      </c>
      <c r="E32" s="17">
        <f>27.2+77.4</f>
        <v>104.60000000000001</v>
      </c>
      <c r="F32" s="13">
        <v>2581.6</v>
      </c>
    </row>
    <row r="33" spans="2:13" ht="15.75" x14ac:dyDescent="0.25">
      <c r="B33" s="14">
        <v>42413</v>
      </c>
      <c r="C33" s="15">
        <v>4774</v>
      </c>
      <c r="D33" s="16" t="s">
        <v>12</v>
      </c>
      <c r="E33" s="17">
        <v>906.58</v>
      </c>
      <c r="F33" s="13">
        <v>28103.98</v>
      </c>
    </row>
    <row r="34" spans="2:13" x14ac:dyDescent="0.25">
      <c r="B34" s="14">
        <v>42413</v>
      </c>
      <c r="C34" s="19">
        <v>4773</v>
      </c>
      <c r="D34" s="16" t="s">
        <v>13</v>
      </c>
      <c r="E34" s="17">
        <f>975.96+894.33+278+35.7+53+42</f>
        <v>2278.9899999999998</v>
      </c>
      <c r="F34" s="13">
        <v>71667.69</v>
      </c>
      <c r="K34" s="3">
        <f t="shared" ref="K34:K36" si="2">J34*I34</f>
        <v>0</v>
      </c>
    </row>
    <row r="35" spans="2:13" x14ac:dyDescent="0.25">
      <c r="B35" s="14">
        <v>42413</v>
      </c>
      <c r="C35" s="19">
        <v>4831</v>
      </c>
      <c r="D35" s="16" t="s">
        <v>10</v>
      </c>
      <c r="E35" s="17">
        <f>127.6+109.8+3</f>
        <v>240.39999999999998</v>
      </c>
      <c r="F35" s="13">
        <v>9993.1</v>
      </c>
      <c r="K35" s="3">
        <f t="shared" si="2"/>
        <v>0</v>
      </c>
    </row>
    <row r="36" spans="2:13" ht="15.75" thickBot="1" x14ac:dyDescent="0.3">
      <c r="B36" s="14"/>
      <c r="C36" s="19"/>
      <c r="D36" s="16"/>
      <c r="E36" s="17"/>
      <c r="F36" s="13"/>
      <c r="K36" s="3">
        <f t="shared" si="2"/>
        <v>0</v>
      </c>
    </row>
    <row r="37" spans="2:13" ht="15.75" thickBot="1" x14ac:dyDescent="0.3">
      <c r="B37" s="21"/>
      <c r="C37" s="22"/>
      <c r="D37" s="23"/>
      <c r="E37" s="24">
        <v>0</v>
      </c>
      <c r="F37" s="25">
        <f>SUM(F3:F36)</f>
        <v>391049.76999999996</v>
      </c>
      <c r="K37" s="3">
        <f t="shared" ref="K37" si="3">J37*I37</f>
        <v>0</v>
      </c>
    </row>
    <row r="38" spans="2:13" ht="19.5" thickBot="1" x14ac:dyDescent="0.35">
      <c r="B38" s="26"/>
      <c r="C38" s="27"/>
      <c r="D38" s="28" t="s">
        <v>5</v>
      </c>
      <c r="E38" s="29">
        <f>SUM(E3:E37)</f>
        <v>11695.87</v>
      </c>
      <c r="I38" s="30">
        <f>SUM(I34:I37)</f>
        <v>0</v>
      </c>
      <c r="J38" s="30"/>
      <c r="K38" s="30">
        <f>SUM(K34:K37)</f>
        <v>0</v>
      </c>
    </row>
    <row r="39" spans="2:13" x14ac:dyDescent="0.25">
      <c r="B39" s="26"/>
      <c r="C39" s="27"/>
      <c r="D39" s="31"/>
      <c r="E39" s="32"/>
      <c r="K39"/>
    </row>
    <row r="40" spans="2:13" ht="21.75" thickBot="1" x14ac:dyDescent="0.4">
      <c r="B40" s="33"/>
      <c r="C40" s="34" t="s">
        <v>15</v>
      </c>
      <c r="D40" s="35">
        <f>E38*0.2</f>
        <v>2339.1740000000004</v>
      </c>
      <c r="F40"/>
      <c r="K40"/>
    </row>
    <row r="41" spans="2:13" ht="21.75" thickBot="1" x14ac:dyDescent="0.4">
      <c r="C41" s="36" t="s">
        <v>16</v>
      </c>
      <c r="D41" s="37">
        <v>3000</v>
      </c>
      <c r="E41" s="38"/>
      <c r="F41" s="85">
        <f>D40+D41</f>
        <v>5339.1740000000009</v>
      </c>
      <c r="G41" s="86"/>
      <c r="I41" s="39"/>
      <c r="J41" s="39"/>
      <c r="K41" s="39"/>
      <c r="L41" s="39"/>
      <c r="M41" s="39"/>
    </row>
    <row r="42" spans="2:13" ht="15.75" thickTop="1" x14ac:dyDescent="0.25">
      <c r="I42" s="39"/>
      <c r="J42" s="39"/>
      <c r="K42" s="40"/>
      <c r="L42" s="40"/>
      <c r="M42" s="40"/>
    </row>
    <row r="43" spans="2:13" ht="19.5" thickBot="1" x14ac:dyDescent="0.35">
      <c r="E43" s="41" t="s">
        <v>17</v>
      </c>
      <c r="F43" s="87">
        <v>0</v>
      </c>
      <c r="G43" s="87"/>
      <c r="I43" s="39"/>
      <c r="J43" s="39"/>
      <c r="K43" s="40"/>
      <c r="L43" s="40"/>
      <c r="M43" s="40"/>
    </row>
    <row r="44" spans="2:13" ht="15.75" thickTop="1" x14ac:dyDescent="0.25">
      <c r="C44"/>
      <c r="F44" s="88">
        <f>F41+F43</f>
        <v>5339.1740000000009</v>
      </c>
      <c r="G44" s="88"/>
      <c r="I44" s="39"/>
      <c r="J44" s="39"/>
      <c r="K44" s="40"/>
      <c r="L44" s="40"/>
      <c r="M44" s="40"/>
    </row>
    <row r="45" spans="2:13" ht="18.75" x14ac:dyDescent="0.3">
      <c r="C45"/>
      <c r="E45" s="2" t="s">
        <v>18</v>
      </c>
      <c r="F45" s="89"/>
      <c r="G45" s="89"/>
      <c r="K45"/>
    </row>
  </sheetData>
  <mergeCells count="4">
    <mergeCell ref="B1:C1"/>
    <mergeCell ref="F41:G41"/>
    <mergeCell ref="F43:G43"/>
    <mergeCell ref="F44:G45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M58"/>
  <sheetViews>
    <sheetView topLeftCell="A19" workbookViewId="0">
      <selection activeCell="D21" sqref="D21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42423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234</v>
      </c>
      <c r="G2" s="8"/>
      <c r="K2"/>
    </row>
    <row r="3" spans="2:11" ht="15.75" x14ac:dyDescent="0.25">
      <c r="B3" s="9">
        <v>42404</v>
      </c>
      <c r="C3" s="10" t="s">
        <v>235</v>
      </c>
      <c r="D3" s="11" t="s">
        <v>13</v>
      </c>
      <c r="E3" s="12">
        <v>152.4</v>
      </c>
      <c r="F3" s="13">
        <v>4724.3999999999996</v>
      </c>
      <c r="K3"/>
    </row>
    <row r="4" spans="2:11" ht="15.75" x14ac:dyDescent="0.25">
      <c r="B4" s="14">
        <v>42411</v>
      </c>
      <c r="C4" s="15" t="s">
        <v>236</v>
      </c>
      <c r="D4" s="16" t="s">
        <v>6</v>
      </c>
      <c r="E4" s="17">
        <f>34.7+56</f>
        <v>90.7</v>
      </c>
      <c r="F4" s="13">
        <v>3549.15</v>
      </c>
      <c r="K4"/>
    </row>
    <row r="5" spans="2:11" ht="15.75" x14ac:dyDescent="0.25">
      <c r="B5" s="14">
        <v>42411</v>
      </c>
      <c r="C5" s="15" t="s">
        <v>237</v>
      </c>
      <c r="D5" s="16" t="s">
        <v>12</v>
      </c>
      <c r="E5" s="17">
        <f>112.2+85.4+54.48</f>
        <v>252.08</v>
      </c>
      <c r="F5" s="13">
        <v>9784.8799999999992</v>
      </c>
      <c r="K5"/>
    </row>
    <row r="6" spans="2:11" ht="15.75" x14ac:dyDescent="0.25">
      <c r="B6" s="14">
        <v>42411</v>
      </c>
      <c r="C6" s="15" t="s">
        <v>238</v>
      </c>
      <c r="D6" s="16" t="s">
        <v>8</v>
      </c>
      <c r="E6" s="17">
        <v>74.8</v>
      </c>
      <c r="F6" s="13">
        <v>3291.2</v>
      </c>
      <c r="G6" t="s">
        <v>233</v>
      </c>
      <c r="K6" s="3">
        <f t="shared" ref="K6:K18" si="0">J6*I6</f>
        <v>0</v>
      </c>
    </row>
    <row r="7" spans="2:11" ht="15.75" x14ac:dyDescent="0.25">
      <c r="B7" s="14">
        <v>42413</v>
      </c>
      <c r="C7" s="15" t="s">
        <v>239</v>
      </c>
      <c r="D7" s="16" t="s">
        <v>6</v>
      </c>
      <c r="E7" s="17">
        <f>104.6+52.8+40+16.2+93.7</f>
        <v>307.29999999999995</v>
      </c>
      <c r="F7" s="13">
        <v>8123.8</v>
      </c>
      <c r="K7" s="3">
        <f t="shared" si="0"/>
        <v>0</v>
      </c>
    </row>
    <row r="8" spans="2:11" ht="15.75" x14ac:dyDescent="0.25">
      <c r="B8" s="14">
        <v>42415</v>
      </c>
      <c r="C8" s="15" t="s">
        <v>240</v>
      </c>
      <c r="D8" s="16" t="s">
        <v>14</v>
      </c>
      <c r="E8" s="17">
        <v>271</v>
      </c>
      <c r="F8" s="13">
        <v>8265.5</v>
      </c>
      <c r="K8" s="3">
        <f t="shared" si="0"/>
        <v>0</v>
      </c>
    </row>
    <row r="9" spans="2:11" ht="15.75" x14ac:dyDescent="0.25">
      <c r="B9" s="14">
        <v>42415</v>
      </c>
      <c r="C9" s="15" t="s">
        <v>241</v>
      </c>
      <c r="D9" s="16" t="s">
        <v>6</v>
      </c>
      <c r="E9" s="17">
        <v>86.8</v>
      </c>
      <c r="F9" s="13">
        <v>2647.4</v>
      </c>
      <c r="K9" s="3">
        <f t="shared" si="0"/>
        <v>0</v>
      </c>
    </row>
    <row r="10" spans="2:11" ht="15.75" x14ac:dyDescent="0.25">
      <c r="B10" s="14">
        <v>42415</v>
      </c>
      <c r="C10" s="15" t="s">
        <v>242</v>
      </c>
      <c r="D10" s="16" t="s">
        <v>189</v>
      </c>
      <c r="E10" s="17">
        <f>421+67.6+335.4</f>
        <v>824</v>
      </c>
      <c r="F10" s="13">
        <v>31053.5</v>
      </c>
      <c r="K10" s="3">
        <f t="shared" si="0"/>
        <v>0</v>
      </c>
    </row>
    <row r="11" spans="2:11" ht="15.75" x14ac:dyDescent="0.25">
      <c r="B11" s="14">
        <v>42415</v>
      </c>
      <c r="C11" s="15" t="s">
        <v>243</v>
      </c>
      <c r="D11" s="16" t="s">
        <v>14</v>
      </c>
      <c r="E11" s="17">
        <v>24.5</v>
      </c>
      <c r="F11" s="13">
        <v>1298.5</v>
      </c>
      <c r="K11" s="3">
        <f t="shared" si="0"/>
        <v>0</v>
      </c>
    </row>
    <row r="12" spans="2:11" ht="15.75" x14ac:dyDescent="0.25">
      <c r="B12" s="14">
        <v>42415</v>
      </c>
      <c r="C12" s="43" t="s">
        <v>244</v>
      </c>
      <c r="D12" s="16" t="s">
        <v>9</v>
      </c>
      <c r="E12" s="17">
        <v>626.4</v>
      </c>
      <c r="F12" s="13">
        <v>19105.2</v>
      </c>
      <c r="K12" s="3">
        <f t="shared" si="0"/>
        <v>0</v>
      </c>
    </row>
    <row r="13" spans="2:11" ht="15.75" x14ac:dyDescent="0.25">
      <c r="B13" s="14">
        <v>42415</v>
      </c>
      <c r="C13" s="15" t="s">
        <v>245</v>
      </c>
      <c r="D13" s="16" t="s">
        <v>9</v>
      </c>
      <c r="E13" s="17">
        <v>265.39999999999998</v>
      </c>
      <c r="F13" s="13">
        <v>8758.2000000000007</v>
      </c>
      <c r="K13" s="3">
        <f t="shared" si="0"/>
        <v>0</v>
      </c>
    </row>
    <row r="14" spans="2:11" ht="15.75" x14ac:dyDescent="0.25">
      <c r="B14" s="14">
        <v>42415</v>
      </c>
      <c r="C14" s="15" t="s">
        <v>246</v>
      </c>
      <c r="D14" s="16" t="s">
        <v>14</v>
      </c>
      <c r="E14" s="17">
        <v>90.8</v>
      </c>
      <c r="F14" s="13">
        <v>2996.4</v>
      </c>
      <c r="K14" s="3">
        <f t="shared" si="0"/>
        <v>0</v>
      </c>
    </row>
    <row r="15" spans="2:11" ht="15.75" x14ac:dyDescent="0.25">
      <c r="B15" s="14">
        <v>42415</v>
      </c>
      <c r="C15" s="15" t="s">
        <v>247</v>
      </c>
      <c r="D15" s="16" t="s">
        <v>8</v>
      </c>
      <c r="E15" s="17">
        <f>33.9+39.3</f>
        <v>73.199999999999989</v>
      </c>
      <c r="F15" s="13">
        <v>2926.5</v>
      </c>
      <c r="K15" s="3">
        <f t="shared" si="0"/>
        <v>0</v>
      </c>
    </row>
    <row r="16" spans="2:11" ht="15.75" x14ac:dyDescent="0.25">
      <c r="B16" s="14">
        <v>42415</v>
      </c>
      <c r="C16" s="15" t="s">
        <v>248</v>
      </c>
      <c r="D16" s="16" t="s">
        <v>11</v>
      </c>
      <c r="E16" s="17">
        <v>51.2</v>
      </c>
      <c r="F16" s="13">
        <v>2252.8000000000002</v>
      </c>
      <c r="K16" s="3">
        <f t="shared" si="0"/>
        <v>0</v>
      </c>
    </row>
    <row r="17" spans="1:11" ht="15.75" x14ac:dyDescent="0.25">
      <c r="B17" s="14">
        <v>42416</v>
      </c>
      <c r="C17" s="15" t="s">
        <v>249</v>
      </c>
      <c r="D17" s="16" t="s">
        <v>8</v>
      </c>
      <c r="E17" s="17">
        <f>904.5+18.8+63.8</f>
        <v>987.09999999999991</v>
      </c>
      <c r="F17" s="13">
        <v>30551</v>
      </c>
      <c r="K17" s="3">
        <f t="shared" si="0"/>
        <v>0</v>
      </c>
    </row>
    <row r="18" spans="1:11" ht="15.75" x14ac:dyDescent="0.25">
      <c r="B18" s="14">
        <v>42416</v>
      </c>
      <c r="C18" s="15" t="s">
        <v>250</v>
      </c>
      <c r="D18" s="16" t="s">
        <v>10</v>
      </c>
      <c r="E18" s="17">
        <f>181.8+125.4</f>
        <v>307.20000000000005</v>
      </c>
      <c r="F18" s="13">
        <v>11767.8</v>
      </c>
      <c r="K18" s="3">
        <f t="shared" si="0"/>
        <v>0</v>
      </c>
    </row>
    <row r="19" spans="1:11" ht="15.75" x14ac:dyDescent="0.25">
      <c r="B19" s="14">
        <v>42416</v>
      </c>
      <c r="C19" s="15" t="s">
        <v>251</v>
      </c>
      <c r="D19" s="16" t="s">
        <v>7</v>
      </c>
      <c r="E19" s="17">
        <f>19.9+82</f>
        <v>101.9</v>
      </c>
      <c r="F19" s="13">
        <v>2819.4</v>
      </c>
      <c r="I19" s="3">
        <f t="shared" ref="I19" si="1">SUM(I6:I18)</f>
        <v>0</v>
      </c>
      <c r="J19" s="3"/>
      <c r="K19" s="3">
        <f>SUM(K6:K18)</f>
        <v>0</v>
      </c>
    </row>
    <row r="20" spans="1:11" ht="15.75" x14ac:dyDescent="0.25">
      <c r="B20" s="14">
        <v>42416</v>
      </c>
      <c r="C20" s="15" t="s">
        <v>252</v>
      </c>
      <c r="D20" s="16" t="s">
        <v>14</v>
      </c>
      <c r="E20" s="17">
        <v>335</v>
      </c>
      <c r="F20" s="13">
        <v>10217.5</v>
      </c>
    </row>
    <row r="21" spans="1:11" ht="15.75" x14ac:dyDescent="0.25">
      <c r="B21" s="14">
        <v>42416</v>
      </c>
      <c r="C21" s="15" t="s">
        <v>253</v>
      </c>
      <c r="D21" s="16" t="s">
        <v>189</v>
      </c>
      <c r="E21" s="17">
        <f>167.8+137.2</f>
        <v>305</v>
      </c>
      <c r="F21" s="13">
        <v>10743.1</v>
      </c>
    </row>
    <row r="22" spans="1:11" ht="15.75" x14ac:dyDescent="0.25">
      <c r="A22" s="18"/>
      <c r="B22" s="14">
        <v>42417</v>
      </c>
      <c r="C22" s="15" t="s">
        <v>254</v>
      </c>
      <c r="D22" s="16" t="s">
        <v>14</v>
      </c>
      <c r="E22" s="17">
        <v>287.7</v>
      </c>
      <c r="F22" s="13">
        <v>8774.85</v>
      </c>
    </row>
    <row r="23" spans="1:11" ht="15.75" x14ac:dyDescent="0.25">
      <c r="B23" s="14">
        <v>42417</v>
      </c>
      <c r="C23" s="15" t="s">
        <v>255</v>
      </c>
      <c r="D23" s="16" t="s">
        <v>189</v>
      </c>
      <c r="E23" s="17">
        <f>252.3+84.8</f>
        <v>337.1</v>
      </c>
      <c r="F23" s="13">
        <v>13544.25</v>
      </c>
    </row>
    <row r="24" spans="1:11" x14ac:dyDescent="0.25">
      <c r="B24" s="14">
        <v>42417</v>
      </c>
      <c r="C24" s="19" t="s">
        <v>256</v>
      </c>
      <c r="D24" s="16" t="s">
        <v>6</v>
      </c>
      <c r="E24" s="17">
        <f>251.4+83.8+12.2+7.1</f>
        <v>354.5</v>
      </c>
      <c r="F24" s="13">
        <v>13994.2</v>
      </c>
    </row>
    <row r="25" spans="1:11" x14ac:dyDescent="0.25">
      <c r="B25" s="14">
        <v>42417</v>
      </c>
      <c r="C25" s="19" t="s">
        <v>257</v>
      </c>
      <c r="D25" s="16" t="s">
        <v>8</v>
      </c>
      <c r="E25" s="17">
        <v>989</v>
      </c>
      <c r="F25" s="13">
        <v>31648</v>
      </c>
    </row>
    <row r="26" spans="1:11" x14ac:dyDescent="0.25">
      <c r="B26" s="14">
        <v>42418</v>
      </c>
      <c r="C26" s="19" t="s">
        <v>258</v>
      </c>
      <c r="D26" s="16" t="s">
        <v>13</v>
      </c>
      <c r="E26" s="17">
        <f>14.7+71.8+32.7+60.2+12.8</f>
        <v>192.20000000000002</v>
      </c>
      <c r="F26" s="13">
        <v>5034.3999999999996</v>
      </c>
    </row>
    <row r="27" spans="1:11" x14ac:dyDescent="0.25">
      <c r="B27" s="14">
        <v>42418</v>
      </c>
      <c r="C27" s="19" t="s">
        <v>259</v>
      </c>
      <c r="D27" s="16" t="s">
        <v>10</v>
      </c>
      <c r="E27" s="17">
        <f>191.8+112+9.8</f>
        <v>313.60000000000002</v>
      </c>
      <c r="F27" s="13">
        <v>11591.3</v>
      </c>
    </row>
    <row r="28" spans="1:11" x14ac:dyDescent="0.25">
      <c r="B28" s="14">
        <v>42418</v>
      </c>
      <c r="C28" s="19" t="s">
        <v>260</v>
      </c>
      <c r="D28" s="16" t="s">
        <v>14</v>
      </c>
      <c r="E28" s="17">
        <v>279.39999999999998</v>
      </c>
      <c r="F28" s="13">
        <v>8521.7000000000007</v>
      </c>
    </row>
    <row r="29" spans="1:11" x14ac:dyDescent="0.25">
      <c r="B29" s="14">
        <v>42418</v>
      </c>
      <c r="C29" s="19" t="s">
        <v>261</v>
      </c>
      <c r="D29" s="16" t="s">
        <v>7</v>
      </c>
      <c r="E29" s="17">
        <f>68.8+27.24</f>
        <v>96.039999999999992</v>
      </c>
      <c r="F29" s="13">
        <v>3487.64</v>
      </c>
    </row>
    <row r="30" spans="1:11" x14ac:dyDescent="0.25">
      <c r="B30" s="14">
        <v>42418</v>
      </c>
      <c r="C30" s="19" t="s">
        <v>262</v>
      </c>
      <c r="D30" s="16" t="s">
        <v>189</v>
      </c>
      <c r="E30" s="17">
        <f>2+321.6</f>
        <v>323.60000000000002</v>
      </c>
      <c r="F30" s="13">
        <v>11670.4</v>
      </c>
    </row>
    <row r="31" spans="1:11" x14ac:dyDescent="0.25">
      <c r="B31" s="14">
        <v>42418</v>
      </c>
      <c r="C31" s="19" t="s">
        <v>263</v>
      </c>
      <c r="D31" s="16" t="s">
        <v>11</v>
      </c>
      <c r="E31" s="17">
        <f>68.8+121.8</f>
        <v>190.6</v>
      </c>
      <c r="F31" s="13">
        <v>7936.4</v>
      </c>
    </row>
    <row r="32" spans="1:11" x14ac:dyDescent="0.25">
      <c r="B32" s="14">
        <v>42418</v>
      </c>
      <c r="C32" s="19" t="s">
        <v>264</v>
      </c>
      <c r="D32" s="16" t="s">
        <v>6</v>
      </c>
      <c r="E32" s="17">
        <f>50.8+54.7</f>
        <v>105.5</v>
      </c>
      <c r="F32" s="13">
        <v>2739.2</v>
      </c>
    </row>
    <row r="33" spans="2:11" ht="15.75" x14ac:dyDescent="0.25">
      <c r="B33" s="14">
        <v>42418</v>
      </c>
      <c r="C33" s="15" t="s">
        <v>265</v>
      </c>
      <c r="D33" s="16" t="s">
        <v>12</v>
      </c>
      <c r="E33" s="17">
        <v>153.4</v>
      </c>
      <c r="F33" s="13">
        <v>6442.8</v>
      </c>
    </row>
    <row r="34" spans="2:11" x14ac:dyDescent="0.25">
      <c r="B34" s="14">
        <v>42419</v>
      </c>
      <c r="C34" s="19" t="s">
        <v>266</v>
      </c>
      <c r="D34" s="16" t="s">
        <v>14</v>
      </c>
      <c r="E34" s="17">
        <v>505.4</v>
      </c>
      <c r="F34" s="13">
        <v>15414.7</v>
      </c>
      <c r="K34" s="3">
        <f t="shared" ref="K34:K50" si="2">J34*I34</f>
        <v>0</v>
      </c>
    </row>
    <row r="35" spans="2:11" x14ac:dyDescent="0.25">
      <c r="B35" s="14">
        <v>42419</v>
      </c>
      <c r="C35" s="19" t="s">
        <v>267</v>
      </c>
      <c r="D35" s="16" t="s">
        <v>6</v>
      </c>
      <c r="E35" s="17">
        <f>15.8+8.7+22.3</f>
        <v>46.8</v>
      </c>
      <c r="F35" s="13">
        <v>1422</v>
      </c>
    </row>
    <row r="36" spans="2:11" x14ac:dyDescent="0.25">
      <c r="B36" s="14">
        <v>42419</v>
      </c>
      <c r="C36" s="19" t="s">
        <v>268</v>
      </c>
      <c r="D36" s="16" t="s">
        <v>7</v>
      </c>
      <c r="E36" s="17">
        <f>7.7+23</f>
        <v>30.7</v>
      </c>
      <c r="F36" s="13">
        <v>1112.3</v>
      </c>
    </row>
    <row r="37" spans="2:11" x14ac:dyDescent="0.25">
      <c r="B37" s="14">
        <v>42419</v>
      </c>
      <c r="C37" s="19" t="s">
        <v>269</v>
      </c>
      <c r="D37" s="16" t="s">
        <v>8</v>
      </c>
      <c r="E37" s="17">
        <f>52.7+72.2</f>
        <v>124.9</v>
      </c>
      <c r="F37" s="13">
        <v>3203.4</v>
      </c>
    </row>
    <row r="38" spans="2:11" x14ac:dyDescent="0.25">
      <c r="B38" s="14">
        <v>42419</v>
      </c>
      <c r="C38" s="19" t="s">
        <v>270</v>
      </c>
      <c r="D38" s="16" t="s">
        <v>7</v>
      </c>
      <c r="E38" s="17">
        <v>39.4</v>
      </c>
      <c r="F38" s="13">
        <v>2088.1999999999998</v>
      </c>
    </row>
    <row r="39" spans="2:11" x14ac:dyDescent="0.25">
      <c r="B39" s="14">
        <v>42419</v>
      </c>
      <c r="C39" s="19" t="s">
        <v>271</v>
      </c>
      <c r="D39" s="16" t="s">
        <v>11</v>
      </c>
      <c r="E39" s="17">
        <f>76+59.4+37.3</f>
        <v>172.7</v>
      </c>
      <c r="F39" s="13">
        <v>5630.1</v>
      </c>
    </row>
    <row r="40" spans="2:11" x14ac:dyDescent="0.25">
      <c r="B40" s="14">
        <v>42419</v>
      </c>
      <c r="C40" s="19" t="s">
        <v>272</v>
      </c>
      <c r="D40" s="16" t="s">
        <v>189</v>
      </c>
      <c r="E40" s="17">
        <v>777.4</v>
      </c>
      <c r="F40" s="13">
        <v>23710.7</v>
      </c>
    </row>
    <row r="41" spans="2:11" x14ac:dyDescent="0.25">
      <c r="B41" s="14">
        <v>42420</v>
      </c>
      <c r="C41" s="19" t="s">
        <v>273</v>
      </c>
      <c r="D41" s="16" t="s">
        <v>12</v>
      </c>
      <c r="E41" s="17">
        <v>913.5</v>
      </c>
      <c r="F41" s="13">
        <v>28775.25</v>
      </c>
    </row>
    <row r="42" spans="2:11" x14ac:dyDescent="0.25">
      <c r="B42" s="14">
        <v>42420</v>
      </c>
      <c r="C42" s="19" t="s">
        <v>274</v>
      </c>
      <c r="D42" s="16" t="s">
        <v>13</v>
      </c>
      <c r="E42" s="17">
        <f>38.6+13.6+234</f>
        <v>286.2</v>
      </c>
      <c r="F42" s="13">
        <v>8518.7999999999993</v>
      </c>
    </row>
    <row r="43" spans="2:11" x14ac:dyDescent="0.25">
      <c r="B43" s="14">
        <v>42420</v>
      </c>
      <c r="C43" s="19" t="s">
        <v>275</v>
      </c>
      <c r="D43" s="16" t="s">
        <v>189</v>
      </c>
      <c r="E43" s="17">
        <f>118.4+340</f>
        <v>458.4</v>
      </c>
      <c r="F43" s="13">
        <v>17788</v>
      </c>
    </row>
    <row r="44" spans="2:11" x14ac:dyDescent="0.25">
      <c r="B44" s="14">
        <v>42420</v>
      </c>
      <c r="C44" s="19" t="s">
        <v>276</v>
      </c>
      <c r="D44" s="16" t="s">
        <v>8</v>
      </c>
      <c r="E44" s="17">
        <f>391.4</f>
        <v>391.4</v>
      </c>
      <c r="F44" s="13">
        <v>12329.1</v>
      </c>
    </row>
    <row r="45" spans="2:11" x14ac:dyDescent="0.25">
      <c r="B45" s="14">
        <v>42420</v>
      </c>
      <c r="C45" s="19" t="s">
        <v>277</v>
      </c>
      <c r="D45" s="16" t="s">
        <v>11</v>
      </c>
      <c r="E45" s="17">
        <f>97.6+103.2</f>
        <v>200.8</v>
      </c>
      <c r="F45" s="13">
        <v>8628.7999999999993</v>
      </c>
    </row>
    <row r="46" spans="2:11" x14ac:dyDescent="0.25">
      <c r="B46" s="14">
        <v>42420</v>
      </c>
      <c r="C46" s="19" t="s">
        <v>278</v>
      </c>
      <c r="D46" s="16" t="s">
        <v>7</v>
      </c>
      <c r="E46" s="17">
        <v>36.299999999999997</v>
      </c>
      <c r="F46" s="13">
        <v>1179.75</v>
      </c>
      <c r="K46" s="3">
        <f t="shared" si="2"/>
        <v>0</v>
      </c>
    </row>
    <row r="47" spans="2:11" x14ac:dyDescent="0.25">
      <c r="B47" s="14">
        <v>42420</v>
      </c>
      <c r="C47" s="19" t="s">
        <v>279</v>
      </c>
      <c r="D47" s="16" t="s">
        <v>9</v>
      </c>
      <c r="E47" s="17">
        <v>90.6</v>
      </c>
      <c r="F47" s="13">
        <v>1812</v>
      </c>
    </row>
    <row r="48" spans="2:11" x14ac:dyDescent="0.25">
      <c r="B48" s="14">
        <v>42420</v>
      </c>
      <c r="C48" s="19" t="s">
        <v>280</v>
      </c>
      <c r="D48" s="16" t="s">
        <v>6</v>
      </c>
      <c r="E48" s="17">
        <v>90</v>
      </c>
      <c r="F48" s="13">
        <v>2745</v>
      </c>
    </row>
    <row r="49" spans="2:13" ht="15.75" thickBot="1" x14ac:dyDescent="0.3">
      <c r="B49" s="14"/>
      <c r="C49" s="19"/>
      <c r="D49" s="16"/>
      <c r="E49" s="17"/>
      <c r="F49" s="13"/>
    </row>
    <row r="50" spans="2:13" ht="15.75" thickBot="1" x14ac:dyDescent="0.3">
      <c r="B50" s="21"/>
      <c r="C50" s="22"/>
      <c r="D50" s="23"/>
      <c r="E50" s="24">
        <v>0</v>
      </c>
      <c r="F50" s="25">
        <f>SUM(F3:F49)</f>
        <v>434619.47000000003</v>
      </c>
      <c r="K50" s="3">
        <f t="shared" si="2"/>
        <v>0</v>
      </c>
    </row>
    <row r="51" spans="2:13" ht="19.5" thickBot="1" x14ac:dyDescent="0.35">
      <c r="B51" s="26"/>
      <c r="C51" s="27"/>
      <c r="D51" s="28" t="s">
        <v>5</v>
      </c>
      <c r="E51" s="29">
        <f>SUM(E3:E50)</f>
        <v>13013.919999999998</v>
      </c>
      <c r="I51" s="30">
        <f>SUM(I34:I50)</f>
        <v>0</v>
      </c>
      <c r="J51" s="30"/>
      <c r="K51" s="30">
        <f>SUM(K34:K50)</f>
        <v>0</v>
      </c>
    </row>
    <row r="52" spans="2:13" x14ac:dyDescent="0.25">
      <c r="B52" s="26"/>
      <c r="C52" s="27"/>
      <c r="D52" s="31"/>
      <c r="E52" s="32"/>
      <c r="K52"/>
    </row>
    <row r="53" spans="2:13" ht="21.75" thickBot="1" x14ac:dyDescent="0.4">
      <c r="B53" s="33"/>
      <c r="C53" s="34" t="s">
        <v>15</v>
      </c>
      <c r="D53" s="35">
        <f>E51*0.2</f>
        <v>2602.7839999999997</v>
      </c>
      <c r="F53"/>
      <c r="K53"/>
    </row>
    <row r="54" spans="2:13" ht="21.75" thickBot="1" x14ac:dyDescent="0.4">
      <c r="C54" s="36" t="s">
        <v>16</v>
      </c>
      <c r="D54" s="37">
        <v>3000</v>
      </c>
      <c r="E54" s="38"/>
      <c r="F54" s="85">
        <f>D53+D54</f>
        <v>5602.7839999999997</v>
      </c>
      <c r="G54" s="86"/>
      <c r="I54" s="39"/>
      <c r="J54" s="39"/>
      <c r="K54" s="39"/>
      <c r="L54" s="39"/>
      <c r="M54" s="39"/>
    </row>
    <row r="55" spans="2:13" ht="15.75" thickTop="1" x14ac:dyDescent="0.25">
      <c r="I55" s="39"/>
      <c r="J55" s="39"/>
      <c r="K55" s="40"/>
      <c r="L55" s="40"/>
      <c r="M55" s="40"/>
    </row>
    <row r="56" spans="2:13" ht="19.5" thickBot="1" x14ac:dyDescent="0.35">
      <c r="E56" s="41" t="s">
        <v>17</v>
      </c>
      <c r="F56" s="87">
        <v>0</v>
      </c>
      <c r="G56" s="87"/>
      <c r="I56" s="39"/>
      <c r="J56" s="39"/>
      <c r="K56" s="40"/>
      <c r="L56" s="40"/>
      <c r="M56" s="40"/>
    </row>
    <row r="57" spans="2:13" ht="15.75" thickTop="1" x14ac:dyDescent="0.25">
      <c r="C57"/>
      <c r="F57" s="88">
        <f>F54+F56</f>
        <v>5602.7839999999997</v>
      </c>
      <c r="G57" s="88"/>
      <c r="I57" s="39"/>
      <c r="J57" s="39"/>
      <c r="K57" s="40"/>
      <c r="L57" s="40"/>
      <c r="M57" s="40"/>
    </row>
    <row r="58" spans="2:13" ht="18.75" x14ac:dyDescent="0.3">
      <c r="C58"/>
      <c r="E58" s="2" t="s">
        <v>18</v>
      </c>
      <c r="F58" s="89"/>
      <c r="G58" s="89"/>
      <c r="K58"/>
    </row>
  </sheetData>
  <mergeCells count="4">
    <mergeCell ref="B1:C1"/>
    <mergeCell ref="F54:G54"/>
    <mergeCell ref="F56:G56"/>
    <mergeCell ref="F57:G58"/>
  </mergeCells>
  <pageMargins left="0.70866141732283472" right="0.70866141732283472" top="0.35433070866141736" bottom="0.15748031496062992" header="0.31496062992125984" footer="0.31496062992125984"/>
  <pageSetup scale="8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58"/>
  <sheetViews>
    <sheetView topLeftCell="A25" workbookViewId="0">
      <selection activeCell="H19" sqref="H19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42432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281</v>
      </c>
      <c r="G2" s="8"/>
      <c r="K2"/>
    </row>
    <row r="3" spans="2:11" ht="15.75" x14ac:dyDescent="0.25">
      <c r="B3" s="9">
        <v>42422</v>
      </c>
      <c r="C3" s="10">
        <v>5896</v>
      </c>
      <c r="D3" s="11" t="s">
        <v>282</v>
      </c>
      <c r="E3" s="12">
        <v>381.4</v>
      </c>
      <c r="F3" s="13">
        <v>11632.7</v>
      </c>
      <c r="K3"/>
    </row>
    <row r="4" spans="2:11" ht="15.75" x14ac:dyDescent="0.25">
      <c r="B4" s="14">
        <v>42422</v>
      </c>
      <c r="C4" s="15">
        <v>5899</v>
      </c>
      <c r="D4" s="16" t="s">
        <v>13</v>
      </c>
      <c r="E4" s="17">
        <f>58.9+13.6+1+137.6+76.4</f>
        <v>287.5</v>
      </c>
      <c r="F4" s="13">
        <v>7835.2</v>
      </c>
      <c r="K4"/>
    </row>
    <row r="5" spans="2:11" ht="15.75" x14ac:dyDescent="0.25">
      <c r="B5" s="14">
        <v>42422</v>
      </c>
      <c r="C5" s="15">
        <v>5900</v>
      </c>
      <c r="D5" s="16" t="s">
        <v>14</v>
      </c>
      <c r="E5" s="17">
        <v>362.4</v>
      </c>
      <c r="F5" s="13">
        <v>11053.2</v>
      </c>
      <c r="K5"/>
    </row>
    <row r="6" spans="2:11" ht="15.75" x14ac:dyDescent="0.25">
      <c r="B6" s="14">
        <v>42422</v>
      </c>
      <c r="C6" s="15">
        <v>5901</v>
      </c>
      <c r="D6" s="16" t="s">
        <v>6</v>
      </c>
      <c r="E6" s="17">
        <v>62</v>
      </c>
      <c r="F6" s="13">
        <v>2480</v>
      </c>
      <c r="G6" t="s">
        <v>233</v>
      </c>
      <c r="K6" s="3">
        <f t="shared" ref="K6:K18" si="0">J6*I6</f>
        <v>0</v>
      </c>
    </row>
    <row r="7" spans="2:11" ht="15.75" x14ac:dyDescent="0.25">
      <c r="B7" s="14">
        <v>42422</v>
      </c>
      <c r="C7" s="15">
        <v>5902</v>
      </c>
      <c r="D7" s="16" t="s">
        <v>12</v>
      </c>
      <c r="E7" s="17">
        <v>72.400000000000006</v>
      </c>
      <c r="F7" s="13">
        <v>3330.4</v>
      </c>
      <c r="K7" s="3">
        <f t="shared" si="0"/>
        <v>0</v>
      </c>
    </row>
    <row r="8" spans="2:11" ht="15.75" x14ac:dyDescent="0.25">
      <c r="B8" s="14">
        <v>42422</v>
      </c>
      <c r="C8" s="15">
        <v>5903</v>
      </c>
      <c r="D8" s="16" t="s">
        <v>9</v>
      </c>
      <c r="E8" s="17">
        <v>263.39999999999998</v>
      </c>
      <c r="F8" s="13">
        <v>8560.5</v>
      </c>
      <c r="K8" s="3">
        <f t="shared" si="0"/>
        <v>0</v>
      </c>
    </row>
    <row r="9" spans="2:11" ht="15.75" x14ac:dyDescent="0.25">
      <c r="B9" s="14">
        <v>42423</v>
      </c>
      <c r="C9" s="15">
        <v>6043</v>
      </c>
      <c r="D9" s="16" t="s">
        <v>10</v>
      </c>
      <c r="E9" s="17">
        <f>192.4+109.2+29</f>
        <v>330.6</v>
      </c>
      <c r="F9" s="13">
        <v>11885.2</v>
      </c>
      <c r="K9" s="3">
        <f t="shared" si="0"/>
        <v>0</v>
      </c>
    </row>
    <row r="10" spans="2:11" ht="15.75" x14ac:dyDescent="0.25">
      <c r="B10" s="14">
        <v>42423</v>
      </c>
      <c r="C10" s="15">
        <v>6044</v>
      </c>
      <c r="D10" s="16" t="s">
        <v>282</v>
      </c>
      <c r="E10" s="17">
        <f>394.3+77.3</f>
        <v>471.6</v>
      </c>
      <c r="F10" s="13">
        <v>15272.75</v>
      </c>
      <c r="K10" s="3">
        <f t="shared" si="0"/>
        <v>0</v>
      </c>
    </row>
    <row r="11" spans="2:11" ht="15.75" x14ac:dyDescent="0.25">
      <c r="B11" s="14">
        <v>42423</v>
      </c>
      <c r="C11" s="15">
        <v>6045</v>
      </c>
      <c r="D11" s="16" t="s">
        <v>14</v>
      </c>
      <c r="E11" s="17">
        <f>251.8</f>
        <v>251.8</v>
      </c>
      <c r="F11" s="13">
        <v>7679.9</v>
      </c>
      <c r="K11" s="3">
        <f t="shared" si="0"/>
        <v>0</v>
      </c>
    </row>
    <row r="12" spans="2:11" ht="15.75" x14ac:dyDescent="0.25">
      <c r="B12" s="14">
        <v>42423</v>
      </c>
      <c r="C12" s="44">
        <v>6046</v>
      </c>
      <c r="D12" s="16" t="s">
        <v>8</v>
      </c>
      <c r="E12" s="17">
        <v>55.5</v>
      </c>
      <c r="F12" s="13">
        <v>888</v>
      </c>
      <c r="K12" s="3">
        <f t="shared" si="0"/>
        <v>0</v>
      </c>
    </row>
    <row r="13" spans="2:11" ht="15.75" x14ac:dyDescent="0.25">
      <c r="B13" s="14">
        <v>42423</v>
      </c>
      <c r="C13" s="15">
        <v>6048</v>
      </c>
      <c r="D13" s="16" t="s">
        <v>11</v>
      </c>
      <c r="E13" s="17">
        <v>116</v>
      </c>
      <c r="F13" s="13">
        <v>4640</v>
      </c>
      <c r="K13" s="3">
        <f t="shared" si="0"/>
        <v>0</v>
      </c>
    </row>
    <row r="14" spans="2:11" ht="15.75" x14ac:dyDescent="0.25">
      <c r="B14" s="14">
        <v>42423</v>
      </c>
      <c r="C14" s="15">
        <v>6049</v>
      </c>
      <c r="D14" s="16" t="s">
        <v>7</v>
      </c>
      <c r="E14" s="17">
        <f>18.2+1</f>
        <v>19.2</v>
      </c>
      <c r="F14" s="13">
        <v>458</v>
      </c>
      <c r="K14" s="3">
        <f t="shared" si="0"/>
        <v>0</v>
      </c>
    </row>
    <row r="15" spans="2:11" ht="15.75" x14ac:dyDescent="0.25">
      <c r="B15" s="14">
        <v>42423</v>
      </c>
      <c r="C15" s="15">
        <v>6050</v>
      </c>
      <c r="D15" s="16" t="s">
        <v>7</v>
      </c>
      <c r="E15" s="17">
        <v>1</v>
      </c>
      <c r="F15" s="13">
        <v>185</v>
      </c>
      <c r="K15" s="3">
        <f t="shared" si="0"/>
        <v>0</v>
      </c>
    </row>
    <row r="16" spans="2:11" ht="15.75" x14ac:dyDescent="0.25">
      <c r="B16" s="14">
        <v>42423</v>
      </c>
      <c r="C16" s="15">
        <v>6058</v>
      </c>
      <c r="D16" s="16" t="s">
        <v>6</v>
      </c>
      <c r="E16" s="17">
        <v>1</v>
      </c>
      <c r="F16" s="13">
        <v>185</v>
      </c>
      <c r="K16" s="3">
        <f t="shared" si="0"/>
        <v>0</v>
      </c>
    </row>
    <row r="17" spans="1:11" ht="15.75" x14ac:dyDescent="0.25">
      <c r="B17" s="14">
        <v>42424</v>
      </c>
      <c r="C17" s="15">
        <v>6138</v>
      </c>
      <c r="D17" s="16" t="s">
        <v>8</v>
      </c>
      <c r="E17" s="17">
        <f>906.58+74.8</f>
        <v>981.38</v>
      </c>
      <c r="F17" s="13">
        <v>28988.11</v>
      </c>
      <c r="K17" s="3">
        <f t="shared" si="0"/>
        <v>0</v>
      </c>
    </row>
    <row r="18" spans="1:11" ht="15.75" x14ac:dyDescent="0.25">
      <c r="B18" s="14">
        <v>42424</v>
      </c>
      <c r="C18" s="15">
        <v>6139</v>
      </c>
      <c r="D18" s="16" t="s">
        <v>6</v>
      </c>
      <c r="E18" s="17">
        <f>80.2+12.4+31.4+21</f>
        <v>145</v>
      </c>
      <c r="F18" s="13">
        <v>5232.6000000000004</v>
      </c>
      <c r="K18" s="3">
        <f t="shared" si="0"/>
        <v>0</v>
      </c>
    </row>
    <row r="19" spans="1:11" ht="15.75" x14ac:dyDescent="0.25">
      <c r="B19" s="14">
        <v>42424</v>
      </c>
      <c r="C19" s="15">
        <v>6140</v>
      </c>
      <c r="D19" s="16" t="s">
        <v>7</v>
      </c>
      <c r="E19" s="17">
        <f>73.9+32.4</f>
        <v>106.30000000000001</v>
      </c>
      <c r="F19" s="13">
        <v>3221.4</v>
      </c>
      <c r="I19" s="3">
        <f t="shared" ref="I19" si="1">SUM(I6:I18)</f>
        <v>0</v>
      </c>
      <c r="J19" s="3"/>
      <c r="K19" s="3">
        <f>SUM(K6:K18)</f>
        <v>0</v>
      </c>
    </row>
    <row r="20" spans="1:11" ht="15.75" x14ac:dyDescent="0.25">
      <c r="B20" s="14">
        <v>42424</v>
      </c>
      <c r="C20" s="15">
        <v>6141</v>
      </c>
      <c r="D20" s="16" t="s">
        <v>282</v>
      </c>
      <c r="E20" s="17">
        <f>372.5+36.6+59.3</f>
        <v>468.40000000000003</v>
      </c>
      <c r="F20" s="13">
        <v>12759.9</v>
      </c>
    </row>
    <row r="21" spans="1:11" ht="15.75" x14ac:dyDescent="0.25">
      <c r="B21" s="14">
        <v>42424</v>
      </c>
      <c r="C21" s="15">
        <v>6142</v>
      </c>
      <c r="D21" s="16" t="s">
        <v>14</v>
      </c>
      <c r="E21" s="17">
        <v>534</v>
      </c>
      <c r="F21" s="13">
        <v>16020</v>
      </c>
    </row>
    <row r="22" spans="1:11" ht="15.75" x14ac:dyDescent="0.25">
      <c r="A22" s="18"/>
      <c r="B22" s="14">
        <v>42424</v>
      </c>
      <c r="C22" s="15">
        <v>6144</v>
      </c>
      <c r="D22" s="16" t="s">
        <v>13</v>
      </c>
      <c r="E22" s="17">
        <v>183.9</v>
      </c>
      <c r="F22" s="13">
        <v>7356</v>
      </c>
    </row>
    <row r="23" spans="1:11" ht="15.75" x14ac:dyDescent="0.25">
      <c r="B23" s="14">
        <v>42424</v>
      </c>
      <c r="C23" s="15">
        <v>6145</v>
      </c>
      <c r="D23" s="16" t="s">
        <v>9</v>
      </c>
      <c r="E23" s="17">
        <f>160+8.4</f>
        <v>168.4</v>
      </c>
      <c r="F23" s="13">
        <v>5110.8</v>
      </c>
    </row>
    <row r="24" spans="1:11" x14ac:dyDescent="0.25">
      <c r="B24" s="14">
        <v>42424</v>
      </c>
      <c r="C24" s="19">
        <v>6146</v>
      </c>
      <c r="D24" s="16" t="s">
        <v>10</v>
      </c>
      <c r="E24" s="17">
        <v>27.7</v>
      </c>
      <c r="F24" s="13">
        <v>1274.2</v>
      </c>
    </row>
    <row r="25" spans="1:11" x14ac:dyDescent="0.25">
      <c r="B25" s="14">
        <v>42424</v>
      </c>
      <c r="C25" s="19">
        <v>6148</v>
      </c>
      <c r="D25" s="16" t="s">
        <v>11</v>
      </c>
      <c r="E25" s="17">
        <f>47.4+59.8</f>
        <v>107.19999999999999</v>
      </c>
      <c r="F25" s="13">
        <v>4477.6000000000004</v>
      </c>
    </row>
    <row r="26" spans="1:11" x14ac:dyDescent="0.25">
      <c r="B26" s="14">
        <v>42425</v>
      </c>
      <c r="C26" s="19">
        <v>6281</v>
      </c>
      <c r="D26" s="16" t="s">
        <v>11</v>
      </c>
      <c r="E26" s="17">
        <f>74.4+60.4</f>
        <v>134.80000000000001</v>
      </c>
      <c r="F26" s="13">
        <v>4788</v>
      </c>
    </row>
    <row r="27" spans="1:11" x14ac:dyDescent="0.25">
      <c r="B27" s="14">
        <v>42425</v>
      </c>
      <c r="C27" s="19">
        <v>6282</v>
      </c>
      <c r="D27" s="16" t="s">
        <v>14</v>
      </c>
      <c r="E27" s="17">
        <f>195.8</f>
        <v>195.8</v>
      </c>
      <c r="F27" s="13">
        <v>5874</v>
      </c>
    </row>
    <row r="28" spans="1:11" x14ac:dyDescent="0.25">
      <c r="B28" s="14">
        <v>42425</v>
      </c>
      <c r="C28" s="19">
        <v>6284</v>
      </c>
      <c r="D28" s="16" t="s">
        <v>282</v>
      </c>
      <c r="E28" s="17">
        <f>354.2</f>
        <v>354.2</v>
      </c>
      <c r="F28" s="13">
        <v>10980.2</v>
      </c>
    </row>
    <row r="29" spans="1:11" x14ac:dyDescent="0.25">
      <c r="B29" s="14">
        <v>42425</v>
      </c>
      <c r="C29" s="19">
        <v>6286</v>
      </c>
      <c r="D29" s="16" t="s">
        <v>7</v>
      </c>
      <c r="E29" s="17">
        <f>62.6</f>
        <v>62.6</v>
      </c>
      <c r="F29" s="13">
        <v>1878</v>
      </c>
    </row>
    <row r="30" spans="1:11" x14ac:dyDescent="0.25">
      <c r="B30" s="14">
        <v>42425</v>
      </c>
      <c r="C30" s="19">
        <v>6287</v>
      </c>
      <c r="D30" s="16" t="s">
        <v>6</v>
      </c>
      <c r="E30" s="17">
        <f>18.6+36.7+18.5+29.9+34+151.4</f>
        <v>289.10000000000002</v>
      </c>
      <c r="F30" s="13">
        <v>8555.4</v>
      </c>
    </row>
    <row r="31" spans="1:11" x14ac:dyDescent="0.25">
      <c r="B31" s="14">
        <v>42425</v>
      </c>
      <c r="C31" s="19">
        <v>6288</v>
      </c>
      <c r="D31" s="16" t="s">
        <v>282</v>
      </c>
      <c r="E31" s="17">
        <v>204</v>
      </c>
      <c r="F31" s="13">
        <v>8160</v>
      </c>
    </row>
    <row r="32" spans="1:11" x14ac:dyDescent="0.25">
      <c r="B32" s="14">
        <v>42425</v>
      </c>
      <c r="C32" s="19">
        <v>6289</v>
      </c>
      <c r="D32" s="16" t="s">
        <v>10</v>
      </c>
      <c r="E32" s="17">
        <f>192.6+60.9</f>
        <v>253.5</v>
      </c>
      <c r="F32" s="13">
        <v>8772</v>
      </c>
    </row>
    <row r="33" spans="2:11" ht="15.75" x14ac:dyDescent="0.25">
      <c r="B33" s="14">
        <v>42425</v>
      </c>
      <c r="C33" s="15">
        <v>6290</v>
      </c>
      <c r="D33" s="16" t="s">
        <v>9</v>
      </c>
      <c r="E33" s="17">
        <v>27.2</v>
      </c>
      <c r="F33" s="13">
        <v>1033.5999999999999</v>
      </c>
    </row>
    <row r="34" spans="2:11" x14ac:dyDescent="0.25">
      <c r="B34" s="14">
        <v>42426</v>
      </c>
      <c r="C34" s="19">
        <v>6408</v>
      </c>
      <c r="D34" s="16" t="s">
        <v>13</v>
      </c>
      <c r="E34" s="17">
        <f>923.5+14.9</f>
        <v>938.4</v>
      </c>
      <c r="F34" s="13">
        <v>27556.15</v>
      </c>
      <c r="K34" s="3">
        <f t="shared" ref="K34:K50" si="2">J34*I34</f>
        <v>0</v>
      </c>
    </row>
    <row r="35" spans="2:11" x14ac:dyDescent="0.25">
      <c r="B35" s="14">
        <v>42426</v>
      </c>
      <c r="C35" s="19">
        <v>6409</v>
      </c>
      <c r="D35" s="16" t="s">
        <v>10</v>
      </c>
      <c r="E35" s="17">
        <f>33.7+256.8+279+241.6</f>
        <v>811.1</v>
      </c>
      <c r="F35" s="13">
        <v>28992.1</v>
      </c>
    </row>
    <row r="36" spans="2:11" x14ac:dyDescent="0.25">
      <c r="B36" s="14">
        <v>42426</v>
      </c>
      <c r="C36" s="19">
        <v>6410</v>
      </c>
      <c r="D36" s="16" t="s">
        <v>282</v>
      </c>
      <c r="E36" s="17">
        <v>265.2</v>
      </c>
      <c r="F36" s="45">
        <v>7956</v>
      </c>
    </row>
    <row r="37" spans="2:11" x14ac:dyDescent="0.25">
      <c r="B37" s="14">
        <v>42426</v>
      </c>
      <c r="C37" s="19">
        <v>6411</v>
      </c>
      <c r="D37" s="16" t="s">
        <v>8</v>
      </c>
      <c r="E37" s="17">
        <v>288.7</v>
      </c>
      <c r="F37" s="13">
        <v>8661</v>
      </c>
    </row>
    <row r="38" spans="2:11" x14ac:dyDescent="0.25">
      <c r="B38" s="14">
        <v>42426</v>
      </c>
      <c r="C38" s="19">
        <v>6412</v>
      </c>
      <c r="D38" s="16" t="s">
        <v>11</v>
      </c>
      <c r="E38" s="17">
        <f>16.4+42.3</f>
        <v>58.699999999999996</v>
      </c>
      <c r="F38" s="13">
        <v>1994.1</v>
      </c>
    </row>
    <row r="39" spans="2:11" x14ac:dyDescent="0.25">
      <c r="B39" s="14">
        <v>42426</v>
      </c>
      <c r="C39" s="19">
        <v>6413</v>
      </c>
      <c r="D39" s="16" t="s">
        <v>7</v>
      </c>
      <c r="E39" s="17">
        <f>7.9+1</f>
        <v>8.9</v>
      </c>
      <c r="F39" s="13">
        <v>335.1</v>
      </c>
    </row>
    <row r="40" spans="2:11" x14ac:dyDescent="0.25">
      <c r="B40" s="14">
        <v>42427</v>
      </c>
      <c r="C40" s="19">
        <v>6526</v>
      </c>
      <c r="D40" s="16" t="s">
        <v>12</v>
      </c>
      <c r="E40" s="17">
        <v>929.9</v>
      </c>
      <c r="F40" s="13">
        <v>27432.05</v>
      </c>
    </row>
    <row r="41" spans="2:11" x14ac:dyDescent="0.25">
      <c r="B41" s="14">
        <v>42427</v>
      </c>
      <c r="C41" s="19">
        <v>6527</v>
      </c>
      <c r="D41" s="16" t="s">
        <v>9</v>
      </c>
      <c r="E41" s="17">
        <f>88.4+180.2</f>
        <v>268.60000000000002</v>
      </c>
      <c r="F41" s="13">
        <v>7265.8</v>
      </c>
    </row>
    <row r="42" spans="2:11" x14ac:dyDescent="0.25">
      <c r="B42" s="14">
        <v>42427</v>
      </c>
      <c r="C42" s="19">
        <v>6528</v>
      </c>
      <c r="D42" s="16" t="s">
        <v>8</v>
      </c>
      <c r="E42" s="17">
        <f>410.4</f>
        <v>410.4</v>
      </c>
      <c r="F42" s="13">
        <v>12312</v>
      </c>
    </row>
    <row r="43" spans="2:11" x14ac:dyDescent="0.25">
      <c r="B43" s="14">
        <v>42427</v>
      </c>
      <c r="C43" s="19">
        <v>6529</v>
      </c>
      <c r="D43" s="16" t="s">
        <v>7</v>
      </c>
      <c r="E43" s="17">
        <v>1</v>
      </c>
      <c r="F43" s="13">
        <v>770</v>
      </c>
    </row>
    <row r="44" spans="2:11" x14ac:dyDescent="0.25">
      <c r="B44" s="14">
        <v>42427</v>
      </c>
      <c r="C44" s="19">
        <v>6530</v>
      </c>
      <c r="D44" s="16" t="s">
        <v>282</v>
      </c>
      <c r="E44" s="17">
        <f>425.4</f>
        <v>425.4</v>
      </c>
      <c r="F44" s="13">
        <v>12762</v>
      </c>
    </row>
    <row r="45" spans="2:11" x14ac:dyDescent="0.25">
      <c r="B45" s="14">
        <v>42427</v>
      </c>
      <c r="C45" s="19">
        <v>6532</v>
      </c>
      <c r="D45" s="16" t="s">
        <v>14</v>
      </c>
      <c r="E45" s="17">
        <v>545.4</v>
      </c>
      <c r="F45" s="13">
        <v>16362</v>
      </c>
    </row>
    <row r="46" spans="2:11" x14ac:dyDescent="0.25">
      <c r="B46" s="14">
        <v>42427</v>
      </c>
      <c r="C46" s="19">
        <v>6533</v>
      </c>
      <c r="D46" s="16" t="s">
        <v>6</v>
      </c>
      <c r="E46" s="17">
        <f>9.6+11.2</f>
        <v>20.799999999999997</v>
      </c>
      <c r="F46" s="13">
        <v>926.4</v>
      </c>
      <c r="K46" s="3">
        <f t="shared" si="2"/>
        <v>0</v>
      </c>
    </row>
    <row r="47" spans="2:11" x14ac:dyDescent="0.25">
      <c r="B47" s="14">
        <v>42427</v>
      </c>
      <c r="C47" s="19">
        <v>6549</v>
      </c>
      <c r="D47" s="16" t="s">
        <v>11</v>
      </c>
      <c r="E47" s="17">
        <v>59.2</v>
      </c>
      <c r="F47" s="13">
        <v>2308.8000000000002</v>
      </c>
    </row>
    <row r="48" spans="2:11" x14ac:dyDescent="0.25">
      <c r="B48" s="14"/>
      <c r="C48" s="19"/>
      <c r="D48" s="16"/>
      <c r="E48" s="17"/>
      <c r="F48" s="13"/>
    </row>
    <row r="49" spans="2:13" ht="15.75" thickBot="1" x14ac:dyDescent="0.3">
      <c r="B49" s="14"/>
      <c r="C49" s="19"/>
      <c r="D49" s="16"/>
      <c r="E49" s="17"/>
      <c r="F49" s="13"/>
    </row>
    <row r="50" spans="2:13" ht="15.75" thickBot="1" x14ac:dyDescent="0.3">
      <c r="B50" s="21"/>
      <c r="C50" s="22"/>
      <c r="D50" s="23"/>
      <c r="E50" s="24">
        <v>0</v>
      </c>
      <c r="F50" s="25">
        <f>SUM(F3:F49)</f>
        <v>376201.16</v>
      </c>
      <c r="K50" s="3">
        <f t="shared" si="2"/>
        <v>0</v>
      </c>
    </row>
    <row r="51" spans="2:13" ht="19.5" thickBot="1" x14ac:dyDescent="0.35">
      <c r="B51" s="26"/>
      <c r="C51" s="27"/>
      <c r="D51" s="28" t="s">
        <v>5</v>
      </c>
      <c r="E51" s="29">
        <f>SUM(E3:E50)</f>
        <v>11950.98</v>
      </c>
      <c r="I51" s="30">
        <f>SUM(I34:I50)</f>
        <v>0</v>
      </c>
      <c r="J51" s="30"/>
      <c r="K51" s="30">
        <f>SUM(K34:K50)</f>
        <v>0</v>
      </c>
    </row>
    <row r="52" spans="2:13" x14ac:dyDescent="0.25">
      <c r="B52" s="26"/>
      <c r="C52" s="27"/>
      <c r="D52" s="31"/>
      <c r="E52" s="32"/>
      <c r="K52"/>
    </row>
    <row r="53" spans="2:13" ht="21.75" thickBot="1" x14ac:dyDescent="0.4">
      <c r="B53" s="33"/>
      <c r="C53" s="34" t="s">
        <v>15</v>
      </c>
      <c r="D53" s="35">
        <f>E51*0.2</f>
        <v>2390.1959999999999</v>
      </c>
      <c r="F53"/>
      <c r="K53"/>
    </row>
    <row r="54" spans="2:13" ht="21.75" thickBot="1" x14ac:dyDescent="0.4">
      <c r="C54" s="36" t="s">
        <v>16</v>
      </c>
      <c r="D54" s="37">
        <v>3000</v>
      </c>
      <c r="E54" s="38"/>
      <c r="F54" s="85">
        <f>D53+D54</f>
        <v>5390.1959999999999</v>
      </c>
      <c r="G54" s="86"/>
      <c r="I54" s="39"/>
      <c r="J54" s="39"/>
      <c r="K54" s="39"/>
      <c r="L54" s="39"/>
      <c r="M54" s="39"/>
    </row>
    <row r="55" spans="2:13" ht="15.75" thickTop="1" x14ac:dyDescent="0.25">
      <c r="I55" s="39"/>
      <c r="J55" s="39"/>
      <c r="K55" s="40"/>
      <c r="L55" s="40"/>
      <c r="M55" s="40"/>
    </row>
    <row r="56" spans="2:13" ht="19.5" thickBot="1" x14ac:dyDescent="0.35">
      <c r="E56" s="41" t="s">
        <v>17</v>
      </c>
      <c r="F56" s="87">
        <v>0</v>
      </c>
      <c r="G56" s="87"/>
      <c r="I56" s="39"/>
      <c r="J56" s="39"/>
      <c r="K56" s="40"/>
      <c r="L56" s="40"/>
      <c r="M56" s="40"/>
    </row>
    <row r="57" spans="2:13" ht="15.75" thickTop="1" x14ac:dyDescent="0.25">
      <c r="C57"/>
      <c r="F57" s="88">
        <f>F54+F56</f>
        <v>5390.1959999999999</v>
      </c>
      <c r="G57" s="88"/>
      <c r="I57" s="39"/>
      <c r="J57" s="39"/>
      <c r="K57" s="40"/>
      <c r="L57" s="40"/>
      <c r="M57" s="40"/>
    </row>
    <row r="58" spans="2:13" ht="18.75" x14ac:dyDescent="0.3">
      <c r="C58"/>
      <c r="E58" s="2" t="s">
        <v>18</v>
      </c>
      <c r="F58" s="89"/>
      <c r="G58" s="89"/>
      <c r="K58"/>
    </row>
  </sheetData>
  <mergeCells count="4">
    <mergeCell ref="B1:C1"/>
    <mergeCell ref="F54:G54"/>
    <mergeCell ref="F56:G56"/>
    <mergeCell ref="F57:G58"/>
  </mergeCells>
  <pageMargins left="0.70866141732283472" right="0.70866141732283472" top="0.74803149606299213" bottom="0.74803149606299213" header="0.31496062992125984" footer="0.31496062992125984"/>
  <pageSetup scale="7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50"/>
  <sheetViews>
    <sheetView workbookViewId="0">
      <selection activeCell="C14" sqref="C14"/>
    </sheetView>
  </sheetViews>
  <sheetFormatPr baseColWidth="10" defaultRowHeight="15" x14ac:dyDescent="0.25"/>
  <cols>
    <col min="1" max="1" width="3.42578125" customWidth="1"/>
    <col min="2" max="2" width="13.42578125" bestFit="1" customWidth="1"/>
    <col min="3" max="3" width="13.7109375" style="36" customWidth="1"/>
    <col min="4" max="4" width="33.5703125" customWidth="1"/>
    <col min="5" max="5" width="12" bestFit="1" customWidth="1"/>
    <col min="6" max="6" width="12.5703125" style="3" bestFit="1" customWidth="1"/>
    <col min="7" max="7" width="15.7109375" customWidth="1"/>
    <col min="11" max="11" width="11.42578125" style="3"/>
  </cols>
  <sheetData>
    <row r="1" spans="2:11" ht="19.5" thickBot="1" x14ac:dyDescent="0.35">
      <c r="B1" s="84">
        <v>42438</v>
      </c>
      <c r="C1" s="84"/>
      <c r="D1" s="1" t="s">
        <v>0</v>
      </c>
      <c r="E1" s="2" t="s">
        <v>1</v>
      </c>
      <c r="K1"/>
    </row>
    <row r="2" spans="2:11" ht="19.5" thickBot="1" x14ac:dyDescent="0.35">
      <c r="B2" s="4" t="s">
        <v>2</v>
      </c>
      <c r="C2" s="5" t="s">
        <v>3</v>
      </c>
      <c r="D2" s="5" t="s">
        <v>4</v>
      </c>
      <c r="E2" s="6" t="s">
        <v>5</v>
      </c>
      <c r="F2" s="42" t="s">
        <v>283</v>
      </c>
      <c r="G2" s="8"/>
      <c r="K2"/>
    </row>
    <row r="3" spans="2:11" ht="15.75" x14ac:dyDescent="0.25">
      <c r="B3" s="9">
        <v>42429</v>
      </c>
      <c r="C3" s="10">
        <v>6753</v>
      </c>
      <c r="D3" s="11" t="s">
        <v>13</v>
      </c>
      <c r="E3" s="12">
        <f>1+63.4</f>
        <v>64.400000000000006</v>
      </c>
      <c r="F3" s="13">
        <v>1721</v>
      </c>
      <c r="K3"/>
    </row>
    <row r="4" spans="2:11" ht="15.75" x14ac:dyDescent="0.25">
      <c r="B4" s="14">
        <v>42429</v>
      </c>
      <c r="C4" s="15">
        <v>6754</v>
      </c>
      <c r="D4" s="16" t="s">
        <v>14</v>
      </c>
      <c r="E4" s="17">
        <v>408.8</v>
      </c>
      <c r="F4" s="13">
        <v>12264</v>
      </c>
      <c r="K4"/>
    </row>
    <row r="5" spans="2:11" ht="15.75" x14ac:dyDescent="0.25">
      <c r="B5" s="14">
        <v>42429</v>
      </c>
      <c r="C5" s="15">
        <v>6755</v>
      </c>
      <c r="D5" s="16" t="s">
        <v>189</v>
      </c>
      <c r="E5" s="17">
        <f>247.2+141.2</f>
        <v>388.4</v>
      </c>
      <c r="F5" s="13">
        <v>12922.8</v>
      </c>
      <c r="K5"/>
    </row>
    <row r="6" spans="2:11" ht="15.75" x14ac:dyDescent="0.25">
      <c r="B6" s="14">
        <v>42429</v>
      </c>
      <c r="C6" s="15">
        <v>6758</v>
      </c>
      <c r="D6" s="16" t="s">
        <v>6</v>
      </c>
      <c r="E6" s="17">
        <v>92</v>
      </c>
      <c r="F6" s="13">
        <v>2760</v>
      </c>
      <c r="G6" t="s">
        <v>233</v>
      </c>
      <c r="K6" s="3">
        <f t="shared" ref="K6:K18" si="0">J6*I6</f>
        <v>0</v>
      </c>
    </row>
    <row r="7" spans="2:11" ht="15.75" x14ac:dyDescent="0.25">
      <c r="B7" s="14">
        <v>42429</v>
      </c>
      <c r="C7" s="15">
        <v>6760</v>
      </c>
      <c r="D7" s="16" t="s">
        <v>11</v>
      </c>
      <c r="E7" s="17">
        <f>59+75</f>
        <v>134</v>
      </c>
      <c r="F7" s="13">
        <v>4551</v>
      </c>
      <c r="K7" s="3">
        <f t="shared" si="0"/>
        <v>0</v>
      </c>
    </row>
    <row r="8" spans="2:11" ht="15.75" x14ac:dyDescent="0.25">
      <c r="B8" s="14">
        <v>42430</v>
      </c>
      <c r="C8" s="15">
        <v>6896</v>
      </c>
      <c r="D8" s="16" t="s">
        <v>7</v>
      </c>
      <c r="E8" s="17">
        <f>3+35+204.6</f>
        <v>242.6</v>
      </c>
      <c r="F8" s="13">
        <v>7965.1</v>
      </c>
      <c r="K8" s="3">
        <f t="shared" si="0"/>
        <v>0</v>
      </c>
    </row>
    <row r="9" spans="2:11" ht="15.75" x14ac:dyDescent="0.25">
      <c r="B9" s="14">
        <v>42430</v>
      </c>
      <c r="C9" s="15">
        <v>6897</v>
      </c>
      <c r="D9" s="16" t="s">
        <v>14</v>
      </c>
      <c r="E9" s="17">
        <v>365.8</v>
      </c>
      <c r="F9" s="13">
        <v>10974</v>
      </c>
      <c r="K9" s="3">
        <f t="shared" si="0"/>
        <v>0</v>
      </c>
    </row>
    <row r="10" spans="2:11" ht="15.75" x14ac:dyDescent="0.25">
      <c r="B10" s="14">
        <v>42430</v>
      </c>
      <c r="C10" s="15">
        <v>6899</v>
      </c>
      <c r="D10" s="16" t="s">
        <v>192</v>
      </c>
      <c r="E10" s="17">
        <f>976+82.6</f>
        <v>1058.5999999999999</v>
      </c>
      <c r="F10" s="13">
        <v>30782</v>
      </c>
      <c r="K10" s="3">
        <f t="shared" si="0"/>
        <v>0</v>
      </c>
    </row>
    <row r="11" spans="2:11" ht="15.75" x14ac:dyDescent="0.25">
      <c r="B11" s="14">
        <v>42430</v>
      </c>
      <c r="C11" s="15">
        <v>6900</v>
      </c>
      <c r="D11" s="16" t="s">
        <v>189</v>
      </c>
      <c r="E11" s="17">
        <f>122+409+424</f>
        <v>955</v>
      </c>
      <c r="F11" s="13">
        <v>32527</v>
      </c>
      <c r="K11" s="3">
        <f t="shared" si="0"/>
        <v>0</v>
      </c>
    </row>
    <row r="12" spans="2:11" ht="15.75" x14ac:dyDescent="0.25">
      <c r="B12" s="14">
        <v>42430</v>
      </c>
      <c r="C12" s="44">
        <v>6901</v>
      </c>
      <c r="D12" s="16" t="s">
        <v>153</v>
      </c>
      <c r="E12" s="17">
        <f>228.4</f>
        <v>228.4</v>
      </c>
      <c r="F12" s="13">
        <v>7080.4</v>
      </c>
      <c r="K12" s="3">
        <f t="shared" si="0"/>
        <v>0</v>
      </c>
    </row>
    <row r="13" spans="2:11" ht="15.75" x14ac:dyDescent="0.25">
      <c r="B13" s="14">
        <v>42430</v>
      </c>
      <c r="C13" s="15">
        <v>6902</v>
      </c>
      <c r="D13" s="16" t="s">
        <v>11</v>
      </c>
      <c r="E13" s="17">
        <f>14.4+9.8+73.5+57.2</f>
        <v>154.9</v>
      </c>
      <c r="F13" s="13">
        <v>6129.9</v>
      </c>
      <c r="K13" s="3">
        <f t="shared" si="0"/>
        <v>0</v>
      </c>
    </row>
    <row r="14" spans="2:11" ht="15.75" x14ac:dyDescent="0.25">
      <c r="B14" s="14">
        <v>42430</v>
      </c>
      <c r="C14" s="15">
        <v>6903</v>
      </c>
      <c r="D14" s="16" t="s">
        <v>13</v>
      </c>
      <c r="E14" s="17">
        <v>909</v>
      </c>
      <c r="F14" s="13">
        <v>26361</v>
      </c>
      <c r="K14" s="3">
        <f t="shared" si="0"/>
        <v>0</v>
      </c>
    </row>
    <row r="15" spans="2:11" ht="15.75" x14ac:dyDescent="0.25">
      <c r="B15" s="14">
        <v>42430</v>
      </c>
      <c r="C15" s="15">
        <v>6905</v>
      </c>
      <c r="D15" s="16" t="s">
        <v>10</v>
      </c>
      <c r="E15" s="17">
        <f>134.2+192.2</f>
        <v>326.39999999999998</v>
      </c>
      <c r="F15" s="13">
        <v>12934.3</v>
      </c>
      <c r="K15" s="3">
        <f t="shared" si="0"/>
        <v>0</v>
      </c>
    </row>
    <row r="16" spans="2:11" ht="15.75" x14ac:dyDescent="0.25">
      <c r="B16" s="14">
        <v>42431</v>
      </c>
      <c r="C16" s="15">
        <v>6997</v>
      </c>
      <c r="D16" s="16" t="s">
        <v>7</v>
      </c>
      <c r="E16" s="17">
        <f>72.3</f>
        <v>72.3</v>
      </c>
      <c r="F16" s="13">
        <v>2241.3000000000002</v>
      </c>
      <c r="K16" s="3">
        <f t="shared" si="0"/>
        <v>0</v>
      </c>
    </row>
    <row r="17" spans="1:11" ht="15.75" x14ac:dyDescent="0.25">
      <c r="B17" s="14">
        <v>42431</v>
      </c>
      <c r="C17" s="15">
        <v>6998</v>
      </c>
      <c r="D17" s="16" t="s">
        <v>192</v>
      </c>
      <c r="E17" s="17">
        <v>81.3</v>
      </c>
      <c r="F17" s="13">
        <v>2439</v>
      </c>
      <c r="K17" s="3">
        <f t="shared" si="0"/>
        <v>0</v>
      </c>
    </row>
    <row r="18" spans="1:11" ht="15.75" x14ac:dyDescent="0.25">
      <c r="B18" s="14">
        <v>42431</v>
      </c>
      <c r="C18" s="15">
        <v>6999</v>
      </c>
      <c r="D18" s="16" t="s">
        <v>189</v>
      </c>
      <c r="E18" s="17">
        <f>447.5+140.8</f>
        <v>588.29999999999995</v>
      </c>
      <c r="F18" s="13">
        <v>18916.2</v>
      </c>
      <c r="K18" s="3">
        <f t="shared" si="0"/>
        <v>0</v>
      </c>
    </row>
    <row r="19" spans="1:11" ht="15.75" x14ac:dyDescent="0.25">
      <c r="B19" s="14">
        <v>42431</v>
      </c>
      <c r="C19" s="15">
        <v>7000</v>
      </c>
      <c r="D19" s="16" t="s">
        <v>6</v>
      </c>
      <c r="E19" s="17">
        <f>74+175.1+55.1+19.2+19.7+54.4</f>
        <v>397.49999999999994</v>
      </c>
      <c r="F19" s="13">
        <v>11514.8</v>
      </c>
      <c r="I19" s="3">
        <f t="shared" ref="I19" si="1">SUM(I6:I18)</f>
        <v>0</v>
      </c>
      <c r="J19" s="3"/>
      <c r="K19" s="3">
        <f>SUM(K6:K18)</f>
        <v>0</v>
      </c>
    </row>
    <row r="20" spans="1:11" ht="15.75" x14ac:dyDescent="0.25">
      <c r="B20" s="14">
        <v>42431</v>
      </c>
      <c r="C20" s="15">
        <v>7001</v>
      </c>
      <c r="D20" s="16" t="s">
        <v>11</v>
      </c>
      <c r="E20" s="17">
        <v>87.1</v>
      </c>
      <c r="F20" s="13">
        <v>3517.5</v>
      </c>
    </row>
    <row r="21" spans="1:11" ht="15.75" x14ac:dyDescent="0.25">
      <c r="B21" s="14">
        <v>42431</v>
      </c>
      <c r="C21" s="15">
        <v>7002</v>
      </c>
      <c r="D21" s="16" t="s">
        <v>9</v>
      </c>
      <c r="E21" s="17">
        <v>49.9</v>
      </c>
      <c r="F21" s="13">
        <v>1097.8</v>
      </c>
    </row>
    <row r="22" spans="1:11" ht="15.75" x14ac:dyDescent="0.25">
      <c r="A22" s="18"/>
      <c r="B22" s="14">
        <v>42432</v>
      </c>
      <c r="C22" s="15">
        <v>7139</v>
      </c>
      <c r="D22" s="16" t="s">
        <v>11</v>
      </c>
      <c r="E22" s="17">
        <f>141.8</f>
        <v>141.80000000000001</v>
      </c>
      <c r="F22" s="13">
        <v>4254</v>
      </c>
    </row>
    <row r="23" spans="1:11" ht="15.75" x14ac:dyDescent="0.25">
      <c r="B23" s="14">
        <v>42432</v>
      </c>
      <c r="C23" s="15">
        <v>7140</v>
      </c>
      <c r="D23" s="16" t="s">
        <v>13</v>
      </c>
      <c r="E23" s="17">
        <f>31.9+137</f>
        <v>168.9</v>
      </c>
      <c r="F23" s="13">
        <v>4779.8999999999996</v>
      </c>
    </row>
    <row r="24" spans="1:11" x14ac:dyDescent="0.25">
      <c r="B24" s="14">
        <v>42432</v>
      </c>
      <c r="C24" s="19">
        <v>7141</v>
      </c>
      <c r="D24" s="16" t="s">
        <v>6</v>
      </c>
      <c r="E24" s="17">
        <v>70.8</v>
      </c>
      <c r="F24" s="13">
        <v>2124</v>
      </c>
    </row>
    <row r="25" spans="1:11" x14ac:dyDescent="0.25">
      <c r="B25" s="14">
        <v>42432</v>
      </c>
      <c r="C25" s="19">
        <v>7142</v>
      </c>
      <c r="D25" s="16" t="s">
        <v>189</v>
      </c>
      <c r="E25" s="17">
        <f>2+295.6</f>
        <v>297.60000000000002</v>
      </c>
      <c r="F25" s="13">
        <v>13068.4</v>
      </c>
    </row>
    <row r="26" spans="1:11" x14ac:dyDescent="0.25">
      <c r="B26" s="14">
        <v>42433</v>
      </c>
      <c r="C26" s="19">
        <v>7241</v>
      </c>
      <c r="D26" s="16" t="s">
        <v>192</v>
      </c>
      <c r="E26" s="17">
        <v>418.6</v>
      </c>
      <c r="F26" s="13">
        <v>12558</v>
      </c>
    </row>
    <row r="27" spans="1:11" x14ac:dyDescent="0.25">
      <c r="B27" s="14">
        <v>42433</v>
      </c>
      <c r="C27" s="19">
        <v>7244</v>
      </c>
      <c r="D27" s="16" t="s">
        <v>7</v>
      </c>
      <c r="E27" s="17">
        <f>81.4+3.2</f>
        <v>84.600000000000009</v>
      </c>
      <c r="F27" s="13">
        <v>2509.1999999999998</v>
      </c>
    </row>
    <row r="28" spans="1:11" x14ac:dyDescent="0.25">
      <c r="B28" s="14">
        <v>42433</v>
      </c>
      <c r="C28" s="19">
        <v>7245</v>
      </c>
      <c r="D28" s="16" t="s">
        <v>6</v>
      </c>
      <c r="E28" s="17">
        <f>78.4+76.7</f>
        <v>155.10000000000002</v>
      </c>
      <c r="F28" s="13">
        <v>3809.3</v>
      </c>
    </row>
    <row r="29" spans="1:11" x14ac:dyDescent="0.25">
      <c r="B29" s="14">
        <v>42433</v>
      </c>
      <c r="C29" s="19">
        <v>7255</v>
      </c>
      <c r="D29" s="16" t="s">
        <v>10</v>
      </c>
      <c r="E29" s="17">
        <f>676.2+54.3+3+81.72+349.6</f>
        <v>1164.8200000000002</v>
      </c>
      <c r="F29" s="13">
        <v>43740.46</v>
      </c>
    </row>
    <row r="30" spans="1:11" x14ac:dyDescent="0.25">
      <c r="B30" s="14">
        <v>42433</v>
      </c>
      <c r="C30" s="19">
        <v>7256</v>
      </c>
      <c r="D30" s="16" t="s">
        <v>189</v>
      </c>
      <c r="E30" s="17">
        <f>236.4+290.4</f>
        <v>526.79999999999995</v>
      </c>
      <c r="F30" s="13">
        <v>18417.599999999999</v>
      </c>
    </row>
    <row r="31" spans="1:11" x14ac:dyDescent="0.25">
      <c r="B31" s="14">
        <v>42434</v>
      </c>
      <c r="C31" s="19">
        <v>7374</v>
      </c>
      <c r="D31" s="16" t="s">
        <v>12</v>
      </c>
      <c r="E31" s="17">
        <v>929</v>
      </c>
      <c r="F31" s="13">
        <v>26941</v>
      </c>
    </row>
    <row r="32" spans="1:11" x14ac:dyDescent="0.25">
      <c r="B32" s="14">
        <v>42434</v>
      </c>
      <c r="C32" s="19">
        <v>7375</v>
      </c>
      <c r="D32" s="16" t="s">
        <v>189</v>
      </c>
      <c r="E32" s="17">
        <f>51.4+127.6</f>
        <v>179</v>
      </c>
      <c r="F32" s="13">
        <v>4804.6000000000004</v>
      </c>
    </row>
    <row r="33" spans="2:13" ht="15.75" x14ac:dyDescent="0.25">
      <c r="B33" s="14">
        <v>42434</v>
      </c>
      <c r="C33" s="15">
        <v>7376</v>
      </c>
      <c r="D33" s="16" t="s">
        <v>7</v>
      </c>
      <c r="E33" s="17">
        <f>31.3+9.8</f>
        <v>41.1</v>
      </c>
      <c r="F33" s="13">
        <v>986.7</v>
      </c>
    </row>
    <row r="34" spans="2:13" x14ac:dyDescent="0.25">
      <c r="B34" s="14">
        <v>42434</v>
      </c>
      <c r="C34" s="19">
        <v>7377</v>
      </c>
      <c r="D34" s="16" t="s">
        <v>13</v>
      </c>
      <c r="E34" s="17">
        <f>138+54.48+248.6</f>
        <v>441.08</v>
      </c>
      <c r="F34" s="46">
        <v>12695.04</v>
      </c>
      <c r="K34" s="3">
        <f t="shared" ref="K34:K42" si="2">J34*I34</f>
        <v>0</v>
      </c>
    </row>
    <row r="35" spans="2:13" x14ac:dyDescent="0.25">
      <c r="B35" s="14">
        <v>42434</v>
      </c>
      <c r="C35" s="19">
        <v>7379</v>
      </c>
      <c r="D35" s="16" t="s">
        <v>9</v>
      </c>
      <c r="E35" s="17">
        <f>94.6+142.2</f>
        <v>236.79999999999998</v>
      </c>
      <c r="F35" s="46">
        <v>6063.5</v>
      </c>
    </row>
    <row r="36" spans="2:13" x14ac:dyDescent="0.25">
      <c r="B36" s="14">
        <v>42434</v>
      </c>
      <c r="C36" s="19">
        <v>7378</v>
      </c>
      <c r="D36" s="16" t="s">
        <v>11</v>
      </c>
      <c r="E36" s="17">
        <f>14.5+21.6+76.4+54+130.8</f>
        <v>297.3</v>
      </c>
      <c r="F36" s="13">
        <v>11068.1</v>
      </c>
    </row>
    <row r="37" spans="2:13" x14ac:dyDescent="0.25">
      <c r="B37" s="14">
        <v>42434</v>
      </c>
      <c r="C37" s="19">
        <v>7380</v>
      </c>
      <c r="D37" s="16" t="s">
        <v>14</v>
      </c>
      <c r="E37" s="17">
        <v>302.39999999999998</v>
      </c>
      <c r="F37" s="13">
        <v>9374.4</v>
      </c>
    </row>
    <row r="38" spans="2:13" x14ac:dyDescent="0.25">
      <c r="B38" s="14">
        <v>42434</v>
      </c>
      <c r="C38" s="19">
        <v>7381</v>
      </c>
      <c r="D38" s="16" t="s">
        <v>192</v>
      </c>
      <c r="E38" s="17">
        <v>415.2</v>
      </c>
      <c r="F38" s="13">
        <v>12456</v>
      </c>
    </row>
    <row r="39" spans="2:13" x14ac:dyDescent="0.25">
      <c r="B39" s="14">
        <v>42434</v>
      </c>
      <c r="C39" s="19">
        <v>7382</v>
      </c>
      <c r="D39" s="16" t="s">
        <v>6</v>
      </c>
      <c r="E39" s="17">
        <f>161.2+8.4</f>
        <v>169.6</v>
      </c>
      <c r="F39" s="13">
        <v>5062.8</v>
      </c>
    </row>
    <row r="40" spans="2:13" x14ac:dyDescent="0.25">
      <c r="B40" s="14">
        <v>42434</v>
      </c>
      <c r="C40" s="19">
        <v>7383</v>
      </c>
      <c r="D40" s="16" t="s">
        <v>153</v>
      </c>
      <c r="E40" s="17">
        <v>136.6</v>
      </c>
      <c r="F40" s="13">
        <v>2322.1999999999998</v>
      </c>
    </row>
    <row r="41" spans="2:13" ht="15.75" thickBot="1" x14ac:dyDescent="0.3">
      <c r="B41" s="14"/>
      <c r="C41" s="19"/>
      <c r="D41" s="16"/>
      <c r="E41" s="17"/>
      <c r="F41" s="13"/>
    </row>
    <row r="42" spans="2:13" ht="15.75" thickBot="1" x14ac:dyDescent="0.3">
      <c r="B42" s="21"/>
      <c r="C42" s="22"/>
      <c r="D42" s="23"/>
      <c r="E42" s="24">
        <v>0</v>
      </c>
      <c r="F42" s="25">
        <f>SUM(F3:F41)</f>
        <v>405734.29999999987</v>
      </c>
      <c r="K42" s="3">
        <f t="shared" si="2"/>
        <v>0</v>
      </c>
    </row>
    <row r="43" spans="2:13" ht="19.5" thickBot="1" x14ac:dyDescent="0.35">
      <c r="B43" s="26"/>
      <c r="C43" s="27"/>
      <c r="D43" s="28" t="s">
        <v>5</v>
      </c>
      <c r="E43" s="29">
        <f>SUM(E3:E42)</f>
        <v>12781.800000000001</v>
      </c>
      <c r="I43" s="30">
        <f>SUM(I34:I42)</f>
        <v>0</v>
      </c>
      <c r="J43" s="30"/>
      <c r="K43" s="30">
        <f>SUM(K34:K42)</f>
        <v>0</v>
      </c>
    </row>
    <row r="44" spans="2:13" x14ac:dyDescent="0.25">
      <c r="B44" s="26"/>
      <c r="C44" s="27"/>
      <c r="D44" s="31"/>
      <c r="E44" s="32"/>
      <c r="K44"/>
    </row>
    <row r="45" spans="2:13" ht="21.75" thickBot="1" x14ac:dyDescent="0.4">
      <c r="B45" s="33"/>
      <c r="C45" s="34" t="s">
        <v>15</v>
      </c>
      <c r="D45" s="35">
        <f>E43*0.2</f>
        <v>2556.3600000000006</v>
      </c>
      <c r="F45"/>
      <c r="K45"/>
    </row>
    <row r="46" spans="2:13" ht="21.75" thickBot="1" x14ac:dyDescent="0.4">
      <c r="C46" s="36" t="s">
        <v>16</v>
      </c>
      <c r="D46" s="37">
        <v>3000</v>
      </c>
      <c r="E46" s="38"/>
      <c r="F46" s="85">
        <f>D45+D46</f>
        <v>5556.3600000000006</v>
      </c>
      <c r="G46" s="86"/>
      <c r="I46" s="39"/>
      <c r="J46" s="39"/>
      <c r="K46" s="39"/>
      <c r="L46" s="39"/>
      <c r="M46" s="39"/>
    </row>
    <row r="47" spans="2:13" ht="15.75" thickTop="1" x14ac:dyDescent="0.25">
      <c r="I47" s="39"/>
      <c r="J47" s="39"/>
      <c r="K47" s="40"/>
      <c r="L47" s="40"/>
      <c r="M47" s="40"/>
    </row>
    <row r="48" spans="2:13" ht="19.5" thickBot="1" x14ac:dyDescent="0.35">
      <c r="E48" s="41" t="s">
        <v>17</v>
      </c>
      <c r="F48" s="87">
        <v>0</v>
      </c>
      <c r="G48" s="87"/>
      <c r="I48" s="39"/>
      <c r="J48" s="39"/>
      <c r="K48" s="40"/>
      <c r="L48" s="40"/>
      <c r="M48" s="40"/>
    </row>
    <row r="49" spans="3:13" ht="15.75" thickTop="1" x14ac:dyDescent="0.25">
      <c r="C49"/>
      <c r="F49" s="88">
        <f>F46+F48</f>
        <v>5556.3600000000006</v>
      </c>
      <c r="G49" s="88"/>
      <c r="I49" s="39"/>
      <c r="J49" s="39"/>
      <c r="K49" s="40"/>
      <c r="L49" s="40"/>
      <c r="M49" s="40"/>
    </row>
    <row r="50" spans="3:13" ht="18.75" x14ac:dyDescent="0.3">
      <c r="C50"/>
      <c r="E50" s="2" t="s">
        <v>18</v>
      </c>
      <c r="F50" s="89"/>
      <c r="G50" s="89"/>
      <c r="K50"/>
    </row>
  </sheetData>
  <mergeCells count="4">
    <mergeCell ref="B1:C1"/>
    <mergeCell ref="F46:G46"/>
    <mergeCell ref="F48:G48"/>
    <mergeCell ref="F49:G50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56</vt:i4>
      </vt:variant>
    </vt:vector>
  </HeadingPairs>
  <TitlesOfParts>
    <vt:vector size="56" baseType="lpstr">
      <vt:lpstr>SEMANA 1  </vt:lpstr>
      <vt:lpstr>SEMANA 2</vt:lpstr>
      <vt:lpstr>SEMANA 3</vt:lpstr>
      <vt:lpstr>SEMANA 4</vt:lpstr>
      <vt:lpstr>SEMANA 5</vt:lpstr>
      <vt:lpstr>SEMANA 6</vt:lpstr>
      <vt:lpstr>SEMANA 7</vt:lpstr>
      <vt:lpstr>SEMANA 8</vt:lpstr>
      <vt:lpstr>SEMANA 9</vt:lpstr>
      <vt:lpstr>SEMANA 10</vt:lpstr>
      <vt:lpstr>SEMANA 11</vt:lpstr>
      <vt:lpstr>SEMANA 12</vt:lpstr>
      <vt:lpstr>SEMANA 13</vt:lpstr>
      <vt:lpstr>SEMANA 14</vt:lpstr>
      <vt:lpstr>SEMANA 15</vt:lpstr>
      <vt:lpstr>SEMANA 16</vt:lpstr>
      <vt:lpstr>SEMANA 17</vt:lpstr>
      <vt:lpstr>SEMANA 18</vt:lpstr>
      <vt:lpstr>SEMANA 19</vt:lpstr>
      <vt:lpstr>SEMANA 20</vt:lpstr>
      <vt:lpstr>SEMANA 21</vt:lpstr>
      <vt:lpstr>SEMANA 22</vt:lpstr>
      <vt:lpstr>SEMANA 23</vt:lpstr>
      <vt:lpstr>SEMANA 24</vt:lpstr>
      <vt:lpstr>SEMANA 25</vt:lpstr>
      <vt:lpstr>SEMANA 26</vt:lpstr>
      <vt:lpstr>SEMANA 27</vt:lpstr>
      <vt:lpstr>SEMANA 28</vt:lpstr>
      <vt:lpstr>SEMANA 29</vt:lpstr>
      <vt:lpstr>SEMANA 30</vt:lpstr>
      <vt:lpstr>SEMANA 31</vt:lpstr>
      <vt:lpstr>SEMANA 32</vt:lpstr>
      <vt:lpstr>SEMANA 33</vt:lpstr>
      <vt:lpstr>SEMANA 34</vt:lpstr>
      <vt:lpstr>SEMANA 35</vt:lpstr>
      <vt:lpstr>SEMANA 36</vt:lpstr>
      <vt:lpstr>SEMANA 37</vt:lpstr>
      <vt:lpstr>SEMANA 38</vt:lpstr>
      <vt:lpstr>SEMANA 39</vt:lpstr>
      <vt:lpstr>SEMANA 40</vt:lpstr>
      <vt:lpstr>SEMANA 41</vt:lpstr>
      <vt:lpstr>SEMANA 42</vt:lpstr>
      <vt:lpstr>SEMANA 43  </vt:lpstr>
      <vt:lpstr>SEMANA 44</vt:lpstr>
      <vt:lpstr>SEMANA 45</vt:lpstr>
      <vt:lpstr>SEMANA 46</vt:lpstr>
      <vt:lpstr>SEMANA 47</vt:lpstr>
      <vt:lpstr>SEMANA 48  </vt:lpstr>
      <vt:lpstr>SEMANA 49</vt:lpstr>
      <vt:lpstr>SEMANA 50</vt:lpstr>
      <vt:lpstr>SEMANA 51</vt:lpstr>
      <vt:lpstr>Hoja8</vt:lpstr>
      <vt:lpstr>Hoja9</vt:lpstr>
      <vt:lpstr>Hoja10</vt:lpstr>
      <vt:lpstr>PAGOS EQUINOX</vt:lpstr>
      <vt:lpstr>Hoja12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2017-01-12T17:03:41Z</cp:lastPrinted>
  <dcterms:created xsi:type="dcterms:W3CDTF">2016-01-13T22:24:32Z</dcterms:created>
  <dcterms:modified xsi:type="dcterms:W3CDTF">2017-01-12T17:08:30Z</dcterms:modified>
</cp:coreProperties>
</file>