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"/>
    </mc:Choice>
  </mc:AlternateContent>
  <bookViews>
    <workbookView xWindow="0" yWindow="0" windowWidth="13500" windowHeight="9735" firstSheet="46" activeTab="51"/>
  </bookViews>
  <sheets>
    <sheet name="SEMANA 01" sheetId="1" r:id="rId1"/>
    <sheet name="SEMANA 02" sheetId="2" r:id="rId2"/>
    <sheet name="SEMANA 03" sheetId="3" r:id="rId3"/>
    <sheet name="SEMANA 04" sheetId="4" r:id="rId4"/>
    <sheet name="SEMANA 05" sheetId="5" r:id="rId5"/>
    <sheet name="SEMANA 06" sheetId="6" r:id="rId6"/>
    <sheet name="SEMANA 07" sheetId="7" r:id="rId7"/>
    <sheet name="SEMANA 08" sheetId="8" r:id="rId8"/>
    <sheet name="SEMANA 09    " sheetId="13" r:id="rId9"/>
    <sheet name="SEMANA 10" sheetId="17" r:id="rId10"/>
    <sheet name="SEMANA 11     " sheetId="16" r:id="rId11"/>
    <sheet name="SEMANA 12    " sheetId="15" r:id="rId12"/>
    <sheet name="SEMANA 13" sheetId="14" r:id="rId13"/>
    <sheet name="SEMANA 14" sheetId="12" r:id="rId14"/>
    <sheet name="SEMANA  15   " sheetId="11" r:id="rId15"/>
    <sheet name="SEMANA 16" sheetId="21" r:id="rId16"/>
    <sheet name="SEMANA 17" sheetId="20" r:id="rId17"/>
    <sheet name="SEMANA 18" sheetId="19" r:id="rId18"/>
    <sheet name="SEMANA 19" sheetId="18" r:id="rId19"/>
    <sheet name="SEMANA 20  " sheetId="25" r:id="rId20"/>
    <sheet name="SEMANA 21" sheetId="24" r:id="rId21"/>
    <sheet name="SEMANA 22     " sheetId="32" r:id="rId22"/>
    <sheet name="SEMANA 23" sheetId="31" r:id="rId23"/>
    <sheet name="SEMANA 24" sheetId="30" r:id="rId24"/>
    <sheet name="SEMANA 25    " sheetId="29" r:id="rId25"/>
    <sheet name="SEMANA 26      " sheetId="28" r:id="rId26"/>
    <sheet name="SEMANA 27" sheetId="27" r:id="rId27"/>
    <sheet name="SEMAMANA 28      " sheetId="26" r:id="rId28"/>
    <sheet name="SEMANA  29  " sheetId="23" r:id="rId29"/>
    <sheet name="SEMANA    30   " sheetId="22" r:id="rId30"/>
    <sheet name="SEMANA  31    " sheetId="33" r:id="rId31"/>
    <sheet name="SEMANA 32      " sheetId="34" r:id="rId32"/>
    <sheet name="SEMANA 33   " sheetId="38" r:id="rId33"/>
    <sheet name="SEMANA 34" sheetId="37" r:id="rId34"/>
    <sheet name="SEMANA 35       " sheetId="36" r:id="rId35"/>
    <sheet name="SEMANA 36         " sheetId="35" r:id="rId36"/>
    <sheet name="SEMANA      37        " sheetId="39" r:id="rId37"/>
    <sheet name="SEMANA    38     " sheetId="40" r:id="rId38"/>
    <sheet name="SEMANA 39" sheetId="41" r:id="rId39"/>
    <sheet name="SEMANA 40    " sheetId="42" r:id="rId40"/>
    <sheet name="SEMANA   41      " sheetId="43" r:id="rId41"/>
    <sheet name="SEMANA   42     " sheetId="45" r:id="rId42"/>
    <sheet name="SEMANA    43      " sheetId="46" r:id="rId43"/>
    <sheet name="SEMANA      44     " sheetId="49" r:id="rId44"/>
    <sheet name="SEMANA    45    " sheetId="48" r:id="rId45"/>
    <sheet name="SEMANA   46    " sheetId="50" r:id="rId46"/>
    <sheet name="SEMANA  47     " sheetId="51" r:id="rId47"/>
    <sheet name="SEMANA    48     " sheetId="55" r:id="rId48"/>
    <sheet name="SEMANA  49    " sheetId="56" r:id="rId49"/>
    <sheet name="SEMANA     50     " sheetId="57" r:id="rId50"/>
    <sheet name="SEMANA    51" sheetId="58" r:id="rId51"/>
    <sheet name="SEMANA  52    " sheetId="62" r:id="rId52"/>
    <sheet name="Hoja3" sheetId="63" r:id="rId53"/>
    <sheet name="Hoja10" sheetId="59" r:id="rId54"/>
    <sheet name="Hoja11" sheetId="60" r:id="rId55"/>
    <sheet name="Hoja12" sheetId="61" r:id="rId56"/>
    <sheet name="Hoja5" sheetId="52" r:id="rId57"/>
    <sheet name="Hoja7" sheetId="53" r:id="rId58"/>
    <sheet name="Hoja8" sheetId="54" r:id="rId59"/>
    <sheet name="Hoja1" sheetId="47" r:id="rId60"/>
    <sheet name="Hoja6" sheetId="44" r:id="rId61"/>
    <sheet name="pagos de notas " sheetId="9" r:id="rId62"/>
    <sheet name="PRESTAMOS  " sheetId="10" r:id="rId6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4" i="62" l="1"/>
  <c r="E41" i="62"/>
  <c r="E40" i="62"/>
  <c r="E39" i="62"/>
  <c r="E22" i="62"/>
  <c r="E21" i="62"/>
  <c r="E20" i="62"/>
  <c r="E19" i="62"/>
  <c r="E18" i="62"/>
  <c r="E16" i="62"/>
  <c r="E15" i="62"/>
  <c r="E11" i="62"/>
  <c r="E10" i="62"/>
  <c r="E7" i="62"/>
  <c r="E6" i="62"/>
  <c r="E4" i="62"/>
  <c r="E66" i="58"/>
  <c r="E65" i="58"/>
  <c r="E63" i="58"/>
  <c r="E62" i="58"/>
  <c r="E57" i="58"/>
  <c r="E56" i="58"/>
  <c r="E53" i="58"/>
  <c r="E49" i="58"/>
  <c r="E48" i="58"/>
  <c r="E47" i="58"/>
  <c r="E46" i="58"/>
  <c r="E44" i="58"/>
  <c r="E43" i="58"/>
  <c r="E42" i="58"/>
  <c r="E41" i="58" l="1"/>
  <c r="E40" i="58"/>
  <c r="E21" i="58"/>
  <c r="E20" i="58"/>
  <c r="E18" i="58"/>
  <c r="E17" i="58"/>
  <c r="E16" i="58"/>
  <c r="E15" i="58"/>
  <c r="E12" i="58"/>
  <c r="E8" i="58"/>
  <c r="E4" i="58"/>
  <c r="E40" i="57"/>
  <c r="E39" i="57"/>
  <c r="E38" i="57"/>
  <c r="E23" i="57"/>
  <c r="E21" i="57"/>
  <c r="E19" i="57"/>
  <c r="E18" i="57"/>
  <c r="E13" i="57"/>
  <c r="E12" i="57"/>
  <c r="E10" i="57"/>
  <c r="E4" i="57"/>
  <c r="E3" i="57"/>
  <c r="I65" i="62" l="1"/>
  <c r="K59" i="62"/>
  <c r="K58" i="62"/>
  <c r="K56" i="62"/>
  <c r="K55" i="62"/>
  <c r="K54" i="62"/>
  <c r="K53" i="62"/>
  <c r="E53" i="62"/>
  <c r="D55" i="62" s="1"/>
  <c r="F56" i="62" s="1"/>
  <c r="F61" i="62" s="1"/>
  <c r="K52" i="62"/>
  <c r="K65" i="62" s="1"/>
  <c r="F52" i="62"/>
  <c r="I26" i="62"/>
  <c r="K20" i="62"/>
  <c r="K19" i="62"/>
  <c r="K18" i="62"/>
  <c r="K12" i="62"/>
  <c r="K11" i="62"/>
  <c r="K10" i="62"/>
  <c r="K9" i="62"/>
  <c r="K8" i="62"/>
  <c r="K26" i="62" s="1"/>
  <c r="K7" i="62"/>
  <c r="K6" i="62"/>
  <c r="I83" i="58"/>
  <c r="K77" i="58"/>
  <c r="K76" i="58"/>
  <c r="K74" i="58"/>
  <c r="K73" i="58"/>
  <c r="K72" i="58"/>
  <c r="K71" i="58"/>
  <c r="E71" i="58"/>
  <c r="D73" i="58" s="1"/>
  <c r="F74" i="58" s="1"/>
  <c r="F79" i="58" s="1"/>
  <c r="K70" i="58"/>
  <c r="K83" i="58" s="1"/>
  <c r="F70" i="58"/>
  <c r="I26" i="58"/>
  <c r="K20" i="58"/>
  <c r="K19" i="58"/>
  <c r="K18" i="58"/>
  <c r="K12" i="58"/>
  <c r="K11" i="58"/>
  <c r="K10" i="58"/>
  <c r="K9" i="58"/>
  <c r="K8" i="58"/>
  <c r="K26" i="58" s="1"/>
  <c r="K7" i="58"/>
  <c r="K6" i="58"/>
  <c r="I56" i="57" l="1"/>
  <c r="K50" i="57"/>
  <c r="K49" i="57"/>
  <c r="K47" i="57"/>
  <c r="K46" i="57"/>
  <c r="K45" i="57"/>
  <c r="K44" i="57"/>
  <c r="K43" i="57"/>
  <c r="F43" i="57"/>
  <c r="I26" i="57"/>
  <c r="K20" i="57"/>
  <c r="K19" i="57"/>
  <c r="K18" i="57"/>
  <c r="K12" i="57"/>
  <c r="K11" i="57"/>
  <c r="K10" i="57"/>
  <c r="K9" i="57"/>
  <c r="K8" i="57"/>
  <c r="K7" i="57"/>
  <c r="K6" i="57"/>
  <c r="E44" i="57"/>
  <c r="D46" i="57" s="1"/>
  <c r="F47" i="57" s="1"/>
  <c r="F52" i="57" s="1"/>
  <c r="E47" i="56"/>
  <c r="E46" i="56"/>
  <c r="E45" i="56"/>
  <c r="E43" i="56"/>
  <c r="E42" i="56"/>
  <c r="E41" i="56"/>
  <c r="E23" i="56"/>
  <c r="E21" i="56"/>
  <c r="E20" i="56"/>
  <c r="E19" i="56"/>
  <c r="E18" i="56"/>
  <c r="E17" i="56"/>
  <c r="E15" i="56"/>
  <c r="E14" i="56"/>
  <c r="E12" i="56"/>
  <c r="E11" i="56"/>
  <c r="E10" i="56"/>
  <c r="E9" i="56"/>
  <c r="E6" i="56"/>
  <c r="E5" i="56"/>
  <c r="E3" i="56"/>
  <c r="I65" i="56"/>
  <c r="K59" i="56"/>
  <c r="K58" i="56"/>
  <c r="K56" i="56"/>
  <c r="K55" i="56"/>
  <c r="K54" i="56"/>
  <c r="K53" i="56"/>
  <c r="K52" i="56"/>
  <c r="K65" i="56" s="1"/>
  <c r="F52" i="56"/>
  <c r="I26" i="56"/>
  <c r="K20" i="56"/>
  <c r="K19" i="56"/>
  <c r="K18" i="56"/>
  <c r="K12" i="56"/>
  <c r="K11" i="56"/>
  <c r="K10" i="56"/>
  <c r="K9" i="56"/>
  <c r="K8" i="56"/>
  <c r="K7" i="56"/>
  <c r="K6" i="56"/>
  <c r="E50" i="55"/>
  <c r="E49" i="55"/>
  <c r="E48" i="55"/>
  <c r="E46" i="55"/>
  <c r="E45" i="55"/>
  <c r="E42" i="55"/>
  <c r="E41" i="55"/>
  <c r="E40" i="55"/>
  <c r="E39" i="55"/>
  <c r="E22" i="55"/>
  <c r="E21" i="55"/>
  <c r="E19" i="55"/>
  <c r="E18" i="55"/>
  <c r="E16" i="55"/>
  <c r="E14" i="55"/>
  <c r="E13" i="55"/>
  <c r="E12" i="55"/>
  <c r="E10" i="55"/>
  <c r="E9" i="55"/>
  <c r="E8" i="55"/>
  <c r="E5" i="55"/>
  <c r="K56" i="57" l="1"/>
  <c r="K26" i="56"/>
  <c r="K26" i="57"/>
  <c r="E53" i="56"/>
  <c r="D55" i="56" s="1"/>
  <c r="F56" i="56" s="1"/>
  <c r="F61" i="56" s="1"/>
  <c r="I65" i="55"/>
  <c r="K59" i="55"/>
  <c r="K58" i="55"/>
  <c r="K56" i="55"/>
  <c r="K55" i="55"/>
  <c r="K54" i="55"/>
  <c r="K53" i="55"/>
  <c r="K52" i="55"/>
  <c r="F52" i="55"/>
  <c r="I26" i="55"/>
  <c r="K20" i="55"/>
  <c r="K19" i="55"/>
  <c r="K18" i="55"/>
  <c r="K12" i="55"/>
  <c r="K11" i="55"/>
  <c r="K10" i="55"/>
  <c r="K9" i="55"/>
  <c r="K8" i="55"/>
  <c r="K7" i="55"/>
  <c r="K6" i="55"/>
  <c r="E53" i="55"/>
  <c r="D55" i="55" s="1"/>
  <c r="F56" i="55" s="1"/>
  <c r="F61" i="55" s="1"/>
  <c r="K26" i="55" l="1"/>
  <c r="K65" i="55"/>
  <c r="E54" i="51"/>
  <c r="E53" i="51"/>
  <c r="E52" i="51"/>
  <c r="E51" i="51"/>
  <c r="E50" i="51"/>
  <c r="E47" i="51"/>
  <c r="E45" i="51"/>
  <c r="E44" i="51"/>
  <c r="E43" i="51"/>
  <c r="E41" i="51"/>
  <c r="E40" i="51"/>
  <c r="E39" i="51"/>
  <c r="E38" i="51"/>
  <c r="E21" i="51"/>
  <c r="E20" i="51"/>
  <c r="E17" i="51"/>
  <c r="E15" i="51"/>
  <c r="E14" i="51"/>
  <c r="E13" i="51"/>
  <c r="E10" i="51"/>
  <c r="E9" i="51"/>
  <c r="E8" i="51"/>
  <c r="E6" i="51"/>
  <c r="E12" i="51"/>
  <c r="I69" i="51"/>
  <c r="K63" i="51"/>
  <c r="K62" i="51"/>
  <c r="K60" i="51"/>
  <c r="K59" i="51"/>
  <c r="K58" i="51"/>
  <c r="K57" i="51"/>
  <c r="K56" i="51"/>
  <c r="F56" i="51"/>
  <c r="I26" i="51"/>
  <c r="K20" i="51"/>
  <c r="K19" i="51"/>
  <c r="K18" i="51"/>
  <c r="K12" i="51"/>
  <c r="K11" i="51"/>
  <c r="K10" i="51"/>
  <c r="K9" i="51"/>
  <c r="K8" i="51"/>
  <c r="K7" i="51"/>
  <c r="K6" i="51"/>
  <c r="E57" i="51" l="1"/>
  <c r="D59" i="51" s="1"/>
  <c r="F60" i="51" s="1"/>
  <c r="F65" i="51" s="1"/>
  <c r="K26" i="51"/>
  <c r="K69" i="51"/>
  <c r="E23" i="50"/>
  <c r="E22" i="50"/>
  <c r="E20" i="50"/>
  <c r="E19" i="50"/>
  <c r="E18" i="50"/>
  <c r="E16" i="50"/>
  <c r="E14" i="50"/>
  <c r="E13" i="50" l="1"/>
  <c r="E11" i="50"/>
  <c r="E9" i="50"/>
  <c r="E8" i="50"/>
  <c r="E7" i="50"/>
  <c r="E45" i="48"/>
  <c r="E43" i="48"/>
  <c r="E42" i="48"/>
  <c r="E39" i="48"/>
  <c r="E23" i="48"/>
  <c r="E21" i="48"/>
  <c r="E20" i="48"/>
  <c r="E19" i="48"/>
  <c r="E17" i="48"/>
  <c r="E15" i="48"/>
  <c r="E14" i="48"/>
  <c r="E13" i="48"/>
  <c r="E11" i="48"/>
  <c r="E10" i="48"/>
  <c r="E7" i="48"/>
  <c r="E5" i="48"/>
  <c r="E3" i="48"/>
  <c r="I37" i="50"/>
  <c r="K31" i="50"/>
  <c r="K30" i="50"/>
  <c r="K28" i="50"/>
  <c r="K27" i="50"/>
  <c r="K26" i="50"/>
  <c r="K25" i="50"/>
  <c r="K24" i="50"/>
  <c r="K37" i="50" s="1"/>
  <c r="F24" i="50"/>
  <c r="K21" i="50"/>
  <c r="K20" i="50"/>
  <c r="K19" i="50"/>
  <c r="K13" i="50"/>
  <c r="K12" i="50"/>
  <c r="K11" i="50"/>
  <c r="K10" i="50"/>
  <c r="K9" i="50"/>
  <c r="K8" i="50"/>
  <c r="K7" i="50"/>
  <c r="K6" i="50"/>
  <c r="I64" i="48"/>
  <c r="K58" i="48"/>
  <c r="K57" i="48"/>
  <c r="K55" i="48"/>
  <c r="K54" i="48"/>
  <c r="K53" i="48"/>
  <c r="K52" i="48"/>
  <c r="K51" i="48"/>
  <c r="K64" i="48" s="1"/>
  <c r="F51" i="48"/>
  <c r="I27" i="48"/>
  <c r="K21" i="48"/>
  <c r="K20" i="48"/>
  <c r="K19" i="48"/>
  <c r="K13" i="48"/>
  <c r="K12" i="48"/>
  <c r="K11" i="48"/>
  <c r="K10" i="48"/>
  <c r="K9" i="48"/>
  <c r="K8" i="48"/>
  <c r="K7" i="48"/>
  <c r="K6" i="48"/>
  <c r="E25" i="50" l="1"/>
  <c r="D27" i="50" s="1"/>
  <c r="F28" i="50" s="1"/>
  <c r="F33" i="50" s="1"/>
  <c r="K27" i="48"/>
  <c r="E52" i="48"/>
  <c r="D54" i="48" s="1"/>
  <c r="F55" i="48" s="1"/>
  <c r="F60" i="48" s="1"/>
  <c r="E45" i="49"/>
  <c r="E43" i="49"/>
  <c r="E41" i="49"/>
  <c r="E40" i="49"/>
  <c r="E39" i="49"/>
  <c r="E18" i="49" l="1"/>
  <c r="E17" i="49"/>
  <c r="E13" i="49"/>
  <c r="E7" i="49"/>
  <c r="E6" i="49"/>
  <c r="E5" i="49"/>
  <c r="E4" i="49"/>
  <c r="E3" i="49"/>
  <c r="I60" i="49" l="1"/>
  <c r="K54" i="49"/>
  <c r="K53" i="49"/>
  <c r="K51" i="49"/>
  <c r="K50" i="49"/>
  <c r="K49" i="49"/>
  <c r="K48" i="49"/>
  <c r="K47" i="49"/>
  <c r="F47" i="49"/>
  <c r="I27" i="49"/>
  <c r="K21" i="49"/>
  <c r="K20" i="49"/>
  <c r="K19" i="49"/>
  <c r="K13" i="49"/>
  <c r="K12" i="49"/>
  <c r="K11" i="49"/>
  <c r="K10" i="49"/>
  <c r="K9" i="49"/>
  <c r="K8" i="49"/>
  <c r="K7" i="49"/>
  <c r="K6" i="49"/>
  <c r="E48" i="49"/>
  <c r="D50" i="49" s="1"/>
  <c r="F51" i="49" s="1"/>
  <c r="F56" i="49" s="1"/>
  <c r="E55" i="46"/>
  <c r="E54" i="46"/>
  <c r="E53" i="46"/>
  <c r="E52" i="46"/>
  <c r="E49" i="46"/>
  <c r="E47" i="46"/>
  <c r="E45" i="46"/>
  <c r="E44" i="46"/>
  <c r="E41" i="46"/>
  <c r="E40" i="46"/>
  <c r="E39" i="46"/>
  <c r="E23" i="46"/>
  <c r="E22" i="46"/>
  <c r="E20" i="46"/>
  <c r="E19" i="46"/>
  <c r="E18" i="46"/>
  <c r="E14" i="46"/>
  <c r="E13" i="46"/>
  <c r="E11" i="46"/>
  <c r="E10" i="46"/>
  <c r="E9" i="46"/>
  <c r="E8" i="46"/>
  <c r="E7" i="46"/>
  <c r="E3" i="46"/>
  <c r="I71" i="46"/>
  <c r="K65" i="46"/>
  <c r="K64" i="46"/>
  <c r="K62" i="46"/>
  <c r="K61" i="46"/>
  <c r="K60" i="46"/>
  <c r="K59" i="46"/>
  <c r="K58" i="46"/>
  <c r="K71" i="46" s="1"/>
  <c r="F58" i="46"/>
  <c r="I27" i="46"/>
  <c r="K21" i="46"/>
  <c r="K20" i="46"/>
  <c r="K19" i="46"/>
  <c r="K13" i="46"/>
  <c r="K12" i="46"/>
  <c r="K11" i="46"/>
  <c r="K10" i="46"/>
  <c r="K9" i="46"/>
  <c r="K8" i="46"/>
  <c r="K7" i="46"/>
  <c r="K6" i="46"/>
  <c r="K27" i="49" l="1"/>
  <c r="K60" i="49"/>
  <c r="K27" i="46"/>
  <c r="E59" i="46"/>
  <c r="D61" i="46" s="1"/>
  <c r="F62" i="46" s="1"/>
  <c r="F67" i="46" s="1"/>
  <c r="E41" i="45"/>
  <c r="E39" i="45"/>
  <c r="E24" i="45"/>
  <c r="E22" i="45"/>
  <c r="E21" i="45"/>
  <c r="E19" i="45"/>
  <c r="E18" i="45"/>
  <c r="E17" i="45"/>
  <c r="E14" i="45"/>
  <c r="E13" i="45"/>
  <c r="E12" i="45"/>
  <c r="E10" i="45"/>
  <c r="E8" i="45"/>
  <c r="E6" i="45"/>
  <c r="E5" i="45"/>
  <c r="E4" i="45"/>
  <c r="D18" i="9" l="1"/>
  <c r="I57" i="45"/>
  <c r="K51" i="45"/>
  <c r="K50" i="45"/>
  <c r="K48" i="45"/>
  <c r="K47" i="45"/>
  <c r="K46" i="45"/>
  <c r="K45" i="45"/>
  <c r="K44" i="45"/>
  <c r="F44" i="45"/>
  <c r="I27" i="45"/>
  <c r="K21" i="45"/>
  <c r="K20" i="45"/>
  <c r="K19" i="45"/>
  <c r="K13" i="45"/>
  <c r="K12" i="45"/>
  <c r="K11" i="45"/>
  <c r="K10" i="45"/>
  <c r="K9" i="45"/>
  <c r="K8" i="45"/>
  <c r="K7" i="45"/>
  <c r="K6" i="45"/>
  <c r="E45" i="45"/>
  <c r="D47" i="45" s="1"/>
  <c r="F48" i="45" s="1"/>
  <c r="F53" i="45" s="1"/>
  <c r="K27" i="45" l="1"/>
  <c r="K57" i="45"/>
  <c r="D5" i="9"/>
  <c r="E52" i="43" l="1"/>
  <c r="E51" i="43"/>
  <c r="E50" i="43"/>
  <c r="E49" i="43"/>
  <c r="E47" i="43"/>
  <c r="E44" i="42"/>
  <c r="E46" i="43"/>
  <c r="E45" i="43"/>
  <c r="E44" i="43"/>
  <c r="E40" i="43"/>
  <c r="E24" i="43"/>
  <c r="E23" i="43"/>
  <c r="E22" i="43"/>
  <c r="E20" i="43"/>
  <c r="E19" i="43"/>
  <c r="E18" i="43"/>
  <c r="E17" i="43"/>
  <c r="E16" i="43"/>
  <c r="E15" i="43"/>
  <c r="E12" i="43"/>
  <c r="E11" i="43"/>
  <c r="E10" i="43"/>
  <c r="E8" i="43"/>
  <c r="E7" i="43"/>
  <c r="E6" i="43"/>
  <c r="E5" i="43"/>
  <c r="E4" i="43"/>
  <c r="E3" i="43"/>
  <c r="I67" i="43"/>
  <c r="K61" i="43"/>
  <c r="K60" i="43"/>
  <c r="K58" i="43"/>
  <c r="K57" i="43"/>
  <c r="K56" i="43"/>
  <c r="K55" i="43"/>
  <c r="K54" i="43"/>
  <c r="K67" i="43" s="1"/>
  <c r="F54" i="43"/>
  <c r="I27" i="43"/>
  <c r="K21" i="43"/>
  <c r="K20" i="43"/>
  <c r="K19" i="43"/>
  <c r="K13" i="43"/>
  <c r="K12" i="43"/>
  <c r="K11" i="43"/>
  <c r="K10" i="43"/>
  <c r="K9" i="43"/>
  <c r="K8" i="43"/>
  <c r="K7" i="43"/>
  <c r="K6" i="43"/>
  <c r="E57" i="42"/>
  <c r="E59" i="42"/>
  <c r="E58" i="42"/>
  <c r="E54" i="42"/>
  <c r="E53" i="42"/>
  <c r="E52" i="42"/>
  <c r="E48" i="42"/>
  <c r="E46" i="42"/>
  <c r="E45" i="42"/>
  <c r="E42" i="42"/>
  <c r="E41" i="42"/>
  <c r="E24" i="42"/>
  <c r="E23" i="42"/>
  <c r="E20" i="42"/>
  <c r="E18" i="42"/>
  <c r="E16" i="42"/>
  <c r="E15" i="42"/>
  <c r="E9" i="42"/>
  <c r="E8" i="42"/>
  <c r="E4" i="42"/>
  <c r="E3" i="42"/>
  <c r="K27" i="43" l="1"/>
  <c r="E55" i="43"/>
  <c r="D57" i="43" s="1"/>
  <c r="F58" i="43" s="1"/>
  <c r="F63" i="43" s="1"/>
  <c r="I74" i="42"/>
  <c r="K68" i="42"/>
  <c r="K67" i="42"/>
  <c r="K65" i="42"/>
  <c r="K64" i="42"/>
  <c r="K63" i="42"/>
  <c r="K62" i="42"/>
  <c r="K61" i="42"/>
  <c r="F61" i="42"/>
  <c r="I27" i="42"/>
  <c r="K21" i="42"/>
  <c r="K20" i="42"/>
  <c r="K19" i="42"/>
  <c r="K13" i="42"/>
  <c r="K12" i="42"/>
  <c r="K11" i="42"/>
  <c r="K10" i="42"/>
  <c r="K9" i="42"/>
  <c r="K8" i="42"/>
  <c r="K7" i="42"/>
  <c r="K6" i="42"/>
  <c r="E62" i="42"/>
  <c r="D64" i="42" s="1"/>
  <c r="F65" i="42" s="1"/>
  <c r="F70" i="42" s="1"/>
  <c r="K74" i="42" l="1"/>
  <c r="K27" i="42"/>
  <c r="E17" i="41"/>
  <c r="E48" i="41"/>
  <c r="E47" i="41"/>
  <c r="E45" i="41"/>
  <c r="E44" i="41"/>
  <c r="E43" i="41"/>
  <c r="E42" i="41"/>
  <c r="E41" i="41"/>
  <c r="E40" i="41"/>
  <c r="E24" i="41"/>
  <c r="E23" i="41"/>
  <c r="E22" i="41"/>
  <c r="E18" i="41"/>
  <c r="E16" i="41"/>
  <c r="E15" i="41"/>
  <c r="E14" i="41"/>
  <c r="E8" i="41"/>
  <c r="E5" i="41"/>
  <c r="E4" i="41"/>
  <c r="E3" i="41"/>
  <c r="I64" i="41"/>
  <c r="K58" i="41"/>
  <c r="K57" i="41"/>
  <c r="K55" i="41"/>
  <c r="K54" i="41"/>
  <c r="K53" i="41"/>
  <c r="K52" i="41"/>
  <c r="K51" i="41"/>
  <c r="K64" i="41" s="1"/>
  <c r="F51" i="41"/>
  <c r="I27" i="41"/>
  <c r="K21" i="41"/>
  <c r="K20" i="41"/>
  <c r="K19" i="41"/>
  <c r="K13" i="41"/>
  <c r="K12" i="41"/>
  <c r="K11" i="41"/>
  <c r="K10" i="41"/>
  <c r="K9" i="41"/>
  <c r="K8" i="41"/>
  <c r="K7" i="41"/>
  <c r="K6" i="41"/>
  <c r="E18" i="40"/>
  <c r="E41" i="40"/>
  <c r="K27" i="41" l="1"/>
  <c r="E52" i="41"/>
  <c r="D54" i="41" s="1"/>
  <c r="F55" i="41" s="1"/>
  <c r="F60" i="41" s="1"/>
  <c r="E40" i="40"/>
  <c r="E39" i="40"/>
  <c r="E24" i="40"/>
  <c r="E23" i="40"/>
  <c r="E15" i="40"/>
  <c r="E14" i="40"/>
  <c r="E12" i="40"/>
  <c r="E11" i="40"/>
  <c r="E10" i="40"/>
  <c r="E7" i="40"/>
  <c r="E6" i="40"/>
  <c r="E4" i="40"/>
  <c r="I57" i="40" l="1"/>
  <c r="K51" i="40"/>
  <c r="K50" i="40"/>
  <c r="K48" i="40"/>
  <c r="K47" i="40"/>
  <c r="K46" i="40"/>
  <c r="K45" i="40"/>
  <c r="K44" i="40"/>
  <c r="K57" i="40" s="1"/>
  <c r="F44" i="40"/>
  <c r="I27" i="40"/>
  <c r="K21" i="40"/>
  <c r="K20" i="40"/>
  <c r="K19" i="40"/>
  <c r="K13" i="40"/>
  <c r="K12" i="40"/>
  <c r="K11" i="40"/>
  <c r="K10" i="40"/>
  <c r="K9" i="40"/>
  <c r="K8" i="40"/>
  <c r="K7" i="40"/>
  <c r="K6" i="40"/>
  <c r="K27" i="40" l="1"/>
  <c r="E18" i="39"/>
  <c r="E17" i="39"/>
  <c r="E15" i="39"/>
  <c r="E14" i="39"/>
  <c r="E13" i="39"/>
  <c r="E12" i="39"/>
  <c r="E10" i="39"/>
  <c r="E9" i="39"/>
  <c r="E8" i="39"/>
  <c r="E7" i="39"/>
  <c r="E6" i="39"/>
  <c r="E4" i="39"/>
  <c r="I48" i="39"/>
  <c r="K42" i="39"/>
  <c r="K41" i="39"/>
  <c r="K39" i="39"/>
  <c r="K38" i="39"/>
  <c r="K37" i="39"/>
  <c r="K36" i="39"/>
  <c r="K35" i="39"/>
  <c r="K48" i="39" s="1"/>
  <c r="F35" i="39"/>
  <c r="I22" i="39"/>
  <c r="K16" i="39"/>
  <c r="K15" i="39"/>
  <c r="K14" i="39"/>
  <c r="K13" i="39"/>
  <c r="K12" i="39"/>
  <c r="K11" i="39"/>
  <c r="K10" i="39"/>
  <c r="K9" i="39"/>
  <c r="K8" i="39"/>
  <c r="K22" i="39" s="1"/>
  <c r="K7" i="39"/>
  <c r="K6" i="39"/>
  <c r="E36" i="39" l="1"/>
  <c r="D38" i="39" s="1"/>
  <c r="F39" i="39" s="1"/>
  <c r="F44" i="39" s="1"/>
  <c r="E32" i="35"/>
  <c r="E31" i="35"/>
  <c r="E28" i="35"/>
  <c r="E24" i="35"/>
  <c r="E20" i="35"/>
  <c r="E18" i="35"/>
  <c r="E13" i="35"/>
  <c r="E12" i="35"/>
  <c r="E11" i="35"/>
  <c r="E9" i="35"/>
  <c r="E8" i="35"/>
  <c r="E6" i="35"/>
  <c r="E5" i="35"/>
  <c r="E3" i="35"/>
  <c r="I48" i="35" l="1"/>
  <c r="K42" i="35"/>
  <c r="K41" i="35"/>
  <c r="K39" i="35"/>
  <c r="K38" i="35"/>
  <c r="K37" i="35"/>
  <c r="K36" i="35"/>
  <c r="K35" i="35"/>
  <c r="K48" i="35" s="1"/>
  <c r="F35" i="35"/>
  <c r="I22" i="35"/>
  <c r="K16" i="35"/>
  <c r="K15" i="35"/>
  <c r="K14" i="35"/>
  <c r="K13" i="35"/>
  <c r="K12" i="35"/>
  <c r="K11" i="35"/>
  <c r="K10" i="35"/>
  <c r="K9" i="35"/>
  <c r="K8" i="35"/>
  <c r="K7" i="35"/>
  <c r="K6" i="35"/>
  <c r="K22" i="35" s="1"/>
  <c r="E36" i="35"/>
  <c r="D38" i="35" s="1"/>
  <c r="F39" i="35" s="1"/>
  <c r="F44" i="35" s="1"/>
  <c r="E30" i="36" l="1"/>
  <c r="E4" i="36"/>
  <c r="E33" i="36"/>
  <c r="E32" i="36"/>
  <c r="E29" i="36"/>
  <c r="E27" i="36"/>
  <c r="E26" i="36"/>
  <c r="E25" i="36"/>
  <c r="E24" i="36"/>
  <c r="E23" i="36"/>
  <c r="E20" i="36"/>
  <c r="E17" i="36"/>
  <c r="E16" i="36"/>
  <c r="E14" i="36"/>
  <c r="E11" i="36"/>
  <c r="E7" i="36"/>
  <c r="E3" i="36"/>
  <c r="I48" i="36" l="1"/>
  <c r="K42" i="36"/>
  <c r="K41" i="36"/>
  <c r="K39" i="36"/>
  <c r="K38" i="36"/>
  <c r="K37" i="36"/>
  <c r="K36" i="36"/>
  <c r="K35" i="36"/>
  <c r="F35" i="36"/>
  <c r="I22" i="36"/>
  <c r="K16" i="36"/>
  <c r="K15" i="36"/>
  <c r="K14" i="36"/>
  <c r="K13" i="36"/>
  <c r="K12" i="36"/>
  <c r="K11" i="36"/>
  <c r="K10" i="36"/>
  <c r="K9" i="36"/>
  <c r="K8" i="36"/>
  <c r="K7" i="36"/>
  <c r="K6" i="36"/>
  <c r="E36" i="36"/>
  <c r="D38" i="36" s="1"/>
  <c r="F39" i="36" s="1"/>
  <c r="F44" i="36" s="1"/>
  <c r="K22" i="36" l="1"/>
  <c r="K48" i="36"/>
  <c r="E42" i="37"/>
  <c r="E41" i="37"/>
  <c r="E40" i="37"/>
  <c r="E38" i="37"/>
  <c r="E34" i="37"/>
  <c r="E32" i="37"/>
  <c r="E30" i="37"/>
  <c r="E26" i="37"/>
  <c r="E25" i="37"/>
  <c r="E22" i="37"/>
  <c r="E21" i="37"/>
  <c r="E18" i="37"/>
  <c r="E17" i="37"/>
  <c r="E14" i="37"/>
  <c r="E13" i="37"/>
  <c r="E12" i="37"/>
  <c r="E10" i="37"/>
  <c r="E9" i="37"/>
  <c r="E8" i="37"/>
  <c r="E7" i="37"/>
  <c r="E3" i="37"/>
  <c r="I58" i="37"/>
  <c r="K52" i="37"/>
  <c r="K51" i="37"/>
  <c r="K49" i="37"/>
  <c r="K48" i="37"/>
  <c r="K47" i="37"/>
  <c r="K46" i="37"/>
  <c r="K45" i="37"/>
  <c r="K58" i="37" s="1"/>
  <c r="F45" i="37"/>
  <c r="I22" i="37"/>
  <c r="K16" i="37"/>
  <c r="K15" i="37"/>
  <c r="K14" i="37"/>
  <c r="K13" i="37"/>
  <c r="K12" i="37"/>
  <c r="K11" i="37"/>
  <c r="K10" i="37"/>
  <c r="K9" i="37"/>
  <c r="K8" i="37"/>
  <c r="K7" i="37"/>
  <c r="K6" i="37"/>
  <c r="K22" i="37" l="1"/>
  <c r="E46" i="37"/>
  <c r="D48" i="37" s="1"/>
  <c r="F49" i="37" s="1"/>
  <c r="F54" i="37" s="1"/>
  <c r="E36" i="38"/>
  <c r="E35" i="38"/>
  <c r="E34" i="38"/>
  <c r="E32" i="38"/>
  <c r="E31" i="38"/>
  <c r="E30" i="38"/>
  <c r="E26" i="38"/>
  <c r="E25" i="38"/>
  <c r="E24" i="38"/>
  <c r="E18" i="38"/>
  <c r="E17" i="38"/>
  <c r="E11" i="38"/>
  <c r="E10" i="38"/>
  <c r="E9" i="38"/>
  <c r="E7" i="38"/>
  <c r="E6" i="38"/>
  <c r="E5" i="38"/>
  <c r="E4" i="38"/>
  <c r="I51" i="38"/>
  <c r="K45" i="38"/>
  <c r="K44" i="38"/>
  <c r="K42" i="38"/>
  <c r="K41" i="38"/>
  <c r="K40" i="38"/>
  <c r="K39" i="38"/>
  <c r="K38" i="38"/>
  <c r="F38" i="38"/>
  <c r="I22" i="38"/>
  <c r="K16" i="38"/>
  <c r="K15" i="38"/>
  <c r="K14" i="38"/>
  <c r="K13" i="38"/>
  <c r="K22" i="38" s="1"/>
  <c r="K12" i="38"/>
  <c r="K11" i="38"/>
  <c r="K10" i="38"/>
  <c r="K9" i="38"/>
  <c r="K8" i="38"/>
  <c r="K7" i="38"/>
  <c r="K6" i="38"/>
  <c r="K51" i="38" l="1"/>
  <c r="E39" i="38"/>
  <c r="D41" i="38" s="1"/>
  <c r="F42" i="38" s="1"/>
  <c r="F47" i="38" s="1"/>
  <c r="E20" i="34"/>
  <c r="E7" i="34"/>
  <c r="E38" i="34"/>
  <c r="E37" i="34"/>
  <c r="E35" i="34"/>
  <c r="E33" i="34"/>
  <c r="E32" i="34"/>
  <c r="E30" i="34"/>
  <c r="E29" i="34"/>
  <c r="E26" i="34"/>
  <c r="E23" i="34"/>
  <c r="E21" i="34"/>
  <c r="E19" i="34"/>
  <c r="E10" i="34"/>
  <c r="E5" i="34"/>
  <c r="E3" i="34"/>
  <c r="I56" i="34"/>
  <c r="K50" i="34"/>
  <c r="K49" i="34"/>
  <c r="K47" i="34"/>
  <c r="K46" i="34"/>
  <c r="K45" i="34"/>
  <c r="K44" i="34"/>
  <c r="K43" i="34"/>
  <c r="F43" i="34"/>
  <c r="I22" i="34"/>
  <c r="K16" i="34"/>
  <c r="K15" i="34"/>
  <c r="K14" i="34"/>
  <c r="K13" i="34"/>
  <c r="K12" i="34"/>
  <c r="K11" i="34"/>
  <c r="K10" i="34"/>
  <c r="K9" i="34"/>
  <c r="K8" i="34"/>
  <c r="K7" i="34"/>
  <c r="K6" i="34"/>
  <c r="K56" i="34" l="1"/>
  <c r="K22" i="34"/>
  <c r="E44" i="34"/>
  <c r="D46" i="34" s="1"/>
  <c r="F47" i="34" s="1"/>
  <c r="F52" i="34" s="1"/>
  <c r="E51" i="33"/>
  <c r="E50" i="33"/>
  <c r="E52" i="33"/>
  <c r="E48" i="33"/>
  <c r="E47" i="33"/>
  <c r="E45" i="33"/>
  <c r="E43" i="33"/>
  <c r="E42" i="33"/>
  <c r="E41" i="33"/>
  <c r="E40" i="33"/>
  <c r="E35" i="33"/>
  <c r="E34" i="33"/>
  <c r="E33" i="33"/>
  <c r="E31" i="33"/>
  <c r="E27" i="33"/>
  <c r="E26" i="33"/>
  <c r="E21" i="33"/>
  <c r="E15" i="33"/>
  <c r="E10" i="33"/>
  <c r="E8" i="33"/>
  <c r="E6" i="33"/>
  <c r="E3" i="33"/>
  <c r="I69" i="33" l="1"/>
  <c r="K63" i="33"/>
  <c r="K62" i="33"/>
  <c r="K60" i="33"/>
  <c r="K59" i="33"/>
  <c r="K58" i="33"/>
  <c r="K57" i="33"/>
  <c r="K56" i="33"/>
  <c r="K69" i="33" s="1"/>
  <c r="F56" i="33"/>
  <c r="I22" i="33"/>
  <c r="K16" i="33"/>
  <c r="K15" i="33"/>
  <c r="K14" i="33"/>
  <c r="K13" i="33"/>
  <c r="K12" i="33"/>
  <c r="K11" i="33"/>
  <c r="K10" i="33"/>
  <c r="K9" i="33"/>
  <c r="K8" i="33"/>
  <c r="K7" i="33"/>
  <c r="K6" i="33"/>
  <c r="K22" i="33" s="1"/>
  <c r="E57" i="33"/>
  <c r="D59" i="33" s="1"/>
  <c r="F60" i="33" s="1"/>
  <c r="F65" i="33" s="1"/>
  <c r="E53" i="22" l="1"/>
  <c r="E52" i="22"/>
  <c r="E51" i="22"/>
  <c r="E50" i="22"/>
  <c r="E49" i="22"/>
  <c r="E48" i="22"/>
  <c r="E47" i="22"/>
  <c r="E45" i="22"/>
  <c r="E42" i="22"/>
  <c r="E40" i="22"/>
  <c r="E38" i="22"/>
  <c r="E37" i="22"/>
  <c r="E31" i="22"/>
  <c r="E28" i="22"/>
  <c r="E27" i="22"/>
  <c r="E25" i="22"/>
  <c r="E21" i="22"/>
  <c r="E18" i="22"/>
  <c r="E17" i="22"/>
  <c r="E16" i="22"/>
  <c r="E14" i="22"/>
  <c r="E13" i="22"/>
  <c r="E12" i="22"/>
  <c r="E10" i="22"/>
  <c r="E7" i="22"/>
  <c r="E6" i="22"/>
  <c r="E5" i="22" l="1"/>
  <c r="E4" i="22"/>
  <c r="E3" i="22"/>
  <c r="I69" i="22"/>
  <c r="K63" i="22"/>
  <c r="K62" i="22"/>
  <c r="K60" i="22"/>
  <c r="K59" i="22"/>
  <c r="K58" i="22"/>
  <c r="K57" i="22"/>
  <c r="K56" i="22"/>
  <c r="K69" i="22" s="1"/>
  <c r="F56" i="22"/>
  <c r="I22" i="22"/>
  <c r="K16" i="22"/>
  <c r="K15" i="22"/>
  <c r="K14" i="22"/>
  <c r="K13" i="22"/>
  <c r="K12" i="22"/>
  <c r="K11" i="22"/>
  <c r="K10" i="22"/>
  <c r="K9" i="22"/>
  <c r="K8" i="22"/>
  <c r="K7" i="22"/>
  <c r="K6" i="22"/>
  <c r="K22" i="22" l="1"/>
  <c r="E57" i="22"/>
  <c r="D59" i="22" s="1"/>
  <c r="F60" i="22" s="1"/>
  <c r="F65" i="22" s="1"/>
  <c r="E38" i="23"/>
  <c r="E37" i="23"/>
  <c r="E36" i="23"/>
  <c r="E35" i="23"/>
  <c r="E34" i="23"/>
  <c r="E32" i="23"/>
  <c r="E30" i="23"/>
  <c r="E29" i="23"/>
  <c r="E28" i="23"/>
  <c r="E27" i="23"/>
  <c r="E26" i="23"/>
  <c r="E24" i="23"/>
  <c r="E23" i="23"/>
  <c r="E18" i="23"/>
  <c r="E14" i="23"/>
  <c r="E13" i="23"/>
  <c r="E12" i="23"/>
  <c r="E10" i="23"/>
  <c r="E9" i="23"/>
  <c r="E8" i="23"/>
  <c r="E7" i="23"/>
  <c r="E5" i="23"/>
  <c r="E3" i="23"/>
  <c r="I54" i="23"/>
  <c r="K48" i="23"/>
  <c r="K47" i="23"/>
  <c r="K45" i="23"/>
  <c r="K44" i="23"/>
  <c r="K43" i="23"/>
  <c r="K42" i="23"/>
  <c r="K41" i="23"/>
  <c r="F41" i="23"/>
  <c r="I22" i="23"/>
  <c r="K16" i="23"/>
  <c r="K15" i="23"/>
  <c r="K14" i="23"/>
  <c r="K13" i="23"/>
  <c r="K12" i="23"/>
  <c r="K11" i="23"/>
  <c r="K10" i="23"/>
  <c r="K9" i="23"/>
  <c r="K8" i="23"/>
  <c r="K7" i="23"/>
  <c r="K6" i="23"/>
  <c r="K22" i="23" l="1"/>
  <c r="K54" i="23"/>
  <c r="E42" i="23"/>
  <c r="D44" i="23" s="1"/>
  <c r="F45" i="23" s="1"/>
  <c r="F50" i="23" s="1"/>
  <c r="E60" i="26"/>
  <c r="E58" i="26"/>
  <c r="E57" i="26"/>
  <c r="E55" i="26"/>
  <c r="E53" i="26"/>
  <c r="E52" i="26"/>
  <c r="E51" i="26"/>
  <c r="E50" i="26"/>
  <c r="E45" i="26"/>
  <c r="E42" i="26"/>
  <c r="E41" i="26"/>
  <c r="E38" i="26"/>
  <c r="E36" i="26" l="1"/>
  <c r="E34" i="26"/>
  <c r="E32" i="26"/>
  <c r="E31" i="26"/>
  <c r="E30" i="26"/>
  <c r="E29" i="26"/>
  <c r="E27" i="26"/>
  <c r="E25" i="26"/>
  <c r="E23" i="26"/>
  <c r="E22" i="26"/>
  <c r="E21" i="26"/>
  <c r="E19" i="26"/>
  <c r="E16" i="26"/>
  <c r="E15" i="26"/>
  <c r="E14" i="26"/>
  <c r="E13" i="26"/>
  <c r="E12" i="26"/>
  <c r="E11" i="26"/>
  <c r="E10" i="26"/>
  <c r="E9" i="26"/>
  <c r="E7" i="26"/>
  <c r="E4" i="26"/>
  <c r="I74" i="26"/>
  <c r="K68" i="26"/>
  <c r="K67" i="26"/>
  <c r="K65" i="26"/>
  <c r="K64" i="26"/>
  <c r="K63" i="26"/>
  <c r="K62" i="26"/>
  <c r="K61" i="26"/>
  <c r="K74" i="26" s="1"/>
  <c r="F61" i="26"/>
  <c r="I22" i="26"/>
  <c r="K16" i="26"/>
  <c r="K15" i="26"/>
  <c r="K14" i="26"/>
  <c r="K13" i="26"/>
  <c r="K12" i="26"/>
  <c r="K11" i="26"/>
  <c r="K10" i="26"/>
  <c r="K9" i="26"/>
  <c r="K8" i="26"/>
  <c r="K7" i="26"/>
  <c r="K6" i="26"/>
  <c r="K22" i="26" l="1"/>
  <c r="E62" i="26"/>
  <c r="D64" i="26" s="1"/>
  <c r="F65" i="26" s="1"/>
  <c r="F70" i="26" s="1"/>
  <c r="E45" i="27"/>
  <c r="E44" i="27"/>
  <c r="E43" i="27"/>
  <c r="E42" i="27"/>
  <c r="E41" i="27"/>
  <c r="E40" i="27"/>
  <c r="E39" i="27"/>
  <c r="E37" i="27"/>
  <c r="E36" i="27"/>
  <c r="E34" i="27"/>
  <c r="E32" i="27"/>
  <c r="E31" i="27"/>
  <c r="E29" i="27"/>
  <c r="E28" i="27"/>
  <c r="E26" i="27"/>
  <c r="E25" i="27"/>
  <c r="E22" i="27"/>
  <c r="E18" i="27"/>
  <c r="E14" i="27"/>
  <c r="E13" i="27"/>
  <c r="E11" i="27"/>
  <c r="E10" i="27"/>
  <c r="E9" i="27"/>
  <c r="E8" i="27"/>
  <c r="E7" i="27"/>
  <c r="E6" i="27"/>
  <c r="E5" i="27"/>
  <c r="E3" i="27"/>
  <c r="I59" i="27"/>
  <c r="K53" i="27"/>
  <c r="K52" i="27"/>
  <c r="K50" i="27"/>
  <c r="K49" i="27"/>
  <c r="K48" i="27"/>
  <c r="K47" i="27"/>
  <c r="K46" i="27"/>
  <c r="F46" i="27"/>
  <c r="I22" i="27"/>
  <c r="K16" i="27"/>
  <c r="K15" i="27"/>
  <c r="K14" i="27"/>
  <c r="K13" i="27"/>
  <c r="K12" i="27"/>
  <c r="K11" i="27"/>
  <c r="K10" i="27"/>
  <c r="K9" i="27"/>
  <c r="K8" i="27"/>
  <c r="K7" i="27"/>
  <c r="K6" i="27"/>
  <c r="K59" i="27" l="1"/>
  <c r="K22" i="27"/>
  <c r="E47" i="27"/>
  <c r="D49" i="27" s="1"/>
  <c r="F50" i="27" s="1"/>
  <c r="F55" i="27" s="1"/>
  <c r="E40" i="28"/>
  <c r="E38" i="28"/>
  <c r="E34" i="28"/>
  <c r="E32" i="28"/>
  <c r="E30" i="28"/>
  <c r="E29" i="28"/>
  <c r="E28" i="28"/>
  <c r="E27" i="28"/>
  <c r="E26" i="28"/>
  <c r="E25" i="28"/>
  <c r="E23" i="28"/>
  <c r="E22" i="28"/>
  <c r="E17" i="28"/>
  <c r="E11" i="28"/>
  <c r="E10" i="28"/>
  <c r="E9" i="28"/>
  <c r="E6" i="28"/>
  <c r="E5" i="28"/>
  <c r="I56" i="28"/>
  <c r="K50" i="28"/>
  <c r="K49" i="28"/>
  <c r="K47" i="28"/>
  <c r="K46" i="28"/>
  <c r="K45" i="28"/>
  <c r="K44" i="28"/>
  <c r="K43" i="28"/>
  <c r="K56" i="28" s="1"/>
  <c r="F43" i="28"/>
  <c r="I22" i="28"/>
  <c r="K16" i="28"/>
  <c r="K15" i="28"/>
  <c r="K14" i="28"/>
  <c r="K13" i="28"/>
  <c r="K12" i="28"/>
  <c r="K11" i="28"/>
  <c r="K10" i="28"/>
  <c r="K9" i="28"/>
  <c r="K8" i="28"/>
  <c r="K7" i="28"/>
  <c r="K6" i="28"/>
  <c r="K22" i="28" s="1"/>
  <c r="E44" i="28" l="1"/>
  <c r="D46" i="28" s="1"/>
  <c r="F47" i="28" s="1"/>
  <c r="F52" i="28" s="1"/>
  <c r="E40" i="29"/>
  <c r="E39" i="29"/>
  <c r="E36" i="29"/>
  <c r="E35" i="29"/>
  <c r="E34" i="29"/>
  <c r="E33" i="29"/>
  <c r="E29" i="29"/>
  <c r="E27" i="29"/>
  <c r="E26" i="29"/>
  <c r="E13" i="29"/>
  <c r="E5" i="29"/>
  <c r="I56" i="29"/>
  <c r="K50" i="29"/>
  <c r="K49" i="29"/>
  <c r="K47" i="29"/>
  <c r="K46" i="29"/>
  <c r="K45" i="29"/>
  <c r="K44" i="29"/>
  <c r="K43" i="29"/>
  <c r="K56" i="29" s="1"/>
  <c r="F43" i="29"/>
  <c r="I22" i="29"/>
  <c r="K16" i="29"/>
  <c r="K15" i="29"/>
  <c r="K14" i="29"/>
  <c r="K13" i="29"/>
  <c r="K12" i="29"/>
  <c r="K11" i="29"/>
  <c r="K10" i="29"/>
  <c r="K9" i="29"/>
  <c r="K8" i="29"/>
  <c r="K7" i="29"/>
  <c r="K6" i="29"/>
  <c r="K22" i="29" l="1"/>
  <c r="E44" i="29"/>
  <c r="D46" i="29" s="1"/>
  <c r="F47" i="29" s="1"/>
  <c r="F52" i="29" s="1"/>
  <c r="E34" i="30"/>
  <c r="E33" i="30"/>
  <c r="E32" i="30"/>
  <c r="E31" i="30"/>
  <c r="E30" i="30"/>
  <c r="E28" i="30"/>
  <c r="E27" i="30"/>
  <c r="E24" i="30"/>
  <c r="E22" i="30"/>
  <c r="E15" i="30"/>
  <c r="E14" i="30"/>
  <c r="E13" i="30"/>
  <c r="E12" i="30"/>
  <c r="E9" i="30"/>
  <c r="E7" i="30"/>
  <c r="E4" i="30"/>
  <c r="I49" i="30"/>
  <c r="K43" i="30"/>
  <c r="K42" i="30"/>
  <c r="K40" i="30"/>
  <c r="K39" i="30"/>
  <c r="K38" i="30"/>
  <c r="K37" i="30"/>
  <c r="K36" i="30"/>
  <c r="F36" i="30"/>
  <c r="I22" i="30"/>
  <c r="K16" i="30"/>
  <c r="K15" i="30"/>
  <c r="K14" i="30"/>
  <c r="K13" i="30"/>
  <c r="K12" i="30"/>
  <c r="K11" i="30"/>
  <c r="K10" i="30"/>
  <c r="K9" i="30"/>
  <c r="K8" i="30"/>
  <c r="K7" i="30"/>
  <c r="K6" i="30"/>
  <c r="K22" i="30" s="1"/>
  <c r="K49" i="30" l="1"/>
  <c r="E37" i="30"/>
  <c r="D39" i="30" s="1"/>
  <c r="F40" i="30" s="1"/>
  <c r="F45" i="30" s="1"/>
  <c r="E42" i="31"/>
  <c r="E41" i="31"/>
  <c r="E39" i="31"/>
  <c r="E37" i="31" l="1"/>
  <c r="E36" i="31"/>
  <c r="F44" i="31"/>
  <c r="K44" i="31"/>
  <c r="K45" i="31"/>
  <c r="K46" i="31"/>
  <c r="E32" i="31"/>
  <c r="E31" i="31"/>
  <c r="E28" i="31"/>
  <c r="E24" i="31"/>
  <c r="E23" i="31"/>
  <c r="E22" i="31"/>
  <c r="E19" i="31"/>
  <c r="E18" i="31"/>
  <c r="E16" i="31"/>
  <c r="E11" i="31" l="1"/>
  <c r="E10" i="31"/>
  <c r="E8" i="31"/>
  <c r="E7" i="31"/>
  <c r="E6" i="31"/>
  <c r="E5" i="31"/>
  <c r="E4" i="31"/>
  <c r="E45" i="31" s="1"/>
  <c r="I57" i="31" l="1"/>
  <c r="K51" i="31"/>
  <c r="K50" i="31"/>
  <c r="K57" i="31" s="1"/>
  <c r="K48" i="31"/>
  <c r="K47" i="31"/>
  <c r="I22" i="31"/>
  <c r="K16" i="31"/>
  <c r="K15" i="31"/>
  <c r="K14" i="31"/>
  <c r="K13" i="31"/>
  <c r="K12" i="31"/>
  <c r="D47" i="31"/>
  <c r="K11" i="31"/>
  <c r="K10" i="31"/>
  <c r="K9" i="31"/>
  <c r="K8" i="31"/>
  <c r="K7" i="31"/>
  <c r="K6" i="31"/>
  <c r="K22" i="31" l="1"/>
  <c r="F48" i="31"/>
  <c r="F53" i="31" s="1"/>
  <c r="E33" i="32"/>
  <c r="E31" i="32"/>
  <c r="E28" i="32"/>
  <c r="E27" i="32"/>
  <c r="E21" i="32"/>
  <c r="E20" i="32"/>
  <c r="E17" i="32"/>
  <c r="E16" i="32"/>
  <c r="E15" i="32"/>
  <c r="E13" i="32"/>
  <c r="E12" i="32"/>
  <c r="E8" i="32"/>
  <c r="E7" i="32"/>
  <c r="I50" i="32"/>
  <c r="K44" i="32"/>
  <c r="K43" i="32"/>
  <c r="K41" i="32"/>
  <c r="K40" i="32"/>
  <c r="K39" i="32"/>
  <c r="K38" i="32"/>
  <c r="K37" i="32"/>
  <c r="F37" i="32"/>
  <c r="I22" i="32"/>
  <c r="K16" i="32"/>
  <c r="K15" i="32"/>
  <c r="K14" i="32"/>
  <c r="K13" i="32"/>
  <c r="K12" i="32"/>
  <c r="K11" i="32"/>
  <c r="K10" i="32"/>
  <c r="K9" i="32"/>
  <c r="K8" i="32"/>
  <c r="K7" i="32"/>
  <c r="K6" i="32"/>
  <c r="K22" i="32" l="1"/>
  <c r="K50" i="32"/>
  <c r="E38" i="32"/>
  <c r="D40" i="32" s="1"/>
  <c r="F41" i="32" s="1"/>
  <c r="F46" i="32" s="1"/>
  <c r="E50" i="24"/>
  <c r="E48" i="24"/>
  <c r="E47" i="24"/>
  <c r="E43" i="24"/>
  <c r="E41" i="24"/>
  <c r="E40" i="24"/>
  <c r="E39" i="24"/>
  <c r="E38" i="24"/>
  <c r="E36" i="24"/>
  <c r="E35" i="24"/>
  <c r="E34" i="24"/>
  <c r="E30" i="24"/>
  <c r="E24" i="24"/>
  <c r="E23" i="24"/>
  <c r="E21" i="24"/>
  <c r="E20" i="24"/>
  <c r="E19" i="24"/>
  <c r="E15" i="24"/>
  <c r="E12" i="24"/>
  <c r="E10" i="24"/>
  <c r="E7" i="24"/>
  <c r="E6" i="24"/>
  <c r="E4" i="24"/>
  <c r="I67" i="24"/>
  <c r="K61" i="24"/>
  <c r="K60" i="24"/>
  <c r="K58" i="24"/>
  <c r="K57" i="24"/>
  <c r="K56" i="24"/>
  <c r="K55" i="24"/>
  <c r="K54" i="24"/>
  <c r="F54" i="24"/>
  <c r="I22" i="24"/>
  <c r="K16" i="24"/>
  <c r="K15" i="24"/>
  <c r="K14" i="24"/>
  <c r="K13" i="24"/>
  <c r="K12" i="24"/>
  <c r="K11" i="24"/>
  <c r="K10" i="24"/>
  <c r="K9" i="24"/>
  <c r="K8" i="24"/>
  <c r="K7" i="24"/>
  <c r="K6" i="24"/>
  <c r="K67" i="24" l="1"/>
  <c r="K22" i="24"/>
  <c r="E55" i="24"/>
  <c r="D57" i="24" s="1"/>
  <c r="F58" i="24" s="1"/>
  <c r="F63" i="24" s="1"/>
  <c r="E39" i="25"/>
  <c r="E42" i="25"/>
  <c r="E41" i="25"/>
  <c r="E38" i="25"/>
  <c r="E37" i="25"/>
  <c r="E36" i="25"/>
  <c r="E33" i="25"/>
  <c r="E29" i="25"/>
  <c r="E27" i="25"/>
  <c r="E26" i="25"/>
  <c r="E25" i="25"/>
  <c r="E24" i="25"/>
  <c r="E20" i="25"/>
  <c r="E13" i="25"/>
  <c r="E12" i="25"/>
  <c r="E9" i="25"/>
  <c r="E6" i="25"/>
  <c r="E3" i="25"/>
  <c r="I58" i="25"/>
  <c r="K52" i="25"/>
  <c r="K51" i="25"/>
  <c r="K49" i="25"/>
  <c r="K48" i="25"/>
  <c r="K47" i="25"/>
  <c r="K46" i="25"/>
  <c r="K45" i="25"/>
  <c r="K58" i="25" s="1"/>
  <c r="F45" i="25"/>
  <c r="I22" i="25"/>
  <c r="K16" i="25"/>
  <c r="K15" i="25"/>
  <c r="K14" i="25"/>
  <c r="K13" i="25"/>
  <c r="K12" i="25"/>
  <c r="K11" i="25"/>
  <c r="K10" i="25"/>
  <c r="K9" i="25"/>
  <c r="K8" i="25"/>
  <c r="K7" i="25"/>
  <c r="K6" i="25"/>
  <c r="K22" i="25" s="1"/>
  <c r="E46" i="25" l="1"/>
  <c r="D48" i="25" s="1"/>
  <c r="F49" i="25" s="1"/>
  <c r="F54" i="25" s="1"/>
  <c r="E43" i="18"/>
  <c r="I57" i="18"/>
  <c r="E41" i="18"/>
  <c r="E40" i="18"/>
  <c r="E38" i="18"/>
  <c r="E37" i="18"/>
  <c r="E35" i="18"/>
  <c r="E33" i="18"/>
  <c r="E32" i="18"/>
  <c r="E31" i="18"/>
  <c r="E30" i="18"/>
  <c r="E26" i="18"/>
  <c r="E24" i="18"/>
  <c r="E19" i="18"/>
  <c r="E18" i="18"/>
  <c r="E17" i="18"/>
  <c r="I22" i="18"/>
  <c r="E14" i="18"/>
  <c r="E10" i="18"/>
  <c r="E9" i="18"/>
  <c r="E8" i="18"/>
  <c r="E7" i="18"/>
  <c r="E4" i="18" l="1"/>
  <c r="E3" i="18"/>
  <c r="K51" i="18"/>
  <c r="K50" i="18"/>
  <c r="K48" i="18"/>
  <c r="K47" i="18"/>
  <c r="K46" i="18"/>
  <c r="K45" i="18"/>
  <c r="K44" i="18"/>
  <c r="F44" i="18"/>
  <c r="K16" i="18"/>
  <c r="K15" i="18"/>
  <c r="K14" i="18"/>
  <c r="K13" i="18"/>
  <c r="K12" i="18"/>
  <c r="K11" i="18"/>
  <c r="K10" i="18"/>
  <c r="K9" i="18"/>
  <c r="K8" i="18"/>
  <c r="K7" i="18"/>
  <c r="K6" i="18"/>
  <c r="K57" i="18" l="1"/>
  <c r="K22" i="18"/>
  <c r="E45" i="18"/>
  <c r="D47" i="18" s="1"/>
  <c r="F48" i="18" s="1"/>
  <c r="F53" i="18" s="1"/>
  <c r="E41" i="19"/>
  <c r="E40" i="19"/>
  <c r="E27" i="19"/>
  <c r="E26" i="19"/>
  <c r="E23" i="19"/>
  <c r="E18" i="19"/>
  <c r="E17" i="19"/>
  <c r="E15" i="19"/>
  <c r="E12" i="19"/>
  <c r="E11" i="19"/>
  <c r="E10" i="19"/>
  <c r="E5" i="19"/>
  <c r="E4" i="19"/>
  <c r="E3" i="19"/>
  <c r="K50" i="19"/>
  <c r="K49" i="19"/>
  <c r="K47" i="19"/>
  <c r="K46" i="19"/>
  <c r="K45" i="19"/>
  <c r="K44" i="19"/>
  <c r="K43" i="19"/>
  <c r="F43" i="19"/>
  <c r="K56" i="19"/>
  <c r="K16" i="19"/>
  <c r="K15" i="19"/>
  <c r="K14" i="19"/>
  <c r="K13" i="19"/>
  <c r="K12" i="19"/>
  <c r="K11" i="19"/>
  <c r="K10" i="19"/>
  <c r="K9" i="19"/>
  <c r="K8" i="19"/>
  <c r="K7" i="19"/>
  <c r="K6" i="19"/>
  <c r="E44" i="19" l="1"/>
  <c r="D46" i="19" s="1"/>
  <c r="F47" i="19" s="1"/>
  <c r="F52" i="19" s="1"/>
  <c r="K22" i="19"/>
  <c r="E42" i="20"/>
  <c r="E41" i="20"/>
  <c r="E39" i="20"/>
  <c r="E38" i="20"/>
  <c r="E37" i="20"/>
  <c r="E35" i="20"/>
  <c r="E33" i="20"/>
  <c r="E30" i="20"/>
  <c r="E29" i="20"/>
  <c r="E28" i="20"/>
  <c r="E27" i="20"/>
  <c r="E25" i="20"/>
  <c r="E22" i="20"/>
  <c r="E20" i="20"/>
  <c r="E19" i="20"/>
  <c r="E18" i="20"/>
  <c r="E17" i="20" l="1"/>
  <c r="E15" i="20"/>
  <c r="E8" i="20"/>
  <c r="E7" i="20"/>
  <c r="E5" i="20"/>
  <c r="E4" i="20"/>
  <c r="K56" i="20"/>
  <c r="K55" i="20"/>
  <c r="K54" i="20"/>
  <c r="K53" i="20"/>
  <c r="K52" i="20"/>
  <c r="K62" i="20" s="1"/>
  <c r="K51" i="20"/>
  <c r="K50" i="20"/>
  <c r="F50" i="20"/>
  <c r="K49" i="20"/>
  <c r="K48" i="20"/>
  <c r="K47" i="20"/>
  <c r="K46" i="20"/>
  <c r="K16" i="20"/>
  <c r="K15" i="20"/>
  <c r="K14" i="20"/>
  <c r="K13" i="20"/>
  <c r="K12" i="20"/>
  <c r="K11" i="20"/>
  <c r="K10" i="20"/>
  <c r="K9" i="20"/>
  <c r="K8" i="20"/>
  <c r="K7" i="20"/>
  <c r="K6" i="20"/>
  <c r="E51" i="20" l="1"/>
  <c r="D53" i="20" s="1"/>
  <c r="F54" i="20" s="1"/>
  <c r="F58" i="20" s="1"/>
  <c r="K22" i="20"/>
  <c r="E49" i="21"/>
  <c r="E48" i="21"/>
  <c r="E47" i="21"/>
  <c r="E46" i="21"/>
  <c r="E45" i="21"/>
  <c r="K56" i="21"/>
  <c r="K55" i="21"/>
  <c r="K54" i="21"/>
  <c r="K53" i="21"/>
  <c r="K52" i="21"/>
  <c r="K51" i="21"/>
  <c r="K50" i="21"/>
  <c r="K49" i="21"/>
  <c r="K48" i="21"/>
  <c r="K47" i="21"/>
  <c r="K46" i="21"/>
  <c r="K62" i="21" l="1"/>
  <c r="E38" i="21"/>
  <c r="E35" i="21"/>
  <c r="E33" i="21"/>
  <c r="E29" i="21"/>
  <c r="E25" i="21"/>
  <c r="E24" i="21"/>
  <c r="E23" i="21"/>
  <c r="E22" i="21"/>
  <c r="E16" i="21"/>
  <c r="E15" i="21"/>
  <c r="E14" i="21"/>
  <c r="E13" i="21"/>
  <c r="E12" i="21"/>
  <c r="E11" i="21"/>
  <c r="E10" i="21"/>
  <c r="E7" i="21"/>
  <c r="E6" i="21"/>
  <c r="E5" i="21"/>
  <c r="E4" i="21"/>
  <c r="F50" i="21"/>
  <c r="K16" i="21"/>
  <c r="K15" i="21"/>
  <c r="K14" i="21"/>
  <c r="K13" i="21"/>
  <c r="K12" i="21"/>
  <c r="K11" i="21"/>
  <c r="K10" i="21"/>
  <c r="K9" i="21"/>
  <c r="K8" i="21"/>
  <c r="K7" i="21"/>
  <c r="K6" i="21"/>
  <c r="E51" i="21" l="1"/>
  <c r="D53" i="21" s="1"/>
  <c r="F54" i="21" s="1"/>
  <c r="F58" i="21" s="1"/>
  <c r="K22" i="21"/>
  <c r="E37" i="11"/>
  <c r="E36" i="11"/>
  <c r="E28" i="11"/>
  <c r="E24" i="11"/>
  <c r="E22" i="11"/>
  <c r="E20" i="11"/>
  <c r="E19" i="11"/>
  <c r="E17" i="11"/>
  <c r="E16" i="11"/>
  <c r="E15" i="11"/>
  <c r="E13" i="11"/>
  <c r="E7" i="11"/>
  <c r="E5" i="11"/>
  <c r="E3" i="11"/>
  <c r="F40" i="11"/>
  <c r="K16" i="11"/>
  <c r="K15" i="11"/>
  <c r="K14" i="11"/>
  <c r="K13" i="11"/>
  <c r="K12" i="11"/>
  <c r="K11" i="11"/>
  <c r="K10" i="11"/>
  <c r="K9" i="11"/>
  <c r="K8" i="11"/>
  <c r="K7" i="11"/>
  <c r="K6" i="11"/>
  <c r="K22" i="11" s="1"/>
  <c r="E41" i="11" l="1"/>
  <c r="D43" i="11" s="1"/>
  <c r="F44" i="11" s="1"/>
  <c r="F48" i="11" s="1"/>
  <c r="I45" i="12"/>
  <c r="K45" i="12" s="1"/>
  <c r="K41" i="12"/>
  <c r="K42" i="12"/>
  <c r="K43" i="12"/>
  <c r="K44" i="12"/>
  <c r="E41" i="12"/>
  <c r="E33" i="12"/>
  <c r="E32" i="12"/>
  <c r="E26" i="12"/>
  <c r="E25" i="12"/>
  <c r="E18" i="12"/>
  <c r="E27" i="12"/>
  <c r="E22" i="12"/>
  <c r="E12" i="12"/>
  <c r="E8" i="12"/>
  <c r="E6" i="12"/>
  <c r="E5" i="12"/>
  <c r="E4" i="12"/>
  <c r="K46" i="12"/>
  <c r="F45" i="12"/>
  <c r="K16" i="12"/>
  <c r="K15" i="12"/>
  <c r="K14" i="12"/>
  <c r="K13" i="12"/>
  <c r="K12" i="12"/>
  <c r="K11" i="12"/>
  <c r="K10" i="12"/>
  <c r="K9" i="12"/>
  <c r="K8" i="12"/>
  <c r="K7" i="12"/>
  <c r="K6" i="12"/>
  <c r="K47" i="12" l="1"/>
  <c r="I47" i="12"/>
  <c r="K22" i="12"/>
  <c r="E46" i="12"/>
  <c r="D48" i="12" s="1"/>
  <c r="F49" i="12" s="1"/>
  <c r="F53" i="12" s="1"/>
  <c r="E38" i="14"/>
  <c r="E36" i="14"/>
  <c r="E35" i="14"/>
  <c r="K38" i="14"/>
  <c r="K39" i="14"/>
  <c r="E32" i="14"/>
  <c r="E31" i="14"/>
  <c r="E27" i="14"/>
  <c r="E23" i="14"/>
  <c r="E21" i="14"/>
  <c r="E19" i="14"/>
  <c r="E18" i="14"/>
  <c r="E15" i="14"/>
  <c r="E13" i="14"/>
  <c r="E9" i="14"/>
  <c r="E7" i="14"/>
  <c r="E3" i="14"/>
  <c r="I42" i="14"/>
  <c r="K41" i="14"/>
  <c r="K40" i="14"/>
  <c r="F40" i="14"/>
  <c r="I17" i="14"/>
  <c r="K16" i="14"/>
  <c r="K15" i="14"/>
  <c r="K14" i="14"/>
  <c r="K13" i="14"/>
  <c r="K12" i="14"/>
  <c r="K11" i="14"/>
  <c r="K10" i="14"/>
  <c r="K9" i="14"/>
  <c r="K8" i="14"/>
  <c r="K7" i="14"/>
  <c r="K6" i="14"/>
  <c r="K42" i="14" l="1"/>
  <c r="K17" i="14"/>
  <c r="E41" i="14"/>
  <c r="D43" i="14" s="1"/>
  <c r="F44" i="14" s="1"/>
  <c r="F49" i="14" s="1"/>
  <c r="F54" i="15"/>
  <c r="E44" i="15"/>
  <c r="E42" i="15"/>
  <c r="E39" i="15"/>
  <c r="E38" i="15"/>
  <c r="E37" i="15"/>
  <c r="E36" i="15"/>
  <c r="E32" i="15"/>
  <c r="E31" i="15"/>
  <c r="E30" i="15"/>
  <c r="E29" i="15"/>
  <c r="E27" i="15"/>
  <c r="E26" i="15"/>
  <c r="E25" i="15"/>
  <c r="E24" i="15"/>
  <c r="E12" i="15"/>
  <c r="E16" i="15"/>
  <c r="E15" i="15"/>
  <c r="E14" i="15"/>
  <c r="E13" i="15"/>
  <c r="E5" i="15"/>
  <c r="F50" i="16" l="1"/>
  <c r="E3" i="15"/>
  <c r="E46" i="15" s="1"/>
  <c r="D48" i="15" s="1"/>
  <c r="F49" i="15" s="1"/>
  <c r="I47" i="15"/>
  <c r="K46" i="15"/>
  <c r="K45" i="15"/>
  <c r="K47" i="15" s="1"/>
  <c r="F45" i="15"/>
  <c r="I17" i="15"/>
  <c r="K16" i="15"/>
  <c r="K15" i="15"/>
  <c r="K14" i="15"/>
  <c r="K13" i="15"/>
  <c r="K12" i="15"/>
  <c r="K11" i="15"/>
  <c r="K10" i="15"/>
  <c r="K9" i="15"/>
  <c r="K8" i="15"/>
  <c r="K7" i="15"/>
  <c r="K6" i="15"/>
  <c r="K17" i="15" l="1"/>
  <c r="E12" i="16"/>
  <c r="E40" i="16"/>
  <c r="E36" i="16"/>
  <c r="E35" i="16"/>
  <c r="E34" i="16"/>
  <c r="E33" i="16"/>
  <c r="E32" i="16"/>
  <c r="E31" i="16"/>
  <c r="E27" i="16"/>
  <c r="E24" i="16"/>
  <c r="E23" i="16"/>
  <c r="E21" i="16"/>
  <c r="E20" i="16"/>
  <c r="E19" i="16"/>
  <c r="E18" i="16"/>
  <c r="E16" i="16"/>
  <c r="E13" i="16" l="1"/>
  <c r="E11" i="16" l="1"/>
  <c r="E8" i="16" l="1"/>
  <c r="E42" i="16" s="1"/>
  <c r="D44" i="16" s="1"/>
  <c r="F45" i="16" s="1"/>
  <c r="E6" i="16"/>
  <c r="K43" i="16"/>
  <c r="I43" i="16"/>
  <c r="K42" i="16"/>
  <c r="K41" i="16"/>
  <c r="F41" i="16"/>
  <c r="I17" i="16"/>
  <c r="K16" i="16"/>
  <c r="K15" i="16"/>
  <c r="K14" i="16"/>
  <c r="K13" i="16"/>
  <c r="K12" i="16"/>
  <c r="K11" i="16"/>
  <c r="K10" i="16"/>
  <c r="K9" i="16"/>
  <c r="K8" i="16"/>
  <c r="K7" i="16"/>
  <c r="K6" i="16"/>
  <c r="K17" i="16" s="1"/>
  <c r="E32" i="17" l="1"/>
  <c r="E31" i="17"/>
  <c r="E26" i="17" l="1"/>
  <c r="E20" i="17"/>
  <c r="E14" i="17"/>
  <c r="E9" i="17"/>
  <c r="E8" i="17"/>
  <c r="E7" i="17"/>
  <c r="E6" i="17"/>
  <c r="E3" i="17"/>
  <c r="I37" i="17"/>
  <c r="K36" i="17"/>
  <c r="K35" i="17"/>
  <c r="K37" i="17" s="1"/>
  <c r="F35" i="17"/>
  <c r="I17" i="17"/>
  <c r="K16" i="17"/>
  <c r="K15" i="17"/>
  <c r="K14" i="17"/>
  <c r="K13" i="17"/>
  <c r="K12" i="17"/>
  <c r="K11" i="17"/>
  <c r="K10" i="17"/>
  <c r="K9" i="17"/>
  <c r="K8" i="17"/>
  <c r="K7" i="17"/>
  <c r="K6" i="17"/>
  <c r="K17" i="17" s="1"/>
  <c r="E36" i="17"/>
  <c r="D38" i="17" s="1"/>
  <c r="F39" i="17" s="1"/>
  <c r="F42" i="17" s="1"/>
  <c r="E31" i="13" l="1"/>
  <c r="E29" i="13"/>
  <c r="E28" i="13"/>
  <c r="E26" i="13"/>
  <c r="E25" i="13"/>
  <c r="E24" i="13"/>
  <c r="E23" i="13"/>
  <c r="E22" i="13"/>
  <c r="E17" i="13" l="1"/>
  <c r="E12" i="13"/>
  <c r="E10" i="13"/>
  <c r="E9" i="13"/>
  <c r="E4" i="13"/>
  <c r="E3" i="13"/>
  <c r="K37" i="13"/>
  <c r="I37" i="13"/>
  <c r="K36" i="13"/>
  <c r="K35" i="13"/>
  <c r="F35" i="13"/>
  <c r="I17" i="13"/>
  <c r="K16" i="13"/>
  <c r="K15" i="13"/>
  <c r="K14" i="13"/>
  <c r="K13" i="13"/>
  <c r="K12" i="13"/>
  <c r="K11" i="13"/>
  <c r="K10" i="13"/>
  <c r="K9" i="13"/>
  <c r="K8" i="13"/>
  <c r="K7" i="13"/>
  <c r="K6" i="13"/>
  <c r="K17" i="13" s="1"/>
  <c r="E36" i="13" l="1"/>
  <c r="D38" i="13" s="1"/>
  <c r="F39" i="13" s="1"/>
  <c r="F42" i="13" s="1"/>
  <c r="E51" i="8"/>
  <c r="E49" i="8"/>
  <c r="E48" i="8"/>
  <c r="E43" i="8"/>
  <c r="E40" i="8"/>
  <c r="E39" i="8"/>
  <c r="E31" i="8"/>
  <c r="E25" i="8"/>
  <c r="E24" i="8"/>
  <c r="E22" i="8"/>
  <c r="E18" i="8"/>
  <c r="E15" i="8"/>
  <c r="E14" i="8"/>
  <c r="E11" i="8"/>
  <c r="E10" i="8"/>
  <c r="E9" i="8"/>
  <c r="E8" i="8"/>
  <c r="E5" i="8"/>
  <c r="E3" i="8"/>
  <c r="I56" i="8"/>
  <c r="K55" i="8"/>
  <c r="K54" i="8"/>
  <c r="K56" i="8" s="1"/>
  <c r="F54" i="8"/>
  <c r="I17" i="8"/>
  <c r="K16" i="8"/>
  <c r="K15" i="8"/>
  <c r="K14" i="8"/>
  <c r="K13" i="8"/>
  <c r="K12" i="8"/>
  <c r="K11" i="8"/>
  <c r="K10" i="8"/>
  <c r="K9" i="8"/>
  <c r="K8" i="8"/>
  <c r="K7" i="8"/>
  <c r="K6" i="8"/>
  <c r="K17" i="8" s="1"/>
  <c r="E55" i="8" l="1"/>
  <c r="D57" i="8" s="1"/>
  <c r="F58" i="8" s="1"/>
  <c r="F61" i="8" s="1"/>
  <c r="L2" i="10"/>
  <c r="L5" i="10" s="1"/>
  <c r="L7" i="10" s="1"/>
  <c r="C45" i="10"/>
  <c r="I4" i="10" s="1"/>
  <c r="I5" i="10" s="1"/>
  <c r="I6" i="10" s="1"/>
  <c r="I7" i="10" s="1"/>
  <c r="I8" i="10" s="1"/>
  <c r="I9" i="10" s="1"/>
  <c r="I10" i="10" s="1"/>
  <c r="I11" i="10" s="1"/>
  <c r="I12" i="10" s="1"/>
  <c r="I13" i="10" s="1"/>
  <c r="I14" i="10" s="1"/>
  <c r="I15" i="10" s="1"/>
  <c r="I16" i="10" s="1"/>
  <c r="I17" i="10" s="1"/>
  <c r="I18" i="10" s="1"/>
  <c r="I19" i="10" s="1"/>
  <c r="I20" i="10" s="1"/>
  <c r="I21" i="10" s="1"/>
  <c r="I22" i="10" s="1"/>
  <c r="I23" i="10" s="1"/>
  <c r="I24" i="10" s="1"/>
  <c r="I25" i="10" s="1"/>
  <c r="I26" i="10" s="1"/>
  <c r="I27" i="10" s="1"/>
  <c r="I28" i="10" s="1"/>
  <c r="I29" i="10" s="1"/>
  <c r="I30" i="10" s="1"/>
  <c r="I31" i="10" s="1"/>
  <c r="I32" i="10" s="1"/>
  <c r="I33" i="10" s="1"/>
  <c r="I34" i="10" s="1"/>
  <c r="I35" i="10" s="1"/>
  <c r="I36" i="10" s="1"/>
  <c r="I37" i="10" s="1"/>
  <c r="I38" i="10" s="1"/>
  <c r="I39" i="10" s="1"/>
  <c r="I40" i="10" s="1"/>
  <c r="I41" i="10" s="1"/>
  <c r="I42" i="10" s="1"/>
  <c r="I43" i="10" s="1"/>
  <c r="L8" i="10" s="1"/>
  <c r="L9" i="10" l="1"/>
  <c r="L11" i="10" s="1"/>
  <c r="F52" i="7"/>
  <c r="E44" i="7" l="1"/>
  <c r="E43" i="7"/>
  <c r="E42" i="7"/>
  <c r="E40" i="7"/>
  <c r="E36" i="7"/>
  <c r="E35" i="7"/>
  <c r="E32" i="7"/>
  <c r="E31" i="7"/>
  <c r="E30" i="7"/>
  <c r="E22" i="7"/>
  <c r="E19" i="7"/>
  <c r="E12" i="7"/>
  <c r="E11" i="7"/>
  <c r="E9" i="7"/>
  <c r="E8" i="7"/>
  <c r="E6" i="7"/>
  <c r="E4" i="7"/>
  <c r="E3" i="7"/>
  <c r="I47" i="7"/>
  <c r="K46" i="7"/>
  <c r="K45" i="7"/>
  <c r="F45" i="7"/>
  <c r="I17" i="7"/>
  <c r="K16" i="7"/>
  <c r="K15" i="7"/>
  <c r="K14" i="7"/>
  <c r="K13" i="7"/>
  <c r="K12" i="7"/>
  <c r="K11" i="7"/>
  <c r="K10" i="7"/>
  <c r="K9" i="7"/>
  <c r="K8" i="7"/>
  <c r="K7" i="7"/>
  <c r="K6" i="7"/>
  <c r="K17" i="7" s="1"/>
  <c r="K47" i="7" l="1"/>
  <c r="E46" i="7"/>
  <c r="D48" i="7" s="1"/>
  <c r="F49" i="7" s="1"/>
  <c r="E50" i="6"/>
  <c r="E48" i="6"/>
  <c r="E47" i="6"/>
  <c r="E45" i="6"/>
  <c r="E40" i="6"/>
  <c r="E39" i="6"/>
  <c r="E37" i="6"/>
  <c r="E35" i="6"/>
  <c r="E34" i="6"/>
  <c r="E29" i="6"/>
  <c r="E28" i="6"/>
  <c r="E23" i="6"/>
  <c r="E22" i="6"/>
  <c r="E21" i="6"/>
  <c r="E20" i="6"/>
  <c r="E19" i="6"/>
  <c r="E13" i="6"/>
  <c r="E9" i="6"/>
  <c r="E7" i="6"/>
  <c r="E5" i="6"/>
  <c r="E4" i="6"/>
  <c r="E3" i="6"/>
  <c r="I54" i="6"/>
  <c r="K53" i="6"/>
  <c r="K52" i="6"/>
  <c r="K54" i="6" s="1"/>
  <c r="F52" i="6"/>
  <c r="I17" i="6"/>
  <c r="K16" i="6"/>
  <c r="K15" i="6"/>
  <c r="K14" i="6"/>
  <c r="K13" i="6"/>
  <c r="K12" i="6"/>
  <c r="K11" i="6"/>
  <c r="K10" i="6"/>
  <c r="K9" i="6"/>
  <c r="K8" i="6"/>
  <c r="K7" i="6"/>
  <c r="K6" i="6"/>
  <c r="K17" i="6" l="1"/>
  <c r="E53" i="6"/>
  <c r="D55" i="6" s="1"/>
  <c r="F56" i="6" s="1"/>
  <c r="F55" i="5" l="1"/>
  <c r="E48" i="5"/>
  <c r="E45" i="5"/>
  <c r="E44" i="5"/>
  <c r="E43" i="5"/>
  <c r="E41" i="5"/>
  <c r="E39" i="5"/>
  <c r="E38" i="5"/>
  <c r="E37" i="5"/>
  <c r="E35" i="5"/>
  <c r="E34" i="5"/>
  <c r="E33" i="5"/>
  <c r="E28" i="5"/>
  <c r="E24" i="5"/>
  <c r="E23" i="5"/>
  <c r="E17" i="5"/>
  <c r="E15" i="5"/>
  <c r="E12" i="5"/>
  <c r="E10" i="5"/>
  <c r="E8" i="5"/>
  <c r="E5" i="5"/>
  <c r="E4" i="5"/>
  <c r="E3" i="5"/>
  <c r="I57" i="5"/>
  <c r="K56" i="5"/>
  <c r="K55" i="5"/>
  <c r="K57" i="5" s="1"/>
  <c r="I17" i="5"/>
  <c r="K16" i="5"/>
  <c r="K15" i="5"/>
  <c r="K14" i="5"/>
  <c r="K13" i="5"/>
  <c r="K12" i="5"/>
  <c r="K11" i="5"/>
  <c r="K10" i="5"/>
  <c r="K9" i="5"/>
  <c r="K8" i="5"/>
  <c r="K7" i="5"/>
  <c r="K6" i="5"/>
  <c r="K17" i="5" l="1"/>
  <c r="E56" i="5"/>
  <c r="D58" i="5" s="1"/>
  <c r="F59" i="5" s="1"/>
  <c r="F62" i="5" s="1"/>
  <c r="E37" i="4" l="1"/>
  <c r="E36" i="4"/>
  <c r="E35" i="4"/>
  <c r="E34" i="4"/>
  <c r="E33" i="4"/>
  <c r="E30" i="4"/>
  <c r="E28" i="4"/>
  <c r="E27" i="4"/>
  <c r="E26" i="4"/>
  <c r="E23" i="4"/>
  <c r="E22" i="4"/>
  <c r="E20" i="4"/>
  <c r="E18" i="4"/>
  <c r="E15" i="4"/>
  <c r="E13" i="4"/>
  <c r="E6" i="4"/>
  <c r="E5" i="4"/>
  <c r="E4" i="4"/>
  <c r="I41" i="4"/>
  <c r="K40" i="4"/>
  <c r="K39" i="4"/>
  <c r="K41" i="4" s="1"/>
  <c r="F39" i="4"/>
  <c r="I17" i="4"/>
  <c r="K16" i="4"/>
  <c r="K15" i="4"/>
  <c r="K14" i="4"/>
  <c r="K13" i="4"/>
  <c r="K12" i="4"/>
  <c r="K11" i="4"/>
  <c r="K10" i="4"/>
  <c r="K9" i="4"/>
  <c r="K8" i="4"/>
  <c r="K7" i="4"/>
  <c r="K6" i="4"/>
  <c r="K17" i="4" l="1"/>
  <c r="E40" i="4"/>
  <c r="D42" i="4" s="1"/>
  <c r="F43" i="4" s="1"/>
  <c r="F46" i="4" s="1"/>
  <c r="E41" i="3"/>
  <c r="E40" i="3"/>
  <c r="E39" i="3"/>
  <c r="E37" i="3"/>
  <c r="E34" i="3"/>
  <c r="E33" i="3"/>
  <c r="E32" i="3"/>
  <c r="E31" i="3"/>
  <c r="E29" i="3"/>
  <c r="E25" i="3"/>
  <c r="E24" i="3"/>
  <c r="E22" i="3"/>
  <c r="E17" i="3"/>
  <c r="E16" i="3"/>
  <c r="E15" i="3"/>
  <c r="E9" i="3"/>
  <c r="E7" i="3"/>
  <c r="E5" i="3"/>
  <c r="I46" i="3"/>
  <c r="K45" i="3"/>
  <c r="K44" i="3"/>
  <c r="K46" i="3" s="1"/>
  <c r="F44" i="3"/>
  <c r="I17" i="3"/>
  <c r="K16" i="3"/>
  <c r="K15" i="3"/>
  <c r="K14" i="3"/>
  <c r="K13" i="3"/>
  <c r="K12" i="3"/>
  <c r="K11" i="3"/>
  <c r="K10" i="3"/>
  <c r="K9" i="3"/>
  <c r="K8" i="3"/>
  <c r="K7" i="3"/>
  <c r="K6" i="3"/>
  <c r="K17" i="3" l="1"/>
  <c r="E45" i="3"/>
  <c r="D47" i="3" s="1"/>
  <c r="F48" i="3" s="1"/>
  <c r="F51" i="3" s="1"/>
  <c r="I53" i="2"/>
  <c r="K52" i="2"/>
  <c r="K51" i="2"/>
  <c r="K53" i="2" s="1"/>
  <c r="F51" i="2"/>
  <c r="I17" i="2"/>
  <c r="K16" i="2"/>
  <c r="K15" i="2"/>
  <c r="K14" i="2"/>
  <c r="K13" i="2"/>
  <c r="K12" i="2"/>
  <c r="K11" i="2"/>
  <c r="K10" i="2"/>
  <c r="K9" i="2"/>
  <c r="E52" i="2"/>
  <c r="D54" i="2" s="1"/>
  <c r="F55" i="2" s="1"/>
  <c r="F58" i="2" s="1"/>
  <c r="K8" i="2"/>
  <c r="K7" i="2"/>
  <c r="K6" i="2"/>
  <c r="K17" i="2" l="1"/>
  <c r="E43" i="1"/>
  <c r="E41" i="1"/>
  <c r="E40" i="1"/>
  <c r="E39" i="1"/>
  <c r="E38" i="1"/>
  <c r="E36" i="1"/>
  <c r="E31" i="1"/>
  <c r="E25" i="1"/>
  <c r="E24" i="1"/>
  <c r="E22" i="1"/>
  <c r="E21" i="1"/>
  <c r="E18" i="1"/>
  <c r="E17" i="1"/>
  <c r="E16" i="1"/>
  <c r="E15" i="1"/>
  <c r="E14" i="1"/>
  <c r="E13" i="1"/>
  <c r="E12" i="1"/>
  <c r="E10" i="1"/>
  <c r="E9" i="1"/>
  <c r="Q45" i="10"/>
  <c r="W4" i="10" s="1"/>
  <c r="W5" i="10" s="1"/>
  <c r="W6" i="10" s="1"/>
  <c r="W7" i="10" s="1"/>
  <c r="W8" i="10" s="1"/>
  <c r="W9" i="10" s="1"/>
  <c r="W10" i="10" s="1"/>
  <c r="W11" i="10" s="1"/>
  <c r="W12" i="10" s="1"/>
  <c r="W13" i="10" s="1"/>
  <c r="W14" i="10" s="1"/>
  <c r="W15" i="10" s="1"/>
  <c r="W16" i="10" s="1"/>
  <c r="W17" i="10" s="1"/>
  <c r="W18" i="10" s="1"/>
  <c r="W19" i="10" s="1"/>
  <c r="W20" i="10" s="1"/>
  <c r="W21" i="10" s="1"/>
  <c r="W22" i="10" s="1"/>
  <c r="W23" i="10" s="1"/>
  <c r="W24" i="10" s="1"/>
  <c r="W25" i="10" s="1"/>
  <c r="W26" i="10" s="1"/>
  <c r="W27" i="10" s="1"/>
  <c r="W28" i="10" s="1"/>
  <c r="W29" i="10" s="1"/>
  <c r="W30" i="10" s="1"/>
  <c r="W31" i="10" s="1"/>
  <c r="W32" i="10" s="1"/>
  <c r="W33" i="10" s="1"/>
  <c r="W34" i="10" s="1"/>
  <c r="W35" i="10" s="1"/>
  <c r="W36" i="10" s="1"/>
  <c r="W37" i="10" s="1"/>
  <c r="W38" i="10" s="1"/>
  <c r="W39" i="10" s="1"/>
  <c r="Y2" i="10"/>
  <c r="Y5" i="10" s="1"/>
  <c r="Y7" i="10" s="1"/>
  <c r="Y10" i="10" s="1"/>
  <c r="I46" i="1"/>
  <c r="K45" i="1"/>
  <c r="K44" i="1"/>
  <c r="F44" i="1"/>
  <c r="I34" i="1"/>
  <c r="K33" i="1"/>
  <c r="K32" i="1"/>
  <c r="K31" i="1"/>
  <c r="K30" i="1"/>
  <c r="K29" i="1"/>
  <c r="K28" i="1"/>
  <c r="I17" i="1"/>
  <c r="K16" i="1"/>
  <c r="K15" i="1"/>
  <c r="K14" i="1"/>
  <c r="K13" i="1"/>
  <c r="K12" i="1"/>
  <c r="K11" i="1"/>
  <c r="K10" i="1"/>
  <c r="K9" i="1"/>
  <c r="K8" i="1"/>
  <c r="K7" i="1"/>
  <c r="K6" i="1"/>
  <c r="W40" i="10" l="1"/>
  <c r="W41" i="10" s="1"/>
  <c r="W42" i="10" s="1"/>
  <c r="W43" i="10" s="1"/>
  <c r="K17" i="1"/>
  <c r="K34" i="1"/>
  <c r="K46" i="1"/>
  <c r="E45" i="1"/>
  <c r="D47" i="1" s="1"/>
  <c r="F48" i="1" s="1"/>
  <c r="F51" i="1" s="1"/>
  <c r="E45" i="40"/>
  <c r="D47" i="40" s="1"/>
  <c r="F48" i="40" s="1"/>
  <c r="F53" i="40" s="1"/>
</calcChain>
</file>

<file path=xl/sharedStrings.xml><?xml version="1.0" encoding="utf-8"?>
<sst xmlns="http://schemas.openxmlformats.org/spreadsheetml/2006/main" count="3870" uniqueCount="1018">
  <si>
    <t>FELIX SANCHEZ</t>
  </si>
  <si>
    <t>RICARDO SANCHEZ</t>
  </si>
  <si>
    <t>FECHA</t>
  </si>
  <si>
    <t>REMISION</t>
  </si>
  <si>
    <t>CLIENTE</t>
  </si>
  <si>
    <t>KILOS</t>
  </si>
  <si>
    <t>LA UNION</t>
  </si>
  <si>
    <t>PACO DIAZ</t>
  </si>
  <si>
    <t xml:space="preserve">CARNICERIA SANTA ANA </t>
  </si>
  <si>
    <t xml:space="preserve"> </t>
  </si>
  <si>
    <t>CARNICERIA BARBIE</t>
  </si>
  <si>
    <t>CARNES SELECTAS</t>
  </si>
  <si>
    <t>LOMA VERDE</t>
  </si>
  <si>
    <t>JAVIER</t>
  </si>
  <si>
    <t>JULIO</t>
  </si>
  <si>
    <t>COMISION</t>
  </si>
  <si>
    <t>SUELDO</t>
  </si>
  <si>
    <t>ANTICIPO</t>
  </si>
  <si>
    <t xml:space="preserve">VALE </t>
  </si>
  <si>
    <t>PAGO</t>
  </si>
  <si>
    <t>VENTA DE CAMIONETA EQUINOX  A FELIX SANCHEZ</t>
  </si>
  <si>
    <t>EQUINOX</t>
  </si>
  <si>
    <t>IMPORTE</t>
  </si>
  <si>
    <t>SALDO</t>
  </si>
  <si>
    <t>CARNICERIA HUGOS</t>
  </si>
  <si>
    <t>PABLO BAUTISTQA</t>
  </si>
  <si>
    <t>CARBES SELECTAS</t>
  </si>
  <si>
    <t>06-dic.-17</t>
  </si>
  <si>
    <t>C 16856</t>
  </si>
  <si>
    <t>07-ene.-17</t>
  </si>
  <si>
    <t>C 21228</t>
  </si>
  <si>
    <t>09-ene.-17</t>
  </si>
  <si>
    <t>C 21436</t>
  </si>
  <si>
    <t>C 21437</t>
  </si>
  <si>
    <t>CARNICERIA SANTA ANA</t>
  </si>
  <si>
    <t>C 21446</t>
  </si>
  <si>
    <t>C 21447</t>
  </si>
  <si>
    <t>10-ene.-17</t>
  </si>
  <si>
    <t>C 21546</t>
  </si>
  <si>
    <t>C 21548</t>
  </si>
  <si>
    <t>C 21547</t>
  </si>
  <si>
    <t>C 21549</t>
  </si>
  <si>
    <t>C 21550</t>
  </si>
  <si>
    <t>11-ene.-17</t>
  </si>
  <si>
    <t>C 21699</t>
  </si>
  <si>
    <t>C 21700</t>
  </si>
  <si>
    <t>C 21705</t>
  </si>
  <si>
    <t>12-ene.-17</t>
  </si>
  <si>
    <t>C 21803</t>
  </si>
  <si>
    <t>C 21806</t>
  </si>
  <si>
    <t>C 21807</t>
  </si>
  <si>
    <t>CHEMA</t>
  </si>
  <si>
    <t>C 21809</t>
  </si>
  <si>
    <t>C 21810</t>
  </si>
  <si>
    <t>C 21812</t>
  </si>
  <si>
    <t>C 21813</t>
  </si>
  <si>
    <t>C 21814</t>
  </si>
  <si>
    <t>13-ene.-17</t>
  </si>
  <si>
    <t>C 21943</t>
  </si>
  <si>
    <t>C 21951</t>
  </si>
  <si>
    <t>C 21952</t>
  </si>
  <si>
    <t>C 21955</t>
  </si>
  <si>
    <t>C 21956</t>
  </si>
  <si>
    <t>C 21957</t>
  </si>
  <si>
    <t>C 21961</t>
  </si>
  <si>
    <t>C 21965</t>
  </si>
  <si>
    <t>C 21970</t>
  </si>
  <si>
    <t>C 21972</t>
  </si>
  <si>
    <t>C 21973</t>
  </si>
  <si>
    <t>C 21975</t>
  </si>
  <si>
    <t>C 21976</t>
  </si>
  <si>
    <t>C 22038</t>
  </si>
  <si>
    <t>14-ene.-17</t>
  </si>
  <si>
    <t>C 22067</t>
  </si>
  <si>
    <t>C 22071</t>
  </si>
  <si>
    <t>C 22075</t>
  </si>
  <si>
    <t>C 22076</t>
  </si>
  <si>
    <t>CARNES DIAZ</t>
  </si>
  <si>
    <t>C 22077</t>
  </si>
  <si>
    <t>C 22078</t>
  </si>
  <si>
    <t>C 22083</t>
  </si>
  <si>
    <t>C 22086</t>
  </si>
  <si>
    <t>C 22088</t>
  </si>
  <si>
    <t>C 22089</t>
  </si>
  <si>
    <t>15-ene.-17</t>
  </si>
  <si>
    <t>C 22242</t>
  </si>
  <si>
    <t>RAUL</t>
  </si>
  <si>
    <t xml:space="preserve">4,365.00  pago </t>
  </si>
  <si>
    <t>1,500.00  BARBIE</t>
  </si>
  <si>
    <t>3,715.00  pago</t>
  </si>
  <si>
    <t>1,500.00 BARBIE</t>
  </si>
  <si>
    <t>CARNICERIA HUGO´S</t>
  </si>
  <si>
    <t>vale por 634.00 barbie</t>
  </si>
  <si>
    <t>pago por 4,925.00</t>
  </si>
  <si>
    <t xml:space="preserve">   </t>
  </si>
  <si>
    <t xml:space="preserve">CARNICEREIA SANTA ANA </t>
  </si>
  <si>
    <t>JUILIO</t>
  </si>
  <si>
    <t xml:space="preserve">vale 718.00  x notas </t>
  </si>
  <si>
    <t>pago por 4,501.00</t>
  </si>
  <si>
    <t>FECHA  VALE</t>
  </si>
  <si>
    <t>25*08-16</t>
  </si>
  <si>
    <t xml:space="preserve">25-Nov y 1 Dic </t>
  </si>
  <si>
    <t>del  30  al   04     FEBRERO         2017</t>
  </si>
  <si>
    <t>del  16  al      21      ENERO         2017</t>
  </si>
  <si>
    <t>del  09   al      14      ENERO         2017</t>
  </si>
  <si>
    <t>del  2  al      07      ENERO         2017</t>
  </si>
  <si>
    <t>del  23  al      28     ENERO         2017</t>
  </si>
  <si>
    <t>VALE R.S. 1,700.00</t>
  </si>
  <si>
    <t>VALE F.S. 1,000.00</t>
  </si>
  <si>
    <t>VALE F.S. 3,262.00</t>
  </si>
  <si>
    <t>,0026</t>
  </si>
  <si>
    <t>,0034</t>
  </si>
  <si>
    <t>,0038</t>
  </si>
  <si>
    <t>,0039</t>
  </si>
  <si>
    <t>,0040</t>
  </si>
  <si>
    <t>,0143</t>
  </si>
  <si>
    <t>,0145</t>
  </si>
  <si>
    <t>,0146</t>
  </si>
  <si>
    <t>,0147</t>
  </si>
  <si>
    <t>,0150</t>
  </si>
  <si>
    <t>,0256</t>
  </si>
  <si>
    <t xml:space="preserve">,0258 </t>
  </si>
  <si>
    <t>,0260</t>
  </si>
  <si>
    <t>,0261</t>
  </si>
  <si>
    <t>,0267</t>
  </si>
  <si>
    <t>,0271</t>
  </si>
  <si>
    <t>,0272</t>
  </si>
  <si>
    <t>,0274</t>
  </si>
  <si>
    <t>,0275</t>
  </si>
  <si>
    <t>,0387</t>
  </si>
  <si>
    <t>,0388</t>
  </si>
  <si>
    <t>,0389</t>
  </si>
  <si>
    <t>,0392</t>
  </si>
  <si>
    <t>,0394</t>
  </si>
  <si>
    <t>,0398</t>
  </si>
  <si>
    <t>,0520</t>
  </si>
  <si>
    <t>,0530</t>
  </si>
  <si>
    <t>,0531</t>
  </si>
  <si>
    <t>,0532</t>
  </si>
  <si>
    <t>,0534</t>
  </si>
  <si>
    <t>,0535</t>
  </si>
  <si>
    <t>,0537</t>
  </si>
  <si>
    <t>,0538</t>
  </si>
  <si>
    <t>,0546</t>
  </si>
  <si>
    <t>,0549</t>
  </si>
  <si>
    <t>,0550</t>
  </si>
  <si>
    <t>,0551</t>
  </si>
  <si>
    <t>,0552</t>
  </si>
  <si>
    <t>,0641</t>
  </si>
  <si>
    <t>,0642</t>
  </si>
  <si>
    <t>,0643.</t>
  </si>
  <si>
    <t>,0651</t>
  </si>
  <si>
    <t>,0656</t>
  </si>
  <si>
    <t>,0664</t>
  </si>
  <si>
    <t>,0668</t>
  </si>
  <si>
    <t>,0670</t>
  </si>
  <si>
    <t>,0675</t>
  </si>
  <si>
    <t>SUELDOS $ 3,400.00</t>
  </si>
  <si>
    <t>PAGO  $  2,470.00</t>
  </si>
  <si>
    <t>del  06   al      11 FEBRERO          2017</t>
  </si>
  <si>
    <t>del   13    al      18 FEBRERO         2017</t>
  </si>
  <si>
    <t>889 D</t>
  </si>
  <si>
    <t>890 D</t>
  </si>
  <si>
    <t>891 D</t>
  </si>
  <si>
    <t>892 D</t>
  </si>
  <si>
    <t>993 D</t>
  </si>
  <si>
    <t>996 D</t>
  </si>
  <si>
    <t>997 D</t>
  </si>
  <si>
    <t>998 D</t>
  </si>
  <si>
    <t>VALE DE PAGO 4,225.00</t>
  </si>
  <si>
    <t>PAGO S/Prestamo 1,500.00</t>
  </si>
  <si>
    <t xml:space="preserve">PRESTAMOS </t>
  </si>
  <si>
    <t>1270 D</t>
  </si>
  <si>
    <t>1378 D</t>
  </si>
  <si>
    <t>1555 D</t>
  </si>
  <si>
    <t>1747 D</t>
  </si>
  <si>
    <t>1748 D</t>
  </si>
  <si>
    <t>1749 D</t>
  </si>
  <si>
    <t>1751 D</t>
  </si>
  <si>
    <t>1755 D</t>
  </si>
  <si>
    <t>1756 D</t>
  </si>
  <si>
    <t>1757 D</t>
  </si>
  <si>
    <t>1836 D</t>
  </si>
  <si>
    <t>1837 D</t>
  </si>
  <si>
    <t>1838 D</t>
  </si>
  <si>
    <t>1839 D</t>
  </si>
  <si>
    <t>1844 D</t>
  </si>
  <si>
    <t>1845 D</t>
  </si>
  <si>
    <t>1849 D</t>
  </si>
  <si>
    <t>1862 D</t>
  </si>
  <si>
    <t xml:space="preserve">1973 D </t>
  </si>
  <si>
    <t>1978 D</t>
  </si>
  <si>
    <t>1979 D</t>
  </si>
  <si>
    <t>1980 D</t>
  </si>
  <si>
    <t>1981 D</t>
  </si>
  <si>
    <t>1982 D</t>
  </si>
  <si>
    <t>2100 D</t>
  </si>
  <si>
    <t>2102 D</t>
  </si>
  <si>
    <t>2103 D</t>
  </si>
  <si>
    <t>2104 D</t>
  </si>
  <si>
    <t>2105 D</t>
  </si>
  <si>
    <t>2110 D</t>
  </si>
  <si>
    <t>2254 D</t>
  </si>
  <si>
    <t>2255 D</t>
  </si>
  <si>
    <t>2256 D</t>
  </si>
  <si>
    <t>2257 D</t>
  </si>
  <si>
    <t>2258 D</t>
  </si>
  <si>
    <t>2261 D</t>
  </si>
  <si>
    <t>2264 D</t>
  </si>
  <si>
    <t>2269 D</t>
  </si>
  <si>
    <t>2270 D</t>
  </si>
  <si>
    <t>2271 D</t>
  </si>
  <si>
    <t>2274 D</t>
  </si>
  <si>
    <t>2391 D</t>
  </si>
  <si>
    <t>2392 D</t>
  </si>
  <si>
    <t>2393 D</t>
  </si>
  <si>
    <t>2394 D</t>
  </si>
  <si>
    <t>2396 D</t>
  </si>
  <si>
    <t>2403 D</t>
  </si>
  <si>
    <t>2404 D</t>
  </si>
  <si>
    <t>2416 D</t>
  </si>
  <si>
    <t>2417 D</t>
  </si>
  <si>
    <t>del   20    al  25    FEBRERO         2017</t>
  </si>
  <si>
    <t>2418 D</t>
  </si>
  <si>
    <t>2632 D</t>
  </si>
  <si>
    <t>2633 D</t>
  </si>
  <si>
    <t>2689 D</t>
  </si>
  <si>
    <t>2690 D</t>
  </si>
  <si>
    <t>2693 D</t>
  </si>
  <si>
    <t>2694 D</t>
  </si>
  <si>
    <t>2701 D</t>
  </si>
  <si>
    <t>2930 D</t>
  </si>
  <si>
    <t>2931 D</t>
  </si>
  <si>
    <t>2934 D</t>
  </si>
  <si>
    <t>2935 D</t>
  </si>
  <si>
    <t>2936 D</t>
  </si>
  <si>
    <t>2938 D</t>
  </si>
  <si>
    <t>2939 D</t>
  </si>
  <si>
    <t>2940 D</t>
  </si>
  <si>
    <t>3041 D</t>
  </si>
  <si>
    <t>3042 D</t>
  </si>
  <si>
    <t>3043 D</t>
  </si>
  <si>
    <t>3044 D</t>
  </si>
  <si>
    <t>3045 D</t>
  </si>
  <si>
    <t>3052 D</t>
  </si>
  <si>
    <t>3053 D</t>
  </si>
  <si>
    <t>3054 D</t>
  </si>
  <si>
    <t>3055 D</t>
  </si>
  <si>
    <t>VENTA DE MOSTRADOR</t>
  </si>
  <si>
    <t>3262 D</t>
  </si>
  <si>
    <t>3263 D</t>
  </si>
  <si>
    <t>3410 D</t>
  </si>
  <si>
    <t>3411 D</t>
  </si>
  <si>
    <t>3414 D</t>
  </si>
  <si>
    <t>3488 D</t>
  </si>
  <si>
    <t>3491 D</t>
  </si>
  <si>
    <t>3494 D</t>
  </si>
  <si>
    <t>SUELDOS 3,400.00</t>
  </si>
  <si>
    <t>PAGOS</t>
  </si>
  <si>
    <t>del   27   al     04  MARZO         2017</t>
  </si>
  <si>
    <t>del   06   al     11 MARZO         2017</t>
  </si>
  <si>
    <t>2937 D</t>
  </si>
  <si>
    <t>3489 D</t>
  </si>
  <si>
    <t>3490 D</t>
  </si>
  <si>
    <t>3492 D</t>
  </si>
  <si>
    <t>3493 D</t>
  </si>
  <si>
    <t>3588 D</t>
  </si>
  <si>
    <t>3601 D</t>
  </si>
  <si>
    <t>3602 D</t>
  </si>
  <si>
    <t>3606 D</t>
  </si>
  <si>
    <t>3607 D</t>
  </si>
  <si>
    <t>3608 D</t>
  </si>
  <si>
    <t>3609 D</t>
  </si>
  <si>
    <t>3739 D</t>
  </si>
  <si>
    <t>3740 D</t>
  </si>
  <si>
    <t>3741 D</t>
  </si>
  <si>
    <t>3742 D</t>
  </si>
  <si>
    <t>3743 D</t>
  </si>
  <si>
    <t>3744 D</t>
  </si>
  <si>
    <t>3746 D</t>
  </si>
  <si>
    <t>3889 D</t>
  </si>
  <si>
    <t>3891 D</t>
  </si>
  <si>
    <t>3892 D</t>
  </si>
  <si>
    <t>3893 D</t>
  </si>
  <si>
    <t>3895 D</t>
  </si>
  <si>
    <t>3896 D</t>
  </si>
  <si>
    <t>3905 D</t>
  </si>
  <si>
    <t>4036 D</t>
  </si>
  <si>
    <t>4037 D</t>
  </si>
  <si>
    <t>4038 D</t>
  </si>
  <si>
    <t>4041 D</t>
  </si>
  <si>
    <t>4337 D</t>
  </si>
  <si>
    <t>4340D</t>
  </si>
  <si>
    <t>PAGO R-4039   $ 1,500.00</t>
  </si>
  <si>
    <t>del   13   al   18   MARZO         2017</t>
  </si>
  <si>
    <t>VENTA MOSTRADOR</t>
  </si>
  <si>
    <t>24-Mar pago       $ 3,400.00</t>
  </si>
  <si>
    <t>del   20   al   25   MARZO         2017</t>
  </si>
  <si>
    <t>31 Mar pago  1,500.00</t>
  </si>
  <si>
    <t>31 Mar pago $  300.00</t>
  </si>
  <si>
    <t xml:space="preserve">PAGO </t>
  </si>
  <si>
    <t>31 Mar pago  $  425.00</t>
  </si>
  <si>
    <t xml:space="preserve">sub-total </t>
  </si>
  <si>
    <t>Congelador</t>
  </si>
  <si>
    <t xml:space="preserve">VENTA DE MOSTRADOR </t>
  </si>
  <si>
    <t>JAVIERE</t>
  </si>
  <si>
    <t>31-Mar pago       $ 3,400.00</t>
  </si>
  <si>
    <t>PAGO S</t>
  </si>
  <si>
    <t>05 Abril  pago       $ 300.00</t>
  </si>
  <si>
    <t>05 Abril  Pago      $ 1,500.00</t>
  </si>
  <si>
    <t>05 Abril    pago      $ 796.50</t>
  </si>
  <si>
    <t>prestamo</t>
  </si>
  <si>
    <t xml:space="preserve">prestamo x Lic </t>
  </si>
  <si>
    <t>del   27   al   01  ABRIL 4        2017</t>
  </si>
  <si>
    <t>5389 D</t>
  </si>
  <si>
    <t>5851 D</t>
  </si>
  <si>
    <t>5854 D</t>
  </si>
  <si>
    <t>5864 D</t>
  </si>
  <si>
    <t>5865 D</t>
  </si>
  <si>
    <t>5867 D</t>
  </si>
  <si>
    <t xml:space="preserve">5967 D </t>
  </si>
  <si>
    <t>5968 D</t>
  </si>
  <si>
    <t>5969 D</t>
  </si>
  <si>
    <t>5970 D</t>
  </si>
  <si>
    <t>5972 D</t>
  </si>
  <si>
    <t>5973 D</t>
  </si>
  <si>
    <t>5975 D</t>
  </si>
  <si>
    <t>6082 D</t>
  </si>
  <si>
    <t>6104 D</t>
  </si>
  <si>
    <t>6105 D</t>
  </si>
  <si>
    <t>6107 D</t>
  </si>
  <si>
    <t>6108 D</t>
  </si>
  <si>
    <t>6109 D</t>
  </si>
  <si>
    <t>6183 D</t>
  </si>
  <si>
    <t>6188 D</t>
  </si>
  <si>
    <t>6193 D</t>
  </si>
  <si>
    <t>6194 D</t>
  </si>
  <si>
    <t>PACOS DIAZ</t>
  </si>
  <si>
    <t>6325 D</t>
  </si>
  <si>
    <t>6328 D</t>
  </si>
  <si>
    <t>6329 D</t>
  </si>
  <si>
    <t>6330 D</t>
  </si>
  <si>
    <t>6331 D</t>
  </si>
  <si>
    <t>6334 D</t>
  </si>
  <si>
    <t>6335 D</t>
  </si>
  <si>
    <t>6338 D</t>
  </si>
  <si>
    <t>6472 D</t>
  </si>
  <si>
    <t>6480 D</t>
  </si>
  <si>
    <t>6481 D</t>
  </si>
  <si>
    <t>6483 D</t>
  </si>
  <si>
    <t>6486 D</t>
  </si>
  <si>
    <t>05-Abril   $ 3,400.00</t>
  </si>
  <si>
    <t>rem--5866-D  06-Abril   $ 1,600.00</t>
  </si>
  <si>
    <t>del   03  al  08    ABRIL         2017</t>
  </si>
  <si>
    <t>06-Abril   $  450.00</t>
  </si>
  <si>
    <t>6110 D</t>
  </si>
  <si>
    <t>6326 D</t>
  </si>
  <si>
    <t>6473 D</t>
  </si>
  <si>
    <t>6663 D</t>
  </si>
  <si>
    <t>6665 D</t>
  </si>
  <si>
    <t>6666 D</t>
  </si>
  <si>
    <t>6667 D</t>
  </si>
  <si>
    <t>6671 D</t>
  </si>
  <si>
    <t>6675 D</t>
  </si>
  <si>
    <t>6834 D</t>
  </si>
  <si>
    <t>6836 D</t>
  </si>
  <si>
    <t>6837 D</t>
  </si>
  <si>
    <t>6838 D</t>
  </si>
  <si>
    <t>6928 D</t>
  </si>
  <si>
    <t>6937 D</t>
  </si>
  <si>
    <t>6839 D</t>
  </si>
  <si>
    <t>6840 D</t>
  </si>
  <si>
    <t>6844 D</t>
  </si>
  <si>
    <t>6845 D</t>
  </si>
  <si>
    <t>6927 D</t>
  </si>
  <si>
    <t>6929 D</t>
  </si>
  <si>
    <t>6930 D</t>
  </si>
  <si>
    <t>6935 D</t>
  </si>
  <si>
    <t>6936 D</t>
  </si>
  <si>
    <t>7047 D</t>
  </si>
  <si>
    <t>7048 D</t>
  </si>
  <si>
    <t>7049 D</t>
  </si>
  <si>
    <t>7060 D</t>
  </si>
  <si>
    <t>7217 D</t>
  </si>
  <si>
    <t>7219 D</t>
  </si>
  <si>
    <t>7220 D</t>
  </si>
  <si>
    <t>7221 D</t>
  </si>
  <si>
    <t>7226 D</t>
  </si>
  <si>
    <t>7228 D</t>
  </si>
  <si>
    <t>7229 D</t>
  </si>
  <si>
    <t>7230 D</t>
  </si>
  <si>
    <t>7264 D</t>
  </si>
  <si>
    <t>7374 D</t>
  </si>
  <si>
    <t>7375 D</t>
  </si>
  <si>
    <t>7376 D</t>
  </si>
  <si>
    <t>7377 D</t>
  </si>
  <si>
    <t>13 abril  $  1,501.00</t>
  </si>
  <si>
    <t>13 Abril  $ 4,152.00</t>
  </si>
  <si>
    <t>del   10  al  15    ABRIL         2017</t>
  </si>
  <si>
    <t>21 abril    vale por $ 3,.400.00</t>
  </si>
  <si>
    <t>21 abril    vale por $ 1,800.00</t>
  </si>
  <si>
    <t>21 abril    vale por $ 750.00</t>
  </si>
  <si>
    <t>sus prestamos</t>
  </si>
  <si>
    <t>del   17  al  22   ABRIL         2017</t>
  </si>
  <si>
    <t>CARNICERIAS HUGOS</t>
  </si>
  <si>
    <t>vale en 28 Abril 4,664.00</t>
  </si>
  <si>
    <t>vale en 28 Abril 1,800.00</t>
  </si>
  <si>
    <t>del   24  al  29   ABRIL         2017</t>
  </si>
  <si>
    <t>8807 D</t>
  </si>
  <si>
    <t>8980 D</t>
  </si>
  <si>
    <t>9247 D</t>
  </si>
  <si>
    <t>9248 D</t>
  </si>
  <si>
    <t>9249 D</t>
  </si>
  <si>
    <t>9251 D</t>
  </si>
  <si>
    <t>9252 D</t>
  </si>
  <si>
    <t>9253 D</t>
  </si>
  <si>
    <t>9254 D</t>
  </si>
  <si>
    <t>9365 D</t>
  </si>
  <si>
    <t>9372 D</t>
  </si>
  <si>
    <t>9366 D</t>
  </si>
  <si>
    <t>9374 D</t>
  </si>
  <si>
    <t>9375 D</t>
  </si>
  <si>
    <t>9377 D</t>
  </si>
  <si>
    <t>9452 D</t>
  </si>
  <si>
    <t>9457 D</t>
  </si>
  <si>
    <t>9463 D</t>
  </si>
  <si>
    <t>9464 D</t>
  </si>
  <si>
    <t>9466 D</t>
  </si>
  <si>
    <t>9467 D</t>
  </si>
  <si>
    <t>9468 D</t>
  </si>
  <si>
    <t>9470 D</t>
  </si>
  <si>
    <t>9471 D</t>
  </si>
  <si>
    <t>9607 D</t>
  </si>
  <si>
    <t>9608 D</t>
  </si>
  <si>
    <t>9609 D</t>
  </si>
  <si>
    <t>9612 D</t>
  </si>
  <si>
    <t>9704 D</t>
  </si>
  <si>
    <t>9709 D</t>
  </si>
  <si>
    <t>9710 D</t>
  </si>
  <si>
    <t>9714 D</t>
  </si>
  <si>
    <t>9716 D</t>
  </si>
  <si>
    <t>9718 D</t>
  </si>
  <si>
    <t>9880 D</t>
  </si>
  <si>
    <t>9882 D</t>
  </si>
  <si>
    <t>9884 D</t>
  </si>
  <si>
    <t>9890 D</t>
  </si>
  <si>
    <t>9891 D</t>
  </si>
  <si>
    <t>9896 D</t>
  </si>
  <si>
    <t>9898 D</t>
  </si>
  <si>
    <t>9901 D</t>
  </si>
  <si>
    <t>Vale 4 de Mayo 3,400.00</t>
  </si>
  <si>
    <t>Vale 5 de Mayo 1,800.00</t>
  </si>
  <si>
    <t>Vale 5 de Mayo 699.00</t>
  </si>
  <si>
    <t>del   01  al  06  MAYO         2017</t>
  </si>
  <si>
    <t>VALE 12 Mayo  $ 3,400.00</t>
  </si>
  <si>
    <t>Rem-1256</t>
  </si>
  <si>
    <t>VALE 12 Mayo  $ 1039.00</t>
  </si>
  <si>
    <t>VALE 12 Mayo  $ 467.00</t>
  </si>
  <si>
    <t>VALE 12 Mayo  $ 761.00</t>
  </si>
  <si>
    <t>del   08  al  13  MAYO         2017</t>
  </si>
  <si>
    <t>9715 D</t>
  </si>
  <si>
    <t>VENTAS DE MOSTRADOR</t>
  </si>
  <si>
    <t>Vale el 19 Mayo $ 3,400.00</t>
  </si>
  <si>
    <t>Vale el 19 Mayo $ 1,800.00</t>
  </si>
  <si>
    <t>Vale el 19 Mayo $ 837.00</t>
  </si>
  <si>
    <t>del   15  al  20  MAYO         2017</t>
  </si>
  <si>
    <t>JAVIER ROCHA</t>
  </si>
  <si>
    <t>vale 26 Mayo 3,400.00</t>
  </si>
  <si>
    <t>vale 26 Mayo 300</t>
  </si>
  <si>
    <t>vale 26 Mayo 2,301.00</t>
  </si>
  <si>
    <t>del   22  al  27  MAYO         2017</t>
  </si>
  <si>
    <t>12232 D</t>
  </si>
  <si>
    <t>12234 D</t>
  </si>
  <si>
    <t>12509 D</t>
  </si>
  <si>
    <t>12514 D</t>
  </si>
  <si>
    <t>12529 D</t>
  </si>
  <si>
    <t>12681 D</t>
  </si>
  <si>
    <t>12892 D</t>
  </si>
  <si>
    <t>12894 D</t>
  </si>
  <si>
    <t>12896 D</t>
  </si>
  <si>
    <t>13001 D</t>
  </si>
  <si>
    <t>13002 D</t>
  </si>
  <si>
    <t>13004 D</t>
  </si>
  <si>
    <t>13006 D</t>
  </si>
  <si>
    <t>13007 D</t>
  </si>
  <si>
    <t>13009 D</t>
  </si>
  <si>
    <t>13010 D</t>
  </si>
  <si>
    <t>13011 D</t>
  </si>
  <si>
    <t>13012 D</t>
  </si>
  <si>
    <t>13150 D</t>
  </si>
  <si>
    <t>13151 D</t>
  </si>
  <si>
    <t>13152 D</t>
  </si>
  <si>
    <t>13153 D</t>
  </si>
  <si>
    <t>13154 D</t>
  </si>
  <si>
    <t>13155 D</t>
  </si>
  <si>
    <t>13157 D</t>
  </si>
  <si>
    <t>13254 D</t>
  </si>
  <si>
    <t>13256 D</t>
  </si>
  <si>
    <t>13257 D</t>
  </si>
  <si>
    <t>13258 D</t>
  </si>
  <si>
    <t>13259 D</t>
  </si>
  <si>
    <t>13260 D</t>
  </si>
  <si>
    <t>13261 D</t>
  </si>
  <si>
    <t>13356 D</t>
  </si>
  <si>
    <t>13359 D</t>
  </si>
  <si>
    <t>13363 D</t>
  </si>
  <si>
    <t>13380 D</t>
  </si>
  <si>
    <t>13381 D</t>
  </si>
  <si>
    <t>13382 D</t>
  </si>
  <si>
    <t>13390 D</t>
  </si>
  <si>
    <t>13391 D</t>
  </si>
  <si>
    <t xml:space="preserve">JAVIER   </t>
  </si>
  <si>
    <t>13577 D</t>
  </si>
  <si>
    <t>13579 D</t>
  </si>
  <si>
    <t>13581 D</t>
  </si>
  <si>
    <t>13582 D</t>
  </si>
  <si>
    <t>13583 D</t>
  </si>
  <si>
    <t>13584 D</t>
  </si>
  <si>
    <t>13585 D</t>
  </si>
  <si>
    <t>13586 D</t>
  </si>
  <si>
    <t>13587 D</t>
  </si>
  <si>
    <t>13628 D</t>
  </si>
  <si>
    <t>vale 2 JUNIO  3,400.00</t>
  </si>
  <si>
    <t>S/REMISIONES</t>
  </si>
  <si>
    <t>vale 7 JUNIO  300</t>
  </si>
  <si>
    <t>vale 7 JUNIO   709.50</t>
  </si>
  <si>
    <t>Vale 7 JUNIO 1,446.00</t>
  </si>
  <si>
    <t>del   29  al   03 JUNIO        2017</t>
  </si>
  <si>
    <t>13767 D</t>
  </si>
  <si>
    <t>13768 D</t>
  </si>
  <si>
    <t>13769 D</t>
  </si>
  <si>
    <t>13770 D</t>
  </si>
  <si>
    <t>13899 D</t>
  </si>
  <si>
    <t>13900 D</t>
  </si>
  <si>
    <t>13901 D</t>
  </si>
  <si>
    <t>13904 D</t>
  </si>
  <si>
    <t>13906 D</t>
  </si>
  <si>
    <t>13909 D</t>
  </si>
  <si>
    <t>13911 D</t>
  </si>
  <si>
    <t>13912 D</t>
  </si>
  <si>
    <t>13913 D</t>
  </si>
  <si>
    <t>14057 D</t>
  </si>
  <si>
    <t>14059 D</t>
  </si>
  <si>
    <t>14170 D</t>
  </si>
  <si>
    <t>14172 D</t>
  </si>
  <si>
    <t>14173 D</t>
  </si>
  <si>
    <t>14174 D</t>
  </si>
  <si>
    <t>14179 D</t>
  </si>
  <si>
    <t>14175 D</t>
  </si>
  <si>
    <t>14183 D</t>
  </si>
  <si>
    <t>14324 D</t>
  </si>
  <si>
    <t>14325 D</t>
  </si>
  <si>
    <t>14326 D</t>
  </si>
  <si>
    <t>14327 D</t>
  </si>
  <si>
    <t>14328 D</t>
  </si>
  <si>
    <t>14330 D</t>
  </si>
  <si>
    <t>14331 D</t>
  </si>
  <si>
    <t>14493 D</t>
  </si>
  <si>
    <t>14494 D</t>
  </si>
  <si>
    <t>14498 D</t>
  </si>
  <si>
    <t>vale 7 JUNIO  1,700.00</t>
  </si>
  <si>
    <t>vale 9 JUNIO 300.00</t>
  </si>
  <si>
    <t>vale 9  JUNIO  3,305.00</t>
  </si>
  <si>
    <t>del   05     al   10   JUNIO        2017</t>
  </si>
  <si>
    <t>13364 D</t>
  </si>
  <si>
    <t>13383 D</t>
  </si>
  <si>
    <t>13384 D</t>
  </si>
  <si>
    <t>14329 D</t>
  </si>
  <si>
    <t>14332 D</t>
  </si>
  <si>
    <t>14495 D</t>
  </si>
  <si>
    <t>14497 D</t>
  </si>
  <si>
    <t>14698 D</t>
  </si>
  <si>
    <t>14499 D</t>
  </si>
  <si>
    <t>14699 D</t>
  </si>
  <si>
    <t>14703 D</t>
  </si>
  <si>
    <t>14704 D</t>
  </si>
  <si>
    <t>14705 D</t>
  </si>
  <si>
    <t>14706 D</t>
  </si>
  <si>
    <t>14708 D</t>
  </si>
  <si>
    <t>14711 D</t>
  </si>
  <si>
    <t>14712 D</t>
  </si>
  <si>
    <t>14832 D</t>
  </si>
  <si>
    <t>14833 D</t>
  </si>
  <si>
    <t>14834 D</t>
  </si>
  <si>
    <t>14835 D</t>
  </si>
  <si>
    <t>14837 D</t>
  </si>
  <si>
    <t>14976 D</t>
  </si>
  <si>
    <t>14978 D</t>
  </si>
  <si>
    <t>14980 D</t>
  </si>
  <si>
    <t>15121 D</t>
  </si>
  <si>
    <t>15122 D</t>
  </si>
  <si>
    <t>15123 D</t>
  </si>
  <si>
    <t>15263 D</t>
  </si>
  <si>
    <t>15265 D</t>
  </si>
  <si>
    <t>15266 D</t>
  </si>
  <si>
    <t>15270 D</t>
  </si>
  <si>
    <t>15277 D</t>
  </si>
  <si>
    <t>15282 D</t>
  </si>
  <si>
    <t>15285 D</t>
  </si>
  <si>
    <t>15288 D</t>
  </si>
  <si>
    <t>15430 D</t>
  </si>
  <si>
    <t>15432 D</t>
  </si>
  <si>
    <t>15440 D</t>
  </si>
  <si>
    <t>15448 D</t>
  </si>
  <si>
    <t>Vale 16 Jun 1,011.00</t>
  </si>
  <si>
    <t>Vale 16 Jun 6,957.00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</si>
  <si>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</si>
  <si>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567+142.50</t>
  </si>
  <si>
    <t>del   12    al   17   JUNIO        2017</t>
  </si>
  <si>
    <t>15124 D</t>
  </si>
  <si>
    <t>VENTA DEMOSTRADOR</t>
  </si>
  <si>
    <t>Vale el 23 Junio   423.00</t>
  </si>
  <si>
    <t>Vale el 23 Junio   6,850.00</t>
  </si>
  <si>
    <t>del   19    al   24   JUNIO        2017</t>
  </si>
  <si>
    <t>15125 D</t>
  </si>
  <si>
    <t>FELIX CEREZO</t>
  </si>
  <si>
    <t xml:space="preserve">PAGO DE REMISIONES </t>
  </si>
  <si>
    <t>Vale 30 Junio  por 5,265.00</t>
  </si>
  <si>
    <t>Vale 30 Junio  por 1,853.00</t>
  </si>
  <si>
    <t>770+83+1000</t>
  </si>
  <si>
    <t>del   26    al   2  JULIO        2017</t>
  </si>
  <si>
    <t>Vale el 6 Julio 2,000.00</t>
  </si>
  <si>
    <t>Vale el 7 Julio 1,140.50</t>
  </si>
  <si>
    <t>Vale el 7 Julio 500.00</t>
  </si>
  <si>
    <t>PAGO A CUENTA PRESTAMO</t>
  </si>
  <si>
    <t>Vale el 7Julio 4,003.00</t>
  </si>
  <si>
    <t>.</t>
  </si>
  <si>
    <t>del   03    al   08     JULIO        2017</t>
  </si>
  <si>
    <t>17192 D</t>
  </si>
  <si>
    <t>Vale 14 Julio $ 2,598.00</t>
  </si>
  <si>
    <t>Vale 14 Julio $ 5,274.00</t>
  </si>
  <si>
    <t>pago de Remisiones 14336 D--19509 D---19511 D</t>
  </si>
  <si>
    <t>del   10    al   15    JULIO        2017</t>
  </si>
  <si>
    <t xml:space="preserve">JAVIER  </t>
  </si>
  <si>
    <t>Vale 19 Julio $ 4,000.00</t>
  </si>
  <si>
    <t>Vale 22 Julio  1,112.00</t>
  </si>
  <si>
    <t>Vale 22 Julio 2,788.00</t>
  </si>
  <si>
    <t>del   17    al    22  JULIO        2017</t>
  </si>
  <si>
    <t>18744 D</t>
  </si>
  <si>
    <t>vale 28 Julio $ 1,854.00</t>
  </si>
  <si>
    <t>vale 28 Julio $ 851.50</t>
  </si>
  <si>
    <t>del   24    al    29  JULIO        2017</t>
  </si>
  <si>
    <t>18069 D</t>
  </si>
  <si>
    <t>Vale   2   AGOSTO   $ 4,000.00</t>
  </si>
  <si>
    <t>Vale   4   AGOSTO   $ 361</t>
  </si>
  <si>
    <t>S/Rem 22032</t>
  </si>
  <si>
    <t>Vale   4   AGOSTO   $ 1,500.00</t>
  </si>
  <si>
    <t>Vale   4   AGOSTO   $ 1,975.00</t>
  </si>
  <si>
    <t>S-PRESTAMO</t>
  </si>
  <si>
    <t>del   31    al    05  AGOSTO         2017</t>
  </si>
  <si>
    <t>20764 D</t>
  </si>
  <si>
    <t>VALE 11 Ago 4,000.00</t>
  </si>
  <si>
    <t>PRESTAMO</t>
  </si>
  <si>
    <t>VALE 12 Ago 1,500.00</t>
  </si>
  <si>
    <t>VALE 12 Ago 2,338.00</t>
  </si>
  <si>
    <t>del   07    al    12    AGOSTO         2017</t>
  </si>
  <si>
    <t>VALE 18  Ago 4,000.00</t>
  </si>
  <si>
    <t>20762 D</t>
  </si>
  <si>
    <t>del   14    al    19    AGOSTO         2017</t>
  </si>
  <si>
    <t>RAUL ROCHA</t>
  </si>
  <si>
    <t>VALE 26  Ago 1,500.00</t>
  </si>
  <si>
    <t>VALE 26  Ago 1,489.00</t>
  </si>
  <si>
    <t>del   21    al    26    AGOSTO         2017</t>
  </si>
  <si>
    <t>21720 D</t>
  </si>
  <si>
    <t>00061 E</t>
  </si>
  <si>
    <t>,00065</t>
  </si>
  <si>
    <t>,00066</t>
  </si>
  <si>
    <t>,00070</t>
  </si>
  <si>
    <t>,00074</t>
  </si>
  <si>
    <t>,00164</t>
  </si>
  <si>
    <t>,00170</t>
  </si>
  <si>
    <t>,00171</t>
  </si>
  <si>
    <t>VALE  1ro SEPT   4,000.00</t>
  </si>
  <si>
    <t>VALE  1ro SEPT   1,181.00</t>
  </si>
  <si>
    <t>VALE  1ro SEPT   2,061.00</t>
  </si>
  <si>
    <t>del   28    al    2   SEPTIEMBRE         2017</t>
  </si>
  <si>
    <t>00068 E</t>
  </si>
  <si>
    <t>00157 E</t>
  </si>
  <si>
    <t>00158 E</t>
  </si>
  <si>
    <t xml:space="preserve">00172 E </t>
  </si>
  <si>
    <t>00168 E</t>
  </si>
  <si>
    <t>00397 E</t>
  </si>
  <si>
    <t>00398 E</t>
  </si>
  <si>
    <t>00506 E</t>
  </si>
  <si>
    <t>00507 E</t>
  </si>
  <si>
    <t>00509 E</t>
  </si>
  <si>
    <t>00510 E</t>
  </si>
  <si>
    <t>00511 E</t>
  </si>
  <si>
    <t>00513 E</t>
  </si>
  <si>
    <t>00515 E</t>
  </si>
  <si>
    <t>00719 E</t>
  </si>
  <si>
    <t>00721 E</t>
  </si>
  <si>
    <t>00728 E</t>
  </si>
  <si>
    <t>00730 E</t>
  </si>
  <si>
    <t>00731 E</t>
  </si>
  <si>
    <t>00732 E</t>
  </si>
  <si>
    <t>00857 E</t>
  </si>
  <si>
    <t>00858 E</t>
  </si>
  <si>
    <t>00859 E</t>
  </si>
  <si>
    <t>00860 E</t>
  </si>
  <si>
    <t>00867 E</t>
  </si>
  <si>
    <t>01024 E</t>
  </si>
  <si>
    <t>01027 E</t>
  </si>
  <si>
    <t>del   04    al    09   SEPTIEMBRE         2017</t>
  </si>
  <si>
    <t>Vale 9 Sept   4,000.00</t>
  </si>
  <si>
    <t>Vale 9 de Sept 4,000.00</t>
  </si>
  <si>
    <t>Vale 9 de Sept  1,500.00</t>
  </si>
  <si>
    <t>Vale 9 de Sept  1,9300.00</t>
  </si>
  <si>
    <t xml:space="preserve">                                            </t>
  </si>
  <si>
    <t xml:space="preserve">                                                            </t>
  </si>
  <si>
    <t>00069 E</t>
  </si>
  <si>
    <t>00077 E</t>
  </si>
  <si>
    <t>00156 E</t>
  </si>
  <si>
    <t>00620 E</t>
  </si>
  <si>
    <t>00861 E</t>
  </si>
  <si>
    <t>01020 E</t>
  </si>
  <si>
    <t>01022 E</t>
  </si>
  <si>
    <t>01175 E</t>
  </si>
  <si>
    <t>01176 E</t>
  </si>
  <si>
    <t>01181 E</t>
  </si>
  <si>
    <t>01182 E</t>
  </si>
  <si>
    <t>01303 E</t>
  </si>
  <si>
    <t>01310 E</t>
  </si>
  <si>
    <t>01308 E</t>
  </si>
  <si>
    <t>01311 E</t>
  </si>
  <si>
    <t>01315 E</t>
  </si>
  <si>
    <t>01316 E</t>
  </si>
  <si>
    <t>01318 E</t>
  </si>
  <si>
    <t>01319 E</t>
  </si>
  <si>
    <t>01320 E</t>
  </si>
  <si>
    <t>01490 E</t>
  </si>
  <si>
    <t>01492 E</t>
  </si>
  <si>
    <t>01495 E</t>
  </si>
  <si>
    <t>01751 E</t>
  </si>
  <si>
    <t>01753 E</t>
  </si>
  <si>
    <t>01859 E</t>
  </si>
  <si>
    <t>01891 E</t>
  </si>
  <si>
    <t>01906 E</t>
  </si>
  <si>
    <t>01910 E</t>
  </si>
  <si>
    <t>del   11    al    16   SEPTIEMBRE         2017</t>
  </si>
  <si>
    <t>xxxxx</t>
  </si>
  <si>
    <t>xxxxxxxxxxxxx</t>
  </si>
  <si>
    <t>02502 E</t>
  </si>
  <si>
    <t>02503 E</t>
  </si>
  <si>
    <t>02504 E</t>
  </si>
  <si>
    <t>02505 E</t>
  </si>
  <si>
    <t>02506 E</t>
  </si>
  <si>
    <t>02508 E</t>
  </si>
  <si>
    <t>02509 E</t>
  </si>
  <si>
    <t>02716 E</t>
  </si>
  <si>
    <t>02717 E</t>
  </si>
  <si>
    <t>02718 E</t>
  </si>
  <si>
    <t>02719 E</t>
  </si>
  <si>
    <t>02720 E</t>
  </si>
  <si>
    <t>02722 E</t>
  </si>
  <si>
    <t>02730 E</t>
  </si>
  <si>
    <t>02731 E</t>
  </si>
  <si>
    <t>02732 E</t>
  </si>
  <si>
    <t>Vale 21 Sept   1,500.00</t>
  </si>
  <si>
    <t>Vale 21  Sept   1,528.00</t>
  </si>
  <si>
    <t>Vale 21   Sept   6,527.00</t>
  </si>
  <si>
    <t>del   18    al    23   SEPTIEMBRE         2017</t>
  </si>
  <si>
    <t>1391 E</t>
  </si>
  <si>
    <t>1604 E</t>
  </si>
  <si>
    <t>Vale por 05 Oct-2017  4,000.00</t>
  </si>
  <si>
    <t>del   25   al    30   SEPTIEMBRE         2017</t>
  </si>
  <si>
    <t>3849 E</t>
  </si>
  <si>
    <t>3851 E</t>
  </si>
  <si>
    <t>3852 E</t>
  </si>
  <si>
    <t>3853-E</t>
  </si>
  <si>
    <t>Vale por 07 Oct-2017  2,333.00</t>
  </si>
  <si>
    <t>Vale por 07 Oct-2017  2,631.00</t>
  </si>
  <si>
    <t xml:space="preserve">aplicado a notas </t>
  </si>
  <si>
    <t>Vale por 07 Oct-2017  3,136.00</t>
  </si>
  <si>
    <t>del   02   al    07   OC TUBRE         2017</t>
  </si>
  <si>
    <t>23656 D</t>
  </si>
  <si>
    <t>00067 E</t>
  </si>
  <si>
    <t>04734 E</t>
  </si>
  <si>
    <t>04736 E</t>
  </si>
  <si>
    <t>04737 E</t>
  </si>
  <si>
    <t>04740 E</t>
  </si>
  <si>
    <t>04741 E</t>
  </si>
  <si>
    <t>04797 E</t>
  </si>
  <si>
    <t>04798 E</t>
  </si>
  <si>
    <t>04799 E</t>
  </si>
  <si>
    <t>04800 E</t>
  </si>
  <si>
    <t>04807 E</t>
  </si>
  <si>
    <t>04808 E</t>
  </si>
  <si>
    <t>04811 E</t>
  </si>
  <si>
    <t>04819 E</t>
  </si>
  <si>
    <t>04846 E</t>
  </si>
  <si>
    <t>04994 E</t>
  </si>
  <si>
    <t>04999 E</t>
  </si>
  <si>
    <t>05001 E</t>
  </si>
  <si>
    <t>05003 E</t>
  </si>
  <si>
    <t>05004 E</t>
  </si>
  <si>
    <t>05002 E</t>
  </si>
  <si>
    <t>05108 E</t>
  </si>
  <si>
    <t>05110 E</t>
  </si>
  <si>
    <t>05114 E</t>
  </si>
  <si>
    <t>05115 E</t>
  </si>
  <si>
    <t>05121 E</t>
  </si>
  <si>
    <t>05127 E</t>
  </si>
  <si>
    <t>05298 E</t>
  </si>
  <si>
    <t>05300 E</t>
  </si>
  <si>
    <t>05301 E</t>
  </si>
  <si>
    <t>05302 E</t>
  </si>
  <si>
    <t>05303 E</t>
  </si>
  <si>
    <t>05304 E</t>
  </si>
  <si>
    <t>05309 E</t>
  </si>
  <si>
    <t>05310 E</t>
  </si>
  <si>
    <t>05444 E</t>
  </si>
  <si>
    <t>05445 E</t>
  </si>
  <si>
    <t>05446 E</t>
  </si>
  <si>
    <t>05449 E</t>
  </si>
  <si>
    <t>05450 E</t>
  </si>
  <si>
    <t>05451 E</t>
  </si>
  <si>
    <t>05454 E</t>
  </si>
  <si>
    <t>del   09   al    14   OC TUBRE         2017</t>
  </si>
  <si>
    <t>05680 E</t>
  </si>
  <si>
    <t>05681 E</t>
  </si>
  <si>
    <t>05682 E</t>
  </si>
  <si>
    <t>05685 E</t>
  </si>
  <si>
    <t>05688 E</t>
  </si>
  <si>
    <t>05689 E</t>
  </si>
  <si>
    <t>05802 E</t>
  </si>
  <si>
    <t>05803 E</t>
  </si>
  <si>
    <t>05805 E</t>
  </si>
  <si>
    <t>05806 E</t>
  </si>
  <si>
    <t>05927 E</t>
  </si>
  <si>
    <t xml:space="preserve">CARNICEDRIA SANTA ANA </t>
  </si>
  <si>
    <t>05928 E</t>
  </si>
  <si>
    <t>05929 E</t>
  </si>
  <si>
    <t>05930 E</t>
  </si>
  <si>
    <t>06050 E</t>
  </si>
  <si>
    <t>06051 E</t>
  </si>
  <si>
    <t>06053 E</t>
  </si>
  <si>
    <t>06054 E</t>
  </si>
  <si>
    <t>06055 E</t>
  </si>
  <si>
    <t>06056 E</t>
  </si>
  <si>
    <t>06057 E</t>
  </si>
  <si>
    <t>06218 E</t>
  </si>
  <si>
    <t>06219 E</t>
  </si>
  <si>
    <t>06220 E</t>
  </si>
  <si>
    <t>06222 E</t>
  </si>
  <si>
    <t>06223 E</t>
  </si>
  <si>
    <t>FELIX SANCHES</t>
  </si>
  <si>
    <t>06225 E</t>
  </si>
  <si>
    <t>06227 E</t>
  </si>
  <si>
    <t>06231 E</t>
  </si>
  <si>
    <t>06232 E</t>
  </si>
  <si>
    <t>05126 E</t>
  </si>
  <si>
    <t>06375 E</t>
  </si>
  <si>
    <t>06376 E</t>
  </si>
  <si>
    <t>06377 E</t>
  </si>
  <si>
    <t>06378 E</t>
  </si>
  <si>
    <t>06379 E</t>
  </si>
  <si>
    <t>06380 E</t>
  </si>
  <si>
    <t>07024 D</t>
  </si>
  <si>
    <t>Total pagado el 7 OCTUBRE</t>
  </si>
  <si>
    <t>Vale el 19 Oct  -3,666.00</t>
  </si>
  <si>
    <t>Vale 19 Oct 4,000.00</t>
  </si>
  <si>
    <t>del   16   al    21   OC TUBRE         2017</t>
  </si>
  <si>
    <t>Vale el 19 Oct    4,000.00</t>
  </si>
  <si>
    <t>Vale 19 Oct 3,816.00</t>
  </si>
  <si>
    <t>Vale el 19 Oct   3,386.00</t>
  </si>
  <si>
    <t>1317-E</t>
  </si>
  <si>
    <t>1603-E</t>
  </si>
  <si>
    <t>Carniceria Barbie</t>
  </si>
  <si>
    <t xml:space="preserve">Carniciria Barbie </t>
  </si>
  <si>
    <t>SUELDO SEMANA 38  X  Vale por 07 Oct-2017  2,631.00</t>
  </si>
  <si>
    <t>SUELDO SEMANA 39   X Vale por 07 Oct-2017  3,136.00</t>
  </si>
  <si>
    <t>SUELDO SEMANA 40 X Vale por 19 Oct-2017  3,816.00</t>
  </si>
  <si>
    <t>SUELDO SEMANA 41 X  Vale por 19  Oct-2017  3,386.00</t>
  </si>
  <si>
    <t xml:space="preserve"> diferencia de pagos anteriores</t>
  </si>
  <si>
    <t>597.60+247.00+200</t>
  </si>
  <si>
    <t>6997 E</t>
  </si>
  <si>
    <t>6610 E</t>
  </si>
  <si>
    <t>6609 E</t>
  </si>
  <si>
    <t>CARNICERIA HUGO'S</t>
  </si>
  <si>
    <t>6608 E</t>
  </si>
  <si>
    <t>6605 E</t>
  </si>
  <si>
    <t>6607 E</t>
  </si>
  <si>
    <t>6741 E</t>
  </si>
  <si>
    <t>6742 E</t>
  </si>
  <si>
    <t>6743 E</t>
  </si>
  <si>
    <t>6744 E</t>
  </si>
  <si>
    <t>6745 E</t>
  </si>
  <si>
    <t>6746 E</t>
  </si>
  <si>
    <t>6875 E</t>
  </si>
  <si>
    <t>6876 E</t>
  </si>
  <si>
    <t>RAUL LEDO</t>
  </si>
  <si>
    <t>6877 E</t>
  </si>
  <si>
    <t>6878 E</t>
  </si>
  <si>
    <t>6879 E</t>
  </si>
  <si>
    <t>6883 E</t>
  </si>
  <si>
    <t>6993 E</t>
  </si>
  <si>
    <t>6994 E</t>
  </si>
  <si>
    <t>6995 E</t>
  </si>
  <si>
    <t>6996 E</t>
  </si>
  <si>
    <t>6998 E</t>
  </si>
  <si>
    <t>6999 E</t>
  </si>
  <si>
    <t>7181 E</t>
  </si>
  <si>
    <t>Vale el 21 Oct    2,101.00</t>
  </si>
  <si>
    <t>del   23   al    28   OC TUBRE         2017</t>
  </si>
  <si>
    <t>7328 E</t>
  </si>
  <si>
    <t>7325 E</t>
  </si>
  <si>
    <t>7320 E</t>
  </si>
  <si>
    <t>7321 E</t>
  </si>
  <si>
    <t>7322 E</t>
  </si>
  <si>
    <t>7324 E</t>
  </si>
  <si>
    <t>7326 E</t>
  </si>
  <si>
    <t>7327 E</t>
  </si>
  <si>
    <t>7538 E</t>
  </si>
  <si>
    <t>7539 E</t>
  </si>
  <si>
    <t>7623 E</t>
  </si>
  <si>
    <t>7540 E</t>
  </si>
  <si>
    <t>7541 E</t>
  </si>
  <si>
    <t>7655 E</t>
  </si>
  <si>
    <t>7656 E</t>
  </si>
  <si>
    <t>7657 E</t>
  </si>
  <si>
    <t>7683 E</t>
  </si>
  <si>
    <t>7800 E</t>
  </si>
  <si>
    <t>7801 E</t>
  </si>
  <si>
    <t>7802 E</t>
  </si>
  <si>
    <t>7804 E</t>
  </si>
  <si>
    <t>7805 E</t>
  </si>
  <si>
    <t>7806 E</t>
  </si>
  <si>
    <t>7922 E</t>
  </si>
  <si>
    <t>7923 E</t>
  </si>
  <si>
    <t>7924 E</t>
  </si>
  <si>
    <t>8075 E</t>
  </si>
  <si>
    <t>8076 E</t>
  </si>
  <si>
    <t>8078 E</t>
  </si>
  <si>
    <t>8079 E</t>
  </si>
  <si>
    <t>8080 E</t>
  </si>
  <si>
    <t>8083 E</t>
  </si>
  <si>
    <t>8084 E</t>
  </si>
  <si>
    <t>8085 E</t>
  </si>
  <si>
    <t>8227 E</t>
  </si>
  <si>
    <t>8230 E</t>
  </si>
  <si>
    <t>8232 E</t>
  </si>
  <si>
    <t>8233 E</t>
  </si>
  <si>
    <t>8234 E</t>
  </si>
  <si>
    <t>863-E</t>
  </si>
  <si>
    <t>1603 E</t>
  </si>
  <si>
    <t>CARNICERIA BARBIEQ</t>
  </si>
  <si>
    <t>LA UNION                                                   A/C</t>
  </si>
  <si>
    <t xml:space="preserve">Total </t>
  </si>
  <si>
    <t>Vale por 4,094.00  SE Entrego efectivo 932.00</t>
  </si>
  <si>
    <t>Vale 01 Nov  por  3,333.00</t>
  </si>
  <si>
    <t>Vale 01 Nov  por  4,094.00</t>
  </si>
  <si>
    <t>se aplica a notas   $ 3,162.3.3</t>
  </si>
  <si>
    <t>del   30   al    04   NOVIEMBRE        2017</t>
  </si>
  <si>
    <t>8526 E</t>
  </si>
  <si>
    <t>8527 E</t>
  </si>
  <si>
    <t>8531 E</t>
  </si>
  <si>
    <t>8532 E</t>
  </si>
  <si>
    <t>8673 E</t>
  </si>
  <si>
    <t>8674 E</t>
  </si>
  <si>
    <t>8675 E</t>
  </si>
  <si>
    <t>8676 E</t>
  </si>
  <si>
    <t>8677 E</t>
  </si>
  <si>
    <t>8678 E</t>
  </si>
  <si>
    <t>8679 E</t>
  </si>
  <si>
    <t>8680 E</t>
  </si>
  <si>
    <t>8681 E</t>
  </si>
  <si>
    <t>8682 E</t>
  </si>
  <si>
    <t>8767 E</t>
  </si>
  <si>
    <t>8769 E</t>
  </si>
  <si>
    <t>8771 E</t>
  </si>
  <si>
    <t>8772 E</t>
  </si>
  <si>
    <t>8903 E</t>
  </si>
  <si>
    <t>8904 E</t>
  </si>
  <si>
    <t>8907 E</t>
  </si>
  <si>
    <t>8909 E</t>
  </si>
  <si>
    <t>Vale 1 de Nov 4,000.00</t>
  </si>
  <si>
    <t>9020 E</t>
  </si>
  <si>
    <t>9031 E</t>
  </si>
  <si>
    <t>9029 E</t>
  </si>
  <si>
    <t>9030 E</t>
  </si>
  <si>
    <t>9033 E</t>
  </si>
  <si>
    <t>9034 E</t>
  </si>
  <si>
    <t>9035 E</t>
  </si>
  <si>
    <t>Vale 9 de Nov 2,316.00</t>
  </si>
  <si>
    <t>del   06   al    11   NOVIEMBRE        2017</t>
  </si>
  <si>
    <t>Vale 16 de Nov 4,000.00</t>
  </si>
  <si>
    <t>del   13   al    18   NOVIEMBRE        2017</t>
  </si>
  <si>
    <t>DON JULIO</t>
  </si>
  <si>
    <t>Vale 17 de Nov 3,108.00</t>
  </si>
  <si>
    <t>Vale 25 de Nov 1,883.00</t>
  </si>
  <si>
    <t>abono a notas</t>
  </si>
  <si>
    <t>Pago a nota 9784  --9804</t>
  </si>
  <si>
    <t>del   20   al    25   NOVIEMBRE        2017</t>
  </si>
  <si>
    <t>JAVIER LOS PERICOS</t>
  </si>
  <si>
    <t>del   27   al    2 DICIEMBRE        2017</t>
  </si>
  <si>
    <t>VALE EL 30 DE Nov $ 3,714.00</t>
  </si>
  <si>
    <t>N</t>
  </si>
  <si>
    <t>Vale el 30 de Nov 4,000.00</t>
  </si>
  <si>
    <t>Vale el 01  de Dic  3,402.00</t>
  </si>
  <si>
    <t>11736 E</t>
  </si>
  <si>
    <t>Vale el 13 Dic 2,572.00</t>
  </si>
  <si>
    <t>Vale el 13 Dic 4,000.00</t>
  </si>
  <si>
    <t>del   04  al    9    DICIEMBRE        2017</t>
  </si>
  <si>
    <t xml:space="preserve">CARNICEIRA SANTA ANA </t>
  </si>
  <si>
    <t>CARNICEIRA HUGOS</t>
  </si>
  <si>
    <t>del   11  al    16    DICIEMBRE        2017</t>
  </si>
  <si>
    <t>del   18  al    23    DICIEMBRE        2017</t>
  </si>
  <si>
    <t>Vale el  28 Dic  4,000.00</t>
  </si>
  <si>
    <t>del   25 al    31   DICIEMBRE        2017</t>
  </si>
  <si>
    <t>Vale el 28  Dic 1,000.00</t>
  </si>
  <si>
    <t>Vale  el 29 Dic $ 529.00</t>
  </si>
  <si>
    <t xml:space="preserve">LA UNION </t>
  </si>
  <si>
    <t>vale el 5 de Ene   1,.262.00</t>
  </si>
  <si>
    <t>Vale el 5 Ene  2,379.00</t>
  </si>
  <si>
    <t>Vale el  05 ENERO    6,200.00</t>
  </si>
  <si>
    <t>Vale el  05  ENERO  2,972.00</t>
  </si>
  <si>
    <t>Vale el 30 Dic 3,428.00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</si>
</sst>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[$-C0A]d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00CC00"/>
      <name val="Calibri"/>
      <family val="2"/>
      <scheme val="minor"/>
    </font>
    <font>
      <b/>
      <sz val="12"/>
      <color rgb="FF00CC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8DF5B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00FF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0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44" fontId="0" fillId="0" borderId="0" xfId="1" applyFont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4" fontId="5" fillId="2" borderId="0" xfId="1" applyFont="1" applyFill="1"/>
    <xf numFmtId="0" fontId="0" fillId="2" borderId="0" xfId="0" applyFill="1"/>
    <xf numFmtId="164" fontId="2" fillId="0" borderId="5" xfId="0" applyNumberFormat="1" applyFont="1" applyFill="1" applyBorder="1"/>
    <xf numFmtId="0" fontId="3" fillId="0" borderId="5" xfId="0" applyFont="1" applyFill="1" applyBorder="1" applyAlignment="1">
      <alignment horizontal="center"/>
    </xf>
    <xf numFmtId="0" fontId="2" fillId="0" borderId="5" xfId="0" applyFont="1" applyFill="1" applyBorder="1"/>
    <xf numFmtId="2" fontId="2" fillId="0" borderId="5" xfId="0" applyNumberFormat="1" applyFont="1" applyFill="1" applyBorder="1"/>
    <xf numFmtId="44" fontId="0" fillId="0" borderId="0" xfId="1" applyFont="1" applyFill="1"/>
    <xf numFmtId="164" fontId="2" fillId="0" borderId="6" xfId="0" applyNumberFormat="1" applyFont="1" applyFill="1" applyBorder="1"/>
    <xf numFmtId="0" fontId="3" fillId="0" borderId="6" xfId="0" applyFont="1" applyFill="1" applyBorder="1" applyAlignment="1">
      <alignment horizontal="center"/>
    </xf>
    <xf numFmtId="0" fontId="2" fillId="0" borderId="6" xfId="0" applyFont="1" applyFill="1" applyBorder="1"/>
    <xf numFmtId="2" fontId="2" fillId="0" borderId="6" xfId="0" applyNumberFormat="1" applyFont="1" applyFill="1" applyBorder="1"/>
    <xf numFmtId="2" fontId="2" fillId="0" borderId="6" xfId="0" applyNumberFormat="1" applyFont="1" applyFill="1" applyBorder="1" applyAlignment="1">
      <alignment horizontal="right"/>
    </xf>
    <xf numFmtId="1" fontId="3" fillId="0" borderId="6" xfId="0" applyNumberFormat="1" applyFont="1" applyFill="1" applyBorder="1" applyAlignment="1">
      <alignment horizontal="center"/>
    </xf>
    <xf numFmtId="16" fontId="0" fillId="0" borderId="0" xfId="0" applyNumberFormat="1"/>
    <xf numFmtId="164" fontId="2" fillId="0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/>
    <xf numFmtId="2" fontId="2" fillId="0" borderId="0" xfId="0" applyNumberFormat="1" applyFont="1" applyFill="1" applyBorder="1"/>
    <xf numFmtId="44" fontId="0" fillId="0" borderId="0" xfId="1" applyFont="1" applyFill="1" applyBorder="1"/>
    <xf numFmtId="0" fontId="0" fillId="0" borderId="0" xfId="0" applyBorder="1"/>
    <xf numFmtId="44" fontId="0" fillId="0" borderId="0" xfId="1" applyFont="1" applyBorder="1"/>
    <xf numFmtId="0" fontId="2" fillId="0" borderId="6" xfId="0" applyFont="1" applyFill="1" applyBorder="1" applyAlignment="1">
      <alignment horizontal="center"/>
    </xf>
    <xf numFmtId="164" fontId="0" fillId="0" borderId="7" xfId="0" applyNumberFormat="1" applyBorder="1"/>
    <xf numFmtId="0" fontId="0" fillId="0" borderId="7" xfId="0" applyBorder="1" applyAlignment="1">
      <alignment horizontal="center"/>
    </xf>
    <xf numFmtId="0" fontId="0" fillId="0" borderId="7" xfId="0" applyBorder="1"/>
    <xf numFmtId="44" fontId="0" fillId="0" borderId="8" xfId="1" applyFont="1" applyBorder="1"/>
    <xf numFmtId="44" fontId="2" fillId="0" borderId="9" xfId="1" applyFont="1" applyBorder="1"/>
    <xf numFmtId="164" fontId="0" fillId="0" borderId="0" xfId="0" applyNumberFormat="1" applyBorder="1"/>
    <xf numFmtId="0" fontId="0" fillId="0" borderId="0" xfId="0" applyBorder="1" applyAlignment="1">
      <alignment horizontal="center"/>
    </xf>
    <xf numFmtId="0" fontId="4" fillId="0" borderId="10" xfId="0" applyFont="1" applyFill="1" applyBorder="1" applyAlignment="1">
      <alignment horizontal="right"/>
    </xf>
    <xf numFmtId="2" fontId="4" fillId="0" borderId="9" xfId="0" applyNumberFormat="1" applyFont="1" applyBorder="1"/>
    <xf numFmtId="44" fontId="0" fillId="0" borderId="0" xfId="0" applyNumberFormat="1"/>
    <xf numFmtId="2" fontId="0" fillId="0" borderId="0" xfId="0" applyNumberFormat="1" applyBorder="1"/>
    <xf numFmtId="164" fontId="4" fillId="0" borderId="0" xfId="0" applyNumberFormat="1" applyFont="1"/>
    <xf numFmtId="0" fontId="2" fillId="0" borderId="0" xfId="0" applyFont="1" applyAlignment="1">
      <alignment horizontal="center"/>
    </xf>
    <xf numFmtId="44" fontId="6" fillId="2" borderId="0" xfId="1" applyFont="1" applyFill="1"/>
    <xf numFmtId="0" fontId="0" fillId="0" borderId="0" xfId="0" applyAlignment="1">
      <alignment horizontal="center"/>
    </xf>
    <xf numFmtId="44" fontId="4" fillId="0" borderId="11" xfId="1" applyFont="1" applyBorder="1"/>
    <xf numFmtId="0" fontId="0" fillId="0" borderId="11" xfId="0" applyBorder="1"/>
    <xf numFmtId="0" fontId="0" fillId="0" borderId="0" xfId="0" applyFill="1"/>
    <xf numFmtId="0" fontId="3" fillId="0" borderId="0" xfId="0" applyFont="1" applyAlignment="1">
      <alignment horizontal="right"/>
    </xf>
    <xf numFmtId="44" fontId="3" fillId="0" borderId="0" xfId="1" applyFont="1"/>
    <xf numFmtId="44" fontId="2" fillId="0" borderId="0" xfId="1" applyFont="1" applyFill="1"/>
    <xf numFmtId="0" fontId="3" fillId="4" borderId="12" xfId="0" applyFont="1" applyFill="1" applyBorder="1" applyAlignment="1">
      <alignment horizontal="center"/>
    </xf>
    <xf numFmtId="44" fontId="4" fillId="4" borderId="12" xfId="1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44" fontId="4" fillId="4" borderId="13" xfId="1" applyFont="1" applyFill="1" applyBorder="1" applyAlignment="1">
      <alignment horizontal="center"/>
    </xf>
    <xf numFmtId="44" fontId="3" fillId="0" borderId="11" xfId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/>
    <xf numFmtId="44" fontId="2" fillId="0" borderId="0" xfId="1" applyFont="1"/>
    <xf numFmtId="164" fontId="0" fillId="0" borderId="0" xfId="0" applyNumberFormat="1" applyAlignment="1">
      <alignment horizontal="center"/>
    </xf>
    <xf numFmtId="0" fontId="7" fillId="0" borderId="11" xfId="0" applyFont="1" applyBorder="1" applyAlignment="1">
      <alignment horizontal="center"/>
    </xf>
    <xf numFmtId="164" fontId="3" fillId="0" borderId="11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8" fillId="0" borderId="0" xfId="0" applyFont="1" applyAlignment="1">
      <alignment horizontal="center"/>
    </xf>
    <xf numFmtId="16" fontId="0" fillId="0" borderId="11" xfId="0" applyNumberFormat="1" applyBorder="1"/>
    <xf numFmtId="44" fontId="2" fillId="0" borderId="11" xfId="1" applyFont="1" applyBorder="1"/>
    <xf numFmtId="8" fontId="0" fillId="0" borderId="0" xfId="0" applyNumberFormat="1"/>
    <xf numFmtId="0" fontId="2" fillId="0" borderId="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" fontId="9" fillId="0" borderId="0" xfId="0" applyNumberFormat="1" applyFont="1"/>
    <xf numFmtId="0" fontId="3" fillId="0" borderId="0" xfId="0" applyFont="1" applyAlignment="1">
      <alignment horizontal="center"/>
    </xf>
    <xf numFmtId="0" fontId="9" fillId="0" borderId="0" xfId="0" applyFont="1"/>
    <xf numFmtId="8" fontId="9" fillId="0" borderId="0" xfId="0" applyNumberFormat="1" applyFont="1"/>
    <xf numFmtId="0" fontId="9" fillId="0" borderId="6" xfId="0" applyFont="1" applyBorder="1"/>
    <xf numFmtId="0" fontId="3" fillId="0" borderId="6" xfId="0" applyFont="1" applyBorder="1" applyAlignment="1">
      <alignment horizontal="center"/>
    </xf>
    <xf numFmtId="8" fontId="9" fillId="0" borderId="6" xfId="0" applyNumberFormat="1" applyFont="1" applyBorder="1"/>
    <xf numFmtId="16" fontId="9" fillId="0" borderId="6" xfId="0" applyNumberFormat="1" applyFont="1" applyBorder="1"/>
    <xf numFmtId="2" fontId="9" fillId="0" borderId="0" xfId="0" applyNumberFormat="1" applyFont="1"/>
    <xf numFmtId="2" fontId="9" fillId="0" borderId="6" xfId="0" applyNumberFormat="1" applyFont="1" applyBorder="1"/>
    <xf numFmtId="44" fontId="0" fillId="2" borderId="0" xfId="1" applyFont="1" applyFill="1"/>
    <xf numFmtId="0" fontId="3" fillId="0" borderId="11" xfId="0" applyFont="1" applyBorder="1" applyAlignment="1">
      <alignment horizontal="center" wrapText="1"/>
    </xf>
    <xf numFmtId="164" fontId="0" fillId="5" borderId="0" xfId="0" applyNumberFormat="1" applyFill="1" applyAlignment="1">
      <alignment horizontal="center"/>
    </xf>
    <xf numFmtId="44" fontId="0" fillId="5" borderId="0" xfId="1" applyFont="1" applyFill="1"/>
    <xf numFmtId="0" fontId="8" fillId="5" borderId="0" xfId="0" applyFont="1" applyFill="1" applyAlignment="1">
      <alignment horizontal="center"/>
    </xf>
    <xf numFmtId="164" fontId="9" fillId="0" borderId="0" xfId="0" applyNumberFormat="1" applyFont="1"/>
    <xf numFmtId="164" fontId="9" fillId="0" borderId="6" xfId="0" applyNumberFormat="1" applyFont="1" applyBorder="1"/>
    <xf numFmtId="164" fontId="9" fillId="0" borderId="7" xfId="0" applyNumberFormat="1" applyFont="1" applyBorder="1"/>
    <xf numFmtId="0" fontId="3" fillId="0" borderId="7" xfId="0" applyFont="1" applyBorder="1" applyAlignment="1">
      <alignment horizontal="center"/>
    </xf>
    <xf numFmtId="0" fontId="9" fillId="0" borderId="7" xfId="0" applyFont="1" applyBorder="1"/>
    <xf numFmtId="2" fontId="9" fillId="0" borderId="8" xfId="0" applyNumberFormat="1" applyFont="1" applyBorder="1"/>
    <xf numFmtId="8" fontId="9" fillId="0" borderId="0" xfId="0" applyNumberFormat="1" applyFont="1" applyBorder="1"/>
    <xf numFmtId="0" fontId="0" fillId="6" borderId="0" xfId="0" applyFill="1"/>
    <xf numFmtId="44" fontId="2" fillId="6" borderId="0" xfId="1" applyFont="1" applyFill="1"/>
    <xf numFmtId="16" fontId="0" fillId="6" borderId="1" xfId="0" applyNumberFormat="1" applyFill="1" applyBorder="1"/>
    <xf numFmtId="44" fontId="2" fillId="6" borderId="1" xfId="1" applyFont="1" applyFill="1" applyBorder="1"/>
    <xf numFmtId="44" fontId="3" fillId="4" borderId="13" xfId="1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0" fillId="0" borderId="0" xfId="0" applyNumberFormat="1"/>
    <xf numFmtId="44" fontId="3" fillId="0" borderId="11" xfId="1" applyFont="1" applyBorder="1" applyAlignment="1">
      <alignment horizontal="center"/>
    </xf>
    <xf numFmtId="164" fontId="4" fillId="0" borderId="0" xfId="0" applyNumberFormat="1" applyFont="1" applyAlignment="1">
      <alignment horizontal="left"/>
    </xf>
    <xf numFmtId="0" fontId="0" fillId="0" borderId="0" xfId="0" applyFill="1" applyBorder="1"/>
    <xf numFmtId="44" fontId="2" fillId="0" borderId="0" xfId="1" applyFont="1" applyFill="1" applyBorder="1"/>
    <xf numFmtId="0" fontId="0" fillId="0" borderId="11" xfId="0" applyFill="1" applyBorder="1"/>
    <xf numFmtId="44" fontId="2" fillId="0" borderId="11" xfId="1" applyFont="1" applyFill="1" applyBorder="1"/>
    <xf numFmtId="44" fontId="3" fillId="0" borderId="0" xfId="1" applyFont="1" applyFill="1" applyBorder="1"/>
    <xf numFmtId="16" fontId="3" fillId="0" borderId="0" xfId="0" applyNumberFormat="1" applyFont="1" applyFill="1" applyBorder="1" applyAlignment="1">
      <alignment horizontal="center"/>
    </xf>
    <xf numFmtId="164" fontId="2" fillId="0" borderId="0" xfId="0" applyNumberFormat="1" applyFont="1"/>
    <xf numFmtId="164" fontId="2" fillId="0" borderId="11" xfId="0" applyNumberFormat="1" applyFont="1" applyBorder="1"/>
    <xf numFmtId="164" fontId="2" fillId="6" borderId="1" xfId="0" applyNumberFormat="1" applyFont="1" applyFill="1" applyBorder="1"/>
    <xf numFmtId="164" fontId="0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2" fontId="9" fillId="2" borderId="6" xfId="0" applyNumberFormat="1" applyFont="1" applyFill="1" applyBorder="1"/>
    <xf numFmtId="164" fontId="9" fillId="0" borderId="6" xfId="0" applyNumberFormat="1" applyFont="1" applyFill="1" applyBorder="1"/>
    <xf numFmtId="0" fontId="9" fillId="0" borderId="6" xfId="0" applyFont="1" applyFill="1" applyBorder="1"/>
    <xf numFmtId="2" fontId="9" fillId="0" borderId="6" xfId="0" applyNumberFormat="1" applyFont="1" applyFill="1" applyBorder="1"/>
    <xf numFmtId="8" fontId="9" fillId="0" borderId="6" xfId="0" applyNumberFormat="1" applyFont="1" applyFill="1" applyBorder="1"/>
    <xf numFmtId="0" fontId="3" fillId="4" borderId="15" xfId="0" applyFont="1" applyFill="1" applyBorder="1" applyAlignment="1">
      <alignment horizontal="center"/>
    </xf>
    <xf numFmtId="44" fontId="4" fillId="4" borderId="15" xfId="1" applyFont="1" applyFill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11" xfId="1" applyFont="1" applyBorder="1" applyAlignment="1"/>
    <xf numFmtId="44" fontId="2" fillId="0" borderId="0" xfId="1" applyFont="1" applyBorder="1"/>
    <xf numFmtId="44" fontId="2" fillId="6" borderId="0" xfId="1" applyFont="1" applyFill="1" applyBorder="1"/>
    <xf numFmtId="164" fontId="2" fillId="0" borderId="11" xfId="0" applyNumberFormat="1" applyFont="1" applyFill="1" applyBorder="1"/>
    <xf numFmtId="0" fontId="4" fillId="2" borderId="0" xfId="0" applyFont="1" applyFill="1" applyAlignment="1">
      <alignment horizontal="center"/>
    </xf>
    <xf numFmtId="44" fontId="3" fillId="2" borderId="0" xfId="1" applyFont="1" applyFill="1"/>
    <xf numFmtId="44" fontId="3" fillId="4" borderId="12" xfId="1" applyFont="1" applyFill="1" applyBorder="1" applyAlignment="1">
      <alignment horizontal="center"/>
    </xf>
    <xf numFmtId="44" fontId="3" fillId="4" borderId="15" xfId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44" fontId="2" fillId="0" borderId="0" xfId="0" applyNumberFormat="1" applyFont="1"/>
    <xf numFmtId="44" fontId="3" fillId="0" borderId="11" xfId="1" applyFont="1" applyFill="1" applyBorder="1" applyAlignment="1"/>
    <xf numFmtId="44" fontId="3" fillId="0" borderId="0" xfId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4" fontId="2" fillId="2" borderId="0" xfId="1" applyFont="1" applyFill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" fontId="0" fillId="0" borderId="0" xfId="1" applyNumberFormat="1" applyFont="1"/>
    <xf numFmtId="0" fontId="10" fillId="0" borderId="0" xfId="0" applyFont="1" applyFill="1" applyAlignment="1">
      <alignment horizontal="center"/>
    </xf>
    <xf numFmtId="0" fontId="10" fillId="7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44" fontId="4" fillId="0" borderId="0" xfId="1" applyFont="1" applyBorder="1"/>
    <xf numFmtId="44" fontId="6" fillId="0" borderId="0" xfId="1" applyFont="1" applyFill="1" applyBorder="1" applyAlignment="1">
      <alignment horizontal="center"/>
    </xf>
    <xf numFmtId="44" fontId="6" fillId="0" borderId="0" xfId="1" applyFont="1" applyBorder="1" applyAlignment="1"/>
    <xf numFmtId="44" fontId="4" fillId="2" borderId="0" xfId="1" applyFont="1" applyFill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44" fontId="3" fillId="6" borderId="12" xfId="1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0" xfId="0" applyFont="1" applyFill="1" applyAlignment="1">
      <alignment horizontal="center"/>
    </xf>
    <xf numFmtId="44" fontId="4" fillId="0" borderId="0" xfId="1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2" fillId="0" borderId="2" xfId="0" applyNumberFormat="1" applyFont="1" applyBorder="1"/>
    <xf numFmtId="0" fontId="2" fillId="0" borderId="4" xfId="0" applyFont="1" applyBorder="1" applyAlignment="1">
      <alignment horizontal="right"/>
    </xf>
    <xf numFmtId="0" fontId="3" fillId="0" borderId="15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44" fontId="4" fillId="0" borderId="11" xfId="1" applyFont="1" applyFill="1" applyBorder="1" applyAlignment="1"/>
    <xf numFmtId="44" fontId="4" fillId="0" borderId="0" xfId="1" applyFont="1" applyFill="1" applyBorder="1" applyAlignment="1">
      <alignment horizontal="center"/>
    </xf>
    <xf numFmtId="44" fontId="3" fillId="4" borderId="0" xfId="1" applyFont="1" applyFill="1" applyBorder="1" applyAlignment="1">
      <alignment horizontal="center"/>
    </xf>
    <xf numFmtId="44" fontId="3" fillId="8" borderId="12" xfId="1" applyFont="1" applyFill="1" applyBorder="1" applyAlignment="1">
      <alignment horizontal="center"/>
    </xf>
    <xf numFmtId="164" fontId="12" fillId="0" borderId="0" xfId="0" applyNumberFormat="1" applyFont="1"/>
    <xf numFmtId="0" fontId="12" fillId="0" borderId="15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4" fontId="3" fillId="9" borderId="12" xfId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4" fontId="2" fillId="8" borderId="12" xfId="1" applyFont="1" applyFill="1" applyBorder="1" applyAlignment="1">
      <alignment horizontal="center"/>
    </xf>
    <xf numFmtId="164" fontId="2" fillId="0" borderId="17" xfId="0" applyNumberFormat="1" applyFont="1" applyFill="1" applyBorder="1" applyAlignment="1">
      <alignment wrapText="1"/>
    </xf>
    <xf numFmtId="164" fontId="2" fillId="0" borderId="16" xfId="0" applyNumberFormat="1" applyFont="1" applyFill="1" applyBorder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9" fillId="0" borderId="0" xfId="0" applyNumberFormat="1" applyFont="1" applyBorder="1"/>
    <xf numFmtId="0" fontId="3" fillId="0" borderId="0" xfId="0" applyFont="1" applyBorder="1" applyAlignment="1">
      <alignment horizontal="center"/>
    </xf>
    <xf numFmtId="0" fontId="9" fillId="0" borderId="0" xfId="0" applyFont="1" applyBorder="1"/>
    <xf numFmtId="2" fontId="9" fillId="0" borderId="0" xfId="0" applyNumberFormat="1" applyFont="1" applyBorder="1"/>
    <xf numFmtId="0" fontId="3" fillId="9" borderId="6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9" fillId="0" borderId="20" xfId="0" applyFont="1" applyFill="1" applyBorder="1"/>
    <xf numFmtId="0" fontId="4" fillId="0" borderId="0" xfId="0" applyFont="1" applyAlignment="1">
      <alignment horizontal="center"/>
    </xf>
    <xf numFmtId="44" fontId="6" fillId="10" borderId="0" xfId="1" applyFont="1" applyFill="1" applyBorder="1" applyAlignment="1">
      <alignment horizontal="center"/>
    </xf>
    <xf numFmtId="16" fontId="0" fillId="10" borderId="0" xfId="0" applyNumberFormat="1" applyFill="1"/>
    <xf numFmtId="0" fontId="4" fillId="0" borderId="0" xfId="0" applyFont="1" applyAlignment="1">
      <alignment horizontal="center"/>
    </xf>
    <xf numFmtId="164" fontId="9" fillId="0" borderId="0" xfId="0" applyNumberFormat="1" applyFont="1" applyFill="1" applyBorder="1"/>
    <xf numFmtId="0" fontId="9" fillId="0" borderId="0" xfId="0" applyFont="1" applyFill="1" applyBorder="1"/>
    <xf numFmtId="2" fontId="9" fillId="0" borderId="0" xfId="0" applyNumberFormat="1" applyFont="1" applyFill="1" applyBorder="1"/>
    <xf numFmtId="8" fontId="9" fillId="0" borderId="0" xfId="0" applyNumberFormat="1" applyFont="1" applyFill="1" applyBorder="1"/>
    <xf numFmtId="44" fontId="6" fillId="11" borderId="0" xfId="1" applyFont="1" applyFill="1" applyBorder="1" applyAlignment="1">
      <alignment horizontal="center"/>
    </xf>
    <xf numFmtId="16" fontId="0" fillId="0" borderId="0" xfId="0" applyNumberFormat="1" applyFill="1"/>
    <xf numFmtId="44" fontId="0" fillId="11" borderId="0" xfId="1" applyFont="1" applyFill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4" fontId="2" fillId="9" borderId="12" xfId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4" fontId="9" fillId="9" borderId="6" xfId="0" applyNumberFormat="1" applyFont="1" applyFill="1" applyBorder="1"/>
    <xf numFmtId="164" fontId="9" fillId="9" borderId="0" xfId="0" applyNumberFormat="1" applyFont="1" applyFill="1" applyBorder="1"/>
    <xf numFmtId="0" fontId="3" fillId="9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3" fillId="0" borderId="0" xfId="0" applyFont="1"/>
    <xf numFmtId="44" fontId="6" fillId="0" borderId="0" xfId="1" applyFont="1"/>
    <xf numFmtId="164" fontId="13" fillId="9" borderId="0" xfId="0" applyNumberFormat="1" applyFont="1" applyFill="1" applyBorder="1"/>
    <xf numFmtId="0" fontId="6" fillId="9" borderId="0" xfId="0" applyFont="1" applyFill="1" applyBorder="1" applyAlignment="1">
      <alignment horizontal="center"/>
    </xf>
    <xf numFmtId="0" fontId="13" fillId="0" borderId="0" xfId="0" applyFont="1" applyFill="1" applyBorder="1"/>
    <xf numFmtId="164" fontId="13" fillId="9" borderId="6" xfId="0" applyNumberFormat="1" applyFont="1" applyFill="1" applyBorder="1"/>
    <xf numFmtId="0" fontId="6" fillId="9" borderId="6" xfId="0" applyFont="1" applyFill="1" applyBorder="1" applyAlignment="1">
      <alignment horizontal="center"/>
    </xf>
    <xf numFmtId="0" fontId="13" fillId="0" borderId="6" xfId="0" applyFont="1" applyBorder="1"/>
    <xf numFmtId="164" fontId="6" fillId="9" borderId="21" xfId="0" applyNumberFormat="1" applyFont="1" applyFill="1" applyBorder="1"/>
    <xf numFmtId="0" fontId="6" fillId="9" borderId="22" xfId="0" applyFont="1" applyFill="1" applyBorder="1" applyAlignment="1">
      <alignment horizontal="center"/>
    </xf>
    <xf numFmtId="0" fontId="13" fillId="0" borderId="22" xfId="0" applyFont="1" applyBorder="1"/>
    <xf numFmtId="164" fontId="13" fillId="0" borderId="5" xfId="0" applyNumberFormat="1" applyFont="1" applyFill="1" applyBorder="1"/>
    <xf numFmtId="0" fontId="13" fillId="0" borderId="0" xfId="0" applyFont="1" applyAlignment="1">
      <alignment horizontal="right"/>
    </xf>
    <xf numFmtId="44" fontId="6" fillId="0" borderId="9" xfId="1" applyFont="1" applyBorder="1"/>
    <xf numFmtId="164" fontId="13" fillId="0" borderId="6" xfId="0" applyNumberFormat="1" applyFont="1" applyFill="1" applyBorder="1"/>
    <xf numFmtId="164" fontId="13" fillId="2" borderId="0" xfId="0" applyNumberFormat="1" applyFont="1" applyFill="1" applyBorder="1"/>
    <xf numFmtId="0" fontId="6" fillId="2" borderId="0" xfId="0" applyFont="1" applyFill="1" applyBorder="1" applyAlignment="1">
      <alignment horizontal="center"/>
    </xf>
    <xf numFmtId="164" fontId="13" fillId="2" borderId="6" xfId="0" applyNumberFormat="1" applyFont="1" applyFill="1" applyBorder="1"/>
    <xf numFmtId="0" fontId="6" fillId="2" borderId="6" xfId="0" applyFont="1" applyFill="1" applyBorder="1" applyAlignment="1">
      <alignment horizontal="center"/>
    </xf>
    <xf numFmtId="164" fontId="6" fillId="2" borderId="21" xfId="0" applyNumberFormat="1" applyFont="1" applyFill="1" applyBorder="1"/>
    <xf numFmtId="0" fontId="6" fillId="2" borderId="22" xfId="0" applyFont="1" applyFill="1" applyBorder="1" applyAlignment="1">
      <alignment horizontal="center"/>
    </xf>
    <xf numFmtId="164" fontId="9" fillId="0" borderId="7" xfId="0" applyNumberFormat="1" applyFont="1" applyFill="1" applyBorder="1"/>
    <xf numFmtId="164" fontId="9" fillId="0" borderId="5" xfId="0" applyNumberFormat="1" applyFont="1" applyFill="1" applyBorder="1"/>
    <xf numFmtId="164" fontId="13" fillId="2" borderId="7" xfId="0" applyNumberFormat="1" applyFont="1" applyFill="1" applyBorder="1"/>
    <xf numFmtId="0" fontId="6" fillId="2" borderId="23" xfId="0" applyFont="1" applyFill="1" applyBorder="1" applyAlignment="1">
      <alignment horizontal="center"/>
    </xf>
    <xf numFmtId="0" fontId="13" fillId="0" borderId="23" xfId="0" applyFont="1" applyBorder="1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right"/>
    </xf>
    <xf numFmtId="44" fontId="3" fillId="0" borderId="11" xfId="1" applyFont="1" applyBorder="1"/>
    <xf numFmtId="44" fontId="2" fillId="8" borderId="16" xfId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wrapText="1"/>
    </xf>
    <xf numFmtId="164" fontId="2" fillId="0" borderId="0" xfId="0" applyNumberFormat="1" applyFont="1" applyFill="1" applyBorder="1" applyAlignment="1">
      <alignment wrapText="1"/>
    </xf>
    <xf numFmtId="44" fontId="3" fillId="0" borderId="16" xfId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9" fillId="11" borderId="6" xfId="0" applyFont="1" applyFill="1" applyBorder="1"/>
    <xf numFmtId="2" fontId="9" fillId="11" borderId="6" xfId="0" applyNumberFormat="1" applyFont="1" applyFill="1" applyBorder="1"/>
    <xf numFmtId="8" fontId="9" fillId="11" borderId="6" xfId="0" applyNumberFormat="1" applyFont="1" applyFill="1" applyBorder="1"/>
    <xf numFmtId="0" fontId="4" fillId="0" borderId="0" xfId="0" applyFont="1" applyAlignment="1">
      <alignment horizontal="center"/>
    </xf>
    <xf numFmtId="44" fontId="2" fillId="6" borderId="16" xfId="1" applyFont="1" applyFill="1" applyBorder="1" applyAlignment="1">
      <alignment horizontal="center"/>
    </xf>
    <xf numFmtId="44" fontId="2" fillId="11" borderId="16" xfId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44" fontId="6" fillId="3" borderId="2" xfId="1" applyFont="1" applyFill="1" applyBorder="1" applyAlignment="1">
      <alignment horizontal="center"/>
    </xf>
    <xf numFmtId="44" fontId="6" fillId="3" borderId="4" xfId="1" applyFont="1" applyFill="1" applyBorder="1" applyAlignment="1">
      <alignment horizontal="center"/>
    </xf>
    <xf numFmtId="44" fontId="3" fillId="0" borderId="11" xfId="1" applyFont="1" applyBorder="1" applyAlignment="1">
      <alignment horizontal="center"/>
    </xf>
    <xf numFmtId="44" fontId="6" fillId="0" borderId="14" xfId="1" applyFont="1" applyBorder="1" applyAlignment="1">
      <alignment horizontal="center"/>
    </xf>
    <xf numFmtId="44" fontId="6" fillId="0" borderId="1" xfId="1" applyFont="1" applyBorder="1" applyAlignment="1">
      <alignment horizontal="center"/>
    </xf>
    <xf numFmtId="44" fontId="6" fillId="0" borderId="3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164" fontId="2" fillId="9" borderId="17" xfId="0" applyNumberFormat="1" applyFont="1" applyFill="1" applyBorder="1" applyAlignment="1">
      <alignment horizontal="center" wrapText="1"/>
    </xf>
    <xf numFmtId="164" fontId="2" fillId="9" borderId="16" xfId="0" applyNumberFormat="1" applyFont="1" applyFill="1" applyBorder="1" applyAlignment="1">
      <alignment horizontal="center" wrapText="1"/>
    </xf>
    <xf numFmtId="164" fontId="2" fillId="9" borderId="18" xfId="0" applyNumberFormat="1" applyFont="1" applyFill="1" applyBorder="1" applyAlignment="1">
      <alignment horizontal="center" wrapText="1"/>
    </xf>
    <xf numFmtId="164" fontId="2" fillId="9" borderId="19" xfId="0" applyNumberFormat="1" applyFont="1" applyFill="1" applyBorder="1" applyAlignment="1">
      <alignment horizontal="center" wrapText="1"/>
    </xf>
    <xf numFmtId="164" fontId="2" fillId="0" borderId="17" xfId="0" applyNumberFormat="1" applyFont="1" applyFill="1" applyBorder="1" applyAlignment="1">
      <alignment horizontal="center" wrapText="1"/>
    </xf>
    <xf numFmtId="164" fontId="2" fillId="0" borderId="16" xfId="0" applyNumberFormat="1" applyFont="1" applyFill="1" applyBorder="1" applyAlignment="1">
      <alignment horizontal="center" wrapText="1"/>
    </xf>
    <xf numFmtId="164" fontId="2" fillId="0" borderId="18" xfId="0" applyNumberFormat="1" applyFont="1" applyFill="1" applyBorder="1" applyAlignment="1">
      <alignment horizontal="center" wrapText="1"/>
    </xf>
    <xf numFmtId="164" fontId="2" fillId="0" borderId="19" xfId="0" applyNumberFormat="1" applyFont="1" applyFill="1" applyBorder="1" applyAlignment="1">
      <alignment horizontal="center" wrapText="1"/>
    </xf>
    <xf numFmtId="44" fontId="6" fillId="10" borderId="3" xfId="1" applyFont="1" applyFill="1" applyBorder="1" applyAlignment="1">
      <alignment horizontal="center"/>
    </xf>
    <xf numFmtId="44" fontId="6" fillId="10" borderId="4" xfId="1" applyFont="1" applyFill="1" applyBorder="1" applyAlignment="1">
      <alignment horizontal="center"/>
    </xf>
    <xf numFmtId="164" fontId="6" fillId="9" borderId="18" xfId="0" applyNumberFormat="1" applyFont="1" applyFill="1" applyBorder="1" applyAlignment="1">
      <alignment horizontal="center" wrapText="1"/>
    </xf>
    <xf numFmtId="164" fontId="6" fillId="9" borderId="19" xfId="0" applyNumberFormat="1" applyFont="1" applyFill="1" applyBorder="1" applyAlignment="1">
      <alignment horizontal="center" wrapText="1"/>
    </xf>
    <xf numFmtId="164" fontId="6" fillId="0" borderId="18" xfId="0" applyNumberFormat="1" applyFont="1" applyFill="1" applyBorder="1" applyAlignment="1">
      <alignment horizontal="center" wrapText="1"/>
    </xf>
    <xf numFmtId="164" fontId="6" fillId="0" borderId="19" xfId="0" applyNumberFormat="1" applyFont="1" applyFill="1" applyBorder="1" applyAlignment="1">
      <alignment horizontal="center" wrapText="1"/>
    </xf>
    <xf numFmtId="164" fontId="6" fillId="0" borderId="26" xfId="0" applyNumberFormat="1" applyFont="1" applyFill="1" applyBorder="1" applyAlignment="1">
      <alignment horizontal="center" wrapText="1"/>
    </xf>
    <xf numFmtId="164" fontId="6" fillId="0" borderId="27" xfId="0" applyNumberFormat="1" applyFont="1" applyFill="1" applyBorder="1" applyAlignment="1">
      <alignment horizontal="center" wrapText="1"/>
    </xf>
    <xf numFmtId="164" fontId="6" fillId="0" borderId="28" xfId="0" applyNumberFormat="1" applyFont="1" applyFill="1" applyBorder="1" applyAlignment="1">
      <alignment horizontal="center" wrapText="1"/>
    </xf>
    <xf numFmtId="164" fontId="6" fillId="0" borderId="29" xfId="0" applyNumberFormat="1" applyFont="1" applyFill="1" applyBorder="1" applyAlignment="1">
      <alignment horizontal="center" wrapText="1"/>
    </xf>
    <xf numFmtId="164" fontId="4" fillId="0" borderId="26" xfId="0" applyNumberFormat="1" applyFont="1" applyFill="1" applyBorder="1" applyAlignment="1">
      <alignment horizontal="center" wrapText="1"/>
    </xf>
    <xf numFmtId="164" fontId="4" fillId="0" borderId="27" xfId="0" applyNumberFormat="1" applyFont="1" applyFill="1" applyBorder="1" applyAlignment="1">
      <alignment horizontal="center" wrapText="1"/>
    </xf>
    <xf numFmtId="164" fontId="4" fillId="0" borderId="28" xfId="0" applyNumberFormat="1" applyFont="1" applyFill="1" applyBorder="1" applyAlignment="1">
      <alignment horizontal="center" wrapText="1"/>
    </xf>
    <xf numFmtId="164" fontId="4" fillId="0" borderId="29" xfId="0" applyNumberFormat="1" applyFont="1" applyFill="1" applyBorder="1" applyAlignment="1">
      <alignment horizontal="center" wrapText="1"/>
    </xf>
    <xf numFmtId="164" fontId="2" fillId="2" borderId="26" xfId="0" applyNumberFormat="1" applyFont="1" applyFill="1" applyBorder="1" applyAlignment="1">
      <alignment horizontal="center" wrapText="1"/>
    </xf>
    <xf numFmtId="164" fontId="2" fillId="2" borderId="27" xfId="0" applyNumberFormat="1" applyFont="1" applyFill="1" applyBorder="1" applyAlignment="1">
      <alignment horizontal="center" wrapText="1"/>
    </xf>
    <xf numFmtId="164" fontId="2" fillId="2" borderId="28" xfId="0" applyNumberFormat="1" applyFont="1" applyFill="1" applyBorder="1" applyAlignment="1">
      <alignment horizontal="center" wrapText="1"/>
    </xf>
    <xf numFmtId="164" fontId="2" fillId="2" borderId="29" xfId="0" applyNumberFormat="1" applyFont="1" applyFill="1" applyBorder="1" applyAlignment="1">
      <alignment horizontal="center" wrapText="1"/>
    </xf>
    <xf numFmtId="44" fontId="6" fillId="12" borderId="3" xfId="1" applyFont="1" applyFill="1" applyBorder="1" applyAlignment="1">
      <alignment horizontal="center"/>
    </xf>
    <xf numFmtId="44" fontId="6" fillId="12" borderId="4" xfId="1" applyFont="1" applyFill="1" applyBorder="1" applyAlignment="1">
      <alignment horizontal="center"/>
    </xf>
    <xf numFmtId="164" fontId="6" fillId="2" borderId="18" xfId="0" applyNumberFormat="1" applyFont="1" applyFill="1" applyBorder="1" applyAlignment="1">
      <alignment horizontal="center" wrapText="1"/>
    </xf>
    <xf numFmtId="164" fontId="6" fillId="2" borderId="19" xfId="0" applyNumberFormat="1" applyFont="1" applyFill="1" applyBorder="1" applyAlignment="1">
      <alignment horizontal="center" wrapText="1"/>
    </xf>
    <xf numFmtId="44" fontId="2" fillId="2" borderId="24" xfId="1" applyFont="1" applyFill="1" applyBorder="1" applyAlignment="1">
      <alignment horizontal="center"/>
    </xf>
    <xf numFmtId="44" fontId="2" fillId="2" borderId="0" xfId="1" applyFont="1" applyFill="1" applyBorder="1" applyAlignment="1">
      <alignment horizontal="center"/>
    </xf>
    <xf numFmtId="44" fontId="2" fillId="9" borderId="24" xfId="1" applyFont="1" applyFill="1" applyBorder="1" applyAlignment="1">
      <alignment horizontal="center"/>
    </xf>
    <xf numFmtId="44" fontId="2" fillId="9" borderId="0" xfId="1" applyFont="1" applyFill="1" applyBorder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8DF5B5"/>
      <color rgb="FFCC00FF"/>
      <color rgb="FF00CC00"/>
      <color rgb="FF00C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workbookViewId="0">
      <selection activeCell="F3" sqref="F3"/>
    </sheetView>
  </sheetViews>
  <sheetFormatPr baseColWidth="10" defaultRowHeight="15" x14ac:dyDescent="0.25"/>
  <cols>
    <col min="1" max="1" width="3.42578125" customWidth="1"/>
    <col min="2" max="2" width="13.42578125" bestFit="1" customWidth="1"/>
    <col min="3" max="3" width="13.7109375" style="43" customWidth="1"/>
    <col min="4" max="4" width="33.5703125" customWidth="1"/>
    <col min="5" max="5" width="12" bestFit="1" customWidth="1"/>
    <col min="6" max="6" width="14.140625" style="3" bestFit="1" customWidth="1"/>
    <col min="7" max="7" width="15.7109375" customWidth="1"/>
    <col min="11" max="11" width="11.42578125" style="3"/>
  </cols>
  <sheetData>
    <row r="1" spans="2:11" ht="19.5" thickBot="1" x14ac:dyDescent="0.35">
      <c r="B1" s="257">
        <v>42747</v>
      </c>
      <c r="C1" s="257"/>
      <c r="D1" s="1" t="s">
        <v>0</v>
      </c>
      <c r="E1" s="2" t="s">
        <v>1</v>
      </c>
      <c r="K1"/>
    </row>
    <row r="2" spans="2:11" ht="19.5" thickBot="1" x14ac:dyDescent="0.35">
      <c r="B2" s="4" t="s">
        <v>2</v>
      </c>
      <c r="C2" s="5" t="s">
        <v>3</v>
      </c>
      <c r="D2" s="5" t="s">
        <v>4</v>
      </c>
      <c r="E2" s="6" t="s">
        <v>5</v>
      </c>
      <c r="F2" s="7" t="s">
        <v>105</v>
      </c>
      <c r="G2" s="8"/>
      <c r="K2"/>
    </row>
    <row r="3" spans="2:11" ht="15.75" x14ac:dyDescent="0.25">
      <c r="B3" s="9">
        <v>42734</v>
      </c>
      <c r="C3" s="10">
        <v>20347</v>
      </c>
      <c r="D3" s="11" t="s">
        <v>7</v>
      </c>
      <c r="E3" s="12">
        <v>341.9</v>
      </c>
      <c r="F3" s="13">
        <v>16069.3</v>
      </c>
      <c r="K3"/>
    </row>
    <row r="4" spans="2:11" ht="15.75" x14ac:dyDescent="0.25">
      <c r="B4" s="14">
        <v>42734</v>
      </c>
      <c r="C4" s="15">
        <v>20348</v>
      </c>
      <c r="D4" s="16" t="s">
        <v>24</v>
      </c>
      <c r="E4" s="17">
        <v>2</v>
      </c>
      <c r="F4" s="13">
        <v>370</v>
      </c>
      <c r="K4"/>
    </row>
    <row r="5" spans="2:11" ht="15.75" x14ac:dyDescent="0.25">
      <c r="B5" s="14">
        <v>42735</v>
      </c>
      <c r="C5" s="15">
        <v>20536</v>
      </c>
      <c r="D5" s="16" t="s">
        <v>7</v>
      </c>
      <c r="E5" s="18">
        <v>352.6</v>
      </c>
      <c r="F5" s="13">
        <v>20098.2</v>
      </c>
      <c r="K5"/>
    </row>
    <row r="6" spans="2:11" ht="15.75" x14ac:dyDescent="0.25">
      <c r="B6" s="14">
        <v>42738</v>
      </c>
      <c r="C6" s="22">
        <v>20747</v>
      </c>
      <c r="D6" s="16" t="s">
        <v>8</v>
      </c>
      <c r="E6" s="17">
        <v>339.6</v>
      </c>
      <c r="F6" s="13">
        <v>15961.2</v>
      </c>
      <c r="G6" t="s">
        <v>9</v>
      </c>
      <c r="I6">
        <v>6.7</v>
      </c>
      <c r="J6">
        <v>44</v>
      </c>
      <c r="K6" s="3">
        <f t="shared" ref="K6:K16" si="0">J6*I6</f>
        <v>294.8</v>
      </c>
    </row>
    <row r="7" spans="2:11" ht="15.75" x14ac:dyDescent="0.25">
      <c r="B7" s="14">
        <v>42738</v>
      </c>
      <c r="C7" s="15">
        <v>20748</v>
      </c>
      <c r="D7" s="16" t="s">
        <v>24</v>
      </c>
      <c r="E7" s="17">
        <v>457</v>
      </c>
      <c r="F7" s="13">
        <v>18965.5</v>
      </c>
      <c r="K7" s="3">
        <f t="shared" si="0"/>
        <v>0</v>
      </c>
    </row>
    <row r="8" spans="2:11" ht="15.75" x14ac:dyDescent="0.25">
      <c r="B8" s="14">
        <v>42738</v>
      </c>
      <c r="C8" s="15">
        <v>20749</v>
      </c>
      <c r="D8" s="16" t="s">
        <v>10</v>
      </c>
      <c r="E8" s="17">
        <v>146</v>
      </c>
      <c r="F8" s="13">
        <v>6862</v>
      </c>
      <c r="K8" s="3">
        <f t="shared" si="0"/>
        <v>0</v>
      </c>
    </row>
    <row r="9" spans="2:11" ht="15.75" x14ac:dyDescent="0.25">
      <c r="B9" s="14">
        <v>42738</v>
      </c>
      <c r="C9" s="15">
        <v>20750</v>
      </c>
      <c r="D9" s="16" t="s">
        <v>6</v>
      </c>
      <c r="E9" s="17">
        <f>72.2+69.8+10+7.7</f>
        <v>159.69999999999999</v>
      </c>
      <c r="F9" s="13">
        <v>8840.7000000000007</v>
      </c>
      <c r="K9" s="3">
        <f t="shared" si="0"/>
        <v>0</v>
      </c>
    </row>
    <row r="10" spans="2:11" ht="15.75" x14ac:dyDescent="0.25">
      <c r="B10" s="14">
        <v>42738</v>
      </c>
      <c r="C10" s="15">
        <v>20751</v>
      </c>
      <c r="D10" s="16" t="s">
        <v>25</v>
      </c>
      <c r="E10" s="17">
        <f>54.6+5</f>
        <v>59.6</v>
      </c>
      <c r="F10" s="13">
        <v>3022</v>
      </c>
      <c r="K10" s="3">
        <f t="shared" si="0"/>
        <v>0</v>
      </c>
    </row>
    <row r="11" spans="2:11" ht="15.75" x14ac:dyDescent="0.25">
      <c r="B11" s="14">
        <v>42739</v>
      </c>
      <c r="C11" s="19">
        <v>20860</v>
      </c>
      <c r="D11" s="16" t="s">
        <v>14</v>
      </c>
      <c r="E11" s="17">
        <v>414.8</v>
      </c>
      <c r="F11" s="13">
        <v>19495.599999999999</v>
      </c>
      <c r="K11" s="3">
        <f t="shared" si="0"/>
        <v>0</v>
      </c>
    </row>
    <row r="12" spans="2:11" ht="15.75" x14ac:dyDescent="0.25">
      <c r="B12" s="14">
        <v>42739</v>
      </c>
      <c r="C12" s="15">
        <v>20861</v>
      </c>
      <c r="D12" s="16" t="s">
        <v>24</v>
      </c>
      <c r="E12" s="17">
        <f>60.6+376.1</f>
        <v>436.70000000000005</v>
      </c>
      <c r="F12" s="13">
        <v>16249.75</v>
      </c>
      <c r="K12" s="3">
        <f t="shared" si="0"/>
        <v>0</v>
      </c>
    </row>
    <row r="13" spans="2:11" ht="15.75" x14ac:dyDescent="0.25">
      <c r="B13" s="14">
        <v>42739</v>
      </c>
      <c r="C13" s="15">
        <v>20862</v>
      </c>
      <c r="D13" s="16" t="s">
        <v>13</v>
      </c>
      <c r="E13" s="17">
        <f>23+12</f>
        <v>35</v>
      </c>
      <c r="F13" s="13">
        <v>1945</v>
      </c>
      <c r="K13" s="3">
        <f t="shared" si="0"/>
        <v>0</v>
      </c>
    </row>
    <row r="14" spans="2:11" ht="15.75" x14ac:dyDescent="0.25">
      <c r="B14" s="14">
        <v>42739</v>
      </c>
      <c r="C14" s="15">
        <v>20866</v>
      </c>
      <c r="D14" s="16" t="s">
        <v>6</v>
      </c>
      <c r="E14" s="17">
        <f>13.6+29.4+9.5</f>
        <v>52.5</v>
      </c>
      <c r="F14" s="13">
        <v>2655.5</v>
      </c>
      <c r="K14" s="3">
        <f t="shared" si="0"/>
        <v>0</v>
      </c>
    </row>
    <row r="15" spans="2:11" ht="15.75" x14ac:dyDescent="0.25">
      <c r="B15" s="14">
        <v>42739</v>
      </c>
      <c r="C15" s="15">
        <v>20867</v>
      </c>
      <c r="D15" s="16" t="s">
        <v>10</v>
      </c>
      <c r="E15" s="17">
        <f>28+30.2</f>
        <v>58.2</v>
      </c>
      <c r="F15" s="13">
        <v>2974.2</v>
      </c>
      <c r="K15" s="3">
        <f t="shared" si="0"/>
        <v>0</v>
      </c>
    </row>
    <row r="16" spans="2:11" ht="15.75" x14ac:dyDescent="0.25">
      <c r="B16" s="14">
        <v>42739</v>
      </c>
      <c r="C16" s="15">
        <v>20868</v>
      </c>
      <c r="D16" s="16" t="s">
        <v>12</v>
      </c>
      <c r="E16" s="17">
        <f>28.9+39.6+27.24</f>
        <v>95.74</v>
      </c>
      <c r="F16" s="13">
        <v>4722.92</v>
      </c>
      <c r="K16" s="3">
        <f t="shared" si="0"/>
        <v>0</v>
      </c>
    </row>
    <row r="17" spans="1:13" ht="15.75" x14ac:dyDescent="0.25">
      <c r="B17" s="14">
        <v>42739</v>
      </c>
      <c r="C17" s="15">
        <v>20871</v>
      </c>
      <c r="D17" s="16" t="s">
        <v>8</v>
      </c>
      <c r="E17" s="17">
        <f>409.1+100.5</f>
        <v>509.6</v>
      </c>
      <c r="F17" s="13">
        <v>25458.7</v>
      </c>
      <c r="I17" s="3">
        <f t="shared" ref="I17" si="1">SUM(I6:I16)</f>
        <v>6.7</v>
      </c>
      <c r="J17" s="3"/>
      <c r="K17" s="3">
        <f>SUM(K6:K16)</f>
        <v>294.8</v>
      </c>
    </row>
    <row r="18" spans="1:13" ht="15.75" x14ac:dyDescent="0.25">
      <c r="B18" s="14">
        <v>42740</v>
      </c>
      <c r="C18" s="15">
        <v>20978</v>
      </c>
      <c r="D18" s="16" t="s">
        <v>14</v>
      </c>
      <c r="E18" s="17">
        <f>334.3</f>
        <v>334.3</v>
      </c>
      <c r="F18" s="13">
        <v>15377.8</v>
      </c>
      <c r="I18" s="3"/>
      <c r="J18" s="3"/>
    </row>
    <row r="19" spans="1:13" ht="15.75" x14ac:dyDescent="0.25">
      <c r="B19" s="14">
        <v>42740</v>
      </c>
      <c r="C19" s="15">
        <v>20979</v>
      </c>
      <c r="D19" s="16" t="s">
        <v>8</v>
      </c>
      <c r="E19" s="17">
        <v>313.3</v>
      </c>
      <c r="F19" s="13">
        <v>14411.8</v>
      </c>
    </row>
    <row r="20" spans="1:13" ht="15.75" x14ac:dyDescent="0.25">
      <c r="B20" s="14">
        <v>42740</v>
      </c>
      <c r="C20" s="15">
        <v>20980</v>
      </c>
      <c r="D20" s="16" t="s">
        <v>6</v>
      </c>
      <c r="E20" s="17">
        <v>51.1</v>
      </c>
      <c r="F20" s="13">
        <v>2963.8</v>
      </c>
    </row>
    <row r="21" spans="1:13" ht="15.75" x14ac:dyDescent="0.25">
      <c r="B21" s="14">
        <v>42740</v>
      </c>
      <c r="C21" s="15">
        <v>20984</v>
      </c>
      <c r="D21" s="16" t="s">
        <v>12</v>
      </c>
      <c r="E21" s="17">
        <f>27.24</f>
        <v>27.24</v>
      </c>
      <c r="F21" s="13">
        <v>1307.52</v>
      </c>
    </row>
    <row r="22" spans="1:13" ht="15.75" x14ac:dyDescent="0.25">
      <c r="A22" s="20"/>
      <c r="B22" s="14">
        <v>42740</v>
      </c>
      <c r="C22" s="15">
        <v>20985</v>
      </c>
      <c r="D22" s="16" t="s">
        <v>11</v>
      </c>
      <c r="E22" s="17">
        <f>15.2+23.7+61.7</f>
        <v>100.6</v>
      </c>
      <c r="F22" s="13">
        <v>4836.8</v>
      </c>
    </row>
    <row r="23" spans="1:13" ht="15.75" x14ac:dyDescent="0.25">
      <c r="B23" s="14">
        <v>42740</v>
      </c>
      <c r="C23" s="15">
        <v>20986</v>
      </c>
      <c r="D23" s="16" t="s">
        <v>26</v>
      </c>
      <c r="E23" s="17">
        <v>58.7</v>
      </c>
      <c r="F23" s="13">
        <v>3639.4</v>
      </c>
      <c r="I23" s="21"/>
      <c r="J23" s="22"/>
      <c r="K23" s="23"/>
      <c r="L23" s="24"/>
      <c r="M23" s="25"/>
    </row>
    <row r="24" spans="1:13" ht="15.75" x14ac:dyDescent="0.25">
      <c r="B24" s="14">
        <v>42740</v>
      </c>
      <c r="C24" s="15">
        <v>20990</v>
      </c>
      <c r="D24" s="16" t="s">
        <v>24</v>
      </c>
      <c r="E24" s="17">
        <f>32.6+45.3</f>
        <v>77.900000000000006</v>
      </c>
      <c r="F24" s="13">
        <v>2070.6999999999998</v>
      </c>
      <c r="I24" s="26"/>
      <c r="J24" s="26"/>
      <c r="K24" s="27"/>
      <c r="L24" s="26"/>
      <c r="M24" s="26"/>
    </row>
    <row r="25" spans="1:13" ht="15.75" x14ac:dyDescent="0.25">
      <c r="B25" s="14">
        <v>42741</v>
      </c>
      <c r="C25" s="15">
        <v>21125</v>
      </c>
      <c r="D25" s="16" t="s">
        <v>24</v>
      </c>
      <c r="E25" s="17">
        <f>912.02+87.4</f>
        <v>999.42</v>
      </c>
      <c r="F25" s="13">
        <v>38677.160000000003</v>
      </c>
      <c r="I25" s="26"/>
      <c r="J25" s="26"/>
      <c r="K25" s="27"/>
      <c r="L25" s="26"/>
      <c r="M25" s="26"/>
    </row>
    <row r="26" spans="1:13" ht="15.75" x14ac:dyDescent="0.25">
      <c r="B26" s="14">
        <v>42741</v>
      </c>
      <c r="C26" s="15">
        <v>21126</v>
      </c>
      <c r="D26" s="16" t="s">
        <v>8</v>
      </c>
      <c r="E26" s="17">
        <v>432.3</v>
      </c>
      <c r="F26" s="13">
        <v>19885.8</v>
      </c>
    </row>
    <row r="27" spans="1:13" x14ac:dyDescent="0.25">
      <c r="B27" s="14">
        <v>42741</v>
      </c>
      <c r="C27" s="28">
        <v>21127</v>
      </c>
      <c r="D27" s="16" t="s">
        <v>14</v>
      </c>
      <c r="E27" s="17">
        <v>407.6</v>
      </c>
      <c r="F27" s="13">
        <v>18749.599999999999</v>
      </c>
    </row>
    <row r="28" spans="1:13" x14ac:dyDescent="0.25">
      <c r="B28" s="14">
        <v>42741</v>
      </c>
      <c r="C28" s="28">
        <v>21128</v>
      </c>
      <c r="D28" s="16" t="s">
        <v>11</v>
      </c>
      <c r="E28" s="17">
        <v>174.3</v>
      </c>
      <c r="F28" s="13">
        <v>8017.8</v>
      </c>
      <c r="K28" s="3">
        <f t="shared" ref="K28:K45" si="2">J28*I28</f>
        <v>0</v>
      </c>
    </row>
    <row r="29" spans="1:13" x14ac:dyDescent="0.25">
      <c r="B29" s="14">
        <v>42741</v>
      </c>
      <c r="C29" s="28">
        <v>21129</v>
      </c>
      <c r="D29" s="16" t="s">
        <v>10</v>
      </c>
      <c r="E29" s="17">
        <v>32.1</v>
      </c>
      <c r="F29" s="13">
        <v>1990.2</v>
      </c>
      <c r="K29" s="3">
        <f t="shared" si="2"/>
        <v>0</v>
      </c>
    </row>
    <row r="30" spans="1:13" x14ac:dyDescent="0.25">
      <c r="B30" s="14">
        <v>42741</v>
      </c>
      <c r="C30" s="28">
        <v>21130</v>
      </c>
      <c r="D30" s="16" t="s">
        <v>13</v>
      </c>
      <c r="E30" s="17">
        <v>82.5</v>
      </c>
      <c r="F30" s="13">
        <v>5197.5</v>
      </c>
      <c r="K30" s="3">
        <f t="shared" si="2"/>
        <v>0</v>
      </c>
    </row>
    <row r="31" spans="1:13" x14ac:dyDescent="0.25">
      <c r="B31" s="14">
        <v>42741</v>
      </c>
      <c r="C31" s="28">
        <v>21131</v>
      </c>
      <c r="D31" s="16" t="s">
        <v>6</v>
      </c>
      <c r="E31" s="17">
        <f>153.1+254.5+9.4</f>
        <v>417</v>
      </c>
      <c r="F31" s="13">
        <v>21925.7</v>
      </c>
      <c r="K31" s="3">
        <f t="shared" si="2"/>
        <v>0</v>
      </c>
    </row>
    <row r="32" spans="1:13" x14ac:dyDescent="0.25">
      <c r="B32" s="14">
        <v>42741</v>
      </c>
      <c r="C32" s="28">
        <v>21134</v>
      </c>
      <c r="D32" s="16" t="s">
        <v>11</v>
      </c>
      <c r="E32" s="17">
        <v>55.9</v>
      </c>
      <c r="F32" s="13">
        <v>3465.8</v>
      </c>
      <c r="K32" s="3">
        <f t="shared" si="2"/>
        <v>0</v>
      </c>
    </row>
    <row r="33" spans="2:13" x14ac:dyDescent="0.25">
      <c r="B33" s="14">
        <v>42741</v>
      </c>
      <c r="C33" s="28">
        <v>21136</v>
      </c>
      <c r="D33" s="16" t="s">
        <v>12</v>
      </c>
      <c r="E33" s="17">
        <v>89.2</v>
      </c>
      <c r="F33" s="13">
        <v>4103.2</v>
      </c>
      <c r="K33" s="3">
        <f t="shared" si="2"/>
        <v>0</v>
      </c>
    </row>
    <row r="34" spans="2:13" x14ac:dyDescent="0.25">
      <c r="B34" s="14">
        <v>42741</v>
      </c>
      <c r="C34" s="28">
        <v>21137</v>
      </c>
      <c r="D34" s="16" t="s">
        <v>11</v>
      </c>
      <c r="E34" s="17">
        <v>60.35</v>
      </c>
      <c r="F34" s="13">
        <v>3751</v>
      </c>
      <c r="I34">
        <f>SUM(I28:I33)</f>
        <v>0</v>
      </c>
      <c r="K34" s="3">
        <f>SUM(K28:K33)</f>
        <v>0</v>
      </c>
    </row>
    <row r="35" spans="2:13" x14ac:dyDescent="0.25">
      <c r="B35" s="14">
        <v>42741</v>
      </c>
      <c r="C35" s="28">
        <v>21138</v>
      </c>
      <c r="D35" s="16" t="s">
        <v>6</v>
      </c>
      <c r="E35" s="17">
        <v>5.5</v>
      </c>
      <c r="F35" s="13">
        <v>286</v>
      </c>
    </row>
    <row r="36" spans="2:13" x14ac:dyDescent="0.25">
      <c r="B36" s="14">
        <v>42742</v>
      </c>
      <c r="C36" s="28">
        <v>21220</v>
      </c>
      <c r="D36" s="16" t="s">
        <v>8</v>
      </c>
      <c r="E36" s="17">
        <f>335.4+53.8</f>
        <v>389.2</v>
      </c>
      <c r="F36" s="13">
        <v>18172.2</v>
      </c>
    </row>
    <row r="37" spans="2:13" x14ac:dyDescent="0.25">
      <c r="B37" s="14">
        <v>42742</v>
      </c>
      <c r="C37" s="28">
        <v>21222</v>
      </c>
      <c r="D37" s="16" t="s">
        <v>14</v>
      </c>
      <c r="E37" s="17">
        <v>326</v>
      </c>
      <c r="F37" s="13">
        <v>14996</v>
      </c>
    </row>
    <row r="38" spans="2:13" x14ac:dyDescent="0.25">
      <c r="B38" s="14">
        <v>42742</v>
      </c>
      <c r="C38" s="28">
        <v>21223</v>
      </c>
      <c r="D38" s="16" t="s">
        <v>11</v>
      </c>
      <c r="E38" s="17">
        <f>384+113</f>
        <v>497</v>
      </c>
      <c r="F38" s="13">
        <v>21958</v>
      </c>
    </row>
    <row r="39" spans="2:13" x14ac:dyDescent="0.25">
      <c r="B39" s="14">
        <v>42742</v>
      </c>
      <c r="C39" s="28">
        <v>21224</v>
      </c>
      <c r="D39" s="16" t="s">
        <v>12</v>
      </c>
      <c r="E39" s="17">
        <f>34.3+70.3</f>
        <v>104.6</v>
      </c>
      <c r="F39" s="13">
        <v>4798</v>
      </c>
    </row>
    <row r="40" spans="2:13" x14ac:dyDescent="0.25">
      <c r="B40" s="14">
        <v>42742</v>
      </c>
      <c r="C40" s="28">
        <v>21225</v>
      </c>
      <c r="D40" s="16" t="s">
        <v>10</v>
      </c>
      <c r="E40" s="17">
        <f>88+36.2</f>
        <v>124.2</v>
      </c>
      <c r="F40" s="13">
        <v>5423.6</v>
      </c>
    </row>
    <row r="41" spans="2:13" x14ac:dyDescent="0.25">
      <c r="B41" s="14">
        <v>42742</v>
      </c>
      <c r="C41" s="28">
        <v>21226</v>
      </c>
      <c r="D41" s="16" t="s">
        <v>11</v>
      </c>
      <c r="E41" s="17">
        <f>280.6</f>
        <v>280.60000000000002</v>
      </c>
      <c r="F41" s="13">
        <v>10662.8</v>
      </c>
    </row>
    <row r="42" spans="2:13" x14ac:dyDescent="0.25">
      <c r="B42" s="14">
        <v>42742</v>
      </c>
      <c r="C42" s="28">
        <v>21227</v>
      </c>
      <c r="D42" s="16" t="s">
        <v>6</v>
      </c>
      <c r="E42" s="17">
        <v>83.6</v>
      </c>
      <c r="F42" s="13">
        <v>3845.6</v>
      </c>
    </row>
    <row r="43" spans="2:13" ht="15.75" thickBot="1" x14ac:dyDescent="0.3">
      <c r="B43" s="14">
        <v>42742</v>
      </c>
      <c r="C43" s="28">
        <v>21229</v>
      </c>
      <c r="D43" s="16" t="s">
        <v>24</v>
      </c>
      <c r="E43" s="17">
        <f>48.8+42</f>
        <v>90.8</v>
      </c>
      <c r="F43" s="13">
        <v>2256.4</v>
      </c>
    </row>
    <row r="44" spans="2:13" ht="15.75" thickBot="1" x14ac:dyDescent="0.3">
      <c r="B44" s="29" t="s">
        <v>9</v>
      </c>
      <c r="C44" s="30"/>
      <c r="D44" s="31"/>
      <c r="E44" s="32">
        <v>0</v>
      </c>
      <c r="F44" s="33">
        <f>SUM(F3:F43)</f>
        <v>416460.74999999994</v>
      </c>
      <c r="K44" s="3">
        <f t="shared" si="2"/>
        <v>0</v>
      </c>
    </row>
    <row r="45" spans="2:13" ht="19.5" thickBot="1" x14ac:dyDescent="0.35">
      <c r="B45" s="34"/>
      <c r="C45" s="35"/>
      <c r="D45" s="36" t="s">
        <v>5</v>
      </c>
      <c r="E45" s="37">
        <f>SUM(E3:E44)</f>
        <v>9076.2500000000018</v>
      </c>
      <c r="I45" s="38"/>
      <c r="J45" s="38"/>
      <c r="K45" s="3">
        <f t="shared" si="2"/>
        <v>0</v>
      </c>
    </row>
    <row r="46" spans="2:13" x14ac:dyDescent="0.25">
      <c r="B46" s="34"/>
      <c r="C46" s="35"/>
      <c r="D46" s="26"/>
      <c r="E46" s="39"/>
      <c r="I46" s="38">
        <f>SUM(I44:I45)</f>
        <v>0</v>
      </c>
      <c r="J46" s="38"/>
      <c r="K46" s="38">
        <f>SUM(K44:K45)</f>
        <v>0</v>
      </c>
    </row>
    <row r="47" spans="2:13" ht="21.75" thickBot="1" x14ac:dyDescent="0.4">
      <c r="B47" s="40"/>
      <c r="C47" s="41" t="s">
        <v>15</v>
      </c>
      <c r="D47" s="42">
        <f>E45*0.2</f>
        <v>1815.2500000000005</v>
      </c>
      <c r="F47"/>
      <c r="K47"/>
    </row>
    <row r="48" spans="2:13" ht="21.75" thickBot="1" x14ac:dyDescent="0.4">
      <c r="C48" s="43" t="s">
        <v>16</v>
      </c>
      <c r="D48" s="44">
        <v>3400</v>
      </c>
      <c r="E48" s="45"/>
      <c r="F48" s="258">
        <f>D47+D48</f>
        <v>5215.25</v>
      </c>
      <c r="G48" s="259"/>
      <c r="I48" s="46"/>
      <c r="J48" s="46"/>
      <c r="K48" s="46"/>
      <c r="L48" s="46"/>
      <c r="M48" s="46"/>
    </row>
    <row r="49" spans="3:13" ht="17.25" thickTop="1" thickBot="1" x14ac:dyDescent="0.3">
      <c r="E49" s="47" t="s">
        <v>17</v>
      </c>
      <c r="G49" s="48">
        <v>0</v>
      </c>
      <c r="I49" s="46"/>
      <c r="J49" s="46"/>
      <c r="K49" s="49"/>
      <c r="L49" s="49"/>
      <c r="M49" s="49"/>
    </row>
    <row r="50" spans="3:13" ht="19.5" thickBot="1" x14ac:dyDescent="0.35">
      <c r="C50" s="50" t="s">
        <v>18</v>
      </c>
      <c r="D50" s="51" t="s">
        <v>90</v>
      </c>
      <c r="E50" s="47" t="s">
        <v>17</v>
      </c>
      <c r="F50" s="260">
        <v>0</v>
      </c>
      <c r="G50" s="260"/>
      <c r="I50" s="46"/>
      <c r="J50" s="46"/>
      <c r="K50" s="49"/>
      <c r="L50" s="49"/>
      <c r="M50" s="49"/>
    </row>
    <row r="51" spans="3:13" ht="20.25" thickTop="1" thickBot="1" x14ac:dyDescent="0.35">
      <c r="C51" s="52" t="s">
        <v>18</v>
      </c>
      <c r="D51" s="53" t="s">
        <v>89</v>
      </c>
      <c r="F51" s="261">
        <f>F48+F50+G49</f>
        <v>5215.25</v>
      </c>
      <c r="G51" s="261"/>
      <c r="I51" s="46"/>
      <c r="J51" s="46"/>
      <c r="K51" s="49"/>
      <c r="L51" s="49"/>
      <c r="M51" s="49"/>
    </row>
    <row r="52" spans="3:13" ht="19.5" thickBot="1" x14ac:dyDescent="0.35">
      <c r="C52"/>
      <c r="E52" s="2" t="s">
        <v>19</v>
      </c>
      <c r="F52" s="262"/>
      <c r="G52" s="262"/>
      <c r="K52"/>
    </row>
  </sheetData>
  <sortState ref="B4:F6">
    <sortCondition ref="C4:C6"/>
  </sortState>
  <mergeCells count="4">
    <mergeCell ref="B1:C1"/>
    <mergeCell ref="F48:G48"/>
    <mergeCell ref="F50:G50"/>
    <mergeCell ref="F51:G52"/>
  </mergeCells>
  <pageMargins left="0.70866141732283472" right="0.70866141732283472" top="0.35433070866141736" bottom="0.15748031496062992" header="0.31496062992125984" footer="0.31496062992125984"/>
  <pageSetup scale="85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3"/>
  <sheetViews>
    <sheetView topLeftCell="A31" workbookViewId="0">
      <selection activeCell="B33" sqref="B33"/>
    </sheetView>
  </sheetViews>
  <sheetFormatPr baseColWidth="10" defaultRowHeight="15" x14ac:dyDescent="0.25"/>
  <cols>
    <col min="1" max="1" width="3.42578125" customWidth="1"/>
    <col min="2" max="2" width="13.42578125" style="96" bestFit="1" customWidth="1"/>
    <col min="3" max="3" width="13.7109375" style="41" customWidth="1"/>
    <col min="4" max="4" width="33.5703125" customWidth="1"/>
    <col min="5" max="5" width="12" bestFit="1" customWidth="1"/>
    <col min="6" max="6" width="14.140625" style="3" bestFit="1" customWidth="1"/>
    <col min="7" max="7" width="15.7109375" customWidth="1"/>
    <col min="11" max="11" width="11.42578125" style="3"/>
  </cols>
  <sheetData>
    <row r="1" spans="2:11" ht="19.5" thickBot="1" x14ac:dyDescent="0.35">
      <c r="B1" s="257">
        <v>42810</v>
      </c>
      <c r="C1" s="257"/>
      <c r="D1" s="114" t="s">
        <v>0</v>
      </c>
      <c r="E1" s="2" t="s">
        <v>1</v>
      </c>
      <c r="K1"/>
    </row>
    <row r="2" spans="2:11" ht="19.5" thickBot="1" x14ac:dyDescent="0.35">
      <c r="B2" s="95" t="s">
        <v>2</v>
      </c>
      <c r="C2" s="5" t="s">
        <v>3</v>
      </c>
      <c r="D2" s="5" t="s">
        <v>4</v>
      </c>
      <c r="E2" s="6" t="s">
        <v>5</v>
      </c>
      <c r="F2" s="7" t="s">
        <v>260</v>
      </c>
      <c r="G2" s="8"/>
      <c r="K2"/>
    </row>
    <row r="3" spans="2:11" ht="15.75" x14ac:dyDescent="0.25">
      <c r="B3" s="83">
        <v>42796</v>
      </c>
      <c r="C3" s="69" t="s">
        <v>261</v>
      </c>
      <c r="D3" s="70" t="s">
        <v>0</v>
      </c>
      <c r="E3" s="76">
        <f>95.5+62.2</f>
        <v>157.69999999999999</v>
      </c>
      <c r="F3" s="71">
        <v>7543.2</v>
      </c>
      <c r="K3"/>
    </row>
    <row r="4" spans="2:11" ht="15.75" x14ac:dyDescent="0.25">
      <c r="B4" s="84">
        <v>42801</v>
      </c>
      <c r="C4" s="73" t="s">
        <v>262</v>
      </c>
      <c r="D4" s="72" t="s">
        <v>14</v>
      </c>
      <c r="E4" s="77">
        <v>419.4</v>
      </c>
      <c r="F4" s="74">
        <v>15098.4</v>
      </c>
      <c r="K4"/>
    </row>
    <row r="5" spans="2:11" ht="15.75" x14ac:dyDescent="0.25">
      <c r="B5" s="84">
        <v>42801</v>
      </c>
      <c r="C5" s="73" t="s">
        <v>263</v>
      </c>
      <c r="D5" s="72" t="s">
        <v>12</v>
      </c>
      <c r="E5" s="77">
        <v>280</v>
      </c>
      <c r="F5" s="74">
        <v>10080</v>
      </c>
      <c r="K5"/>
    </row>
    <row r="6" spans="2:11" ht="15.75" x14ac:dyDescent="0.25">
      <c r="B6" s="84">
        <v>42801</v>
      </c>
      <c r="C6" s="73" t="s">
        <v>264</v>
      </c>
      <c r="D6" s="72" t="s">
        <v>91</v>
      </c>
      <c r="E6" s="77">
        <f>97.9+99+13.7</f>
        <v>210.6</v>
      </c>
      <c r="F6" s="74">
        <v>4913.2</v>
      </c>
      <c r="G6" t="s">
        <v>9</v>
      </c>
      <c r="K6" s="3">
        <f t="shared" ref="K6:K16" si="0">J6*I6</f>
        <v>0</v>
      </c>
    </row>
    <row r="7" spans="2:11" ht="15.75" x14ac:dyDescent="0.25">
      <c r="B7" s="84">
        <v>42801</v>
      </c>
      <c r="C7" s="73" t="s">
        <v>265</v>
      </c>
      <c r="D7" s="72" t="s">
        <v>7</v>
      </c>
      <c r="E7" s="77">
        <f>200.2+128.4</f>
        <v>328.6</v>
      </c>
      <c r="F7" s="74">
        <v>7897.4</v>
      </c>
      <c r="K7" s="3">
        <f t="shared" si="0"/>
        <v>0</v>
      </c>
    </row>
    <row r="8" spans="2:11" ht="15.75" x14ac:dyDescent="0.25">
      <c r="B8" s="84">
        <v>42802</v>
      </c>
      <c r="C8" s="73" t="s">
        <v>266</v>
      </c>
      <c r="D8" s="72" t="s">
        <v>248</v>
      </c>
      <c r="E8" s="77">
        <f>12+180.5+27.3</f>
        <v>219.8</v>
      </c>
      <c r="F8" s="74">
        <v>8568</v>
      </c>
      <c r="K8" s="3">
        <f t="shared" si="0"/>
        <v>0</v>
      </c>
    </row>
    <row r="9" spans="2:11" ht="15.75" x14ac:dyDescent="0.25">
      <c r="B9" s="84">
        <v>42802</v>
      </c>
      <c r="C9" s="73" t="s">
        <v>267</v>
      </c>
      <c r="D9" s="72" t="s">
        <v>8</v>
      </c>
      <c r="E9" s="77">
        <f>430.2+56.6</f>
        <v>486.8</v>
      </c>
      <c r="F9" s="74">
        <v>18792.599999999999</v>
      </c>
      <c r="K9" s="3">
        <f t="shared" si="0"/>
        <v>0</v>
      </c>
    </row>
    <row r="10" spans="2:11" ht="15.75" x14ac:dyDescent="0.25">
      <c r="B10" s="84">
        <v>42802</v>
      </c>
      <c r="C10" s="73" t="s">
        <v>268</v>
      </c>
      <c r="D10" s="72" t="s">
        <v>14</v>
      </c>
      <c r="E10" s="77">
        <v>457.1</v>
      </c>
      <c r="F10" s="74">
        <v>15998.5</v>
      </c>
      <c r="K10" s="3">
        <f t="shared" si="0"/>
        <v>0</v>
      </c>
    </row>
    <row r="11" spans="2:11" ht="15.75" x14ac:dyDescent="0.25">
      <c r="B11" s="84">
        <v>42802</v>
      </c>
      <c r="C11" s="73" t="s">
        <v>269</v>
      </c>
      <c r="D11" s="72" t="s">
        <v>91</v>
      </c>
      <c r="E11" s="77">
        <v>455.6</v>
      </c>
      <c r="F11" s="74">
        <v>15262.6</v>
      </c>
      <c r="K11" s="3">
        <f t="shared" si="0"/>
        <v>0</v>
      </c>
    </row>
    <row r="12" spans="2:11" ht="15.75" x14ac:dyDescent="0.25">
      <c r="B12" s="84">
        <v>42802</v>
      </c>
      <c r="C12" s="73" t="s">
        <v>270</v>
      </c>
      <c r="D12" s="72" t="s">
        <v>13</v>
      </c>
      <c r="E12" s="77">
        <v>81</v>
      </c>
      <c r="F12" s="74">
        <v>2835</v>
      </c>
      <c r="K12" s="3">
        <f t="shared" si="0"/>
        <v>0</v>
      </c>
    </row>
    <row r="13" spans="2:11" ht="15.75" x14ac:dyDescent="0.25">
      <c r="B13" s="84">
        <v>42802</v>
      </c>
      <c r="C13" s="73" t="s">
        <v>271</v>
      </c>
      <c r="D13" s="72" t="s">
        <v>12</v>
      </c>
      <c r="E13" s="77">
        <v>112.6</v>
      </c>
      <c r="F13" s="74">
        <v>8557.6</v>
      </c>
      <c r="K13" s="3">
        <f t="shared" si="0"/>
        <v>0</v>
      </c>
    </row>
    <row r="14" spans="2:11" ht="15.75" x14ac:dyDescent="0.25">
      <c r="B14" s="84">
        <v>42802</v>
      </c>
      <c r="C14" s="73" t="s">
        <v>272</v>
      </c>
      <c r="D14" s="72" t="s">
        <v>6</v>
      </c>
      <c r="E14" s="77">
        <f>92.3+54.2</f>
        <v>146.5</v>
      </c>
      <c r="F14" s="74">
        <v>6807.7</v>
      </c>
      <c r="K14" s="3">
        <f t="shared" si="0"/>
        <v>0</v>
      </c>
    </row>
    <row r="15" spans="2:11" ht="15.75" x14ac:dyDescent="0.25">
      <c r="B15" s="84">
        <v>42803</v>
      </c>
      <c r="C15" s="73" t="s">
        <v>273</v>
      </c>
      <c r="D15" s="72" t="s">
        <v>8</v>
      </c>
      <c r="E15" s="77">
        <v>424.1</v>
      </c>
      <c r="F15" s="74">
        <v>14843.5</v>
      </c>
      <c r="K15" s="3">
        <f t="shared" si="0"/>
        <v>0</v>
      </c>
    </row>
    <row r="16" spans="2:11" ht="15.75" x14ac:dyDescent="0.25">
      <c r="B16" s="84">
        <v>42803</v>
      </c>
      <c r="C16" s="73" t="s">
        <v>274</v>
      </c>
      <c r="D16" s="72" t="s">
        <v>14</v>
      </c>
      <c r="E16" s="77">
        <v>424.4</v>
      </c>
      <c r="F16" s="74">
        <v>14854</v>
      </c>
      <c r="K16" s="3">
        <f t="shared" si="0"/>
        <v>0</v>
      </c>
    </row>
    <row r="17" spans="2:11" ht="15.75" x14ac:dyDescent="0.25">
      <c r="B17" s="84">
        <v>42803</v>
      </c>
      <c r="C17" s="73" t="s">
        <v>275</v>
      </c>
      <c r="D17" s="72" t="s">
        <v>7</v>
      </c>
      <c r="E17" s="77">
        <v>411.2</v>
      </c>
      <c r="F17" s="74">
        <v>14392</v>
      </c>
      <c r="I17" s="3">
        <f t="shared" ref="I17" si="1">SUM(I6:I16)</f>
        <v>0</v>
      </c>
      <c r="J17" s="3"/>
      <c r="K17" s="3">
        <f>SUM(K6:K16)</f>
        <v>0</v>
      </c>
    </row>
    <row r="18" spans="2:11" ht="15.75" x14ac:dyDescent="0.25">
      <c r="B18" s="84">
        <v>42803</v>
      </c>
      <c r="C18" s="73" t="s">
        <v>276</v>
      </c>
      <c r="D18" s="72" t="s">
        <v>10</v>
      </c>
      <c r="E18" s="77">
        <v>82.5</v>
      </c>
      <c r="F18" s="74">
        <v>2887.5</v>
      </c>
      <c r="I18" s="3"/>
      <c r="J18" s="3"/>
    </row>
    <row r="19" spans="2:11" ht="15.75" x14ac:dyDescent="0.25">
      <c r="B19" s="84">
        <v>42803</v>
      </c>
      <c r="C19" s="73" t="s">
        <v>277</v>
      </c>
      <c r="D19" s="72" t="s">
        <v>13</v>
      </c>
      <c r="E19" s="77">
        <v>94.6</v>
      </c>
      <c r="F19" s="74">
        <v>3311</v>
      </c>
      <c r="I19" s="3"/>
      <c r="J19" s="3"/>
    </row>
    <row r="20" spans="2:11" ht="15.75" x14ac:dyDescent="0.25">
      <c r="B20" s="84">
        <v>42803</v>
      </c>
      <c r="C20" s="73" t="s">
        <v>278</v>
      </c>
      <c r="D20" s="72" t="s">
        <v>91</v>
      </c>
      <c r="E20" s="77">
        <f>71.2+14.3+1</f>
        <v>86.5</v>
      </c>
      <c r="F20" s="74">
        <v>2051.6999999999998</v>
      </c>
      <c r="I20" s="3"/>
      <c r="J20" s="3"/>
    </row>
    <row r="21" spans="2:11" ht="15.75" x14ac:dyDescent="0.25">
      <c r="B21" s="84">
        <v>42803</v>
      </c>
      <c r="C21" s="73" t="s">
        <v>279</v>
      </c>
      <c r="D21" s="72" t="s">
        <v>13</v>
      </c>
      <c r="E21" s="77">
        <v>47.6</v>
      </c>
      <c r="F21" s="74">
        <v>1666</v>
      </c>
      <c r="I21" s="3"/>
      <c r="J21" s="3"/>
    </row>
    <row r="22" spans="2:11" ht="15.75" x14ac:dyDescent="0.25">
      <c r="B22" s="84">
        <v>42804</v>
      </c>
      <c r="C22" s="73" t="s">
        <v>280</v>
      </c>
      <c r="D22" s="72" t="s">
        <v>8</v>
      </c>
      <c r="E22" s="77">
        <v>449.2</v>
      </c>
      <c r="F22" s="74">
        <v>15722</v>
      </c>
      <c r="I22" s="3"/>
      <c r="J22" s="3"/>
    </row>
    <row r="23" spans="2:11" ht="15.75" x14ac:dyDescent="0.25">
      <c r="B23" s="84">
        <v>42804</v>
      </c>
      <c r="C23" s="73" t="s">
        <v>281</v>
      </c>
      <c r="D23" s="72" t="s">
        <v>14</v>
      </c>
      <c r="E23" s="77">
        <v>449.4</v>
      </c>
      <c r="F23" s="74">
        <v>15729</v>
      </c>
      <c r="I23" s="3"/>
      <c r="J23" s="3"/>
    </row>
    <row r="24" spans="2:11" ht="15.75" x14ac:dyDescent="0.25">
      <c r="B24" s="84">
        <v>42804</v>
      </c>
      <c r="C24" s="73" t="s">
        <v>282</v>
      </c>
      <c r="D24" s="72" t="s">
        <v>7</v>
      </c>
      <c r="E24" s="77">
        <v>431.2</v>
      </c>
      <c r="F24" s="74">
        <v>15092</v>
      </c>
      <c r="I24" s="3"/>
      <c r="J24" s="3"/>
    </row>
    <row r="25" spans="2:11" ht="15.75" x14ac:dyDescent="0.25">
      <c r="B25" s="84">
        <v>42804</v>
      </c>
      <c r="C25" s="73" t="s">
        <v>283</v>
      </c>
      <c r="D25" s="72" t="s">
        <v>10</v>
      </c>
      <c r="E25" s="77">
        <v>89.6</v>
      </c>
      <c r="F25" s="74">
        <v>3136</v>
      </c>
      <c r="I25" s="3"/>
      <c r="J25" s="3"/>
    </row>
    <row r="26" spans="2:11" ht="15.75" x14ac:dyDescent="0.25">
      <c r="B26" s="84">
        <v>42804</v>
      </c>
      <c r="C26" s="73" t="s">
        <v>284</v>
      </c>
      <c r="D26" s="72" t="s">
        <v>91</v>
      </c>
      <c r="E26" s="77">
        <f>918.52+68+12.5</f>
        <v>999.02</v>
      </c>
      <c r="F26" s="74">
        <v>33142.18</v>
      </c>
      <c r="I26" s="3"/>
      <c r="J26" s="3"/>
    </row>
    <row r="27" spans="2:11" ht="15.75" x14ac:dyDescent="0.25">
      <c r="B27" s="84">
        <v>42804</v>
      </c>
      <c r="C27" s="73" t="s">
        <v>285</v>
      </c>
      <c r="D27" s="72" t="s">
        <v>248</v>
      </c>
      <c r="E27" s="77">
        <v>572.1</v>
      </c>
      <c r="F27" s="74">
        <v>20023.5</v>
      </c>
      <c r="I27" s="3"/>
      <c r="J27" s="3"/>
    </row>
    <row r="28" spans="2:11" ht="15.75" x14ac:dyDescent="0.25">
      <c r="B28" s="84">
        <v>42804</v>
      </c>
      <c r="C28" s="73" t="s">
        <v>286</v>
      </c>
      <c r="D28" s="72" t="s">
        <v>8</v>
      </c>
      <c r="E28" s="77">
        <v>127.4</v>
      </c>
      <c r="F28" s="74">
        <v>4459</v>
      </c>
      <c r="I28" s="3"/>
      <c r="J28" s="3"/>
    </row>
    <row r="29" spans="2:11" ht="15.75" x14ac:dyDescent="0.25">
      <c r="B29" s="84">
        <v>42805</v>
      </c>
      <c r="C29" s="73" t="s">
        <v>287</v>
      </c>
      <c r="D29" s="72" t="s">
        <v>7</v>
      </c>
      <c r="E29" s="77">
        <v>304</v>
      </c>
      <c r="F29" s="74">
        <v>10640</v>
      </c>
      <c r="I29" s="3"/>
      <c r="J29" s="3"/>
    </row>
    <row r="30" spans="2:11" ht="15.75" x14ac:dyDescent="0.25">
      <c r="B30" s="84">
        <v>42805</v>
      </c>
      <c r="C30" s="73" t="s">
        <v>288</v>
      </c>
      <c r="D30" s="72" t="s">
        <v>12</v>
      </c>
      <c r="E30" s="77">
        <v>182.8</v>
      </c>
      <c r="F30" s="74">
        <v>6398</v>
      </c>
      <c r="I30" s="3"/>
      <c r="J30" s="3"/>
    </row>
    <row r="31" spans="2:11" ht="15.75" x14ac:dyDescent="0.25">
      <c r="B31" s="84">
        <v>42805</v>
      </c>
      <c r="C31" s="73" t="s">
        <v>289</v>
      </c>
      <c r="D31" s="72" t="s">
        <v>12</v>
      </c>
      <c r="E31" s="77">
        <f>310.36+1</f>
        <v>311.36</v>
      </c>
      <c r="F31" s="74">
        <v>14733.5</v>
      </c>
      <c r="I31" s="3"/>
      <c r="J31" s="3"/>
    </row>
    <row r="32" spans="2:11" ht="15.75" x14ac:dyDescent="0.25">
      <c r="B32" s="84">
        <v>42805</v>
      </c>
      <c r="C32" s="73" t="s">
        <v>290</v>
      </c>
      <c r="D32" s="72" t="s">
        <v>8</v>
      </c>
      <c r="E32" s="77">
        <f>459.6+97.8+21.1+14.3</f>
        <v>592.79999999999995</v>
      </c>
      <c r="F32" s="74">
        <v>18647.900000000001</v>
      </c>
      <c r="I32" s="3"/>
      <c r="J32" s="3"/>
    </row>
    <row r="33" spans="2:13" ht="15.75" x14ac:dyDescent="0.25">
      <c r="B33" s="84">
        <v>42808</v>
      </c>
      <c r="C33" s="73" t="s">
        <v>291</v>
      </c>
      <c r="D33" s="72" t="s">
        <v>10</v>
      </c>
      <c r="E33" s="77">
        <v>105.4</v>
      </c>
      <c r="F33" s="74">
        <v>3583.6</v>
      </c>
      <c r="I33" s="3"/>
      <c r="J33" s="3"/>
    </row>
    <row r="34" spans="2:13" ht="16.5" thickBot="1" x14ac:dyDescent="0.3">
      <c r="B34" s="84">
        <v>42808</v>
      </c>
      <c r="C34" s="73" t="s">
        <v>292</v>
      </c>
      <c r="D34" s="72" t="s">
        <v>13</v>
      </c>
      <c r="E34" s="77">
        <v>90.7</v>
      </c>
      <c r="F34" s="74">
        <v>3083.8</v>
      </c>
      <c r="I34" s="3"/>
      <c r="J34" s="3"/>
    </row>
    <row r="35" spans="2:13" ht="15.75" thickBot="1" x14ac:dyDescent="0.3">
      <c r="B35" s="29" t="s">
        <v>9</v>
      </c>
      <c r="C35" s="66"/>
      <c r="D35" s="31"/>
      <c r="E35" s="32">
        <v>0</v>
      </c>
      <c r="F35" s="33">
        <f>SUM(F3:F34)</f>
        <v>340750.38</v>
      </c>
      <c r="K35" s="3">
        <f t="shared" ref="K35:K36" si="2">J35*I35</f>
        <v>0</v>
      </c>
    </row>
    <row r="36" spans="2:13" ht="19.5" thickBot="1" x14ac:dyDescent="0.35">
      <c r="B36" s="34"/>
      <c r="C36" s="67"/>
      <c r="D36" s="36" t="s">
        <v>5</v>
      </c>
      <c r="E36" s="37">
        <f>SUM(E3:E35)</f>
        <v>9631.5799999999981</v>
      </c>
      <c r="I36" s="38"/>
      <c r="J36" s="38"/>
      <c r="K36" s="3">
        <f t="shared" si="2"/>
        <v>0</v>
      </c>
    </row>
    <row r="37" spans="2:13" x14ac:dyDescent="0.25">
      <c r="B37" s="34"/>
      <c r="C37" s="67"/>
      <c r="D37" s="26"/>
      <c r="E37" s="39"/>
      <c r="I37" s="38">
        <f>SUM(I35:I36)</f>
        <v>0</v>
      </c>
      <c r="J37" s="38"/>
      <c r="K37" s="38">
        <f>SUM(K35:K36)</f>
        <v>0</v>
      </c>
    </row>
    <row r="38" spans="2:13" ht="21.75" thickBot="1" x14ac:dyDescent="0.4">
      <c r="B38" s="40"/>
      <c r="C38" s="41" t="s">
        <v>15</v>
      </c>
      <c r="D38" s="42">
        <f>E36*0.2</f>
        <v>1926.3159999999998</v>
      </c>
      <c r="F38"/>
      <c r="K38"/>
    </row>
    <row r="39" spans="2:13" ht="21.75" thickBot="1" x14ac:dyDescent="0.4">
      <c r="C39" s="41" t="s">
        <v>16</v>
      </c>
      <c r="D39" s="44">
        <v>3400</v>
      </c>
      <c r="E39" s="45"/>
      <c r="F39" s="258">
        <f>D38+D39</f>
        <v>5326.3159999999998</v>
      </c>
      <c r="G39" s="259"/>
      <c r="I39" s="46"/>
      <c r="J39" s="46"/>
      <c r="K39" s="46"/>
      <c r="L39" s="46"/>
      <c r="M39" s="46"/>
    </row>
    <row r="40" spans="2:13" ht="17.25" thickTop="1" thickBot="1" x14ac:dyDescent="0.3">
      <c r="E40" s="47" t="s">
        <v>258</v>
      </c>
      <c r="G40" s="48">
        <v>-3826</v>
      </c>
      <c r="I40" s="46"/>
      <c r="J40" s="46"/>
      <c r="K40" s="49"/>
      <c r="L40" s="49"/>
      <c r="M40" s="49"/>
    </row>
    <row r="41" spans="2:13" ht="19.5" thickBot="1" x14ac:dyDescent="0.35">
      <c r="C41" s="50" t="s">
        <v>94</v>
      </c>
      <c r="D41" s="51"/>
      <c r="E41" s="47" t="s">
        <v>258</v>
      </c>
      <c r="F41" s="260">
        <v>-1500</v>
      </c>
      <c r="G41" s="260"/>
      <c r="I41" s="46"/>
      <c r="J41" s="46"/>
      <c r="K41" s="49"/>
      <c r="L41" s="49"/>
      <c r="M41" s="49"/>
    </row>
    <row r="42" spans="2:13" ht="17.25" thickTop="1" thickBot="1" x14ac:dyDescent="0.3">
      <c r="C42" s="52" t="s">
        <v>18</v>
      </c>
      <c r="D42" s="94" t="s">
        <v>293</v>
      </c>
      <c r="F42" s="261">
        <f>SUM(F39:G41)</f>
        <v>0.31599999999980355</v>
      </c>
      <c r="G42" s="261"/>
      <c r="I42" s="46"/>
      <c r="J42" s="46"/>
      <c r="K42" s="49"/>
      <c r="L42" s="49"/>
      <c r="M42" s="49"/>
    </row>
    <row r="43" spans="2:13" ht="15.75" customHeight="1" thickBot="1" x14ac:dyDescent="0.35">
      <c r="E43" s="2" t="s">
        <v>19</v>
      </c>
      <c r="F43" s="262"/>
      <c r="G43" s="262"/>
      <c r="K43"/>
    </row>
  </sheetData>
  <mergeCells count="4">
    <mergeCell ref="B1:C1"/>
    <mergeCell ref="F39:G39"/>
    <mergeCell ref="F41:G41"/>
    <mergeCell ref="F42:G43"/>
  </mergeCells>
  <pageMargins left="0.31496062992125984" right="0.11811023622047245" top="0.74803149606299213" bottom="0.74803149606299213" header="0.31496062992125984" footer="0.31496062992125984"/>
  <pageSetup scale="90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1"/>
  <sheetViews>
    <sheetView topLeftCell="A28" workbookViewId="0">
      <selection activeCell="D53" sqref="D53"/>
    </sheetView>
  </sheetViews>
  <sheetFormatPr baseColWidth="10" defaultRowHeight="15" x14ac:dyDescent="0.25"/>
  <cols>
    <col min="1" max="1" width="3.42578125" customWidth="1"/>
    <col min="2" max="2" width="13.42578125" style="96" bestFit="1" customWidth="1"/>
    <col min="3" max="3" width="13.7109375" style="41" customWidth="1"/>
    <col min="4" max="4" width="33.5703125" customWidth="1"/>
    <col min="5" max="5" width="12" bestFit="1" customWidth="1"/>
    <col min="6" max="6" width="14.140625" style="3" bestFit="1" customWidth="1"/>
    <col min="7" max="7" width="15.7109375" customWidth="1"/>
    <col min="11" max="11" width="11.42578125" style="3"/>
  </cols>
  <sheetData>
    <row r="1" spans="2:11" ht="19.5" thickBot="1" x14ac:dyDescent="0.35">
      <c r="B1" s="257">
        <v>42818</v>
      </c>
      <c r="C1" s="257"/>
      <c r="D1" s="115" t="s">
        <v>0</v>
      </c>
      <c r="E1" s="2" t="s">
        <v>1</v>
      </c>
      <c r="K1"/>
    </row>
    <row r="2" spans="2:11" ht="19.5" thickBot="1" x14ac:dyDescent="0.35">
      <c r="B2" s="95" t="s">
        <v>2</v>
      </c>
      <c r="C2" s="5" t="s">
        <v>3</v>
      </c>
      <c r="D2" s="5" t="s">
        <v>4</v>
      </c>
      <c r="E2" s="6" t="s">
        <v>5</v>
      </c>
      <c r="F2" s="7" t="s">
        <v>294</v>
      </c>
      <c r="G2" s="8"/>
      <c r="K2"/>
    </row>
    <row r="3" spans="2:11" ht="15.75" x14ac:dyDescent="0.25">
      <c r="B3" s="83"/>
      <c r="C3" s="69"/>
      <c r="D3" s="70"/>
      <c r="E3" s="76"/>
      <c r="F3" s="71"/>
      <c r="K3"/>
    </row>
    <row r="4" spans="2:11" ht="15.75" x14ac:dyDescent="0.25">
      <c r="B4" s="84">
        <v>42802</v>
      </c>
      <c r="C4" s="73">
        <v>3604</v>
      </c>
      <c r="D4" s="72" t="s">
        <v>7</v>
      </c>
      <c r="E4" s="77">
        <v>445.1</v>
      </c>
      <c r="F4" s="74">
        <v>15578.5</v>
      </c>
      <c r="K4"/>
    </row>
    <row r="5" spans="2:11" ht="15.75" x14ac:dyDescent="0.25">
      <c r="B5" s="84">
        <v>42802</v>
      </c>
      <c r="C5" s="73">
        <v>3610</v>
      </c>
      <c r="D5" s="72" t="s">
        <v>0</v>
      </c>
      <c r="E5" s="77">
        <v>92.7</v>
      </c>
      <c r="F5" s="74">
        <v>3244.5</v>
      </c>
      <c r="K5"/>
    </row>
    <row r="6" spans="2:11" ht="15.75" x14ac:dyDescent="0.25">
      <c r="B6" s="84">
        <v>42803</v>
      </c>
      <c r="C6" s="73">
        <v>3749</v>
      </c>
      <c r="D6" s="72" t="s">
        <v>295</v>
      </c>
      <c r="E6" s="77">
        <f>21.3+29.7</f>
        <v>51</v>
      </c>
      <c r="F6" s="74">
        <v>3987</v>
      </c>
      <c r="G6" t="s">
        <v>9</v>
      </c>
      <c r="K6" s="3">
        <f t="shared" ref="K6:K16" si="0">J6*I6</f>
        <v>0</v>
      </c>
    </row>
    <row r="7" spans="2:11" ht="15.75" x14ac:dyDescent="0.25">
      <c r="B7" s="84">
        <v>42804</v>
      </c>
      <c r="C7" s="73">
        <v>3894</v>
      </c>
      <c r="D7" s="72" t="s">
        <v>6</v>
      </c>
      <c r="E7" s="77">
        <v>322</v>
      </c>
      <c r="F7" s="74">
        <v>13153.8</v>
      </c>
      <c r="K7" s="3">
        <f t="shared" si="0"/>
        <v>0</v>
      </c>
    </row>
    <row r="8" spans="2:11" ht="15.75" x14ac:dyDescent="0.25">
      <c r="B8" s="84">
        <v>42805</v>
      </c>
      <c r="C8" s="73">
        <v>4039</v>
      </c>
      <c r="D8" s="72" t="s">
        <v>24</v>
      </c>
      <c r="E8" s="77">
        <f>12.7+66.4</f>
        <v>79.100000000000009</v>
      </c>
      <c r="F8" s="74">
        <v>1676.7</v>
      </c>
      <c r="K8" s="3">
        <f t="shared" si="0"/>
        <v>0</v>
      </c>
    </row>
    <row r="9" spans="2:11" ht="15.75" x14ac:dyDescent="0.25">
      <c r="B9" s="84">
        <v>42805</v>
      </c>
      <c r="C9" s="73">
        <v>4043</v>
      </c>
      <c r="D9" s="72" t="s">
        <v>6</v>
      </c>
      <c r="E9" s="77">
        <v>19.7</v>
      </c>
      <c r="F9" s="74">
        <v>394</v>
      </c>
      <c r="K9" s="3">
        <f t="shared" si="0"/>
        <v>0</v>
      </c>
    </row>
    <row r="10" spans="2:11" ht="15.75" x14ac:dyDescent="0.25">
      <c r="B10" s="84">
        <v>42808</v>
      </c>
      <c r="C10" s="73">
        <v>4336</v>
      </c>
      <c r="D10" s="72" t="s">
        <v>14</v>
      </c>
      <c r="E10" s="77">
        <v>266.3</v>
      </c>
      <c r="F10" s="74">
        <v>9054.2000000000007</v>
      </c>
      <c r="K10" s="3">
        <f t="shared" si="0"/>
        <v>0</v>
      </c>
    </row>
    <row r="11" spans="2:11" ht="15.75" x14ac:dyDescent="0.25">
      <c r="B11" s="84">
        <v>42808</v>
      </c>
      <c r="C11" s="73">
        <v>4343</v>
      </c>
      <c r="D11" s="72" t="s">
        <v>8</v>
      </c>
      <c r="E11" s="77">
        <f>340.7+120.8+112.1</f>
        <v>573.6</v>
      </c>
      <c r="F11" s="74">
        <v>17717.5</v>
      </c>
      <c r="K11" s="3">
        <f t="shared" si="0"/>
        <v>0</v>
      </c>
    </row>
    <row r="12" spans="2:11" ht="15.75" x14ac:dyDescent="0.25">
      <c r="B12" s="84">
        <v>42808</v>
      </c>
      <c r="C12" s="73">
        <v>4345</v>
      </c>
      <c r="D12" s="72" t="s">
        <v>24</v>
      </c>
      <c r="E12" s="77">
        <f>29.1+38.5+32.5+88.6</f>
        <v>188.7</v>
      </c>
      <c r="F12" s="74">
        <v>5167.6000000000004</v>
      </c>
      <c r="K12" s="3">
        <f t="shared" si="0"/>
        <v>0</v>
      </c>
    </row>
    <row r="13" spans="2:11" ht="15.75" x14ac:dyDescent="0.25">
      <c r="B13" s="84">
        <v>42809</v>
      </c>
      <c r="C13" s="73">
        <v>4417</v>
      </c>
      <c r="D13" s="72" t="s">
        <v>8</v>
      </c>
      <c r="E13" s="77">
        <f>460.4+107.2+11.9</f>
        <v>579.5</v>
      </c>
      <c r="F13" s="74">
        <v>17785.400000000001</v>
      </c>
      <c r="K13" s="3">
        <f t="shared" si="0"/>
        <v>0</v>
      </c>
    </row>
    <row r="14" spans="2:11" ht="15.75" x14ac:dyDescent="0.25">
      <c r="B14" s="84">
        <v>42809</v>
      </c>
      <c r="C14" s="73">
        <v>4418</v>
      </c>
      <c r="D14" s="72" t="s">
        <v>14</v>
      </c>
      <c r="E14" s="77">
        <v>480.9</v>
      </c>
      <c r="F14" s="74">
        <v>16350.6</v>
      </c>
      <c r="K14" s="3">
        <f t="shared" si="0"/>
        <v>0</v>
      </c>
    </row>
    <row r="15" spans="2:11" ht="15.75" x14ac:dyDescent="0.25">
      <c r="B15" s="84">
        <v>42809</v>
      </c>
      <c r="C15" s="73">
        <v>4420</v>
      </c>
      <c r="D15" s="72" t="s">
        <v>7</v>
      </c>
      <c r="E15" s="77">
        <v>443</v>
      </c>
      <c r="F15" s="74">
        <v>15505</v>
      </c>
      <c r="K15" s="3">
        <f t="shared" si="0"/>
        <v>0</v>
      </c>
    </row>
    <row r="16" spans="2:11" ht="15.75" x14ac:dyDescent="0.25">
      <c r="B16" s="84">
        <v>42809</v>
      </c>
      <c r="C16" s="73">
        <v>4421</v>
      </c>
      <c r="D16" s="72" t="s">
        <v>10</v>
      </c>
      <c r="E16" s="77">
        <f>92.6+1+36</f>
        <v>129.6</v>
      </c>
      <c r="F16" s="74">
        <v>5178.3999999999996</v>
      </c>
      <c r="K16" s="3">
        <f t="shared" si="0"/>
        <v>0</v>
      </c>
    </row>
    <row r="17" spans="2:11" ht="15.75" x14ac:dyDescent="0.25">
      <c r="B17" s="84">
        <v>42809</v>
      </c>
      <c r="C17" s="73">
        <v>4423</v>
      </c>
      <c r="D17" s="72" t="s">
        <v>24</v>
      </c>
      <c r="E17" s="77">
        <v>48.8</v>
      </c>
      <c r="F17" s="74">
        <v>1073.5999999999999</v>
      </c>
      <c r="I17" s="3">
        <f t="shared" ref="I17" si="1">SUM(I6:I16)</f>
        <v>0</v>
      </c>
      <c r="J17" s="3"/>
      <c r="K17" s="3">
        <f>SUM(K6:K16)</f>
        <v>0</v>
      </c>
    </row>
    <row r="18" spans="2:11" ht="15.75" x14ac:dyDescent="0.25">
      <c r="B18" s="84">
        <v>42809</v>
      </c>
      <c r="C18" s="73">
        <v>4424</v>
      </c>
      <c r="D18" s="72" t="s">
        <v>24</v>
      </c>
      <c r="E18" s="77">
        <f>480.4+39.7+21.5+34.8+24.8</f>
        <v>601.19999999999993</v>
      </c>
      <c r="F18" s="74">
        <v>19147.3</v>
      </c>
      <c r="I18" s="3"/>
      <c r="J18" s="3"/>
    </row>
    <row r="19" spans="2:11" ht="15.75" x14ac:dyDescent="0.25">
      <c r="B19" s="84">
        <v>42809</v>
      </c>
      <c r="C19" s="73">
        <v>4426</v>
      </c>
      <c r="D19" s="72" t="s">
        <v>12</v>
      </c>
      <c r="E19" s="77">
        <f>323.6+12.7</f>
        <v>336.3</v>
      </c>
      <c r="F19" s="74">
        <v>11726.3</v>
      </c>
      <c r="I19" s="3"/>
      <c r="J19" s="3"/>
    </row>
    <row r="20" spans="2:11" ht="15.75" x14ac:dyDescent="0.25">
      <c r="B20" s="84">
        <v>42809</v>
      </c>
      <c r="C20" s="73">
        <v>4427</v>
      </c>
      <c r="D20" s="72" t="s">
        <v>11</v>
      </c>
      <c r="E20" s="117">
        <f>61.6+1</f>
        <v>62.6</v>
      </c>
      <c r="F20" s="74">
        <v>2402.6</v>
      </c>
      <c r="I20" s="3"/>
      <c r="J20" s="3"/>
    </row>
    <row r="21" spans="2:11" ht="15.75" x14ac:dyDescent="0.25">
      <c r="B21" s="84">
        <v>42809</v>
      </c>
      <c r="C21" s="73">
        <v>4474</v>
      </c>
      <c r="D21" s="72" t="s">
        <v>6</v>
      </c>
      <c r="E21" s="77">
        <f>38.3+88.8</f>
        <v>127.1</v>
      </c>
      <c r="F21" s="74">
        <v>5099.6000000000004</v>
      </c>
      <c r="I21" s="3"/>
      <c r="J21" s="3"/>
    </row>
    <row r="22" spans="2:11" ht="15.75" x14ac:dyDescent="0.25">
      <c r="B22" s="84">
        <v>42810</v>
      </c>
      <c r="C22" s="73">
        <v>4535</v>
      </c>
      <c r="D22" s="72" t="s">
        <v>8</v>
      </c>
      <c r="E22" s="77">
        <v>388.9</v>
      </c>
      <c r="F22" s="74">
        <v>13222.6</v>
      </c>
      <c r="I22" s="3"/>
      <c r="J22" s="3"/>
    </row>
    <row r="23" spans="2:11" ht="15.75" x14ac:dyDescent="0.25">
      <c r="B23" s="84">
        <v>42810</v>
      </c>
      <c r="C23" s="73">
        <v>4539</v>
      </c>
      <c r="D23" s="72" t="s">
        <v>24</v>
      </c>
      <c r="E23" s="77">
        <f>61.6+13.61</f>
        <v>75.210000000000008</v>
      </c>
      <c r="F23" s="74">
        <v>2144.58</v>
      </c>
      <c r="I23" s="3"/>
      <c r="J23" s="3"/>
    </row>
    <row r="24" spans="2:11" ht="15.75" x14ac:dyDescent="0.25">
      <c r="B24" s="84">
        <v>42810</v>
      </c>
      <c r="C24" s="73">
        <v>4540</v>
      </c>
      <c r="D24" s="72" t="s">
        <v>13</v>
      </c>
      <c r="E24" s="77">
        <f>27.24+1</f>
        <v>28.24</v>
      </c>
      <c r="F24" s="74">
        <v>1832.36</v>
      </c>
      <c r="I24" s="3"/>
      <c r="J24" s="3"/>
    </row>
    <row r="25" spans="2:11" ht="15.75" x14ac:dyDescent="0.25">
      <c r="B25" s="84">
        <v>42810</v>
      </c>
      <c r="C25" s="73">
        <v>4545</v>
      </c>
      <c r="D25" s="72" t="s">
        <v>13</v>
      </c>
      <c r="E25" s="77">
        <v>9.1999999999999993</v>
      </c>
      <c r="F25" s="74">
        <v>202.34</v>
      </c>
      <c r="I25" s="3"/>
      <c r="J25" s="3"/>
    </row>
    <row r="26" spans="2:11" ht="15.75" x14ac:dyDescent="0.25">
      <c r="B26" s="84">
        <v>42810</v>
      </c>
      <c r="C26" s="73">
        <v>4547</v>
      </c>
      <c r="D26" s="72" t="s">
        <v>24</v>
      </c>
      <c r="E26" s="77">
        <v>84.2</v>
      </c>
      <c r="F26" s="74">
        <v>2862.8</v>
      </c>
      <c r="I26" s="3"/>
      <c r="J26" s="3"/>
    </row>
    <row r="27" spans="2:11" ht="15.75" x14ac:dyDescent="0.25">
      <c r="B27" s="84">
        <v>42810</v>
      </c>
      <c r="C27" s="73">
        <v>4550</v>
      </c>
      <c r="D27" s="72" t="s">
        <v>10</v>
      </c>
      <c r="E27" s="77">
        <f>5.8+4.1</f>
        <v>9.8999999999999986</v>
      </c>
      <c r="F27" s="74">
        <v>880</v>
      </c>
      <c r="I27" s="3"/>
      <c r="J27" s="3"/>
    </row>
    <row r="28" spans="2:11" ht="15.75" x14ac:dyDescent="0.25">
      <c r="B28" s="84">
        <v>42810</v>
      </c>
      <c r="C28" s="73">
        <v>4605</v>
      </c>
      <c r="D28" s="72" t="s">
        <v>14</v>
      </c>
      <c r="E28" s="77">
        <v>384.7</v>
      </c>
      <c r="F28" s="74">
        <v>13079.8</v>
      </c>
      <c r="I28" s="3"/>
      <c r="J28" s="3"/>
    </row>
    <row r="29" spans="2:11" ht="15.75" x14ac:dyDescent="0.25">
      <c r="B29" s="84">
        <v>42811</v>
      </c>
      <c r="C29" s="73">
        <v>4664</v>
      </c>
      <c r="D29" s="72" t="s">
        <v>7</v>
      </c>
      <c r="E29" s="77">
        <v>423.8</v>
      </c>
      <c r="F29" s="74">
        <v>14833</v>
      </c>
      <c r="I29" s="3"/>
      <c r="J29" s="3"/>
    </row>
    <row r="30" spans="2:11" ht="15.75" x14ac:dyDescent="0.25">
      <c r="B30" s="84">
        <v>42811</v>
      </c>
      <c r="C30" s="73">
        <v>4666</v>
      </c>
      <c r="D30" s="72" t="s">
        <v>14</v>
      </c>
      <c r="E30" s="77">
        <v>429.2</v>
      </c>
      <c r="F30" s="74">
        <v>14592.8</v>
      </c>
      <c r="I30" s="3"/>
      <c r="J30" s="3"/>
    </row>
    <row r="31" spans="2:11" ht="15.75" x14ac:dyDescent="0.25">
      <c r="B31" s="84">
        <v>42811</v>
      </c>
      <c r="C31" s="73">
        <v>4670</v>
      </c>
      <c r="D31" s="72" t="s">
        <v>24</v>
      </c>
      <c r="E31" s="77">
        <f>920.8+52.9+52.6+27.2</f>
        <v>1053.5</v>
      </c>
      <c r="F31" s="74">
        <v>35170.1</v>
      </c>
      <c r="I31" s="3"/>
      <c r="J31" s="3"/>
    </row>
    <row r="32" spans="2:11" ht="15.75" x14ac:dyDescent="0.25">
      <c r="B32" s="84">
        <v>42811</v>
      </c>
      <c r="C32" s="73">
        <v>4674</v>
      </c>
      <c r="D32" s="72" t="s">
        <v>24</v>
      </c>
      <c r="E32" s="77">
        <f>19.5+6</f>
        <v>25.5</v>
      </c>
      <c r="F32" s="74">
        <v>526.5</v>
      </c>
      <c r="I32" s="3"/>
      <c r="J32" s="3"/>
    </row>
    <row r="33" spans="2:13" ht="15.75" x14ac:dyDescent="0.25">
      <c r="B33" s="84">
        <v>42811</v>
      </c>
      <c r="C33" s="73">
        <v>4677</v>
      </c>
      <c r="D33" s="72" t="s">
        <v>8</v>
      </c>
      <c r="E33" s="77">
        <f>415.6+114.6+20</f>
        <v>550.20000000000005</v>
      </c>
      <c r="F33" s="74">
        <v>16598.599999999999</v>
      </c>
      <c r="I33" s="3"/>
      <c r="J33" s="3"/>
    </row>
    <row r="34" spans="2:13" ht="15.75" x14ac:dyDescent="0.25">
      <c r="B34" s="84">
        <v>42811</v>
      </c>
      <c r="C34" s="73">
        <v>4683</v>
      </c>
      <c r="D34" s="72" t="s">
        <v>295</v>
      </c>
      <c r="E34" s="77">
        <f>173.2+13.61+27.24</f>
        <v>214.05</v>
      </c>
      <c r="F34" s="74">
        <v>8263.93</v>
      </c>
      <c r="I34" s="3"/>
      <c r="J34" s="3"/>
    </row>
    <row r="35" spans="2:13" ht="15.75" x14ac:dyDescent="0.25">
      <c r="B35" s="84">
        <v>42811</v>
      </c>
      <c r="C35" s="73">
        <v>4692</v>
      </c>
      <c r="D35" s="72" t="s">
        <v>295</v>
      </c>
      <c r="E35" s="77">
        <f>25+695.4+19.4</f>
        <v>739.8</v>
      </c>
      <c r="F35" s="74">
        <v>27188.799999999999</v>
      </c>
      <c r="I35" s="3"/>
      <c r="J35" s="3"/>
    </row>
    <row r="36" spans="2:13" ht="15.75" x14ac:dyDescent="0.25">
      <c r="B36" s="84">
        <v>42812</v>
      </c>
      <c r="C36" s="73">
        <v>4813</v>
      </c>
      <c r="D36" s="72" t="s">
        <v>8</v>
      </c>
      <c r="E36" s="77">
        <f>43.9+50.2+272.6</f>
        <v>366.70000000000005</v>
      </c>
      <c r="F36" s="74">
        <v>14079.9</v>
      </c>
      <c r="I36" s="3"/>
      <c r="J36" s="3"/>
    </row>
    <row r="37" spans="2:13" ht="15.75" x14ac:dyDescent="0.25">
      <c r="B37" s="84">
        <v>42812</v>
      </c>
      <c r="C37" s="73">
        <v>4859</v>
      </c>
      <c r="D37" s="72" t="s">
        <v>8</v>
      </c>
      <c r="E37" s="77">
        <v>462.3</v>
      </c>
      <c r="F37" s="74">
        <v>15718.2</v>
      </c>
      <c r="I37" s="3"/>
      <c r="J37" s="3"/>
    </row>
    <row r="38" spans="2:13" ht="15.75" x14ac:dyDescent="0.25">
      <c r="B38" s="84">
        <v>42812</v>
      </c>
      <c r="C38" s="73">
        <v>4860</v>
      </c>
      <c r="D38" s="72" t="s">
        <v>14</v>
      </c>
      <c r="E38" s="77">
        <v>434</v>
      </c>
      <c r="F38" s="74">
        <v>14756</v>
      </c>
      <c r="I38" s="3"/>
      <c r="J38" s="3"/>
    </row>
    <row r="39" spans="2:13" ht="15.75" x14ac:dyDescent="0.25">
      <c r="B39" s="84">
        <v>42812</v>
      </c>
      <c r="C39" s="73">
        <v>4861</v>
      </c>
      <c r="D39" s="72" t="s">
        <v>7</v>
      </c>
      <c r="E39" s="77">
        <v>433.3</v>
      </c>
      <c r="F39" s="74">
        <v>14732.2</v>
      </c>
      <c r="I39" s="3"/>
      <c r="J39" s="3"/>
    </row>
    <row r="40" spans="2:13" ht="16.5" thickBot="1" x14ac:dyDescent="0.3">
      <c r="B40" s="84">
        <v>42812</v>
      </c>
      <c r="C40" s="73">
        <v>4862</v>
      </c>
      <c r="D40" s="72" t="s">
        <v>24</v>
      </c>
      <c r="E40" s="77">
        <f>88.6+78.5</f>
        <v>167.1</v>
      </c>
      <c r="F40" s="74">
        <v>4739.3999999999996</v>
      </c>
      <c r="I40" s="3"/>
      <c r="J40" s="3"/>
    </row>
    <row r="41" spans="2:13" ht="15.75" thickBot="1" x14ac:dyDescent="0.3">
      <c r="B41" s="29" t="s">
        <v>9</v>
      </c>
      <c r="C41" s="66"/>
      <c r="D41" s="31"/>
      <c r="E41" s="32">
        <v>0</v>
      </c>
      <c r="F41" s="33">
        <f>SUM(F3:F40)</f>
        <v>379666.50999999995</v>
      </c>
      <c r="K41" s="3">
        <f t="shared" ref="K41:K42" si="2">J41*I41</f>
        <v>0</v>
      </c>
    </row>
    <row r="42" spans="2:13" ht="19.5" thickBot="1" x14ac:dyDescent="0.35">
      <c r="B42" s="34"/>
      <c r="C42" s="67"/>
      <c r="D42" s="36" t="s">
        <v>5</v>
      </c>
      <c r="E42" s="37">
        <f>SUM(E3:E41)</f>
        <v>11126.999999999998</v>
      </c>
      <c r="I42" s="38"/>
      <c r="J42" s="38"/>
      <c r="K42" s="3">
        <f t="shared" si="2"/>
        <v>0</v>
      </c>
    </row>
    <row r="43" spans="2:13" x14ac:dyDescent="0.25">
      <c r="B43" s="34"/>
      <c r="C43" s="67"/>
      <c r="D43" s="26"/>
      <c r="E43" s="39"/>
      <c r="I43" s="38">
        <f>SUM(I41:I42)</f>
        <v>0</v>
      </c>
      <c r="J43" s="38"/>
      <c r="K43" s="38">
        <f>SUM(K41:K42)</f>
        <v>0</v>
      </c>
    </row>
    <row r="44" spans="2:13" ht="21.75" thickBot="1" x14ac:dyDescent="0.4">
      <c r="B44" s="40"/>
      <c r="C44" s="41" t="s">
        <v>15</v>
      </c>
      <c r="D44" s="42">
        <f>E42*0.2</f>
        <v>2225.3999999999996</v>
      </c>
      <c r="F44"/>
      <c r="K44"/>
    </row>
    <row r="45" spans="2:13" ht="21.75" thickBot="1" x14ac:dyDescent="0.4">
      <c r="C45" s="41" t="s">
        <v>16</v>
      </c>
      <c r="D45" s="44">
        <v>3400</v>
      </c>
      <c r="E45" s="45"/>
      <c r="F45" s="258">
        <f>D44+D45</f>
        <v>5625.4</v>
      </c>
      <c r="G45" s="259"/>
      <c r="I45" s="46"/>
      <c r="J45" s="46"/>
      <c r="K45" s="46"/>
      <c r="L45" s="46"/>
      <c r="M45" s="46"/>
    </row>
    <row r="46" spans="2:13" ht="17.25" thickTop="1" thickBot="1" x14ac:dyDescent="0.3">
      <c r="E46" s="47" t="s">
        <v>258</v>
      </c>
      <c r="G46" s="48">
        <v>-3400</v>
      </c>
      <c r="I46" s="46"/>
      <c r="J46" s="46"/>
      <c r="K46" s="49"/>
      <c r="L46" s="49"/>
      <c r="M46" s="49"/>
    </row>
    <row r="47" spans="2:13" ht="19.5" thickBot="1" x14ac:dyDescent="0.35">
      <c r="C47" s="52" t="s">
        <v>18</v>
      </c>
      <c r="D47" s="51" t="s">
        <v>296</v>
      </c>
      <c r="E47" s="47" t="s">
        <v>258</v>
      </c>
      <c r="F47" s="125"/>
      <c r="G47" s="125">
        <v>-1500</v>
      </c>
      <c r="I47" s="46"/>
      <c r="J47" s="46"/>
      <c r="K47" s="49"/>
      <c r="L47" s="49"/>
      <c r="M47" s="49"/>
    </row>
    <row r="48" spans="2:13" ht="19.5" thickBot="1" x14ac:dyDescent="0.35">
      <c r="C48" s="52" t="s">
        <v>18</v>
      </c>
      <c r="D48" s="123" t="s">
        <v>298</v>
      </c>
      <c r="E48" s="47" t="s">
        <v>300</v>
      </c>
      <c r="F48" s="124"/>
      <c r="G48" s="124">
        <v>-300</v>
      </c>
      <c r="I48" s="46"/>
      <c r="J48" s="46"/>
      <c r="K48" s="49"/>
      <c r="L48" s="49"/>
      <c r="M48" s="49"/>
    </row>
    <row r="49" spans="3:13" ht="19.5" thickBot="1" x14ac:dyDescent="0.35">
      <c r="C49" s="52" t="s">
        <v>18</v>
      </c>
      <c r="D49" s="123" t="s">
        <v>301</v>
      </c>
      <c r="E49" s="47" t="s">
        <v>300</v>
      </c>
      <c r="F49" s="124"/>
      <c r="G49" s="124">
        <v>-425</v>
      </c>
      <c r="I49" s="46"/>
      <c r="J49" s="46"/>
      <c r="K49" s="49"/>
      <c r="L49" s="49"/>
      <c r="M49" s="49"/>
    </row>
    <row r="50" spans="3:13" ht="20.25" thickTop="1" thickBot="1" x14ac:dyDescent="0.35">
      <c r="C50" s="52" t="s">
        <v>18</v>
      </c>
      <c r="D50" s="53" t="s">
        <v>299</v>
      </c>
      <c r="F50" s="261">
        <f>SUM(F45:G49)</f>
        <v>0.3999999999996362</v>
      </c>
      <c r="G50" s="261"/>
      <c r="I50" s="46"/>
      <c r="J50" s="46"/>
      <c r="K50" s="49"/>
      <c r="L50" s="49"/>
      <c r="M50" s="49"/>
    </row>
    <row r="51" spans="3:13" ht="15.75" customHeight="1" thickBot="1" x14ac:dyDescent="0.35">
      <c r="C51" s="41" t="s">
        <v>9</v>
      </c>
      <c r="E51" s="2" t="s">
        <v>19</v>
      </c>
      <c r="F51" s="262"/>
      <c r="G51" s="262"/>
      <c r="K51"/>
    </row>
  </sheetData>
  <mergeCells count="3">
    <mergeCell ref="B1:C1"/>
    <mergeCell ref="F45:G45"/>
    <mergeCell ref="F50:G51"/>
  </mergeCells>
  <pageMargins left="0.31496062992125984" right="0.11811023622047245" top="0.35433070866141736" bottom="0.15748031496062992" header="0.31496062992125984" footer="0.31496062992125984"/>
  <pageSetup scale="8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5"/>
  <sheetViews>
    <sheetView topLeftCell="A40" workbookViewId="0">
      <selection activeCell="E62" sqref="E62"/>
    </sheetView>
  </sheetViews>
  <sheetFormatPr baseColWidth="10" defaultRowHeight="15" x14ac:dyDescent="0.25"/>
  <cols>
    <col min="1" max="1" width="3.42578125" customWidth="1"/>
    <col min="2" max="2" width="13.42578125" style="96" bestFit="1" customWidth="1"/>
    <col min="3" max="3" width="13.7109375" style="41" customWidth="1"/>
    <col min="4" max="4" width="33.5703125" customWidth="1"/>
    <col min="5" max="5" width="12" bestFit="1" customWidth="1"/>
    <col min="6" max="6" width="14.140625" style="3" bestFit="1" customWidth="1"/>
    <col min="7" max="7" width="15.7109375" customWidth="1"/>
    <col min="11" max="11" width="11.42578125" style="3"/>
  </cols>
  <sheetData>
    <row r="1" spans="2:11" ht="19.5" thickBot="1" x14ac:dyDescent="0.35">
      <c r="B1" s="257">
        <v>42825</v>
      </c>
      <c r="C1" s="257"/>
      <c r="D1" s="116" t="s">
        <v>0</v>
      </c>
      <c r="E1" s="2" t="s">
        <v>1</v>
      </c>
      <c r="K1"/>
    </row>
    <row r="2" spans="2:11" ht="19.5" thickBot="1" x14ac:dyDescent="0.35">
      <c r="B2" s="95" t="s">
        <v>2</v>
      </c>
      <c r="C2" s="5" t="s">
        <v>3</v>
      </c>
      <c r="D2" s="5" t="s">
        <v>4</v>
      </c>
      <c r="E2" s="6" t="s">
        <v>5</v>
      </c>
      <c r="F2" s="7" t="s">
        <v>297</v>
      </c>
      <c r="G2" s="8"/>
      <c r="K2"/>
    </row>
    <row r="3" spans="2:11" ht="15.75" x14ac:dyDescent="0.25">
      <c r="B3" s="83">
        <v>42808</v>
      </c>
      <c r="C3" s="69">
        <v>4351</v>
      </c>
      <c r="D3" s="70" t="s">
        <v>6</v>
      </c>
      <c r="E3" s="76">
        <f>96.3+10.3+8.5+34.48</f>
        <v>149.57999999999998</v>
      </c>
      <c r="F3" s="71">
        <v>6927.76</v>
      </c>
      <c r="K3"/>
    </row>
    <row r="4" spans="2:11" ht="15.75" x14ac:dyDescent="0.25">
      <c r="B4" s="118">
        <v>42810</v>
      </c>
      <c r="C4" s="15">
        <v>4541</v>
      </c>
      <c r="D4" s="119" t="s">
        <v>0</v>
      </c>
      <c r="E4" s="120">
        <v>59.2</v>
      </c>
      <c r="F4" s="121">
        <v>3907.2</v>
      </c>
      <c r="K4"/>
    </row>
    <row r="5" spans="2:11" ht="15.75" x14ac:dyDescent="0.25">
      <c r="B5" s="118">
        <v>42811</v>
      </c>
      <c r="C5" s="15">
        <v>4680</v>
      </c>
      <c r="D5" s="119" t="s">
        <v>6</v>
      </c>
      <c r="E5" s="120">
        <f>196+75.3+5.9+43.5</f>
        <v>320.7</v>
      </c>
      <c r="F5" s="121">
        <v>12691.9</v>
      </c>
      <c r="K5"/>
    </row>
    <row r="6" spans="2:11" ht="15.75" x14ac:dyDescent="0.25">
      <c r="B6" s="118">
        <v>42814</v>
      </c>
      <c r="C6" s="15">
        <v>5038</v>
      </c>
      <c r="D6" s="119" t="s">
        <v>14</v>
      </c>
      <c r="E6" s="120">
        <v>409.1</v>
      </c>
      <c r="F6" s="121">
        <v>13909.4</v>
      </c>
      <c r="G6" t="s">
        <v>9</v>
      </c>
      <c r="K6" s="3">
        <f t="shared" ref="K6:K16" si="0">J6*I6</f>
        <v>0</v>
      </c>
    </row>
    <row r="7" spans="2:11" ht="15.75" x14ac:dyDescent="0.25">
      <c r="B7" s="118">
        <v>42814</v>
      </c>
      <c r="C7" s="15">
        <v>5040</v>
      </c>
      <c r="D7" s="119" t="s">
        <v>10</v>
      </c>
      <c r="E7" s="120">
        <v>85.4</v>
      </c>
      <c r="F7" s="121">
        <v>2903.6</v>
      </c>
      <c r="K7" s="3">
        <f t="shared" si="0"/>
        <v>0</v>
      </c>
    </row>
    <row r="8" spans="2:11" ht="15.75" x14ac:dyDescent="0.25">
      <c r="B8" s="118">
        <v>42814</v>
      </c>
      <c r="C8" s="15">
        <v>5041</v>
      </c>
      <c r="D8" s="119" t="s">
        <v>13</v>
      </c>
      <c r="E8" s="120">
        <v>88.4</v>
      </c>
      <c r="F8" s="121">
        <v>3005.6</v>
      </c>
      <c r="K8" s="3">
        <f t="shared" si="0"/>
        <v>0</v>
      </c>
    </row>
    <row r="9" spans="2:11" ht="15.75" x14ac:dyDescent="0.25">
      <c r="B9" s="118">
        <v>42814</v>
      </c>
      <c r="C9" s="15">
        <v>5042</v>
      </c>
      <c r="D9" s="119" t="s">
        <v>6</v>
      </c>
      <c r="E9" s="120">
        <v>117.9</v>
      </c>
      <c r="F9" s="121">
        <v>4008.6</v>
      </c>
      <c r="K9" s="3">
        <f t="shared" si="0"/>
        <v>0</v>
      </c>
    </row>
    <row r="10" spans="2:11" ht="15.75" x14ac:dyDescent="0.25">
      <c r="B10" s="118">
        <v>42814</v>
      </c>
      <c r="C10" s="15">
        <v>5043</v>
      </c>
      <c r="D10" s="119" t="s">
        <v>7</v>
      </c>
      <c r="E10" s="120">
        <v>407.2</v>
      </c>
      <c r="F10" s="121">
        <v>14252</v>
      </c>
      <c r="K10" s="3">
        <f t="shared" si="0"/>
        <v>0</v>
      </c>
    </row>
    <row r="11" spans="2:11" ht="15.75" x14ac:dyDescent="0.25">
      <c r="B11" s="118">
        <v>42814</v>
      </c>
      <c r="C11" s="15">
        <v>5044</v>
      </c>
      <c r="D11" s="119" t="s">
        <v>12</v>
      </c>
      <c r="E11" s="120">
        <v>25.6</v>
      </c>
      <c r="F11" s="121">
        <v>1459.2</v>
      </c>
      <c r="K11" s="3">
        <f t="shared" si="0"/>
        <v>0</v>
      </c>
    </row>
    <row r="12" spans="2:11" ht="15.75" x14ac:dyDescent="0.25">
      <c r="B12" s="118">
        <v>42814</v>
      </c>
      <c r="C12" s="15">
        <v>5047</v>
      </c>
      <c r="D12" s="119" t="s">
        <v>24</v>
      </c>
      <c r="E12" s="120">
        <f>37.1+39+496.4</f>
        <v>572.5</v>
      </c>
      <c r="F12" s="121">
        <v>19700.599999999999</v>
      </c>
      <c r="K12" s="3">
        <f t="shared" si="0"/>
        <v>0</v>
      </c>
    </row>
    <row r="13" spans="2:11" ht="15.75" x14ac:dyDescent="0.25">
      <c r="B13" s="118">
        <v>42814</v>
      </c>
      <c r="C13" s="15">
        <v>5048</v>
      </c>
      <c r="D13" s="119" t="s">
        <v>8</v>
      </c>
      <c r="E13" s="120">
        <f>439.1+60.1</f>
        <v>499.20000000000005</v>
      </c>
      <c r="F13" s="121">
        <v>17093</v>
      </c>
      <c r="K13" s="3">
        <f t="shared" si="0"/>
        <v>0</v>
      </c>
    </row>
    <row r="14" spans="2:11" ht="15.75" x14ac:dyDescent="0.25">
      <c r="B14" s="118">
        <v>42815</v>
      </c>
      <c r="C14" s="15">
        <v>5170</v>
      </c>
      <c r="D14" s="119" t="s">
        <v>14</v>
      </c>
      <c r="E14" s="120">
        <f>107.6+102</f>
        <v>209.6</v>
      </c>
      <c r="F14" s="121">
        <v>4101.2</v>
      </c>
      <c r="K14" s="3">
        <f t="shared" si="0"/>
        <v>0</v>
      </c>
    </row>
    <row r="15" spans="2:11" ht="15.75" x14ac:dyDescent="0.25">
      <c r="B15" s="118">
        <v>42815</v>
      </c>
      <c r="C15" s="15">
        <v>5171</v>
      </c>
      <c r="D15" s="119" t="s">
        <v>24</v>
      </c>
      <c r="E15" s="120">
        <f>80.2+1</f>
        <v>81.2</v>
      </c>
      <c r="F15" s="121">
        <v>2911.8</v>
      </c>
      <c r="K15" s="3">
        <f t="shared" si="0"/>
        <v>0</v>
      </c>
    </row>
    <row r="16" spans="2:11" ht="15.75" x14ac:dyDescent="0.25">
      <c r="B16" s="118">
        <v>42815</v>
      </c>
      <c r="C16" s="15">
        <v>5172</v>
      </c>
      <c r="D16" s="119" t="s">
        <v>12</v>
      </c>
      <c r="E16" s="120">
        <f>293.2</f>
        <v>293.2</v>
      </c>
      <c r="F16" s="121">
        <v>9968.7999999999993</v>
      </c>
      <c r="K16" s="3">
        <f t="shared" si="0"/>
        <v>0</v>
      </c>
    </row>
    <row r="17" spans="2:11" ht="15.75" x14ac:dyDescent="0.25">
      <c r="B17" s="118">
        <v>42815</v>
      </c>
      <c r="C17" s="15">
        <v>5173</v>
      </c>
      <c r="D17" s="119" t="s">
        <v>7</v>
      </c>
      <c r="E17" s="120">
        <v>449.8</v>
      </c>
      <c r="F17" s="121">
        <v>15293.2</v>
      </c>
      <c r="I17" s="3">
        <f t="shared" ref="I17" si="1">SUM(I6:I16)</f>
        <v>0</v>
      </c>
      <c r="J17" s="3"/>
      <c r="K17" s="3">
        <f>SUM(K6:K16)</f>
        <v>0</v>
      </c>
    </row>
    <row r="18" spans="2:11" ht="15.75" x14ac:dyDescent="0.25">
      <c r="B18" s="118">
        <v>42815</v>
      </c>
      <c r="C18" s="15">
        <v>5175</v>
      </c>
      <c r="D18" s="119" t="s">
        <v>8</v>
      </c>
      <c r="E18" s="120">
        <v>428.8</v>
      </c>
      <c r="F18" s="121">
        <v>14579.2</v>
      </c>
      <c r="I18" s="3"/>
      <c r="J18" s="3"/>
    </row>
    <row r="19" spans="2:11" ht="15.75" x14ac:dyDescent="0.25">
      <c r="B19" s="118">
        <v>42815</v>
      </c>
      <c r="C19" s="15">
        <v>5181</v>
      </c>
      <c r="D19" s="119" t="s">
        <v>10</v>
      </c>
      <c r="E19" s="120">
        <v>46.7</v>
      </c>
      <c r="F19" s="121">
        <v>1681.2</v>
      </c>
      <c r="I19" s="3"/>
      <c r="J19" s="3"/>
    </row>
    <row r="20" spans="2:11" ht="15.75" x14ac:dyDescent="0.25">
      <c r="B20" s="118">
        <v>42815</v>
      </c>
      <c r="C20" s="15">
        <v>5185</v>
      </c>
      <c r="D20" s="119" t="s">
        <v>304</v>
      </c>
      <c r="E20" s="120">
        <v>122.2</v>
      </c>
      <c r="F20" s="121">
        <v>4521.3999999999996</v>
      </c>
      <c r="I20" s="3"/>
      <c r="J20" s="3"/>
    </row>
    <row r="21" spans="2:11" ht="15.75" x14ac:dyDescent="0.25">
      <c r="B21" s="118">
        <v>42816</v>
      </c>
      <c r="C21" s="15">
        <v>5256</v>
      </c>
      <c r="D21" s="119" t="s">
        <v>14</v>
      </c>
      <c r="E21" s="120">
        <v>446.1</v>
      </c>
      <c r="F21" s="121">
        <v>14721.3</v>
      </c>
      <c r="I21" s="3"/>
      <c r="J21" s="3"/>
    </row>
    <row r="22" spans="2:11" ht="15.75" x14ac:dyDescent="0.25">
      <c r="B22" s="118">
        <v>42816</v>
      </c>
      <c r="C22" s="15">
        <v>5257</v>
      </c>
      <c r="D22" s="119" t="s">
        <v>305</v>
      </c>
      <c r="E22" s="120">
        <v>96.6</v>
      </c>
      <c r="F22" s="121">
        <v>3187.8</v>
      </c>
      <c r="I22" s="3"/>
      <c r="J22" s="3"/>
    </row>
    <row r="23" spans="2:11" ht="15.75" x14ac:dyDescent="0.25">
      <c r="B23" s="118">
        <v>42816</v>
      </c>
      <c r="C23" s="15">
        <v>5258</v>
      </c>
      <c r="D23" s="119" t="s">
        <v>6</v>
      </c>
      <c r="E23" s="120">
        <v>188</v>
      </c>
      <c r="F23" s="121">
        <v>6392</v>
      </c>
      <c r="I23" s="3"/>
      <c r="J23" s="3"/>
    </row>
    <row r="24" spans="2:11" ht="15.75" x14ac:dyDescent="0.25">
      <c r="B24" s="118">
        <v>42816</v>
      </c>
      <c r="C24" s="15">
        <v>5259</v>
      </c>
      <c r="D24" s="119" t="s">
        <v>8</v>
      </c>
      <c r="E24" s="120">
        <f>11.8+1+10.1+209.9</f>
        <v>232.8</v>
      </c>
      <c r="F24" s="121">
        <v>8506.2999999999993</v>
      </c>
      <c r="I24" s="3"/>
      <c r="J24" s="3"/>
    </row>
    <row r="25" spans="2:11" ht="15.75" x14ac:dyDescent="0.25">
      <c r="B25" s="118">
        <v>42816</v>
      </c>
      <c r="C25" s="15">
        <v>5260</v>
      </c>
      <c r="D25" s="119" t="s">
        <v>8</v>
      </c>
      <c r="E25" s="120">
        <f>423.2+104</f>
        <v>527.20000000000005</v>
      </c>
      <c r="F25" s="121">
        <v>18749.599999999999</v>
      </c>
      <c r="I25" s="3"/>
      <c r="J25" s="3"/>
    </row>
    <row r="26" spans="2:11" ht="15.75" x14ac:dyDescent="0.25">
      <c r="B26" s="118">
        <v>42816</v>
      </c>
      <c r="C26" s="15">
        <v>5262</v>
      </c>
      <c r="D26" s="119" t="s">
        <v>10</v>
      </c>
      <c r="E26" s="120">
        <f>94.7+51.4</f>
        <v>146.1</v>
      </c>
      <c r="F26" s="121">
        <v>7339.9</v>
      </c>
      <c r="I26" s="3"/>
      <c r="J26" s="3"/>
    </row>
    <row r="27" spans="2:11" ht="15.75" x14ac:dyDescent="0.25">
      <c r="B27" s="118">
        <v>42816</v>
      </c>
      <c r="C27" s="15">
        <v>5263</v>
      </c>
      <c r="D27" s="119" t="s">
        <v>24</v>
      </c>
      <c r="E27" s="120">
        <f>459.1+52.5+20+14.9+45.5</f>
        <v>592</v>
      </c>
      <c r="F27" s="121">
        <v>19328.849999999999</v>
      </c>
      <c r="I27" s="3"/>
      <c r="J27" s="3"/>
    </row>
    <row r="28" spans="2:11" ht="15.75" x14ac:dyDescent="0.25">
      <c r="B28" s="118">
        <v>42817</v>
      </c>
      <c r="C28" s="15">
        <v>5375</v>
      </c>
      <c r="D28" s="119" t="s">
        <v>10</v>
      </c>
      <c r="E28" s="120">
        <v>93.3</v>
      </c>
      <c r="F28" s="121">
        <v>3078.9</v>
      </c>
      <c r="I28" s="3"/>
      <c r="J28" s="3"/>
    </row>
    <row r="29" spans="2:11" ht="15.75" x14ac:dyDescent="0.25">
      <c r="B29" s="118">
        <v>42817</v>
      </c>
      <c r="C29" s="15">
        <v>5376</v>
      </c>
      <c r="D29" s="119" t="s">
        <v>24</v>
      </c>
      <c r="E29" s="120">
        <f>61.5+120.4</f>
        <v>181.9</v>
      </c>
      <c r="F29" s="121">
        <v>4427.1000000000004</v>
      </c>
      <c r="I29" s="3"/>
      <c r="J29" s="3"/>
    </row>
    <row r="30" spans="2:11" ht="15.75" x14ac:dyDescent="0.25">
      <c r="B30" s="118">
        <v>42817</v>
      </c>
      <c r="C30" s="15">
        <v>5378</v>
      </c>
      <c r="D30" s="119" t="s">
        <v>14</v>
      </c>
      <c r="E30" s="120">
        <f>354.6+15.4</f>
        <v>370</v>
      </c>
      <c r="F30" s="121">
        <v>12102.2</v>
      </c>
      <c r="I30" s="3"/>
      <c r="J30" s="3"/>
    </row>
    <row r="31" spans="2:11" ht="15.75" x14ac:dyDescent="0.25">
      <c r="B31" s="118">
        <v>42817</v>
      </c>
      <c r="C31" s="15">
        <v>5388</v>
      </c>
      <c r="D31" s="119" t="s">
        <v>8</v>
      </c>
      <c r="E31" s="120">
        <f>350.6+70.4</f>
        <v>421</v>
      </c>
      <c r="F31" s="121">
        <v>16216.2</v>
      </c>
      <c r="I31" s="3"/>
      <c r="J31" s="3"/>
    </row>
    <row r="32" spans="2:11" ht="15.75" x14ac:dyDescent="0.25">
      <c r="B32" s="118">
        <v>42818</v>
      </c>
      <c r="C32" s="15">
        <v>5508</v>
      </c>
      <c r="D32" s="119" t="s">
        <v>24</v>
      </c>
      <c r="E32" s="120">
        <f>969.78+45.2</f>
        <v>1014.98</v>
      </c>
      <c r="F32" s="121">
        <v>35027.1</v>
      </c>
      <c r="I32" s="3"/>
      <c r="J32" s="3"/>
    </row>
    <row r="33" spans="2:11" ht="15.75" x14ac:dyDescent="0.25">
      <c r="B33" s="118">
        <v>42818</v>
      </c>
      <c r="C33" s="15">
        <v>5521</v>
      </c>
      <c r="D33" s="119" t="s">
        <v>10</v>
      </c>
      <c r="E33" s="120">
        <v>81.900000000000006</v>
      </c>
      <c r="F33" s="121">
        <v>2702.7</v>
      </c>
      <c r="I33" s="3"/>
      <c r="J33" s="3"/>
    </row>
    <row r="34" spans="2:11" ht="15.75" x14ac:dyDescent="0.25">
      <c r="B34" s="118">
        <v>42818</v>
      </c>
      <c r="C34" s="15">
        <v>5522</v>
      </c>
      <c r="D34" s="119" t="s">
        <v>14</v>
      </c>
      <c r="E34" s="120">
        <v>402.7</v>
      </c>
      <c r="F34" s="121">
        <v>13289.1</v>
      </c>
      <c r="I34" s="3"/>
      <c r="J34" s="3"/>
    </row>
    <row r="35" spans="2:11" ht="15.75" x14ac:dyDescent="0.25">
      <c r="B35" s="118">
        <v>42818</v>
      </c>
      <c r="C35" s="15">
        <v>5525</v>
      </c>
      <c r="D35" s="119" t="s">
        <v>7</v>
      </c>
      <c r="E35" s="120">
        <v>398.7</v>
      </c>
      <c r="F35" s="121">
        <v>13555.8</v>
      </c>
      <c r="I35" s="3"/>
      <c r="J35" s="3"/>
    </row>
    <row r="36" spans="2:11" ht="15.75" x14ac:dyDescent="0.25">
      <c r="B36" s="118">
        <v>42818</v>
      </c>
      <c r="C36" s="15">
        <v>5528</v>
      </c>
      <c r="D36" s="119" t="s">
        <v>8</v>
      </c>
      <c r="E36" s="120">
        <f>415.8+117.4+101</f>
        <v>634.20000000000005</v>
      </c>
      <c r="F36" s="121">
        <v>19782.2</v>
      </c>
      <c r="I36" s="3"/>
      <c r="J36" s="3"/>
    </row>
    <row r="37" spans="2:11" ht="15.75" x14ac:dyDescent="0.25">
      <c r="B37" s="118">
        <v>42818</v>
      </c>
      <c r="C37" s="15">
        <v>5530</v>
      </c>
      <c r="D37" s="119" t="s">
        <v>13</v>
      </c>
      <c r="E37" s="120">
        <f>496.6+63.5+28</f>
        <v>588.1</v>
      </c>
      <c r="F37" s="121">
        <v>21978.799999999999</v>
      </c>
      <c r="I37" s="3"/>
      <c r="J37" s="3"/>
    </row>
    <row r="38" spans="2:11" ht="15.75" x14ac:dyDescent="0.25">
      <c r="B38" s="118">
        <v>42818</v>
      </c>
      <c r="C38" s="15">
        <v>5531</v>
      </c>
      <c r="D38" s="119" t="s">
        <v>12</v>
      </c>
      <c r="E38" s="120">
        <f>70+299.1</f>
        <v>369.1</v>
      </c>
      <c r="F38" s="121">
        <v>12880.3</v>
      </c>
      <c r="I38" s="3"/>
      <c r="J38" s="3"/>
    </row>
    <row r="39" spans="2:11" ht="15.75" x14ac:dyDescent="0.25">
      <c r="B39" s="118">
        <v>42818</v>
      </c>
      <c r="C39" s="15">
        <v>5526</v>
      </c>
      <c r="D39" s="119" t="s">
        <v>6</v>
      </c>
      <c r="E39" s="120">
        <f>277.2+71.7+10.9+10.3</f>
        <v>370.09999999999997</v>
      </c>
      <c r="F39" s="121">
        <v>15327.9</v>
      </c>
      <c r="I39" s="3"/>
      <c r="J39" s="3"/>
    </row>
    <row r="40" spans="2:11" ht="15.75" x14ac:dyDescent="0.25">
      <c r="B40" s="118">
        <v>42819</v>
      </c>
      <c r="C40" s="15">
        <v>5707</v>
      </c>
      <c r="D40" s="119" t="s">
        <v>8</v>
      </c>
      <c r="E40" s="120">
        <v>417.7</v>
      </c>
      <c r="F40" s="121">
        <v>13784.1</v>
      </c>
      <c r="I40" s="3"/>
      <c r="J40" s="3"/>
    </row>
    <row r="41" spans="2:11" ht="15.75" x14ac:dyDescent="0.25">
      <c r="B41" s="118">
        <v>42819</v>
      </c>
      <c r="C41" s="15">
        <v>5708</v>
      </c>
      <c r="D41" s="119" t="s">
        <v>14</v>
      </c>
      <c r="E41" s="120">
        <v>418.3</v>
      </c>
      <c r="F41" s="121">
        <v>13803.9</v>
      </c>
      <c r="I41" s="3"/>
      <c r="J41" s="3"/>
    </row>
    <row r="42" spans="2:11" ht="15.75" x14ac:dyDescent="0.25">
      <c r="B42" s="118">
        <v>42819</v>
      </c>
      <c r="C42" s="15">
        <v>5713</v>
      </c>
      <c r="D42" s="119" t="s">
        <v>0</v>
      </c>
      <c r="E42" s="120">
        <f>94.9+19.3</f>
        <v>114.2</v>
      </c>
      <c r="F42" s="121">
        <v>3556.3</v>
      </c>
      <c r="I42" s="3"/>
      <c r="J42" s="3"/>
    </row>
    <row r="43" spans="2:11" ht="15.75" x14ac:dyDescent="0.25">
      <c r="B43" s="118">
        <v>42819</v>
      </c>
      <c r="C43" s="15">
        <v>5714</v>
      </c>
      <c r="D43" s="119" t="s">
        <v>10</v>
      </c>
      <c r="E43" s="120">
        <v>85.8</v>
      </c>
      <c r="F43" s="121">
        <v>2831.4</v>
      </c>
      <c r="I43" s="3"/>
      <c r="J43" s="3"/>
    </row>
    <row r="44" spans="2:11" ht="16.5" thickBot="1" x14ac:dyDescent="0.3">
      <c r="B44" s="118">
        <v>42819</v>
      </c>
      <c r="C44" s="15">
        <v>5715</v>
      </c>
      <c r="D44" s="119" t="s">
        <v>7</v>
      </c>
      <c r="E44" s="120">
        <f>153+68.8+203.8</f>
        <v>425.6</v>
      </c>
      <c r="F44" s="121">
        <v>11371.4</v>
      </c>
      <c r="I44" s="3"/>
      <c r="J44" s="3"/>
    </row>
    <row r="45" spans="2:11" ht="15.75" thickBot="1" x14ac:dyDescent="0.3">
      <c r="B45" s="29" t="s">
        <v>9</v>
      </c>
      <c r="C45" s="66"/>
      <c r="D45" s="31"/>
      <c r="E45" s="32">
        <v>0</v>
      </c>
      <c r="F45" s="33">
        <f>SUM(F3:F44)</f>
        <v>446856.81</v>
      </c>
      <c r="K45" s="3">
        <f t="shared" ref="K45:K46" si="2">J45*I45</f>
        <v>0</v>
      </c>
    </row>
    <row r="46" spans="2:11" ht="19.5" thickBot="1" x14ac:dyDescent="0.35">
      <c r="B46" s="34"/>
      <c r="C46" s="67"/>
      <c r="D46" s="36" t="s">
        <v>5</v>
      </c>
      <c r="E46" s="37">
        <f>SUM(E3:E45)</f>
        <v>12982.660000000003</v>
      </c>
      <c r="I46" s="38"/>
      <c r="J46" s="38"/>
      <c r="K46" s="3">
        <f t="shared" si="2"/>
        <v>0</v>
      </c>
    </row>
    <row r="47" spans="2:11" x14ac:dyDescent="0.25">
      <c r="B47" s="34"/>
      <c r="C47" s="67"/>
      <c r="D47" s="26"/>
      <c r="E47" s="39"/>
      <c r="I47" s="38">
        <f>SUM(I45:I46)</f>
        <v>0</v>
      </c>
      <c r="J47" s="38"/>
      <c r="K47" s="38">
        <f>SUM(K45:K46)</f>
        <v>0</v>
      </c>
    </row>
    <row r="48" spans="2:11" ht="21.75" thickBot="1" x14ac:dyDescent="0.4">
      <c r="B48" s="40"/>
      <c r="C48" s="41" t="s">
        <v>15</v>
      </c>
      <c r="D48" s="42">
        <f>E46*0.2</f>
        <v>2596.5320000000011</v>
      </c>
      <c r="F48"/>
      <c r="K48"/>
    </row>
    <row r="49" spans="3:13" ht="21.75" thickBot="1" x14ac:dyDescent="0.4">
      <c r="C49" s="41" t="s">
        <v>16</v>
      </c>
      <c r="D49" s="44">
        <v>3400</v>
      </c>
      <c r="E49" s="45"/>
      <c r="F49" s="258">
        <f>D48+D49</f>
        <v>5996.5320000000011</v>
      </c>
      <c r="G49" s="259"/>
      <c r="I49" s="46"/>
      <c r="J49" s="46"/>
      <c r="K49" s="46"/>
      <c r="L49" s="46"/>
      <c r="M49" s="46"/>
    </row>
    <row r="50" spans="3:13" ht="17.25" thickTop="1" thickBot="1" x14ac:dyDescent="0.3">
      <c r="E50" s="47" t="s">
        <v>258</v>
      </c>
      <c r="G50" s="48">
        <v>-3400</v>
      </c>
      <c r="I50" s="46"/>
      <c r="J50" s="46"/>
      <c r="K50" s="49"/>
      <c r="L50" s="49"/>
      <c r="M50" s="49"/>
    </row>
    <row r="51" spans="3:13" ht="16.5" thickBot="1" x14ac:dyDescent="0.3">
      <c r="C51" s="50" t="s">
        <v>94</v>
      </c>
      <c r="D51" s="131" t="s">
        <v>306</v>
      </c>
      <c r="E51" s="47" t="s">
        <v>258</v>
      </c>
      <c r="F51" s="125"/>
      <c r="G51" s="135">
        <v>-1500</v>
      </c>
      <c r="I51" s="46"/>
      <c r="J51" s="46"/>
      <c r="K51" s="49"/>
      <c r="L51" s="49"/>
      <c r="M51" s="49"/>
    </row>
    <row r="52" spans="3:13" ht="16.5" thickTop="1" x14ac:dyDescent="0.25">
      <c r="C52" s="122"/>
      <c r="D52" s="132" t="s">
        <v>309</v>
      </c>
      <c r="E52" s="47" t="s">
        <v>307</v>
      </c>
      <c r="F52" s="124"/>
      <c r="G52" s="136">
        <v>-300</v>
      </c>
      <c r="I52" s="46"/>
      <c r="J52" s="46"/>
      <c r="K52" s="49"/>
      <c r="L52" s="49"/>
      <c r="M52" s="49"/>
    </row>
    <row r="53" spans="3:13" ht="16.5" thickBot="1" x14ac:dyDescent="0.3">
      <c r="C53" s="122"/>
      <c r="D53" s="132" t="s">
        <v>308</v>
      </c>
      <c r="E53" s="47" t="s">
        <v>258</v>
      </c>
      <c r="F53" s="124"/>
      <c r="G53" s="124">
        <v>-796.5</v>
      </c>
      <c r="I53" s="46"/>
      <c r="J53" s="46"/>
      <c r="K53" s="49"/>
      <c r="L53" s="49"/>
      <c r="M53" s="49"/>
    </row>
    <row r="54" spans="3:13" ht="17.25" thickTop="1" thickBot="1" x14ac:dyDescent="0.3">
      <c r="C54" s="52" t="s">
        <v>18</v>
      </c>
      <c r="D54" s="94" t="s">
        <v>310</v>
      </c>
      <c r="F54" s="261">
        <f>SUM(F49:G53)</f>
        <v>3.200000000106229E-2</v>
      </c>
      <c r="G54" s="261"/>
      <c r="I54" s="46"/>
      <c r="J54" s="46"/>
      <c r="K54" s="49"/>
      <c r="L54" s="49"/>
      <c r="M54" s="49"/>
    </row>
    <row r="55" spans="3:13" ht="19.5" thickBot="1" x14ac:dyDescent="0.35">
      <c r="E55" s="116" t="s">
        <v>19</v>
      </c>
      <c r="F55" s="262"/>
      <c r="G55" s="262"/>
      <c r="K55"/>
    </row>
  </sheetData>
  <mergeCells count="3">
    <mergeCell ref="B1:C1"/>
    <mergeCell ref="F49:G49"/>
    <mergeCell ref="F54:G55"/>
  </mergeCells>
  <pageMargins left="0.70866141732283472" right="0.70866141732283472" top="0.35433070866141736" bottom="0.15748031496062992" header="0.31496062992125984" footer="0.31496062992125984"/>
  <pageSetup scale="85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0"/>
  <sheetViews>
    <sheetView topLeftCell="A34" workbookViewId="0">
      <selection activeCell="D55" sqref="D55"/>
    </sheetView>
  </sheetViews>
  <sheetFormatPr baseColWidth="10" defaultRowHeight="15" x14ac:dyDescent="0.25"/>
  <cols>
    <col min="1" max="1" width="3.42578125" customWidth="1"/>
    <col min="2" max="2" width="13.42578125" style="96" bestFit="1" customWidth="1"/>
    <col min="3" max="3" width="13.7109375" style="41" customWidth="1"/>
    <col min="4" max="4" width="33.5703125" customWidth="1"/>
    <col min="5" max="5" width="12" bestFit="1" customWidth="1"/>
    <col min="6" max="6" width="14.140625" style="3" bestFit="1" customWidth="1"/>
    <col min="7" max="7" width="15.7109375" customWidth="1"/>
    <col min="11" max="11" width="11.42578125" style="3"/>
  </cols>
  <sheetData>
    <row r="1" spans="2:11" ht="19.5" thickBot="1" x14ac:dyDescent="0.35">
      <c r="B1" s="257">
        <v>42831</v>
      </c>
      <c r="C1" s="257"/>
      <c r="D1" s="133" t="s">
        <v>0</v>
      </c>
      <c r="E1" s="2" t="s">
        <v>1</v>
      </c>
      <c r="K1"/>
    </row>
    <row r="2" spans="2:11" ht="19.5" thickBot="1" x14ac:dyDescent="0.35">
      <c r="B2" s="95" t="s">
        <v>2</v>
      </c>
      <c r="C2" s="5" t="s">
        <v>3</v>
      </c>
      <c r="D2" s="5" t="s">
        <v>4</v>
      </c>
      <c r="E2" s="6" t="s">
        <v>5</v>
      </c>
      <c r="F2" s="7" t="s">
        <v>313</v>
      </c>
      <c r="G2" s="8"/>
      <c r="K2"/>
    </row>
    <row r="3" spans="2:11" ht="15.75" x14ac:dyDescent="0.25">
      <c r="B3" s="83">
        <v>42817</v>
      </c>
      <c r="C3" s="69" t="s">
        <v>314</v>
      </c>
      <c r="D3" s="70" t="s">
        <v>248</v>
      </c>
      <c r="E3" s="76">
        <f>170+6.2</f>
        <v>176.2</v>
      </c>
      <c r="F3" s="71">
        <v>6740</v>
      </c>
      <c r="K3"/>
    </row>
    <row r="4" spans="2:11" ht="15.75" x14ac:dyDescent="0.25">
      <c r="B4" s="118">
        <v>42821</v>
      </c>
      <c r="C4" s="15" t="s">
        <v>315</v>
      </c>
      <c r="D4" s="119" t="s">
        <v>8</v>
      </c>
      <c r="E4" s="120">
        <v>451.4</v>
      </c>
      <c r="F4" s="121">
        <v>14896.2</v>
      </c>
      <c r="K4"/>
    </row>
    <row r="5" spans="2:11" ht="15.75" x14ac:dyDescent="0.25">
      <c r="B5" s="118">
        <v>42821</v>
      </c>
      <c r="C5" s="15" t="s">
        <v>316</v>
      </c>
      <c r="D5" s="119" t="s">
        <v>14</v>
      </c>
      <c r="E5" s="120">
        <v>427.1</v>
      </c>
      <c r="F5" s="121">
        <v>14094.3</v>
      </c>
      <c r="K5"/>
    </row>
    <row r="6" spans="2:11" ht="15.75" x14ac:dyDescent="0.25">
      <c r="B6" s="118">
        <v>42821</v>
      </c>
      <c r="C6" s="15" t="s">
        <v>317</v>
      </c>
      <c r="D6" s="119" t="s">
        <v>0</v>
      </c>
      <c r="E6" s="120">
        <v>23.2</v>
      </c>
      <c r="F6" s="121">
        <v>1716.8</v>
      </c>
      <c r="G6" t="s">
        <v>9</v>
      </c>
      <c r="K6" s="3">
        <f t="shared" ref="K6:K16" si="0">J6*I6</f>
        <v>0</v>
      </c>
    </row>
    <row r="7" spans="2:11" ht="15.75" x14ac:dyDescent="0.25">
      <c r="B7" s="118">
        <v>42821</v>
      </c>
      <c r="C7" s="15" t="s">
        <v>318</v>
      </c>
      <c r="D7" s="119" t="s">
        <v>248</v>
      </c>
      <c r="E7" s="120">
        <f>13.61+178.8</f>
        <v>192.41000000000003</v>
      </c>
      <c r="F7" s="121">
        <v>7321.45</v>
      </c>
      <c r="K7" s="3">
        <f t="shared" si="0"/>
        <v>0</v>
      </c>
    </row>
    <row r="8" spans="2:11" ht="15.75" x14ac:dyDescent="0.25">
      <c r="B8" s="118">
        <v>42821</v>
      </c>
      <c r="C8" s="15" t="s">
        <v>319</v>
      </c>
      <c r="D8" s="119" t="s">
        <v>10</v>
      </c>
      <c r="E8" s="120">
        <v>69</v>
      </c>
      <c r="F8" s="121">
        <v>5313</v>
      </c>
      <c r="K8" s="3">
        <f t="shared" si="0"/>
        <v>0</v>
      </c>
    </row>
    <row r="9" spans="2:11" ht="15.75" x14ac:dyDescent="0.25">
      <c r="B9" s="118">
        <v>42822</v>
      </c>
      <c r="C9" s="15" t="s">
        <v>320</v>
      </c>
      <c r="D9" s="119" t="s">
        <v>13</v>
      </c>
      <c r="E9" s="120">
        <f>58.8+69.4</f>
        <v>128.19999999999999</v>
      </c>
      <c r="F9" s="121">
        <v>2660.4</v>
      </c>
      <c r="K9" s="3">
        <f t="shared" si="0"/>
        <v>0</v>
      </c>
    </row>
    <row r="10" spans="2:11" ht="15.75" x14ac:dyDescent="0.25">
      <c r="B10" s="118">
        <v>42822</v>
      </c>
      <c r="C10" s="15" t="s">
        <v>321</v>
      </c>
      <c r="D10" s="119" t="s">
        <v>12</v>
      </c>
      <c r="E10" s="120">
        <v>77.099999999999994</v>
      </c>
      <c r="F10" s="121">
        <v>3238.2</v>
      </c>
      <c r="K10" s="3">
        <f t="shared" si="0"/>
        <v>0</v>
      </c>
    </row>
    <row r="11" spans="2:11" ht="15.75" x14ac:dyDescent="0.25">
      <c r="B11" s="118">
        <v>42822</v>
      </c>
      <c r="C11" s="15" t="s">
        <v>322</v>
      </c>
      <c r="D11" s="119" t="s">
        <v>14</v>
      </c>
      <c r="E11" s="120">
        <v>455.7</v>
      </c>
      <c r="F11" s="121">
        <v>15038.1</v>
      </c>
      <c r="K11" s="3">
        <f t="shared" si="0"/>
        <v>0</v>
      </c>
    </row>
    <row r="12" spans="2:11" ht="15.75" x14ac:dyDescent="0.25">
      <c r="B12" s="118">
        <v>42822</v>
      </c>
      <c r="C12" s="15" t="s">
        <v>323</v>
      </c>
      <c r="D12" s="119" t="s">
        <v>8</v>
      </c>
      <c r="E12" s="120">
        <v>469.7</v>
      </c>
      <c r="F12" s="121">
        <v>15500.1</v>
      </c>
      <c r="K12" s="3">
        <f t="shared" si="0"/>
        <v>0</v>
      </c>
    </row>
    <row r="13" spans="2:11" ht="15.75" x14ac:dyDescent="0.25">
      <c r="B13" s="118">
        <v>42822</v>
      </c>
      <c r="C13" s="15" t="s">
        <v>324</v>
      </c>
      <c r="D13" s="119" t="s">
        <v>10</v>
      </c>
      <c r="E13" s="120">
        <f>44.6+64.3</f>
        <v>108.9</v>
      </c>
      <c r="F13" s="121">
        <v>3682.9</v>
      </c>
      <c r="K13" s="3">
        <f t="shared" si="0"/>
        <v>0</v>
      </c>
    </row>
    <row r="14" spans="2:11" ht="15.75" x14ac:dyDescent="0.25">
      <c r="B14" s="118">
        <v>42822</v>
      </c>
      <c r="C14" s="15" t="s">
        <v>325</v>
      </c>
      <c r="D14" s="119" t="s">
        <v>8</v>
      </c>
      <c r="E14" s="120">
        <v>98</v>
      </c>
      <c r="F14" s="121">
        <v>4606</v>
      </c>
      <c r="K14" s="3">
        <f t="shared" si="0"/>
        <v>0</v>
      </c>
    </row>
    <row r="15" spans="2:11" ht="15.75" x14ac:dyDescent="0.25">
      <c r="B15" s="118">
        <v>42822</v>
      </c>
      <c r="C15" s="15" t="s">
        <v>326</v>
      </c>
      <c r="D15" s="119" t="s">
        <v>91</v>
      </c>
      <c r="E15" s="120">
        <f>2+64.3+13.61</f>
        <v>79.91</v>
      </c>
      <c r="F15" s="121">
        <v>3281.28</v>
      </c>
      <c r="K15" s="3">
        <f t="shared" si="0"/>
        <v>0</v>
      </c>
    </row>
    <row r="16" spans="2:11" ht="15.75" x14ac:dyDescent="0.25">
      <c r="B16" s="118">
        <v>42823</v>
      </c>
      <c r="C16" s="15" t="s">
        <v>327</v>
      </c>
      <c r="D16" s="119" t="s">
        <v>8</v>
      </c>
      <c r="E16" s="120">
        <v>272.10000000000002</v>
      </c>
      <c r="F16" s="121">
        <v>8979.2999999999993</v>
      </c>
      <c r="K16" s="3">
        <f t="shared" si="0"/>
        <v>0</v>
      </c>
    </row>
    <row r="17" spans="2:11" ht="15.75" x14ac:dyDescent="0.25">
      <c r="B17" s="118">
        <v>42823</v>
      </c>
      <c r="C17" s="15" t="s">
        <v>328</v>
      </c>
      <c r="D17" s="119" t="s">
        <v>14</v>
      </c>
      <c r="E17" s="120">
        <v>395.9</v>
      </c>
      <c r="F17" s="121">
        <v>13064.7</v>
      </c>
      <c r="I17" s="3">
        <f t="shared" ref="I17" si="1">SUM(I6:I16)</f>
        <v>0</v>
      </c>
      <c r="J17" s="3"/>
      <c r="K17" s="3">
        <f>SUM(K6:K16)</f>
        <v>0</v>
      </c>
    </row>
    <row r="18" spans="2:11" ht="15.75" x14ac:dyDescent="0.25">
      <c r="B18" s="118">
        <v>42823</v>
      </c>
      <c r="C18" s="15" t="s">
        <v>329</v>
      </c>
      <c r="D18" s="119" t="s">
        <v>8</v>
      </c>
      <c r="E18" s="120">
        <f>435.6+20</f>
        <v>455.6</v>
      </c>
      <c r="F18" s="121">
        <v>14894.8</v>
      </c>
      <c r="I18" s="3"/>
      <c r="J18" s="3"/>
    </row>
    <row r="19" spans="2:11" ht="15.75" x14ac:dyDescent="0.25">
      <c r="B19" s="118">
        <v>42823</v>
      </c>
      <c r="C19" s="15" t="s">
        <v>330</v>
      </c>
      <c r="D19" s="119" t="s">
        <v>91</v>
      </c>
      <c r="E19" s="120">
        <f>456.6+42+34+14.4</f>
        <v>547</v>
      </c>
      <c r="F19" s="121">
        <v>17598.3</v>
      </c>
      <c r="I19" s="3"/>
      <c r="J19" s="3"/>
    </row>
    <row r="20" spans="2:11" ht="15.75" x14ac:dyDescent="0.25">
      <c r="B20" s="118">
        <v>42823</v>
      </c>
      <c r="C20" s="15" t="s">
        <v>331</v>
      </c>
      <c r="D20" s="119" t="s">
        <v>10</v>
      </c>
      <c r="E20" s="120">
        <v>89.7</v>
      </c>
      <c r="F20" s="121">
        <v>2960.1</v>
      </c>
      <c r="I20" s="3"/>
      <c r="J20" s="3"/>
    </row>
    <row r="21" spans="2:11" ht="15.75" x14ac:dyDescent="0.25">
      <c r="B21" s="118">
        <v>42823</v>
      </c>
      <c r="C21" s="15" t="s">
        <v>332</v>
      </c>
      <c r="D21" s="119" t="s">
        <v>6</v>
      </c>
      <c r="E21" s="120">
        <f>13.6+95.6+124.2</f>
        <v>233.39999999999998</v>
      </c>
      <c r="F21" s="121">
        <v>12127.6</v>
      </c>
      <c r="I21" s="3"/>
      <c r="J21" s="3"/>
    </row>
    <row r="22" spans="2:11" ht="15.75" x14ac:dyDescent="0.25">
      <c r="B22" s="118">
        <v>42824</v>
      </c>
      <c r="C22" s="15" t="s">
        <v>333</v>
      </c>
      <c r="D22" s="119" t="s">
        <v>10</v>
      </c>
      <c r="E22" s="120">
        <v>102.8</v>
      </c>
      <c r="F22" s="121">
        <v>3392.4</v>
      </c>
      <c r="I22" s="3"/>
      <c r="J22" s="3"/>
    </row>
    <row r="23" spans="2:11" ht="15.75" x14ac:dyDescent="0.25">
      <c r="B23" s="118">
        <v>42824</v>
      </c>
      <c r="C23" s="15" t="s">
        <v>334</v>
      </c>
      <c r="D23" s="119" t="s">
        <v>8</v>
      </c>
      <c r="E23" s="120">
        <f>98+409.3</f>
        <v>507.3</v>
      </c>
      <c r="F23" s="121">
        <v>15270.9</v>
      </c>
      <c r="I23" s="3"/>
      <c r="J23" s="3"/>
    </row>
    <row r="24" spans="2:11" ht="15.75" x14ac:dyDescent="0.25">
      <c r="B24" s="118">
        <v>42824</v>
      </c>
      <c r="C24" s="15" t="s">
        <v>335</v>
      </c>
      <c r="D24" s="119" t="s">
        <v>91</v>
      </c>
      <c r="E24" s="120">
        <v>49.6</v>
      </c>
      <c r="F24" s="121">
        <v>892.8</v>
      </c>
      <c r="I24" s="3"/>
      <c r="J24" s="3"/>
    </row>
    <row r="25" spans="2:11" ht="15.75" x14ac:dyDescent="0.25">
      <c r="B25" s="118">
        <v>42824</v>
      </c>
      <c r="C25" s="15" t="s">
        <v>336</v>
      </c>
      <c r="D25" s="119" t="s">
        <v>337</v>
      </c>
      <c r="E25" s="120">
        <v>387.9</v>
      </c>
      <c r="F25" s="121">
        <v>13188.6</v>
      </c>
      <c r="I25" s="3"/>
      <c r="J25" s="3"/>
    </row>
    <row r="26" spans="2:11" ht="15.75" x14ac:dyDescent="0.25">
      <c r="B26" s="118">
        <v>42825</v>
      </c>
      <c r="C26" s="15" t="s">
        <v>338</v>
      </c>
      <c r="D26" s="119" t="s">
        <v>248</v>
      </c>
      <c r="E26" s="120">
        <v>27.2</v>
      </c>
      <c r="F26" s="121">
        <v>1768</v>
      </c>
      <c r="I26" s="3"/>
      <c r="J26" s="3"/>
    </row>
    <row r="27" spans="2:11" ht="15.75" x14ac:dyDescent="0.25">
      <c r="B27" s="118">
        <v>42825</v>
      </c>
      <c r="C27" s="15" t="s">
        <v>339</v>
      </c>
      <c r="D27" s="119" t="s">
        <v>337</v>
      </c>
      <c r="E27" s="120">
        <f>430.7+2</f>
        <v>432.7</v>
      </c>
      <c r="F27" s="121">
        <v>14583.1</v>
      </c>
      <c r="I27" s="3"/>
      <c r="J27" s="3"/>
    </row>
    <row r="28" spans="2:11" ht="15.75" x14ac:dyDescent="0.25">
      <c r="B28" s="118">
        <v>42825</v>
      </c>
      <c r="C28" s="15" t="s">
        <v>340</v>
      </c>
      <c r="D28" s="119" t="s">
        <v>13</v>
      </c>
      <c r="E28" s="120">
        <v>484.7</v>
      </c>
      <c r="F28" s="121">
        <v>15995.1</v>
      </c>
      <c r="I28" s="3"/>
      <c r="J28" s="3"/>
    </row>
    <row r="29" spans="2:11" ht="15.75" x14ac:dyDescent="0.25">
      <c r="B29" s="118">
        <v>42825</v>
      </c>
      <c r="C29" s="15" t="s">
        <v>341</v>
      </c>
      <c r="D29" s="119" t="s">
        <v>8</v>
      </c>
      <c r="E29" s="120">
        <v>429.2</v>
      </c>
      <c r="F29" s="121">
        <v>14163.6</v>
      </c>
      <c r="I29" s="3"/>
      <c r="J29" s="3"/>
    </row>
    <row r="30" spans="2:11" ht="15.75" x14ac:dyDescent="0.25">
      <c r="B30" s="118">
        <v>42825</v>
      </c>
      <c r="C30" s="15" t="s">
        <v>342</v>
      </c>
      <c r="D30" s="119" t="s">
        <v>11</v>
      </c>
      <c r="E30" s="120">
        <v>425.1</v>
      </c>
      <c r="F30" s="121">
        <v>14028.3</v>
      </c>
      <c r="I30" s="3"/>
      <c r="J30" s="3"/>
    </row>
    <row r="31" spans="2:11" ht="15.75" x14ac:dyDescent="0.25">
      <c r="B31" s="118">
        <v>42825</v>
      </c>
      <c r="C31" s="15" t="s">
        <v>343</v>
      </c>
      <c r="D31" s="119" t="s">
        <v>91</v>
      </c>
      <c r="E31" s="120">
        <f>475.6+50.4+44.3+86.3</f>
        <v>656.59999999999991</v>
      </c>
      <c r="F31" s="121">
        <v>21097.599999999999</v>
      </c>
      <c r="I31" s="3"/>
      <c r="J31" s="3"/>
    </row>
    <row r="32" spans="2:11" ht="15.75" x14ac:dyDescent="0.25">
      <c r="B32" s="118">
        <v>42825</v>
      </c>
      <c r="C32" s="15" t="s">
        <v>344</v>
      </c>
      <c r="D32" s="119" t="s">
        <v>10</v>
      </c>
      <c r="E32" s="120">
        <f>2.4+13.6+1+87.9</f>
        <v>104.9</v>
      </c>
      <c r="F32" s="121">
        <v>4632.3</v>
      </c>
      <c r="I32" s="3"/>
      <c r="J32" s="3"/>
    </row>
    <row r="33" spans="2:13" ht="15.75" x14ac:dyDescent="0.25">
      <c r="B33" s="118">
        <v>42825</v>
      </c>
      <c r="C33" s="15" t="s">
        <v>345</v>
      </c>
      <c r="D33" s="119" t="s">
        <v>8</v>
      </c>
      <c r="E33" s="120">
        <v>115.3</v>
      </c>
      <c r="F33" s="121">
        <v>3920.2</v>
      </c>
      <c r="I33" s="3"/>
      <c r="J33" s="3"/>
    </row>
    <row r="34" spans="2:13" ht="15.75" x14ac:dyDescent="0.25">
      <c r="B34" s="118">
        <v>42825</v>
      </c>
      <c r="C34" s="15" t="s">
        <v>346</v>
      </c>
      <c r="D34" s="119" t="s">
        <v>337</v>
      </c>
      <c r="E34" s="120">
        <v>458.3</v>
      </c>
      <c r="F34" s="121">
        <v>15123.9</v>
      </c>
      <c r="I34" s="3"/>
      <c r="J34" s="3"/>
    </row>
    <row r="35" spans="2:13" ht="15.75" x14ac:dyDescent="0.25">
      <c r="B35" s="118">
        <v>42825</v>
      </c>
      <c r="C35" s="15" t="s">
        <v>347</v>
      </c>
      <c r="D35" s="119" t="s">
        <v>8</v>
      </c>
      <c r="E35" s="120">
        <f>42.2+129.8+439</f>
        <v>611</v>
      </c>
      <c r="F35" s="121">
        <v>17878.400000000001</v>
      </c>
      <c r="I35" s="3"/>
      <c r="J35" s="3"/>
    </row>
    <row r="36" spans="2:13" ht="15.75" x14ac:dyDescent="0.25">
      <c r="B36" s="118">
        <v>42826</v>
      </c>
      <c r="C36" s="15" t="s">
        <v>348</v>
      </c>
      <c r="D36" s="119" t="s">
        <v>13</v>
      </c>
      <c r="E36" s="120">
        <f>61+46.6+94.9</f>
        <v>202.5</v>
      </c>
      <c r="F36" s="121">
        <v>5348.1</v>
      </c>
      <c r="I36" s="3"/>
      <c r="J36" s="3"/>
    </row>
    <row r="37" spans="2:13" ht="15.75" x14ac:dyDescent="0.25">
      <c r="B37" s="118">
        <v>42826</v>
      </c>
      <c r="C37" s="15" t="s">
        <v>349</v>
      </c>
      <c r="D37" s="119" t="s">
        <v>14</v>
      </c>
      <c r="E37" s="120">
        <v>437.8</v>
      </c>
      <c r="F37" s="121">
        <v>14447.4</v>
      </c>
      <c r="I37" s="3"/>
      <c r="J37" s="3"/>
    </row>
    <row r="38" spans="2:13" ht="15.75" x14ac:dyDescent="0.25">
      <c r="B38" s="118">
        <v>42826</v>
      </c>
      <c r="C38" s="15" t="s">
        <v>350</v>
      </c>
      <c r="D38" s="119" t="s">
        <v>91</v>
      </c>
      <c r="E38" s="120">
        <f>40+29.2</f>
        <v>69.2</v>
      </c>
      <c r="F38" s="121">
        <v>1485.6</v>
      </c>
      <c r="I38" s="3"/>
      <c r="J38" s="3"/>
      <c r="K38" s="3">
        <f t="shared" ref="K38:K39" si="2">J38*I38</f>
        <v>0</v>
      </c>
    </row>
    <row r="39" spans="2:13" ht="16.5" thickBot="1" x14ac:dyDescent="0.3">
      <c r="B39" s="118"/>
      <c r="C39" s="15"/>
      <c r="D39" s="119"/>
      <c r="E39" s="120"/>
      <c r="F39" s="121"/>
      <c r="I39" s="3"/>
      <c r="J39" s="3"/>
      <c r="K39" s="3">
        <f t="shared" si="2"/>
        <v>0</v>
      </c>
    </row>
    <row r="40" spans="2:13" ht="15.75" thickBot="1" x14ac:dyDescent="0.3">
      <c r="B40" s="29" t="s">
        <v>9</v>
      </c>
      <c r="C40" s="66"/>
      <c r="D40" s="31"/>
      <c r="E40" s="32">
        <v>0</v>
      </c>
      <c r="F40" s="33">
        <f>SUM(F3:F39)</f>
        <v>344929.83</v>
      </c>
      <c r="K40" s="3">
        <f>J40*I40</f>
        <v>0</v>
      </c>
    </row>
    <row r="41" spans="2:13" ht="19.5" thickBot="1" x14ac:dyDescent="0.35">
      <c r="B41" s="34"/>
      <c r="C41" s="67"/>
      <c r="D41" s="36" t="s">
        <v>5</v>
      </c>
      <c r="E41" s="37">
        <f>SUM(E3:E40)</f>
        <v>10252.619999999997</v>
      </c>
      <c r="I41" s="38"/>
      <c r="J41" s="38"/>
      <c r="K41" s="3">
        <f t="shared" ref="K41" si="3">J41*I41</f>
        <v>0</v>
      </c>
    </row>
    <row r="42" spans="2:13" x14ac:dyDescent="0.25">
      <c r="B42" s="34"/>
      <c r="C42" s="67"/>
      <c r="D42" s="26"/>
      <c r="E42" s="39"/>
      <c r="I42" s="38">
        <f>SUM(I40:I41)</f>
        <v>0</v>
      </c>
      <c r="J42" s="38"/>
      <c r="K42" s="134">
        <f>SUM(K38:K41)</f>
        <v>0</v>
      </c>
    </row>
    <row r="43" spans="2:13" ht="21.75" thickBot="1" x14ac:dyDescent="0.4">
      <c r="B43" s="40"/>
      <c r="C43" s="41" t="s">
        <v>15</v>
      </c>
      <c r="D43" s="42">
        <f>E41*0.2</f>
        <v>2050.5239999999994</v>
      </c>
      <c r="F43"/>
      <c r="K43"/>
    </row>
    <row r="44" spans="2:13" ht="21.75" thickBot="1" x14ac:dyDescent="0.4">
      <c r="C44" s="41" t="s">
        <v>16</v>
      </c>
      <c r="D44" s="44">
        <v>3400</v>
      </c>
      <c r="E44" s="45"/>
      <c r="F44" s="258">
        <f>D43+D44</f>
        <v>5450.5239999999994</v>
      </c>
      <c r="G44" s="259"/>
      <c r="I44" s="46"/>
      <c r="J44" s="46"/>
      <c r="K44" s="46"/>
      <c r="L44" s="46"/>
      <c r="M44" s="46"/>
    </row>
    <row r="45" spans="2:13" ht="17.25" thickTop="1" thickBot="1" x14ac:dyDescent="0.3">
      <c r="E45" s="47" t="s">
        <v>258</v>
      </c>
      <c r="G45" s="48">
        <v>-3400</v>
      </c>
      <c r="I45" s="46"/>
      <c r="J45" s="46"/>
      <c r="K45" s="49"/>
      <c r="L45" s="49"/>
      <c r="M45" s="49"/>
    </row>
    <row r="46" spans="2:13" ht="16.5" thickBot="1" x14ac:dyDescent="0.3">
      <c r="C46" s="50" t="s">
        <v>94</v>
      </c>
      <c r="D46" s="131" t="s">
        <v>351</v>
      </c>
      <c r="E46" s="47" t="s">
        <v>258</v>
      </c>
      <c r="F46" s="125"/>
      <c r="G46" s="135">
        <v>-1600</v>
      </c>
      <c r="I46" s="46"/>
      <c r="J46" s="46"/>
      <c r="K46" s="49"/>
      <c r="L46" s="49"/>
      <c r="M46" s="49"/>
    </row>
    <row r="47" spans="2:13" ht="16.5" thickTop="1" x14ac:dyDescent="0.25">
      <c r="C47" s="122"/>
      <c r="D47" s="132" t="s">
        <v>352</v>
      </c>
      <c r="E47" s="47" t="s">
        <v>307</v>
      </c>
      <c r="F47" s="124"/>
      <c r="G47" s="136">
        <v>-450</v>
      </c>
      <c r="I47" s="46"/>
      <c r="J47" s="46"/>
      <c r="K47" s="49"/>
      <c r="L47" s="49"/>
      <c r="M47" s="49"/>
    </row>
    <row r="48" spans="2:13" ht="16.5" thickBot="1" x14ac:dyDescent="0.3">
      <c r="C48" s="122"/>
      <c r="D48" s="132" t="s">
        <v>354</v>
      </c>
      <c r="E48" s="47" t="s">
        <v>258</v>
      </c>
      <c r="F48" s="124"/>
      <c r="G48" s="124">
        <v>0</v>
      </c>
      <c r="I48" s="46"/>
      <c r="J48" s="46"/>
      <c r="K48" s="49"/>
      <c r="L48" s="49"/>
      <c r="M48" s="49"/>
    </row>
    <row r="49" spans="3:13" ht="17.25" thickTop="1" thickBot="1" x14ac:dyDescent="0.3">
      <c r="C49" s="52" t="s">
        <v>18</v>
      </c>
      <c r="D49" s="94"/>
      <c r="F49" s="261">
        <f>SUM(F44:G48)</f>
        <v>0.52399999999943248</v>
      </c>
      <c r="G49" s="261"/>
      <c r="I49" s="46"/>
      <c r="J49" s="46"/>
      <c r="K49" s="49"/>
      <c r="L49" s="49"/>
      <c r="M49" s="49"/>
    </row>
    <row r="50" spans="3:13" ht="19.5" thickBot="1" x14ac:dyDescent="0.35">
      <c r="E50" s="133" t="s">
        <v>19</v>
      </c>
      <c r="F50" s="262"/>
      <c r="G50" s="262"/>
      <c r="K50"/>
    </row>
  </sheetData>
  <mergeCells count="3">
    <mergeCell ref="B1:C1"/>
    <mergeCell ref="F44:G44"/>
    <mergeCell ref="F49:G50"/>
  </mergeCells>
  <pageMargins left="0.70866141732283472" right="0.11811023622047245" top="0.35433070866141736" bottom="0.15748031496062992" header="0.31496062992125984" footer="0.31496062992125984"/>
  <pageSetup scale="90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4"/>
  <sheetViews>
    <sheetView topLeftCell="A31" workbookViewId="0">
      <selection activeCell="C41" sqref="C41"/>
    </sheetView>
  </sheetViews>
  <sheetFormatPr baseColWidth="10" defaultRowHeight="15" x14ac:dyDescent="0.25"/>
  <cols>
    <col min="1" max="1" width="3.42578125" customWidth="1"/>
    <col min="2" max="2" width="13.42578125" style="96" bestFit="1" customWidth="1"/>
    <col min="3" max="3" width="13.7109375" style="41" customWidth="1"/>
    <col min="4" max="4" width="33.5703125" customWidth="1"/>
    <col min="5" max="5" width="12" bestFit="1" customWidth="1"/>
    <col min="6" max="6" width="14.140625" style="3" bestFit="1" customWidth="1"/>
    <col min="7" max="7" width="15.7109375" customWidth="1"/>
    <col min="11" max="11" width="11.42578125" style="3"/>
  </cols>
  <sheetData>
    <row r="1" spans="2:11" ht="19.5" thickBot="1" x14ac:dyDescent="0.35">
      <c r="B1" s="257">
        <v>42837</v>
      </c>
      <c r="C1" s="257"/>
      <c r="D1" s="137" t="s">
        <v>0</v>
      </c>
      <c r="E1" s="2" t="s">
        <v>1</v>
      </c>
      <c r="K1"/>
    </row>
    <row r="2" spans="2:11" ht="19.5" thickBot="1" x14ac:dyDescent="0.35">
      <c r="B2" s="95" t="s">
        <v>2</v>
      </c>
      <c r="C2" s="5" t="s">
        <v>3</v>
      </c>
      <c r="D2" s="5" t="s">
        <v>4</v>
      </c>
      <c r="E2" s="6" t="s">
        <v>5</v>
      </c>
      <c r="F2" s="7" t="s">
        <v>353</v>
      </c>
      <c r="G2" s="8"/>
      <c r="K2"/>
    </row>
    <row r="3" spans="2:11" ht="15.75" x14ac:dyDescent="0.25">
      <c r="B3" s="83"/>
      <c r="C3" s="69"/>
      <c r="D3" s="70"/>
      <c r="E3" s="76"/>
      <c r="F3" s="71"/>
      <c r="K3"/>
    </row>
    <row r="4" spans="2:11" ht="15.75" x14ac:dyDescent="0.25">
      <c r="B4" s="118">
        <v>42823</v>
      </c>
      <c r="C4" s="15" t="s">
        <v>355</v>
      </c>
      <c r="D4" s="119" t="s">
        <v>0</v>
      </c>
      <c r="E4" s="120">
        <f>10+9.7+100.6</f>
        <v>120.3</v>
      </c>
      <c r="F4" s="121">
        <v>4503.3</v>
      </c>
      <c r="K4"/>
    </row>
    <row r="5" spans="2:11" ht="15.75" x14ac:dyDescent="0.25">
      <c r="B5" s="118">
        <v>42825</v>
      </c>
      <c r="C5" s="15" t="s">
        <v>356</v>
      </c>
      <c r="D5" s="119" t="s">
        <v>12</v>
      </c>
      <c r="E5" s="120">
        <f>19.5+13.6+1+298.5</f>
        <v>332.6</v>
      </c>
      <c r="F5" s="121">
        <v>11896.8</v>
      </c>
      <c r="K5"/>
    </row>
    <row r="6" spans="2:11" ht="15.75" x14ac:dyDescent="0.25">
      <c r="B6" s="118">
        <v>42826</v>
      </c>
      <c r="C6" s="15" t="s">
        <v>357</v>
      </c>
      <c r="D6" s="119" t="s">
        <v>6</v>
      </c>
      <c r="E6" s="120">
        <f>25.6+343.4</f>
        <v>369</v>
      </c>
      <c r="F6" s="121">
        <v>13570</v>
      </c>
      <c r="G6" t="s">
        <v>9</v>
      </c>
      <c r="K6" s="3">
        <f t="shared" ref="K6:K16" si="0">J6*I6</f>
        <v>0</v>
      </c>
    </row>
    <row r="7" spans="2:11" ht="15.75" x14ac:dyDescent="0.25">
      <c r="B7" s="118">
        <v>42828</v>
      </c>
      <c r="C7" s="15" t="s">
        <v>358</v>
      </c>
      <c r="D7" s="119" t="s">
        <v>7</v>
      </c>
      <c r="E7" s="120">
        <v>436.1</v>
      </c>
      <c r="F7" s="121">
        <v>14827.4</v>
      </c>
      <c r="K7" s="3">
        <f t="shared" si="0"/>
        <v>0</v>
      </c>
    </row>
    <row r="8" spans="2:11" ht="15.75" x14ac:dyDescent="0.25">
      <c r="B8" s="118">
        <v>42828</v>
      </c>
      <c r="C8" s="15" t="s">
        <v>359</v>
      </c>
      <c r="D8" s="119" t="s">
        <v>8</v>
      </c>
      <c r="E8" s="120">
        <f>433.9+94.4</f>
        <v>528.29999999999995</v>
      </c>
      <c r="F8" s="121">
        <v>16017.9</v>
      </c>
      <c r="K8" s="3">
        <f t="shared" si="0"/>
        <v>0</v>
      </c>
    </row>
    <row r="9" spans="2:11" ht="15.75" x14ac:dyDescent="0.25">
      <c r="B9" s="118">
        <v>42828</v>
      </c>
      <c r="C9" s="15" t="s">
        <v>360</v>
      </c>
      <c r="D9" s="119" t="s">
        <v>10</v>
      </c>
      <c r="E9" s="120">
        <v>93.5</v>
      </c>
      <c r="F9" s="121">
        <v>3085.5</v>
      </c>
      <c r="K9" s="3">
        <f t="shared" si="0"/>
        <v>0</v>
      </c>
    </row>
    <row r="10" spans="2:11" ht="15.75" x14ac:dyDescent="0.25">
      <c r="B10" s="118">
        <v>42828</v>
      </c>
      <c r="C10" s="15" t="s">
        <v>361</v>
      </c>
      <c r="D10" s="119" t="s">
        <v>13</v>
      </c>
      <c r="E10" s="120">
        <v>97</v>
      </c>
      <c r="F10" s="121">
        <v>3201</v>
      </c>
      <c r="K10" s="3">
        <f t="shared" si="0"/>
        <v>0</v>
      </c>
    </row>
    <row r="11" spans="2:11" ht="15.75" x14ac:dyDescent="0.25">
      <c r="B11" s="118">
        <v>42828</v>
      </c>
      <c r="C11" s="15" t="s">
        <v>362</v>
      </c>
      <c r="D11" s="119" t="s">
        <v>12</v>
      </c>
      <c r="E11" s="120">
        <v>108.6</v>
      </c>
      <c r="F11" s="121">
        <v>3583.8</v>
      </c>
      <c r="K11" s="3">
        <f t="shared" si="0"/>
        <v>0</v>
      </c>
    </row>
    <row r="12" spans="2:11" ht="15.75" x14ac:dyDescent="0.25">
      <c r="B12" s="118">
        <v>42828</v>
      </c>
      <c r="C12" s="15" t="s">
        <v>363</v>
      </c>
      <c r="D12" s="119" t="s">
        <v>24</v>
      </c>
      <c r="E12" s="120">
        <f>479.8+25.7+32.9</f>
        <v>538.4</v>
      </c>
      <c r="F12" s="121">
        <v>17272.7</v>
      </c>
      <c r="K12" s="3">
        <f t="shared" si="0"/>
        <v>0</v>
      </c>
    </row>
    <row r="13" spans="2:11" ht="15.75" x14ac:dyDescent="0.25">
      <c r="B13" s="118">
        <v>42829</v>
      </c>
      <c r="C13" s="15" t="s">
        <v>364</v>
      </c>
      <c r="D13" s="119" t="s">
        <v>13</v>
      </c>
      <c r="E13" s="120">
        <v>1</v>
      </c>
      <c r="F13" s="121">
        <v>770</v>
      </c>
      <c r="K13" s="3">
        <f t="shared" si="0"/>
        <v>0</v>
      </c>
    </row>
    <row r="14" spans="2:11" ht="15.75" x14ac:dyDescent="0.25">
      <c r="B14" s="118">
        <v>42829</v>
      </c>
      <c r="C14" s="15" t="s">
        <v>365</v>
      </c>
      <c r="D14" s="119" t="s">
        <v>8</v>
      </c>
      <c r="E14" s="120">
        <v>410.7</v>
      </c>
      <c r="F14" s="121">
        <v>13553.1</v>
      </c>
      <c r="K14" s="3">
        <f t="shared" si="0"/>
        <v>0</v>
      </c>
    </row>
    <row r="15" spans="2:11" ht="15.75" x14ac:dyDescent="0.25">
      <c r="B15" s="118">
        <v>42829</v>
      </c>
      <c r="C15" s="15" t="s">
        <v>366</v>
      </c>
      <c r="D15" s="119" t="s">
        <v>14</v>
      </c>
      <c r="E15" s="120">
        <v>411.8</v>
      </c>
      <c r="F15" s="121">
        <v>13589.4</v>
      </c>
      <c r="K15" s="3">
        <f t="shared" si="0"/>
        <v>0</v>
      </c>
    </row>
    <row r="16" spans="2:11" ht="15.75" x14ac:dyDescent="0.25">
      <c r="B16" s="118">
        <v>42829</v>
      </c>
      <c r="C16" s="15" t="s">
        <v>367</v>
      </c>
      <c r="D16" s="119" t="s">
        <v>12</v>
      </c>
      <c r="E16" s="120">
        <v>90.5</v>
      </c>
      <c r="F16" s="121">
        <v>2986.5</v>
      </c>
      <c r="K16" s="3">
        <f t="shared" si="0"/>
        <v>0</v>
      </c>
    </row>
    <row r="17" spans="2:11" ht="15.75" x14ac:dyDescent="0.25">
      <c r="B17" s="118">
        <v>42829</v>
      </c>
      <c r="C17" s="15" t="s">
        <v>370</v>
      </c>
      <c r="D17" s="119" t="s">
        <v>0</v>
      </c>
      <c r="E17" s="120">
        <v>93.7</v>
      </c>
      <c r="F17" s="121">
        <v>3092.1</v>
      </c>
    </row>
    <row r="18" spans="2:11" ht="15.75" x14ac:dyDescent="0.25">
      <c r="B18" s="118">
        <v>42829</v>
      </c>
      <c r="C18" s="15" t="s">
        <v>371</v>
      </c>
      <c r="D18" s="119" t="s">
        <v>24</v>
      </c>
      <c r="E18" s="120">
        <f>39+38.8</f>
        <v>77.8</v>
      </c>
      <c r="F18" s="121">
        <v>1906</v>
      </c>
    </row>
    <row r="19" spans="2:11" ht="15.75" x14ac:dyDescent="0.25">
      <c r="B19" s="118">
        <v>42829</v>
      </c>
      <c r="C19" s="15" t="s">
        <v>372</v>
      </c>
      <c r="D19" s="119" t="s">
        <v>248</v>
      </c>
      <c r="E19" s="120">
        <v>2</v>
      </c>
      <c r="F19" s="121">
        <v>370</v>
      </c>
    </row>
    <row r="20" spans="2:11" ht="15.75" x14ac:dyDescent="0.25">
      <c r="B20" s="118">
        <v>42830</v>
      </c>
      <c r="C20" s="15" t="s">
        <v>373</v>
      </c>
      <c r="D20" s="119" t="s">
        <v>248</v>
      </c>
      <c r="E20" s="120">
        <v>2</v>
      </c>
      <c r="F20" s="121">
        <v>370</v>
      </c>
    </row>
    <row r="21" spans="2:11" ht="15.75" x14ac:dyDescent="0.25">
      <c r="B21" s="118">
        <v>42830</v>
      </c>
      <c r="C21" s="15" t="s">
        <v>374</v>
      </c>
      <c r="D21" s="119" t="s">
        <v>8</v>
      </c>
      <c r="E21" s="120">
        <v>446.4</v>
      </c>
      <c r="F21" s="121">
        <v>14731.2</v>
      </c>
    </row>
    <row r="22" spans="2:11" ht="15.75" x14ac:dyDescent="0.25">
      <c r="B22" s="118">
        <v>42830</v>
      </c>
      <c r="C22" s="15" t="s">
        <v>368</v>
      </c>
      <c r="D22" s="119" t="s">
        <v>14</v>
      </c>
      <c r="E22" s="120">
        <f>457.6</f>
        <v>457.6</v>
      </c>
      <c r="F22" s="121">
        <v>15100.8</v>
      </c>
      <c r="I22" s="3"/>
      <c r="J22" s="3"/>
      <c r="K22" s="3">
        <f>SUM(K6:K16)</f>
        <v>0</v>
      </c>
    </row>
    <row r="23" spans="2:11" ht="15.75" x14ac:dyDescent="0.25">
      <c r="B23" s="118">
        <v>42830</v>
      </c>
      <c r="C23" s="15" t="s">
        <v>375</v>
      </c>
      <c r="D23" s="119" t="s">
        <v>13</v>
      </c>
      <c r="E23" s="120">
        <v>103.3</v>
      </c>
      <c r="F23" s="121">
        <v>3408.9</v>
      </c>
      <c r="I23" s="3"/>
      <c r="J23" s="3"/>
    </row>
    <row r="24" spans="2:11" ht="15.75" x14ac:dyDescent="0.25">
      <c r="B24" s="118">
        <v>42830</v>
      </c>
      <c r="C24" s="15" t="s">
        <v>376</v>
      </c>
      <c r="D24" s="119" t="s">
        <v>24</v>
      </c>
      <c r="E24" s="120">
        <v>92.7</v>
      </c>
      <c r="F24" s="121">
        <v>3059.1</v>
      </c>
      <c r="I24" s="3"/>
      <c r="J24" s="3"/>
    </row>
    <row r="25" spans="2:11" ht="15.75" x14ac:dyDescent="0.25">
      <c r="B25" s="118">
        <v>42830</v>
      </c>
      <c r="C25" s="15" t="s">
        <v>377</v>
      </c>
      <c r="D25" s="119" t="s">
        <v>10</v>
      </c>
      <c r="E25" s="120">
        <f>43.9+105.2</f>
        <v>149.1</v>
      </c>
      <c r="F25" s="121">
        <v>4920.3</v>
      </c>
      <c r="I25" s="3"/>
      <c r="J25" s="3"/>
    </row>
    <row r="26" spans="2:11" ht="15.75" x14ac:dyDescent="0.25">
      <c r="B26" s="118">
        <v>42830</v>
      </c>
      <c r="C26" s="15" t="s">
        <v>378</v>
      </c>
      <c r="D26" s="119" t="s">
        <v>7</v>
      </c>
      <c r="E26" s="120">
        <f>26.9+22.3</f>
        <v>49.2</v>
      </c>
      <c r="F26" s="121">
        <v>2054</v>
      </c>
      <c r="I26" s="3"/>
      <c r="J26" s="3"/>
    </row>
    <row r="27" spans="2:11" ht="15.75" x14ac:dyDescent="0.25">
      <c r="B27" s="118">
        <v>42830</v>
      </c>
      <c r="C27" s="15" t="s">
        <v>369</v>
      </c>
      <c r="D27" s="119" t="s">
        <v>24</v>
      </c>
      <c r="E27" s="120">
        <f>476+38.3+45.9+21.3</f>
        <v>581.49999999999989</v>
      </c>
      <c r="F27" s="121">
        <v>17941.400000000001</v>
      </c>
      <c r="I27" s="3"/>
      <c r="J27" s="3"/>
    </row>
    <row r="28" spans="2:11" ht="15.75" x14ac:dyDescent="0.25">
      <c r="B28" s="118">
        <v>42830</v>
      </c>
      <c r="C28" s="15" t="s">
        <v>379</v>
      </c>
      <c r="D28" s="119" t="s">
        <v>8</v>
      </c>
      <c r="E28" s="120">
        <v>304.39999999999998</v>
      </c>
      <c r="F28" s="121">
        <v>10045.200000000001</v>
      </c>
      <c r="I28" s="3"/>
      <c r="J28" s="3"/>
    </row>
    <row r="29" spans="2:11" ht="15.75" x14ac:dyDescent="0.25">
      <c r="B29" s="118">
        <v>42831</v>
      </c>
      <c r="C29" s="15" t="s">
        <v>380</v>
      </c>
      <c r="D29" s="119" t="s">
        <v>14</v>
      </c>
      <c r="E29" s="120">
        <v>304.39999999999998</v>
      </c>
      <c r="F29" s="121">
        <v>10349.6</v>
      </c>
      <c r="I29" s="3"/>
      <c r="J29" s="3"/>
    </row>
    <row r="30" spans="2:11" ht="15.75" x14ac:dyDescent="0.25">
      <c r="B30" s="118">
        <v>42831</v>
      </c>
      <c r="C30" s="15" t="s">
        <v>381</v>
      </c>
      <c r="D30" s="119" t="s">
        <v>7</v>
      </c>
      <c r="E30" s="120">
        <v>310.39999999999998</v>
      </c>
      <c r="F30" s="121">
        <v>10553.6</v>
      </c>
      <c r="I30" s="3"/>
      <c r="J30" s="3"/>
    </row>
    <row r="31" spans="2:11" ht="15.75" x14ac:dyDescent="0.25">
      <c r="B31" s="118">
        <v>42831</v>
      </c>
      <c r="C31" s="15" t="s">
        <v>382</v>
      </c>
      <c r="D31" s="119" t="s">
        <v>0</v>
      </c>
      <c r="E31" s="120">
        <v>5.5</v>
      </c>
      <c r="F31" s="121">
        <v>539</v>
      </c>
      <c r="I31" s="3"/>
      <c r="J31" s="3"/>
    </row>
    <row r="32" spans="2:11" ht="15.75" x14ac:dyDescent="0.25">
      <c r="B32" s="118">
        <v>42832</v>
      </c>
      <c r="C32" s="15" t="s">
        <v>383</v>
      </c>
      <c r="D32" s="119" t="s">
        <v>248</v>
      </c>
      <c r="E32" s="120">
        <f>11.9+1.9+23.2+410</f>
        <v>447</v>
      </c>
      <c r="F32" s="121">
        <v>14952.1</v>
      </c>
      <c r="I32" s="3"/>
      <c r="J32" s="3"/>
    </row>
    <row r="33" spans="2:11" ht="15.75" x14ac:dyDescent="0.25">
      <c r="B33" s="118">
        <v>42832</v>
      </c>
      <c r="C33" s="15" t="s">
        <v>384</v>
      </c>
      <c r="D33" s="119" t="s">
        <v>24</v>
      </c>
      <c r="E33" s="120">
        <f>960.25+35+41.2+13.61</f>
        <v>1050.06</v>
      </c>
      <c r="F33" s="121">
        <v>32427.13</v>
      </c>
      <c r="I33" s="3"/>
      <c r="J33" s="3"/>
    </row>
    <row r="34" spans="2:11" ht="15.75" x14ac:dyDescent="0.25">
      <c r="B34" s="118">
        <v>42832</v>
      </c>
      <c r="C34" s="15" t="s">
        <v>385</v>
      </c>
      <c r="D34" s="119" t="s">
        <v>8</v>
      </c>
      <c r="E34" s="120">
        <v>447.7</v>
      </c>
      <c r="F34" s="121">
        <v>14774.4</v>
      </c>
      <c r="I34" s="3"/>
      <c r="J34" s="3"/>
    </row>
    <row r="35" spans="2:11" ht="15.75" x14ac:dyDescent="0.25">
      <c r="B35" s="118">
        <v>42832</v>
      </c>
      <c r="C35" s="15" t="s">
        <v>386</v>
      </c>
      <c r="D35" s="119" t="s">
        <v>14</v>
      </c>
      <c r="E35" s="120">
        <v>440.5</v>
      </c>
      <c r="F35" s="121">
        <v>14536.5</v>
      </c>
      <c r="I35" s="3"/>
      <c r="J35" s="3"/>
    </row>
    <row r="36" spans="2:11" ht="15.75" x14ac:dyDescent="0.25">
      <c r="B36" s="118">
        <v>42832</v>
      </c>
      <c r="C36" s="15" t="s">
        <v>387</v>
      </c>
      <c r="D36" s="119" t="s">
        <v>12</v>
      </c>
      <c r="E36" s="120">
        <v>297.7</v>
      </c>
      <c r="F36" s="121">
        <v>9824.1</v>
      </c>
      <c r="I36" s="3"/>
      <c r="J36" s="3"/>
    </row>
    <row r="37" spans="2:11" ht="15.75" x14ac:dyDescent="0.25">
      <c r="B37" s="118">
        <v>42832</v>
      </c>
      <c r="C37" s="15" t="s">
        <v>388</v>
      </c>
      <c r="D37" s="119" t="s">
        <v>13</v>
      </c>
      <c r="E37" s="120">
        <v>53</v>
      </c>
      <c r="F37" s="121">
        <v>1272</v>
      </c>
      <c r="I37" s="3"/>
      <c r="J37" s="3"/>
    </row>
    <row r="38" spans="2:11" ht="15.75" x14ac:dyDescent="0.25">
      <c r="B38" s="118">
        <v>42832</v>
      </c>
      <c r="C38" s="15" t="s">
        <v>389</v>
      </c>
      <c r="D38" s="119" t="s">
        <v>11</v>
      </c>
      <c r="E38" s="120">
        <v>440.9</v>
      </c>
      <c r="F38" s="121">
        <v>14549.7</v>
      </c>
      <c r="I38" s="3"/>
      <c r="J38" s="3"/>
    </row>
    <row r="39" spans="2:11" ht="15.75" x14ac:dyDescent="0.25">
      <c r="B39" s="118">
        <v>42832</v>
      </c>
      <c r="C39" s="15" t="s">
        <v>390</v>
      </c>
      <c r="D39" s="119" t="s">
        <v>248</v>
      </c>
      <c r="E39" s="120">
        <v>170.8</v>
      </c>
      <c r="F39" s="121">
        <v>5465.6</v>
      </c>
      <c r="I39" s="3"/>
      <c r="J39" s="3"/>
    </row>
    <row r="40" spans="2:11" ht="15.75" x14ac:dyDescent="0.25">
      <c r="B40" s="118">
        <v>42832</v>
      </c>
      <c r="C40" s="15" t="s">
        <v>391</v>
      </c>
      <c r="D40" s="119" t="s">
        <v>7</v>
      </c>
      <c r="E40" s="120">
        <v>89</v>
      </c>
      <c r="F40" s="121">
        <v>6942</v>
      </c>
      <c r="I40" s="3"/>
      <c r="J40" s="3"/>
    </row>
    <row r="41" spans="2:11" ht="15.75" x14ac:dyDescent="0.25">
      <c r="B41" s="118">
        <v>42833</v>
      </c>
      <c r="C41" s="15" t="s">
        <v>392</v>
      </c>
      <c r="D41" s="119" t="s">
        <v>8</v>
      </c>
      <c r="E41" s="120">
        <f>110.6+444.9</f>
        <v>555.5</v>
      </c>
      <c r="F41" s="121">
        <v>18220.900000000001</v>
      </c>
      <c r="I41" s="3"/>
      <c r="J41" s="3"/>
      <c r="K41" s="3">
        <f t="shared" ref="K41:K44" si="1">J41*I41</f>
        <v>0</v>
      </c>
    </row>
    <row r="42" spans="2:11" ht="15.75" x14ac:dyDescent="0.25">
      <c r="B42" s="118">
        <v>42833</v>
      </c>
      <c r="C42" s="15" t="s">
        <v>393</v>
      </c>
      <c r="D42" s="119" t="s">
        <v>14</v>
      </c>
      <c r="E42" s="120">
        <v>434.8</v>
      </c>
      <c r="F42" s="121">
        <v>14348.4</v>
      </c>
      <c r="I42" s="3"/>
      <c r="J42" s="3"/>
      <c r="K42" s="3">
        <f t="shared" si="1"/>
        <v>0</v>
      </c>
    </row>
    <row r="43" spans="2:11" ht="15.75" x14ac:dyDescent="0.25">
      <c r="B43" s="118">
        <v>42833</v>
      </c>
      <c r="C43" s="15" t="s">
        <v>394</v>
      </c>
      <c r="D43" s="119" t="s">
        <v>10</v>
      </c>
      <c r="E43" s="120">
        <v>95.2</v>
      </c>
      <c r="F43" s="121">
        <v>3141.6</v>
      </c>
      <c r="I43" s="3"/>
      <c r="J43" s="3"/>
      <c r="K43" s="3">
        <f t="shared" si="1"/>
        <v>0</v>
      </c>
    </row>
    <row r="44" spans="2:11" ht="16.5" thickBot="1" x14ac:dyDescent="0.3">
      <c r="B44" s="118">
        <v>42924</v>
      </c>
      <c r="C44" s="15" t="s">
        <v>395</v>
      </c>
      <c r="D44" s="119" t="s">
        <v>248</v>
      </c>
      <c r="E44" s="120">
        <v>225</v>
      </c>
      <c r="F44" s="121">
        <v>7200</v>
      </c>
      <c r="I44" s="3"/>
      <c r="J44" s="3"/>
      <c r="K44" s="3">
        <f t="shared" si="1"/>
        <v>0</v>
      </c>
    </row>
    <row r="45" spans="2:11" ht="15.75" thickBot="1" x14ac:dyDescent="0.3">
      <c r="B45" s="29" t="s">
        <v>9</v>
      </c>
      <c r="C45" s="66"/>
      <c r="D45" s="31"/>
      <c r="E45" s="32">
        <v>0</v>
      </c>
      <c r="F45" s="33">
        <f>SUM(F3:F44)</f>
        <v>374953.03</v>
      </c>
      <c r="I45" s="38">
        <f>SUM(I41:I44)</f>
        <v>0</v>
      </c>
      <c r="K45" s="3">
        <f>J45*I45</f>
        <v>0</v>
      </c>
    </row>
    <row r="46" spans="2:11" ht="19.5" thickBot="1" x14ac:dyDescent="0.35">
      <c r="B46" s="34"/>
      <c r="C46" s="67"/>
      <c r="D46" s="36" t="s">
        <v>5</v>
      </c>
      <c r="E46" s="37">
        <f>SUM(E3:E45)</f>
        <v>11264.96</v>
      </c>
      <c r="I46" s="38"/>
      <c r="J46" s="38"/>
      <c r="K46" s="3">
        <f t="shared" ref="K46" si="2">J46*I46</f>
        <v>0</v>
      </c>
    </row>
    <row r="47" spans="2:11" x14ac:dyDescent="0.25">
      <c r="B47" s="34"/>
      <c r="C47" s="67"/>
      <c r="D47" s="26"/>
      <c r="E47" s="39"/>
      <c r="I47" s="38">
        <f>SUM(I45:I46)</f>
        <v>0</v>
      </c>
      <c r="J47" s="38"/>
      <c r="K47" s="134">
        <f>SUM(K41:K46)</f>
        <v>0</v>
      </c>
    </row>
    <row r="48" spans="2:11" ht="21.75" thickBot="1" x14ac:dyDescent="0.4">
      <c r="B48" s="40"/>
      <c r="C48" s="41" t="s">
        <v>15</v>
      </c>
      <c r="D48" s="42">
        <f>E46*0.2</f>
        <v>2252.9919999999997</v>
      </c>
      <c r="F48"/>
      <c r="K48"/>
    </row>
    <row r="49" spans="3:13" ht="21.75" thickBot="1" x14ac:dyDescent="0.4">
      <c r="C49" s="41" t="s">
        <v>16</v>
      </c>
      <c r="D49" s="44">
        <v>3400</v>
      </c>
      <c r="E49" s="45"/>
      <c r="F49" s="258">
        <f>D48+D49</f>
        <v>5652.9920000000002</v>
      </c>
      <c r="G49" s="259"/>
      <c r="I49" s="46"/>
      <c r="J49" s="46"/>
      <c r="K49" s="46"/>
      <c r="L49" s="46"/>
      <c r="M49" s="46"/>
    </row>
    <row r="50" spans="3:13" ht="17.25" thickTop="1" thickBot="1" x14ac:dyDescent="0.3">
      <c r="E50" s="47" t="s">
        <v>258</v>
      </c>
      <c r="G50" s="48">
        <v>-1501</v>
      </c>
      <c r="I50" s="46"/>
      <c r="J50" s="46"/>
      <c r="K50" s="49"/>
      <c r="L50" s="49"/>
      <c r="M50" s="49"/>
    </row>
    <row r="51" spans="3:13" ht="16.5" thickBot="1" x14ac:dyDescent="0.3">
      <c r="C51" s="50" t="s">
        <v>94</v>
      </c>
      <c r="D51" s="131" t="s">
        <v>396</v>
      </c>
      <c r="E51" s="47" t="s">
        <v>258</v>
      </c>
      <c r="F51" s="125"/>
      <c r="G51" s="135">
        <v>-4152</v>
      </c>
      <c r="I51" s="46"/>
      <c r="J51" s="46"/>
      <c r="K51" s="49"/>
      <c r="L51" s="49"/>
      <c r="M51" s="49"/>
    </row>
    <row r="52" spans="3:13" ht="17.25" thickTop="1" thickBot="1" x14ac:dyDescent="0.3">
      <c r="C52" s="122"/>
      <c r="D52" s="132" t="s">
        <v>397</v>
      </c>
      <c r="E52" s="47" t="s">
        <v>307</v>
      </c>
      <c r="F52" s="124"/>
      <c r="G52" s="136">
        <v>0</v>
      </c>
      <c r="I52" s="46"/>
      <c r="J52" s="46"/>
      <c r="K52" s="49"/>
      <c r="L52" s="49"/>
      <c r="M52" s="49"/>
    </row>
    <row r="53" spans="3:13" ht="17.25" thickTop="1" thickBot="1" x14ac:dyDescent="0.3">
      <c r="C53" s="52" t="s">
        <v>18</v>
      </c>
      <c r="D53" s="94"/>
      <c r="F53" s="261">
        <f>SUM(F49:G52)</f>
        <v>-7.9999999998108251E-3</v>
      </c>
      <c r="G53" s="261"/>
      <c r="I53" s="46"/>
      <c r="J53" s="46"/>
      <c r="K53" s="49"/>
      <c r="L53" s="49"/>
      <c r="M53" s="49"/>
    </row>
    <row r="54" spans="3:13" ht="19.5" thickBot="1" x14ac:dyDescent="0.35">
      <c r="E54" s="137" t="s">
        <v>19</v>
      </c>
      <c r="F54" s="262"/>
      <c r="G54" s="262"/>
      <c r="K54"/>
    </row>
  </sheetData>
  <mergeCells count="3">
    <mergeCell ref="B1:C1"/>
    <mergeCell ref="F49:G49"/>
    <mergeCell ref="F53:G54"/>
  </mergeCells>
  <pageMargins left="0.70866141732283472" right="0.11811023622047245" top="0.35433070866141736" bottom="0.19685039370078741" header="0.31496062992125984" footer="0.31496062992125984"/>
  <pageSetup scale="85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9"/>
  <sheetViews>
    <sheetView topLeftCell="A25" workbookViewId="0">
      <selection activeCell="E54" sqref="E54"/>
    </sheetView>
  </sheetViews>
  <sheetFormatPr baseColWidth="10" defaultRowHeight="15" x14ac:dyDescent="0.25"/>
  <cols>
    <col min="1" max="1" width="3.42578125" customWidth="1"/>
    <col min="2" max="2" width="13.42578125" style="96" bestFit="1" customWidth="1"/>
    <col min="3" max="3" width="13.7109375" style="41" customWidth="1"/>
    <col min="4" max="4" width="33.5703125" customWidth="1"/>
    <col min="5" max="5" width="12" bestFit="1" customWidth="1"/>
    <col min="6" max="6" width="14.140625" style="3" bestFit="1" customWidth="1"/>
    <col min="7" max="7" width="15.7109375" customWidth="1"/>
    <col min="11" max="11" width="11.42578125" style="3"/>
  </cols>
  <sheetData>
    <row r="1" spans="2:11" ht="19.5" thickBot="1" x14ac:dyDescent="0.35">
      <c r="B1" s="257">
        <v>42844</v>
      </c>
      <c r="C1" s="257"/>
      <c r="D1" s="138" t="s">
        <v>0</v>
      </c>
      <c r="E1" s="2" t="s">
        <v>1</v>
      </c>
      <c r="K1"/>
    </row>
    <row r="2" spans="2:11" ht="19.5" thickBot="1" x14ac:dyDescent="0.35">
      <c r="B2" s="95" t="s">
        <v>2</v>
      </c>
      <c r="C2" s="5" t="s">
        <v>3</v>
      </c>
      <c r="D2" s="5" t="s">
        <v>4</v>
      </c>
      <c r="E2" s="6" t="s">
        <v>5</v>
      </c>
      <c r="F2" s="139" t="s">
        <v>398</v>
      </c>
      <c r="G2" s="8"/>
      <c r="K2"/>
    </row>
    <row r="3" spans="2:11" ht="15.75" x14ac:dyDescent="0.25">
      <c r="B3" s="83">
        <v>42821</v>
      </c>
      <c r="C3" s="69">
        <v>5866</v>
      </c>
      <c r="D3" s="70" t="s">
        <v>91</v>
      </c>
      <c r="E3" s="76">
        <f>59.8+13+33.4+32.8</f>
        <v>139</v>
      </c>
      <c r="F3" s="71">
        <v>3101.2</v>
      </c>
      <c r="K3"/>
    </row>
    <row r="4" spans="2:11" ht="15.75" x14ac:dyDescent="0.25">
      <c r="B4" s="118">
        <v>42829</v>
      </c>
      <c r="C4" s="15">
        <v>6841</v>
      </c>
      <c r="D4" s="119" t="s">
        <v>6</v>
      </c>
      <c r="E4" s="120">
        <v>59.4</v>
      </c>
      <c r="F4" s="121">
        <v>3920.4</v>
      </c>
      <c r="K4"/>
    </row>
    <row r="5" spans="2:11" ht="15.75" x14ac:dyDescent="0.25">
      <c r="B5" s="118">
        <v>42832</v>
      </c>
      <c r="C5" s="15">
        <v>7225</v>
      </c>
      <c r="D5" s="119" t="s">
        <v>6</v>
      </c>
      <c r="E5" s="120">
        <f>364.1+62.2</f>
        <v>426.3</v>
      </c>
      <c r="F5" s="121">
        <v>16484.599999999999</v>
      </c>
      <c r="K5"/>
    </row>
    <row r="6" spans="2:11" ht="15.75" x14ac:dyDescent="0.25">
      <c r="B6" s="118">
        <v>42832</v>
      </c>
      <c r="C6" s="15">
        <v>7227</v>
      </c>
      <c r="D6" s="119" t="s">
        <v>7</v>
      </c>
      <c r="E6" s="120">
        <v>203.6</v>
      </c>
      <c r="F6" s="121">
        <v>6718.8</v>
      </c>
      <c r="G6" t="s">
        <v>9</v>
      </c>
      <c r="K6" s="3">
        <f t="shared" ref="K6:K16" si="0">J6*I6</f>
        <v>0</v>
      </c>
    </row>
    <row r="7" spans="2:11" ht="15.75" x14ac:dyDescent="0.25">
      <c r="B7" s="118">
        <v>42833</v>
      </c>
      <c r="C7" s="15">
        <v>7371</v>
      </c>
      <c r="D7" s="119" t="s">
        <v>0</v>
      </c>
      <c r="E7" s="120">
        <f>25.9+98.9</f>
        <v>124.80000000000001</v>
      </c>
      <c r="F7" s="121">
        <v>5180.3</v>
      </c>
      <c r="K7" s="3">
        <f t="shared" si="0"/>
        <v>0</v>
      </c>
    </row>
    <row r="8" spans="2:11" ht="15.75" x14ac:dyDescent="0.25">
      <c r="B8" s="118">
        <v>42835</v>
      </c>
      <c r="C8" s="15">
        <v>7565</v>
      </c>
      <c r="D8" s="119" t="s">
        <v>248</v>
      </c>
      <c r="E8" s="120">
        <v>399.8</v>
      </c>
      <c r="F8" s="121">
        <v>12993.5</v>
      </c>
      <c r="K8" s="3">
        <f t="shared" si="0"/>
        <v>0</v>
      </c>
    </row>
    <row r="9" spans="2:11" ht="15.75" x14ac:dyDescent="0.25">
      <c r="B9" s="118">
        <v>42835</v>
      </c>
      <c r="C9" s="15">
        <v>7566</v>
      </c>
      <c r="D9" s="119" t="s">
        <v>10</v>
      </c>
      <c r="E9" s="120">
        <v>86.9</v>
      </c>
      <c r="F9" s="121">
        <v>2867.7</v>
      </c>
      <c r="K9" s="3">
        <f t="shared" si="0"/>
        <v>0</v>
      </c>
    </row>
    <row r="10" spans="2:11" ht="15.75" x14ac:dyDescent="0.25">
      <c r="B10" s="118">
        <v>42835</v>
      </c>
      <c r="C10" s="15">
        <v>7567</v>
      </c>
      <c r="D10" s="119" t="s">
        <v>14</v>
      </c>
      <c r="E10" s="120">
        <v>249</v>
      </c>
      <c r="F10" s="121">
        <v>8217</v>
      </c>
      <c r="K10" s="3">
        <f t="shared" si="0"/>
        <v>0</v>
      </c>
    </row>
    <row r="11" spans="2:11" ht="15.75" x14ac:dyDescent="0.25">
      <c r="B11" s="118">
        <v>42835</v>
      </c>
      <c r="C11" s="15">
        <v>7568</v>
      </c>
      <c r="D11" s="119" t="s">
        <v>8</v>
      </c>
      <c r="E11" s="120">
        <v>354.9</v>
      </c>
      <c r="F11" s="121">
        <v>11711.7</v>
      </c>
      <c r="K11" s="3">
        <f t="shared" si="0"/>
        <v>0</v>
      </c>
    </row>
    <row r="12" spans="2:11" ht="15.75" x14ac:dyDescent="0.25">
      <c r="B12" s="118">
        <v>42746</v>
      </c>
      <c r="C12" s="15">
        <v>7684</v>
      </c>
      <c r="D12" s="119" t="s">
        <v>248</v>
      </c>
      <c r="E12" s="120">
        <v>390</v>
      </c>
      <c r="F12" s="121">
        <v>12675</v>
      </c>
      <c r="K12" s="3">
        <f t="shared" si="0"/>
        <v>0</v>
      </c>
    </row>
    <row r="13" spans="2:11" ht="15.75" x14ac:dyDescent="0.25">
      <c r="B13" s="118">
        <v>42836</v>
      </c>
      <c r="C13" s="15">
        <v>7692</v>
      </c>
      <c r="D13" s="119" t="s">
        <v>10</v>
      </c>
      <c r="E13" s="120">
        <f>93.3</f>
        <v>93.3</v>
      </c>
      <c r="F13" s="121">
        <v>3230.9</v>
      </c>
      <c r="K13" s="3">
        <f t="shared" si="0"/>
        <v>0</v>
      </c>
    </row>
    <row r="14" spans="2:11" ht="15.75" x14ac:dyDescent="0.25">
      <c r="B14" s="118">
        <v>42836</v>
      </c>
      <c r="C14" s="15">
        <v>7694</v>
      </c>
      <c r="D14" s="119" t="s">
        <v>12</v>
      </c>
      <c r="E14" s="120">
        <v>33.1</v>
      </c>
      <c r="F14" s="121">
        <v>1621.9</v>
      </c>
      <c r="K14" s="3">
        <f t="shared" si="0"/>
        <v>0</v>
      </c>
    </row>
    <row r="15" spans="2:11" ht="15.75" x14ac:dyDescent="0.25">
      <c r="B15" s="118">
        <v>42836</v>
      </c>
      <c r="C15" s="15">
        <v>7702</v>
      </c>
      <c r="D15" s="119" t="s">
        <v>91</v>
      </c>
      <c r="E15" s="120">
        <f>40+45.9+61.9</f>
        <v>147.80000000000001</v>
      </c>
      <c r="F15" s="121">
        <v>3311.8</v>
      </c>
      <c r="K15" s="3">
        <f t="shared" si="0"/>
        <v>0</v>
      </c>
    </row>
    <row r="16" spans="2:11" ht="15.75" x14ac:dyDescent="0.25">
      <c r="B16" s="118">
        <v>42836</v>
      </c>
      <c r="C16" s="15">
        <v>7703</v>
      </c>
      <c r="D16" s="119" t="s">
        <v>8</v>
      </c>
      <c r="E16" s="120">
        <f>35.4+98.8+73.2+105.8</f>
        <v>313.2</v>
      </c>
      <c r="F16" s="121">
        <v>13463.2</v>
      </c>
      <c r="K16" s="3">
        <f t="shared" si="0"/>
        <v>0</v>
      </c>
    </row>
    <row r="17" spans="2:11" ht="15.75" x14ac:dyDescent="0.25">
      <c r="B17" s="118">
        <v>42836</v>
      </c>
      <c r="C17" s="15">
        <v>7705</v>
      </c>
      <c r="D17" s="119" t="s">
        <v>13</v>
      </c>
      <c r="E17" s="120">
        <f>67+94.7</f>
        <v>161.69999999999999</v>
      </c>
      <c r="F17" s="121">
        <v>4733.1000000000004</v>
      </c>
    </row>
    <row r="18" spans="2:11" ht="15.75" x14ac:dyDescent="0.25">
      <c r="B18" s="118">
        <v>42836</v>
      </c>
      <c r="C18" s="15">
        <v>7709</v>
      </c>
      <c r="D18" s="119" t="s">
        <v>248</v>
      </c>
      <c r="E18" s="120">
        <v>16</v>
      </c>
      <c r="F18" s="121">
        <v>1232</v>
      </c>
    </row>
    <row r="19" spans="2:11" ht="15.75" x14ac:dyDescent="0.25">
      <c r="B19" s="118">
        <v>42837</v>
      </c>
      <c r="C19" s="15">
        <v>7794</v>
      </c>
      <c r="D19" s="119" t="s">
        <v>91</v>
      </c>
      <c r="E19" s="120">
        <f>43.8+35.8+968.25</f>
        <v>1047.8499999999999</v>
      </c>
      <c r="F19" s="121">
        <v>31961.95</v>
      </c>
    </row>
    <row r="20" spans="2:11" ht="15.75" x14ac:dyDescent="0.25">
      <c r="B20" s="118">
        <v>42837</v>
      </c>
      <c r="C20" s="15">
        <v>7802</v>
      </c>
      <c r="D20" s="119" t="s">
        <v>248</v>
      </c>
      <c r="E20" s="120">
        <f>737.8+37.7</f>
        <v>775.5</v>
      </c>
      <c r="F20" s="121">
        <v>24921</v>
      </c>
    </row>
    <row r="21" spans="2:11" ht="15.75" x14ac:dyDescent="0.25">
      <c r="B21" s="118">
        <v>42837</v>
      </c>
      <c r="C21" s="15">
        <v>7804</v>
      </c>
      <c r="D21" s="119" t="s">
        <v>14</v>
      </c>
      <c r="E21" s="120">
        <v>428</v>
      </c>
      <c r="F21" s="121">
        <v>14338</v>
      </c>
    </row>
    <row r="22" spans="2:11" ht="15.75" x14ac:dyDescent="0.25">
      <c r="B22" s="118">
        <v>42837</v>
      </c>
      <c r="C22" s="15">
        <v>7805</v>
      </c>
      <c r="D22" s="119" t="s">
        <v>8</v>
      </c>
      <c r="E22" s="120">
        <f>422.8+186</f>
        <v>608.79999999999995</v>
      </c>
      <c r="F22" s="121">
        <v>20301.8</v>
      </c>
      <c r="I22" s="3"/>
      <c r="J22" s="3"/>
      <c r="K22" s="3">
        <f>SUM(K6:K16)</f>
        <v>0</v>
      </c>
    </row>
    <row r="23" spans="2:11" ht="15.75" x14ac:dyDescent="0.25">
      <c r="B23" s="118">
        <v>42837</v>
      </c>
      <c r="C23" s="15">
        <v>7818</v>
      </c>
      <c r="D23" s="119" t="s">
        <v>13</v>
      </c>
      <c r="E23" s="120">
        <v>76.2</v>
      </c>
      <c r="F23" s="121">
        <v>2552.6999999999998</v>
      </c>
      <c r="I23" s="3"/>
      <c r="J23" s="3"/>
    </row>
    <row r="24" spans="2:11" ht="15.75" x14ac:dyDescent="0.25">
      <c r="B24" s="118">
        <v>42838</v>
      </c>
      <c r="C24" s="15">
        <v>7899</v>
      </c>
      <c r="D24" s="119" t="s">
        <v>13</v>
      </c>
      <c r="E24" s="120">
        <f>78.6+82.5</f>
        <v>161.1</v>
      </c>
      <c r="F24" s="121">
        <v>6457.95</v>
      </c>
      <c r="I24" s="3"/>
      <c r="J24" s="3"/>
    </row>
    <row r="25" spans="2:11" ht="15.75" x14ac:dyDescent="0.25">
      <c r="B25" s="118">
        <v>42838</v>
      </c>
      <c r="C25" s="15">
        <v>7900</v>
      </c>
      <c r="D25" s="119" t="s">
        <v>8</v>
      </c>
      <c r="E25" s="120">
        <v>916.3</v>
      </c>
      <c r="F25" s="121">
        <v>29321.599999999999</v>
      </c>
      <c r="I25" s="3"/>
      <c r="J25" s="3"/>
    </row>
    <row r="26" spans="2:11" ht="15.75" x14ac:dyDescent="0.25">
      <c r="B26" s="118">
        <v>42838</v>
      </c>
      <c r="C26" s="15">
        <v>7901</v>
      </c>
      <c r="D26" s="119" t="s">
        <v>14</v>
      </c>
      <c r="E26" s="120">
        <v>432.7</v>
      </c>
      <c r="F26" s="121">
        <v>14495.45</v>
      </c>
      <c r="I26" s="3"/>
      <c r="J26" s="3"/>
    </row>
    <row r="27" spans="2:11" ht="15.75" x14ac:dyDescent="0.25">
      <c r="B27" s="118">
        <v>42838</v>
      </c>
      <c r="C27" s="15">
        <v>7902</v>
      </c>
      <c r="D27" s="119" t="s">
        <v>7</v>
      </c>
      <c r="E27" s="120">
        <v>381.5</v>
      </c>
      <c r="F27" s="121">
        <v>12780.25</v>
      </c>
      <c r="I27" s="3"/>
      <c r="J27" s="3"/>
    </row>
    <row r="28" spans="2:11" ht="15.75" x14ac:dyDescent="0.25">
      <c r="B28" s="118">
        <v>42838</v>
      </c>
      <c r="C28" s="15">
        <v>7905</v>
      </c>
      <c r="D28" s="119" t="s">
        <v>10</v>
      </c>
      <c r="E28" s="120">
        <f>114.4+9.2</f>
        <v>123.60000000000001</v>
      </c>
      <c r="F28" s="121">
        <v>5140</v>
      </c>
      <c r="I28" s="3"/>
      <c r="J28" s="3"/>
    </row>
    <row r="29" spans="2:11" ht="15.75" x14ac:dyDescent="0.25">
      <c r="B29" s="118">
        <v>42838</v>
      </c>
      <c r="C29" s="15">
        <v>7957</v>
      </c>
      <c r="D29" s="119" t="s">
        <v>8</v>
      </c>
      <c r="E29" s="120">
        <v>72.099999999999994</v>
      </c>
      <c r="F29" s="121">
        <v>5551.7</v>
      </c>
      <c r="I29" s="3"/>
      <c r="J29" s="3"/>
    </row>
    <row r="30" spans="2:11" ht="15.75" x14ac:dyDescent="0.25">
      <c r="B30" s="118">
        <v>42839</v>
      </c>
      <c r="C30" s="15">
        <v>7981</v>
      </c>
      <c r="D30" s="119" t="s">
        <v>7</v>
      </c>
      <c r="E30" s="120">
        <v>368.9</v>
      </c>
      <c r="F30" s="121">
        <v>12911.5</v>
      </c>
      <c r="I30" s="3"/>
      <c r="J30" s="3"/>
    </row>
    <row r="31" spans="2:11" ht="15.75" x14ac:dyDescent="0.25">
      <c r="B31" s="118">
        <v>42839</v>
      </c>
      <c r="C31" s="15">
        <v>7982</v>
      </c>
      <c r="D31" s="119" t="s">
        <v>8</v>
      </c>
      <c r="E31" s="120">
        <v>793.3</v>
      </c>
      <c r="F31" s="121">
        <v>26575.55</v>
      </c>
      <c r="I31" s="3"/>
      <c r="J31" s="3"/>
    </row>
    <row r="32" spans="2:11" ht="15.75" x14ac:dyDescent="0.25">
      <c r="B32" s="118">
        <v>42839</v>
      </c>
      <c r="C32" s="15">
        <v>7983</v>
      </c>
      <c r="D32" s="119" t="s">
        <v>14</v>
      </c>
      <c r="E32" s="120">
        <v>396.6</v>
      </c>
      <c r="F32" s="121">
        <v>13881</v>
      </c>
      <c r="I32" s="3"/>
      <c r="J32" s="3"/>
    </row>
    <row r="33" spans="2:13" ht="15.75" x14ac:dyDescent="0.25">
      <c r="B33" s="118">
        <v>42839</v>
      </c>
      <c r="C33" s="15">
        <v>7984</v>
      </c>
      <c r="D33" s="119" t="s">
        <v>13</v>
      </c>
      <c r="E33" s="120">
        <v>142.6</v>
      </c>
      <c r="F33" s="121">
        <v>6417</v>
      </c>
      <c r="I33" s="3"/>
      <c r="J33" s="3"/>
    </row>
    <row r="34" spans="2:13" ht="15.75" x14ac:dyDescent="0.25">
      <c r="B34" s="118">
        <v>42839</v>
      </c>
      <c r="C34" s="15">
        <v>7986</v>
      </c>
      <c r="D34" s="119" t="s">
        <v>248</v>
      </c>
      <c r="E34" s="120">
        <v>557</v>
      </c>
      <c r="F34" s="121">
        <v>18102.5</v>
      </c>
      <c r="I34" s="3"/>
      <c r="J34" s="3"/>
    </row>
    <row r="35" spans="2:13" ht="15.75" x14ac:dyDescent="0.25">
      <c r="B35" s="118">
        <v>42839</v>
      </c>
      <c r="C35" s="15">
        <v>7988</v>
      </c>
      <c r="D35" s="119" t="s">
        <v>77</v>
      </c>
      <c r="E35" s="120">
        <v>264</v>
      </c>
      <c r="F35" s="121">
        <v>8844</v>
      </c>
      <c r="I35" s="3"/>
      <c r="J35" s="3"/>
    </row>
    <row r="36" spans="2:13" ht="15.75" x14ac:dyDescent="0.25">
      <c r="B36" s="118">
        <v>42839</v>
      </c>
      <c r="C36" s="15">
        <v>7989</v>
      </c>
      <c r="D36" s="119" t="s">
        <v>11</v>
      </c>
      <c r="E36" s="120">
        <f>857.6+562</f>
        <v>1419.6</v>
      </c>
      <c r="F36" s="121">
        <v>46994.6</v>
      </c>
      <c r="I36" s="3"/>
      <c r="J36" s="3"/>
    </row>
    <row r="37" spans="2:13" ht="15.75" x14ac:dyDescent="0.25">
      <c r="B37" s="118">
        <v>42839</v>
      </c>
      <c r="C37" s="15">
        <v>7990</v>
      </c>
      <c r="D37" s="119" t="s">
        <v>10</v>
      </c>
      <c r="E37" s="120">
        <f>2+135.6+55.8</f>
        <v>193.39999999999998</v>
      </c>
      <c r="F37" s="121">
        <v>9420.4</v>
      </c>
      <c r="I37" s="3"/>
      <c r="J37" s="3"/>
    </row>
    <row r="38" spans="2:13" ht="15.75" x14ac:dyDescent="0.25">
      <c r="B38" s="118">
        <v>42839</v>
      </c>
      <c r="C38" s="15">
        <v>7991</v>
      </c>
      <c r="D38" s="119" t="s">
        <v>248</v>
      </c>
      <c r="E38" s="120">
        <v>368.1</v>
      </c>
      <c r="F38" s="121">
        <v>12147.3</v>
      </c>
      <c r="I38" s="3"/>
      <c r="J38" s="3"/>
    </row>
    <row r="39" spans="2:13" ht="16.5" thickBot="1" x14ac:dyDescent="0.3">
      <c r="B39" s="118">
        <v>42839</v>
      </c>
      <c r="C39" s="15">
        <v>7992</v>
      </c>
      <c r="D39" s="119" t="s">
        <v>248</v>
      </c>
      <c r="E39" s="120">
        <v>20.8</v>
      </c>
      <c r="F39" s="121">
        <v>1747.2</v>
      </c>
      <c r="I39" s="3"/>
      <c r="J39" s="3"/>
    </row>
    <row r="40" spans="2:13" ht="15.75" thickBot="1" x14ac:dyDescent="0.3">
      <c r="B40" s="29" t="s">
        <v>9</v>
      </c>
      <c r="C40" s="66"/>
      <c r="D40" s="31"/>
      <c r="E40" s="32">
        <v>0</v>
      </c>
      <c r="F40" s="33">
        <f>SUM(F3:F39)</f>
        <v>436326.55000000005</v>
      </c>
      <c r="I40" s="38"/>
    </row>
    <row r="41" spans="2:13" ht="19.5" thickBot="1" x14ac:dyDescent="0.35">
      <c r="B41" s="34"/>
      <c r="C41" s="67"/>
      <c r="D41" s="36" t="s">
        <v>5</v>
      </c>
      <c r="E41" s="37">
        <f>SUM(E3:E40)</f>
        <v>12746.75</v>
      </c>
      <c r="I41" s="38"/>
      <c r="J41" s="38"/>
    </row>
    <row r="42" spans="2:13" x14ac:dyDescent="0.25">
      <c r="B42" s="34"/>
      <c r="C42" s="67"/>
      <c r="D42" s="26"/>
      <c r="E42" s="39"/>
      <c r="I42" s="38"/>
      <c r="J42" s="38"/>
      <c r="K42" s="134"/>
    </row>
    <row r="43" spans="2:13" ht="21.75" thickBot="1" x14ac:dyDescent="0.4">
      <c r="B43" s="40"/>
      <c r="C43" s="41" t="s">
        <v>15</v>
      </c>
      <c r="D43" s="42">
        <f>E41*0.2</f>
        <v>2549.3500000000004</v>
      </c>
      <c r="F43"/>
      <c r="K43"/>
    </row>
    <row r="44" spans="2:13" ht="21.75" thickBot="1" x14ac:dyDescent="0.4">
      <c r="C44" s="41" t="s">
        <v>16</v>
      </c>
      <c r="D44" s="44">
        <v>3400</v>
      </c>
      <c r="E44" s="45"/>
      <c r="F44" s="258">
        <f>D43+D44</f>
        <v>5949.35</v>
      </c>
      <c r="G44" s="259"/>
      <c r="I44" s="46"/>
      <c r="J44" s="46"/>
      <c r="K44" s="46"/>
      <c r="L44" s="46"/>
      <c r="M44" s="46"/>
    </row>
    <row r="45" spans="2:13" ht="17.25" thickTop="1" thickBot="1" x14ac:dyDescent="0.3">
      <c r="E45" s="47" t="s">
        <v>258</v>
      </c>
      <c r="G45" s="48">
        <v>-3400</v>
      </c>
      <c r="I45" s="46"/>
      <c r="J45" s="46"/>
      <c r="K45" s="49"/>
      <c r="L45" s="49"/>
      <c r="M45" s="49"/>
    </row>
    <row r="46" spans="2:13" ht="16.5" thickBot="1" x14ac:dyDescent="0.3">
      <c r="C46" s="50" t="s">
        <v>94</v>
      </c>
      <c r="D46" s="131" t="s">
        <v>399</v>
      </c>
      <c r="E46" s="47" t="s">
        <v>258</v>
      </c>
      <c r="F46" s="125" t="s">
        <v>402</v>
      </c>
      <c r="G46" s="135">
        <v>-1800</v>
      </c>
      <c r="I46" s="46"/>
      <c r="J46" s="46"/>
      <c r="K46" s="49"/>
      <c r="L46" s="49"/>
      <c r="M46" s="49"/>
    </row>
    <row r="47" spans="2:13" ht="17.25" thickTop="1" thickBot="1" x14ac:dyDescent="0.3">
      <c r="C47" s="122"/>
      <c r="D47" s="131" t="s">
        <v>400</v>
      </c>
      <c r="E47" s="47" t="s">
        <v>307</v>
      </c>
      <c r="F47" s="124"/>
      <c r="G47" s="136">
        <v>-750</v>
      </c>
      <c r="I47" s="46"/>
      <c r="J47" s="46"/>
      <c r="K47" s="49"/>
      <c r="L47" s="49"/>
      <c r="M47" s="49"/>
    </row>
    <row r="48" spans="2:13" ht="17.25" thickTop="1" thickBot="1" x14ac:dyDescent="0.3">
      <c r="C48" s="52" t="s">
        <v>18</v>
      </c>
      <c r="D48" s="131" t="s">
        <v>401</v>
      </c>
      <c r="F48" s="261">
        <f>SUM(F44:G47)</f>
        <v>-0.6499999999996362</v>
      </c>
      <c r="G48" s="261"/>
      <c r="I48" s="46"/>
      <c r="J48" s="46"/>
      <c r="K48" s="49"/>
      <c r="L48" s="49"/>
      <c r="M48" s="49"/>
    </row>
    <row r="49" spans="5:11" ht="19.5" thickBot="1" x14ac:dyDescent="0.35">
      <c r="E49" s="138" t="s">
        <v>19</v>
      </c>
      <c r="F49" s="262"/>
      <c r="G49" s="262"/>
      <c r="K49"/>
    </row>
  </sheetData>
  <mergeCells count="3">
    <mergeCell ref="B1:C1"/>
    <mergeCell ref="F44:G44"/>
    <mergeCell ref="F48:G49"/>
  </mergeCells>
  <pageMargins left="0.51181102362204722" right="0.11811023622047245" top="0.55118110236220474" bottom="0.15748031496062992" header="0.31496062992125984" footer="0.31496062992125984"/>
  <pageSetup scale="90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62"/>
  <sheetViews>
    <sheetView topLeftCell="A45" workbookViewId="0">
      <selection activeCell="D35" sqref="D35"/>
    </sheetView>
  </sheetViews>
  <sheetFormatPr baseColWidth="10" defaultRowHeight="15" x14ac:dyDescent="0.25"/>
  <cols>
    <col min="1" max="1" width="3.42578125" customWidth="1"/>
    <col min="2" max="2" width="13.42578125" style="96" bestFit="1" customWidth="1"/>
    <col min="3" max="3" width="13.7109375" style="41" customWidth="1"/>
    <col min="4" max="4" width="33.5703125" customWidth="1"/>
    <col min="5" max="5" width="12" bestFit="1" customWidth="1"/>
    <col min="6" max="6" width="14.140625" style="3" bestFit="1" customWidth="1"/>
    <col min="7" max="7" width="15.7109375" customWidth="1"/>
    <col min="11" max="11" width="11.42578125" style="3"/>
  </cols>
  <sheetData>
    <row r="1" spans="2:11" ht="19.5" thickBot="1" x14ac:dyDescent="0.35">
      <c r="B1" s="257">
        <v>42851</v>
      </c>
      <c r="C1" s="257"/>
      <c r="D1" s="140" t="s">
        <v>0</v>
      </c>
      <c r="E1" s="2" t="s">
        <v>1</v>
      </c>
      <c r="K1"/>
    </row>
    <row r="2" spans="2:11" ht="19.5" thickBot="1" x14ac:dyDescent="0.35">
      <c r="B2" s="95" t="s">
        <v>2</v>
      </c>
      <c r="C2" s="5" t="s">
        <v>3</v>
      </c>
      <c r="D2" s="5" t="s">
        <v>4</v>
      </c>
      <c r="E2" s="6" t="s">
        <v>5</v>
      </c>
      <c r="F2" s="139" t="s">
        <v>403</v>
      </c>
      <c r="G2" s="8"/>
      <c r="K2"/>
    </row>
    <row r="3" spans="2:11" ht="15.75" x14ac:dyDescent="0.25">
      <c r="B3" s="83"/>
      <c r="C3" s="69"/>
      <c r="D3" s="70"/>
      <c r="E3" s="76"/>
      <c r="F3" s="71"/>
      <c r="K3"/>
    </row>
    <row r="4" spans="2:11" ht="15.75" x14ac:dyDescent="0.25">
      <c r="B4" s="118">
        <v>42837</v>
      </c>
      <c r="C4" s="15">
        <v>7816</v>
      </c>
      <c r="D4" s="119" t="s">
        <v>12</v>
      </c>
      <c r="E4" s="120">
        <f>150.2+265.7+307.4</f>
        <v>723.3</v>
      </c>
      <c r="F4" s="121">
        <v>35064.35</v>
      </c>
      <c r="K4"/>
    </row>
    <row r="5" spans="2:11" ht="15.75" x14ac:dyDescent="0.25">
      <c r="B5" s="118">
        <v>42840</v>
      </c>
      <c r="C5" s="15">
        <v>8015</v>
      </c>
      <c r="D5" s="119" t="s">
        <v>404</v>
      </c>
      <c r="E5" s="120">
        <f>989.73+18.1+28+13.6+2</f>
        <v>1051.4299999999998</v>
      </c>
      <c r="F5" s="121">
        <v>33737.26</v>
      </c>
      <c r="K5"/>
    </row>
    <row r="6" spans="2:11" ht="15.75" x14ac:dyDescent="0.25">
      <c r="B6" s="118">
        <v>42840</v>
      </c>
      <c r="C6" s="15">
        <v>8019</v>
      </c>
      <c r="D6" s="119" t="s">
        <v>6</v>
      </c>
      <c r="E6" s="120">
        <f>318.8+80.8+9.5+1+10.1</f>
        <v>420.20000000000005</v>
      </c>
      <c r="F6" s="121">
        <v>17402.3</v>
      </c>
      <c r="G6" t="s">
        <v>9</v>
      </c>
      <c r="I6">
        <v>989.73</v>
      </c>
      <c r="J6">
        <v>32</v>
      </c>
      <c r="K6" s="3">
        <f t="shared" ref="K6:K16" si="0">J6*I6</f>
        <v>31671.360000000001</v>
      </c>
    </row>
    <row r="7" spans="2:11" ht="15.75" x14ac:dyDescent="0.25">
      <c r="B7" s="118">
        <v>42840</v>
      </c>
      <c r="C7" s="15">
        <v>8021</v>
      </c>
      <c r="D7" s="119" t="s">
        <v>0</v>
      </c>
      <c r="E7" s="120">
        <f>91.6+58.6+10+19.1</f>
        <v>179.29999999999998</v>
      </c>
      <c r="F7" s="121">
        <v>8025.5</v>
      </c>
      <c r="K7" s="3">
        <f t="shared" si="0"/>
        <v>0</v>
      </c>
    </row>
    <row r="8" spans="2:11" ht="15.75" x14ac:dyDescent="0.25">
      <c r="B8" s="118">
        <v>42842</v>
      </c>
      <c r="C8" s="15">
        <v>8271</v>
      </c>
      <c r="D8" s="119" t="s">
        <v>10</v>
      </c>
      <c r="E8" s="120">
        <v>94.5</v>
      </c>
      <c r="F8" s="121">
        <v>3165.75</v>
      </c>
      <c r="K8" s="3">
        <f t="shared" si="0"/>
        <v>0</v>
      </c>
    </row>
    <row r="9" spans="2:11" ht="15.75" x14ac:dyDescent="0.25">
      <c r="B9" s="118">
        <v>42842</v>
      </c>
      <c r="C9" s="15">
        <v>8272</v>
      </c>
      <c r="D9" s="119" t="s">
        <v>13</v>
      </c>
      <c r="E9" s="120">
        <v>82.3</v>
      </c>
      <c r="F9" s="121">
        <v>2757.05</v>
      </c>
      <c r="K9" s="3">
        <f t="shared" si="0"/>
        <v>0</v>
      </c>
    </row>
    <row r="10" spans="2:11" ht="15.75" x14ac:dyDescent="0.25">
      <c r="B10" s="118">
        <v>42842</v>
      </c>
      <c r="C10" s="15">
        <v>8275</v>
      </c>
      <c r="D10" s="119" t="s">
        <v>8</v>
      </c>
      <c r="E10" s="120">
        <f>529.6+123.12</f>
        <v>652.72</v>
      </c>
      <c r="F10" s="121">
        <v>21927.68</v>
      </c>
      <c r="K10" s="3">
        <f t="shared" si="0"/>
        <v>0</v>
      </c>
    </row>
    <row r="11" spans="2:11" ht="15.75" x14ac:dyDescent="0.25">
      <c r="B11" s="118">
        <v>42843</v>
      </c>
      <c r="C11" s="15">
        <v>8437</v>
      </c>
      <c r="D11" s="119" t="s">
        <v>295</v>
      </c>
      <c r="E11" s="120">
        <f>20.4+13.1</f>
        <v>33.5</v>
      </c>
      <c r="F11" s="121">
        <v>2668.8</v>
      </c>
      <c r="K11" s="3">
        <f t="shared" si="0"/>
        <v>0</v>
      </c>
    </row>
    <row r="12" spans="2:11" ht="15.75" x14ac:dyDescent="0.25">
      <c r="B12" s="118">
        <v>42843</v>
      </c>
      <c r="C12" s="15">
        <v>8438</v>
      </c>
      <c r="D12" s="119" t="s">
        <v>8</v>
      </c>
      <c r="E12" s="120">
        <f>414.2+77+114.6</f>
        <v>605.79999999999995</v>
      </c>
      <c r="F12" s="121">
        <v>21536.1</v>
      </c>
      <c r="K12" s="3">
        <f t="shared" si="0"/>
        <v>0</v>
      </c>
    </row>
    <row r="13" spans="2:11" ht="15.75" x14ac:dyDescent="0.25">
      <c r="B13" s="118">
        <v>42843</v>
      </c>
      <c r="C13" s="15">
        <v>8439</v>
      </c>
      <c r="D13" s="119" t="s">
        <v>13</v>
      </c>
      <c r="E13" s="120">
        <f>85.1+32.4</f>
        <v>117.5</v>
      </c>
      <c r="F13" s="121">
        <v>3628.45</v>
      </c>
      <c r="K13" s="3">
        <f t="shared" si="0"/>
        <v>0</v>
      </c>
    </row>
    <row r="14" spans="2:11" ht="15.75" x14ac:dyDescent="0.25">
      <c r="B14" s="118">
        <v>42843</v>
      </c>
      <c r="C14" s="15">
        <v>8440</v>
      </c>
      <c r="D14" s="119" t="s">
        <v>14</v>
      </c>
      <c r="E14" s="120">
        <f>399.7+62.6</f>
        <v>462.3</v>
      </c>
      <c r="F14" s="121">
        <v>17521.55</v>
      </c>
      <c r="K14" s="3">
        <f t="shared" si="0"/>
        <v>0</v>
      </c>
    </row>
    <row r="15" spans="2:11" ht="15.75" x14ac:dyDescent="0.25">
      <c r="B15" s="118">
        <v>42843</v>
      </c>
      <c r="C15" s="15">
        <v>8441</v>
      </c>
      <c r="D15" s="119" t="s">
        <v>24</v>
      </c>
      <c r="E15" s="120">
        <f>93.2+44.9+29.6</f>
        <v>167.7</v>
      </c>
      <c r="F15" s="121">
        <v>3940.4</v>
      </c>
      <c r="K15" s="3">
        <f t="shared" si="0"/>
        <v>0</v>
      </c>
    </row>
    <row r="16" spans="2:11" ht="15.75" x14ac:dyDescent="0.25">
      <c r="B16" s="118">
        <v>42843</v>
      </c>
      <c r="C16" s="15">
        <v>8443</v>
      </c>
      <c r="D16" s="119" t="s">
        <v>10</v>
      </c>
      <c r="E16" s="120">
        <f>1+1</f>
        <v>2</v>
      </c>
      <c r="F16" s="121">
        <v>955</v>
      </c>
      <c r="K16" s="3">
        <f t="shared" si="0"/>
        <v>0</v>
      </c>
    </row>
    <row r="17" spans="2:11" ht="15.75" x14ac:dyDescent="0.25">
      <c r="B17" s="118">
        <v>42844</v>
      </c>
      <c r="C17" s="15">
        <v>8510</v>
      </c>
      <c r="D17" s="119" t="s">
        <v>14</v>
      </c>
      <c r="E17" s="120">
        <v>450.2</v>
      </c>
      <c r="F17" s="121">
        <v>14856.6</v>
      </c>
    </row>
    <row r="18" spans="2:11" ht="15.75" x14ac:dyDescent="0.25">
      <c r="B18" s="118">
        <v>42844</v>
      </c>
      <c r="C18" s="15">
        <v>8511</v>
      </c>
      <c r="D18" s="119" t="s">
        <v>7</v>
      </c>
      <c r="E18" s="120">
        <v>459.2</v>
      </c>
      <c r="F18" s="121">
        <v>15153.6</v>
      </c>
    </row>
    <row r="19" spans="2:11" ht="15.75" x14ac:dyDescent="0.25">
      <c r="B19" s="118">
        <v>42844</v>
      </c>
      <c r="C19" s="15">
        <v>8512</v>
      </c>
      <c r="D19" s="119" t="s">
        <v>8</v>
      </c>
      <c r="E19" s="120">
        <v>440.1</v>
      </c>
      <c r="F19" s="121">
        <v>14523.3</v>
      </c>
    </row>
    <row r="20" spans="2:11" ht="15.75" x14ac:dyDescent="0.25">
      <c r="B20" s="118">
        <v>42844</v>
      </c>
      <c r="C20" s="15">
        <v>8513</v>
      </c>
      <c r="D20" s="119" t="s">
        <v>0</v>
      </c>
      <c r="E20" s="120">
        <v>87.8</v>
      </c>
      <c r="F20" s="121">
        <v>2897.4</v>
      </c>
    </row>
    <row r="21" spans="2:11" ht="15.75" x14ac:dyDescent="0.25">
      <c r="B21" s="118">
        <v>42844</v>
      </c>
      <c r="C21" s="15">
        <v>8518</v>
      </c>
      <c r="D21" s="119" t="s">
        <v>10</v>
      </c>
      <c r="E21" s="120">
        <v>95.1</v>
      </c>
      <c r="F21" s="121">
        <v>3138.3</v>
      </c>
    </row>
    <row r="22" spans="2:11" ht="15.75" x14ac:dyDescent="0.25">
      <c r="B22" s="118">
        <v>42844</v>
      </c>
      <c r="C22" s="15">
        <v>8520</v>
      </c>
      <c r="D22" s="119" t="s">
        <v>77</v>
      </c>
      <c r="E22" s="120">
        <f>86.4+54.7</f>
        <v>141.10000000000002</v>
      </c>
      <c r="F22" s="121">
        <v>7336.6</v>
      </c>
      <c r="I22" s="3"/>
      <c r="J22" s="3"/>
      <c r="K22" s="3">
        <f>SUM(K6:K16)</f>
        <v>31671.360000000001</v>
      </c>
    </row>
    <row r="23" spans="2:11" ht="15.75" x14ac:dyDescent="0.25">
      <c r="B23" s="118">
        <v>42844</v>
      </c>
      <c r="C23" s="15">
        <v>8521</v>
      </c>
      <c r="D23" s="119" t="s">
        <v>24</v>
      </c>
      <c r="E23" s="120">
        <f>930.72+26.6+27.1</f>
        <v>984.42000000000007</v>
      </c>
      <c r="F23" s="121">
        <v>31869.56</v>
      </c>
      <c r="I23" s="3"/>
      <c r="J23" s="3"/>
    </row>
    <row r="24" spans="2:11" ht="15.75" x14ac:dyDescent="0.25">
      <c r="B24" s="118">
        <v>42844</v>
      </c>
      <c r="C24" s="15">
        <v>8522</v>
      </c>
      <c r="D24" s="119" t="s">
        <v>295</v>
      </c>
      <c r="E24" s="120">
        <f>917.6+41.8</f>
        <v>959.4</v>
      </c>
      <c r="F24" s="121">
        <v>31325.8</v>
      </c>
      <c r="I24" s="3"/>
      <c r="J24" s="3"/>
    </row>
    <row r="25" spans="2:11" ht="15.75" x14ac:dyDescent="0.25">
      <c r="B25" s="118">
        <v>42845</v>
      </c>
      <c r="C25" s="15">
        <v>8664</v>
      </c>
      <c r="D25" s="119" t="s">
        <v>12</v>
      </c>
      <c r="E25" s="120">
        <f>26.9+169.8</f>
        <v>196.70000000000002</v>
      </c>
      <c r="F25" s="121">
        <v>6867.7</v>
      </c>
      <c r="I25" s="3"/>
      <c r="J25" s="3"/>
    </row>
    <row r="26" spans="2:11" ht="15.75" x14ac:dyDescent="0.25">
      <c r="B26" s="118">
        <v>42845</v>
      </c>
      <c r="C26" s="15">
        <v>8665</v>
      </c>
      <c r="D26" s="119" t="s">
        <v>13</v>
      </c>
      <c r="E26" s="120">
        <v>93.6</v>
      </c>
      <c r="F26" s="121">
        <v>1684.8</v>
      </c>
      <c r="I26" s="3"/>
      <c r="J26" s="3"/>
    </row>
    <row r="27" spans="2:11" ht="15.75" x14ac:dyDescent="0.25">
      <c r="B27" s="118">
        <v>42845</v>
      </c>
      <c r="C27" s="15">
        <v>8666</v>
      </c>
      <c r="D27" s="119" t="s">
        <v>7</v>
      </c>
      <c r="E27" s="120">
        <v>390.3</v>
      </c>
      <c r="F27" s="121">
        <v>13270.2</v>
      </c>
      <c r="I27" s="3"/>
      <c r="J27" s="3"/>
    </row>
    <row r="28" spans="2:11" ht="15.75" x14ac:dyDescent="0.25">
      <c r="B28" s="118">
        <v>42845</v>
      </c>
      <c r="C28" s="15">
        <v>8667</v>
      </c>
      <c r="D28" s="119" t="s">
        <v>14</v>
      </c>
      <c r="E28" s="120">
        <v>324.7</v>
      </c>
      <c r="F28" s="121">
        <v>10715.1</v>
      </c>
      <c r="I28" s="3"/>
      <c r="J28" s="3"/>
    </row>
    <row r="29" spans="2:11" ht="15.75" x14ac:dyDescent="0.25">
      <c r="B29" s="118">
        <v>42845</v>
      </c>
      <c r="C29" s="15">
        <v>8668</v>
      </c>
      <c r="D29" s="119" t="s">
        <v>8</v>
      </c>
      <c r="E29" s="120">
        <f>112.6+329.9+24.8</f>
        <v>467.3</v>
      </c>
      <c r="F29" s="121">
        <v>16189.7</v>
      </c>
      <c r="I29" s="3"/>
      <c r="J29" s="3"/>
    </row>
    <row r="30" spans="2:11" ht="15.75" x14ac:dyDescent="0.25">
      <c r="B30" s="118">
        <v>42846</v>
      </c>
      <c r="C30" s="15">
        <v>8771</v>
      </c>
      <c r="D30" s="119" t="s">
        <v>14</v>
      </c>
      <c r="E30" s="120">
        <v>438.1</v>
      </c>
      <c r="F30" s="121">
        <v>14895.4</v>
      </c>
      <c r="I30" s="3"/>
      <c r="J30" s="3"/>
    </row>
    <row r="31" spans="2:11" ht="15.75" x14ac:dyDescent="0.25">
      <c r="B31" s="118">
        <v>42846</v>
      </c>
      <c r="C31" s="15">
        <v>8773</v>
      </c>
      <c r="D31" s="119" t="s">
        <v>7</v>
      </c>
      <c r="E31" s="120">
        <v>428.1</v>
      </c>
      <c r="F31" s="121">
        <v>14555.4</v>
      </c>
      <c r="I31" s="3"/>
      <c r="J31" s="3"/>
    </row>
    <row r="32" spans="2:11" ht="15.75" x14ac:dyDescent="0.25">
      <c r="B32" s="118">
        <v>42846</v>
      </c>
      <c r="C32" s="15">
        <v>8783</v>
      </c>
      <c r="D32" s="119" t="s">
        <v>295</v>
      </c>
      <c r="E32" s="120">
        <v>479</v>
      </c>
      <c r="F32" s="121">
        <v>15567.5</v>
      </c>
      <c r="I32" s="3"/>
      <c r="J32" s="3"/>
    </row>
    <row r="33" spans="2:11" ht="15.75" x14ac:dyDescent="0.25">
      <c r="B33" s="118">
        <v>42846</v>
      </c>
      <c r="C33" s="15">
        <v>8796</v>
      </c>
      <c r="D33" s="119" t="s">
        <v>10</v>
      </c>
      <c r="E33" s="120">
        <f>83.4+19.6</f>
        <v>103</v>
      </c>
      <c r="F33" s="121">
        <v>3673.4</v>
      </c>
      <c r="I33" s="3"/>
      <c r="J33" s="3"/>
    </row>
    <row r="34" spans="2:11" ht="15.75" x14ac:dyDescent="0.25">
      <c r="B34" s="118">
        <v>42846</v>
      </c>
      <c r="C34" s="15">
        <v>8797</v>
      </c>
      <c r="D34" s="119" t="s">
        <v>11</v>
      </c>
      <c r="E34" s="120">
        <v>121.6</v>
      </c>
      <c r="F34" s="121">
        <v>4134.3999999999996</v>
      </c>
      <c r="I34" s="3"/>
      <c r="J34" s="3"/>
    </row>
    <row r="35" spans="2:11" ht="15.75" x14ac:dyDescent="0.25">
      <c r="B35" s="118">
        <v>42846</v>
      </c>
      <c r="C35" s="15">
        <v>8798</v>
      </c>
      <c r="D35" s="119" t="s">
        <v>24</v>
      </c>
      <c r="E35" s="120">
        <f>26.9+43.1+21.2+42.5</f>
        <v>133.69999999999999</v>
      </c>
      <c r="F35" s="121">
        <v>2897.7</v>
      </c>
      <c r="I35" s="3"/>
      <c r="J35" s="3"/>
    </row>
    <row r="36" spans="2:11" ht="15.75" x14ac:dyDescent="0.25">
      <c r="B36" s="118">
        <v>42846</v>
      </c>
      <c r="C36" s="15">
        <v>8801</v>
      </c>
      <c r="D36" s="119" t="s">
        <v>13</v>
      </c>
      <c r="E36" s="120">
        <v>97.9</v>
      </c>
      <c r="F36" s="121">
        <v>3230.7</v>
      </c>
      <c r="I36" s="3"/>
      <c r="J36" s="3"/>
    </row>
    <row r="37" spans="2:11" ht="15.75" x14ac:dyDescent="0.25">
      <c r="B37" s="118">
        <v>42846</v>
      </c>
      <c r="C37" s="15">
        <v>8803</v>
      </c>
      <c r="D37" s="119" t="s">
        <v>295</v>
      </c>
      <c r="E37" s="120">
        <v>2</v>
      </c>
      <c r="F37" s="121">
        <v>1050</v>
      </c>
      <c r="I37" s="3"/>
      <c r="J37" s="3"/>
    </row>
    <row r="38" spans="2:11" ht="15.75" x14ac:dyDescent="0.25">
      <c r="B38" s="118">
        <v>42846</v>
      </c>
      <c r="C38" s="15">
        <v>8806</v>
      </c>
      <c r="D38" s="119" t="s">
        <v>8</v>
      </c>
      <c r="E38" s="120">
        <f>419.2+70.4+56</f>
        <v>545.6</v>
      </c>
      <c r="F38" s="121">
        <v>20888</v>
      </c>
      <c r="I38" s="3"/>
      <c r="J38" s="3"/>
    </row>
    <row r="39" spans="2:11" ht="15.75" x14ac:dyDescent="0.25">
      <c r="B39" s="118">
        <v>42846</v>
      </c>
      <c r="C39" s="15">
        <v>8816</v>
      </c>
      <c r="D39" s="119" t="s">
        <v>295</v>
      </c>
      <c r="E39" s="120">
        <v>16.600000000000001</v>
      </c>
      <c r="F39" s="121">
        <v>431.6</v>
      </c>
      <c r="I39" s="3"/>
      <c r="J39" s="3"/>
    </row>
    <row r="40" spans="2:11" ht="15.75" x14ac:dyDescent="0.25">
      <c r="B40" s="118">
        <v>42846</v>
      </c>
      <c r="C40" s="15">
        <v>8820</v>
      </c>
      <c r="D40" s="119" t="s">
        <v>12</v>
      </c>
      <c r="E40" s="120">
        <v>165.4</v>
      </c>
      <c r="F40" s="121">
        <v>12901.2</v>
      </c>
      <c r="I40" s="3"/>
      <c r="J40" s="3"/>
    </row>
    <row r="41" spans="2:11" ht="15.75" x14ac:dyDescent="0.25">
      <c r="B41" s="118">
        <v>42847</v>
      </c>
      <c r="C41" s="15">
        <v>8964</v>
      </c>
      <c r="D41" s="119" t="s">
        <v>14</v>
      </c>
      <c r="E41" s="120">
        <v>434.4</v>
      </c>
      <c r="F41" s="121">
        <v>14335.2</v>
      </c>
      <c r="I41" s="3"/>
      <c r="J41" s="3"/>
    </row>
    <row r="42" spans="2:11" ht="15.75" x14ac:dyDescent="0.25">
      <c r="B42" s="118">
        <v>42847</v>
      </c>
      <c r="C42" s="15">
        <v>8965</v>
      </c>
      <c r="D42" s="119" t="s">
        <v>7</v>
      </c>
      <c r="E42" s="120">
        <v>396.8</v>
      </c>
      <c r="F42" s="121">
        <v>13491.2</v>
      </c>
      <c r="I42" s="3"/>
      <c r="J42" s="3"/>
    </row>
    <row r="43" spans="2:11" ht="15.75" x14ac:dyDescent="0.25">
      <c r="B43" s="118">
        <v>42847</v>
      </c>
      <c r="C43" s="15">
        <v>8966</v>
      </c>
      <c r="D43" s="119" t="s">
        <v>11</v>
      </c>
      <c r="E43" s="120">
        <v>225.4</v>
      </c>
      <c r="F43" s="121">
        <v>7663.6</v>
      </c>
      <c r="I43" s="3"/>
      <c r="J43" s="3"/>
    </row>
    <row r="44" spans="2:11" ht="15.75" x14ac:dyDescent="0.25">
      <c r="B44" s="118">
        <v>42847</v>
      </c>
      <c r="C44" s="15">
        <v>8967</v>
      </c>
      <c r="D44" s="119" t="s">
        <v>13</v>
      </c>
      <c r="E44" s="120">
        <v>83.5</v>
      </c>
      <c r="F44" s="121">
        <v>2755.5</v>
      </c>
      <c r="I44" s="3"/>
      <c r="J44" s="3"/>
    </row>
    <row r="45" spans="2:11" ht="15.75" x14ac:dyDescent="0.25">
      <c r="B45" s="118">
        <v>42847</v>
      </c>
      <c r="C45" s="15">
        <v>8974</v>
      </c>
      <c r="D45" s="119" t="s">
        <v>10</v>
      </c>
      <c r="E45" s="120">
        <f>1+59.2+2</f>
        <v>62.2</v>
      </c>
      <c r="F45" s="121">
        <v>5183.3999999999996</v>
      </c>
      <c r="I45" s="3"/>
      <c r="J45" s="3"/>
    </row>
    <row r="46" spans="2:11" ht="15.75" x14ac:dyDescent="0.25">
      <c r="B46" s="118">
        <v>42847</v>
      </c>
      <c r="C46" s="15">
        <v>8975</v>
      </c>
      <c r="D46" s="119" t="s">
        <v>8</v>
      </c>
      <c r="E46" s="120">
        <f>438.3+59+63.2</f>
        <v>560.5</v>
      </c>
      <c r="F46" s="121">
        <v>23473.1</v>
      </c>
      <c r="K46" s="3">
        <f t="shared" ref="K46:K56" si="1">J46*I46</f>
        <v>0</v>
      </c>
    </row>
    <row r="47" spans="2:11" ht="15.75" x14ac:dyDescent="0.25">
      <c r="B47" s="118">
        <v>42847</v>
      </c>
      <c r="C47" s="15">
        <v>8976</v>
      </c>
      <c r="D47" s="119" t="s">
        <v>77</v>
      </c>
      <c r="E47" s="120">
        <f>80.2+21.9+20.8</f>
        <v>122.89999999999999</v>
      </c>
      <c r="F47" s="121">
        <v>3967.1</v>
      </c>
      <c r="K47" s="3">
        <f t="shared" si="1"/>
        <v>0</v>
      </c>
    </row>
    <row r="48" spans="2:11" ht="15.75" x14ac:dyDescent="0.25">
      <c r="B48" s="118">
        <v>42847</v>
      </c>
      <c r="C48" s="15">
        <v>8978</v>
      </c>
      <c r="D48" s="119" t="s">
        <v>12</v>
      </c>
      <c r="E48" s="120">
        <f>176.9+13.61+21</f>
        <v>211.51</v>
      </c>
      <c r="F48" s="121">
        <v>7043.2</v>
      </c>
      <c r="K48" s="3">
        <f t="shared" si="1"/>
        <v>0</v>
      </c>
    </row>
    <row r="49" spans="2:13" ht="16.5" thickBot="1" x14ac:dyDescent="0.3">
      <c r="B49" s="118">
        <v>42847</v>
      </c>
      <c r="C49" s="15">
        <v>8979</v>
      </c>
      <c r="D49" s="119" t="s">
        <v>24</v>
      </c>
      <c r="E49" s="120">
        <f>865.76+91.3+13.61+40.6</f>
        <v>1011.27</v>
      </c>
      <c r="F49" s="121">
        <v>33278.480000000003</v>
      </c>
      <c r="K49" s="3">
        <f t="shared" si="1"/>
        <v>0</v>
      </c>
    </row>
    <row r="50" spans="2:13" ht="15.75" thickBot="1" x14ac:dyDescent="0.3">
      <c r="B50" s="29" t="s">
        <v>9</v>
      </c>
      <c r="C50" s="66"/>
      <c r="D50" s="31"/>
      <c r="E50" s="32">
        <v>0</v>
      </c>
      <c r="F50" s="33">
        <f>SUM(F3:F49)</f>
        <v>547574.93000000005</v>
      </c>
      <c r="K50" s="3">
        <f t="shared" si="1"/>
        <v>0</v>
      </c>
    </row>
    <row r="51" spans="2:13" ht="19.5" thickBot="1" x14ac:dyDescent="0.35">
      <c r="B51" s="34"/>
      <c r="C51" s="67"/>
      <c r="D51" s="36" t="s">
        <v>5</v>
      </c>
      <c r="E51" s="37">
        <f>SUM(E3:E50)</f>
        <v>15321.950000000003</v>
      </c>
      <c r="K51" s="3">
        <f t="shared" si="1"/>
        <v>0</v>
      </c>
    </row>
    <row r="52" spans="2:13" x14ac:dyDescent="0.25">
      <c r="B52" s="34"/>
      <c r="C52" s="67"/>
      <c r="D52" s="26"/>
      <c r="E52" s="39"/>
      <c r="K52" s="3">
        <f t="shared" si="1"/>
        <v>0</v>
      </c>
    </row>
    <row r="53" spans="2:13" ht="21.75" thickBot="1" x14ac:dyDescent="0.4">
      <c r="B53" s="40"/>
      <c r="C53" s="41" t="s">
        <v>15</v>
      </c>
      <c r="D53" s="42">
        <f>E51*0.2</f>
        <v>3064.3900000000008</v>
      </c>
      <c r="F53"/>
      <c r="K53" s="3">
        <f t="shared" si="1"/>
        <v>0</v>
      </c>
    </row>
    <row r="54" spans="2:13" ht="21.75" thickBot="1" x14ac:dyDescent="0.4">
      <c r="C54" s="41" t="s">
        <v>16</v>
      </c>
      <c r="D54" s="44">
        <v>3400</v>
      </c>
      <c r="E54" s="45"/>
      <c r="F54" s="258">
        <f>D53+D54</f>
        <v>6464.3900000000012</v>
      </c>
      <c r="G54" s="259"/>
      <c r="K54" s="3">
        <f t="shared" si="1"/>
        <v>0</v>
      </c>
      <c r="L54" s="46"/>
      <c r="M54" s="46"/>
    </row>
    <row r="55" spans="2:13" ht="17.25" thickTop="1" thickBot="1" x14ac:dyDescent="0.3">
      <c r="E55" s="47" t="s">
        <v>258</v>
      </c>
      <c r="F55" s="142"/>
      <c r="G55" s="48">
        <v>-4664</v>
      </c>
      <c r="K55" s="3">
        <f t="shared" si="1"/>
        <v>0</v>
      </c>
      <c r="L55" s="49"/>
      <c r="M55" s="49"/>
    </row>
    <row r="56" spans="2:13" ht="16.5" thickBot="1" x14ac:dyDescent="0.3">
      <c r="C56" s="50" t="s">
        <v>94</v>
      </c>
      <c r="D56" s="131" t="s">
        <v>405</v>
      </c>
      <c r="E56" s="47" t="s">
        <v>258</v>
      </c>
      <c r="F56" s="125"/>
      <c r="G56" s="135">
        <v>-1800</v>
      </c>
      <c r="K56" s="3">
        <f t="shared" si="1"/>
        <v>0</v>
      </c>
      <c r="L56" s="49"/>
      <c r="M56" s="49"/>
    </row>
    <row r="57" spans="2:13" ht="17.25" thickTop="1" thickBot="1" x14ac:dyDescent="0.3">
      <c r="C57" s="122"/>
      <c r="D57" s="131" t="s">
        <v>406</v>
      </c>
      <c r="E57" s="47" t="s">
        <v>307</v>
      </c>
      <c r="F57" s="124"/>
      <c r="G57" s="136">
        <v>0</v>
      </c>
      <c r="L57" s="49"/>
      <c r="M57" s="49"/>
    </row>
    <row r="58" spans="2:13" ht="17.25" thickTop="1" thickBot="1" x14ac:dyDescent="0.3">
      <c r="C58" s="52" t="s">
        <v>18</v>
      </c>
      <c r="D58" s="131"/>
      <c r="F58" s="261">
        <f>SUM(F54:G57)</f>
        <v>0.39000000000123691</v>
      </c>
      <c r="G58" s="261"/>
      <c r="L58" s="49"/>
      <c r="M58" s="49"/>
    </row>
    <row r="59" spans="2:13" ht="19.5" thickBot="1" x14ac:dyDescent="0.35">
      <c r="E59" s="140" t="s">
        <v>19</v>
      </c>
      <c r="F59" s="262"/>
      <c r="G59" s="262"/>
    </row>
    <row r="62" spans="2:13" x14ac:dyDescent="0.25">
      <c r="I62" s="3"/>
      <c r="J62" s="3"/>
      <c r="K62" s="3">
        <f>SUM(K46:K56)</f>
        <v>0</v>
      </c>
    </row>
  </sheetData>
  <sortState ref="B31:F44">
    <sortCondition ref="C31:C44"/>
  </sortState>
  <mergeCells count="3">
    <mergeCell ref="B1:C1"/>
    <mergeCell ref="F54:G54"/>
    <mergeCell ref="F58:G59"/>
  </mergeCells>
  <pageMargins left="0.31496062992125984" right="0.11811023622047245" top="0.74803149606299213" bottom="0.74803149606299213" header="0.31496062992125984" footer="0.31496062992125984"/>
  <pageSetup scale="90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62"/>
  <sheetViews>
    <sheetView topLeftCell="A40" workbookViewId="0">
      <selection activeCell="H50" sqref="H50"/>
    </sheetView>
  </sheetViews>
  <sheetFormatPr baseColWidth="10" defaultRowHeight="15" x14ac:dyDescent="0.25"/>
  <cols>
    <col min="1" max="1" width="3.42578125" customWidth="1"/>
    <col min="2" max="2" width="13.42578125" style="96" bestFit="1" customWidth="1"/>
    <col min="3" max="3" width="13.7109375" style="41" customWidth="1"/>
    <col min="4" max="4" width="33.5703125" customWidth="1"/>
    <col min="5" max="5" width="12" bestFit="1" customWidth="1"/>
    <col min="6" max="6" width="14.140625" style="3" bestFit="1" customWidth="1"/>
    <col min="7" max="7" width="15.7109375" customWidth="1"/>
    <col min="11" max="11" width="11.42578125" style="3"/>
  </cols>
  <sheetData>
    <row r="1" spans="2:11" ht="19.5" thickBot="1" x14ac:dyDescent="0.35">
      <c r="B1" s="257">
        <v>42859</v>
      </c>
      <c r="C1" s="257"/>
      <c r="D1" s="141" t="s">
        <v>0</v>
      </c>
      <c r="E1" s="2" t="s">
        <v>1</v>
      </c>
      <c r="K1"/>
    </row>
    <row r="2" spans="2:11" ht="19.5" thickBot="1" x14ac:dyDescent="0.35">
      <c r="B2" s="95" t="s">
        <v>2</v>
      </c>
      <c r="C2" s="5" t="s">
        <v>3</v>
      </c>
      <c r="D2" s="5" t="s">
        <v>4</v>
      </c>
      <c r="E2" s="6" t="s">
        <v>5</v>
      </c>
      <c r="F2" s="139" t="s">
        <v>407</v>
      </c>
      <c r="G2" s="8"/>
      <c r="K2"/>
    </row>
    <row r="3" spans="2:11" ht="15.75" x14ac:dyDescent="0.25">
      <c r="B3" s="83"/>
      <c r="C3" s="69"/>
      <c r="D3" s="70"/>
      <c r="E3" s="76"/>
      <c r="F3" s="71"/>
      <c r="K3"/>
    </row>
    <row r="4" spans="2:11" ht="15.75" x14ac:dyDescent="0.25">
      <c r="B4" s="118">
        <v>42846</v>
      </c>
      <c r="C4" s="15" t="s">
        <v>408</v>
      </c>
      <c r="D4" s="119" t="s">
        <v>6</v>
      </c>
      <c r="E4" s="120">
        <f>128.7+325.3+18.8+13.3+7.4</f>
        <v>493.5</v>
      </c>
      <c r="F4" s="121">
        <v>20950</v>
      </c>
      <c r="K4"/>
    </row>
    <row r="5" spans="2:11" ht="15.75" x14ac:dyDescent="0.25">
      <c r="B5" s="118">
        <v>42847</v>
      </c>
      <c r="C5" s="15" t="s">
        <v>409</v>
      </c>
      <c r="D5" s="119" t="s">
        <v>248</v>
      </c>
      <c r="E5" s="120">
        <f>15.8+54.8+82</f>
        <v>152.6</v>
      </c>
      <c r="F5" s="121">
        <v>6702</v>
      </c>
      <c r="K5"/>
    </row>
    <row r="6" spans="2:11" ht="15.75" x14ac:dyDescent="0.25">
      <c r="B6" s="118">
        <v>42849</v>
      </c>
      <c r="C6" s="15" t="s">
        <v>410</v>
      </c>
      <c r="D6" s="119" t="s">
        <v>248</v>
      </c>
      <c r="E6" s="120">
        <v>476</v>
      </c>
      <c r="F6" s="121">
        <v>15946</v>
      </c>
      <c r="G6" t="s">
        <v>9</v>
      </c>
      <c r="I6">
        <v>906.12</v>
      </c>
      <c r="J6">
        <v>33</v>
      </c>
      <c r="K6" s="3">
        <f t="shared" ref="K6:K16" si="0">J6*I6</f>
        <v>29901.96</v>
      </c>
    </row>
    <row r="7" spans="2:11" ht="15.75" x14ac:dyDescent="0.25">
      <c r="B7" s="118">
        <v>42849</v>
      </c>
      <c r="C7" s="15" t="s">
        <v>411</v>
      </c>
      <c r="D7" s="119" t="s">
        <v>12</v>
      </c>
      <c r="E7" s="120">
        <f>13.3+276.8</f>
        <v>290.10000000000002</v>
      </c>
      <c r="F7" s="121">
        <v>9759.5</v>
      </c>
      <c r="I7">
        <v>42.6</v>
      </c>
      <c r="J7">
        <v>25</v>
      </c>
      <c r="K7" s="3">
        <f t="shared" si="0"/>
        <v>1065</v>
      </c>
    </row>
    <row r="8" spans="2:11" ht="15.75" x14ac:dyDescent="0.25">
      <c r="B8" s="118">
        <v>42849</v>
      </c>
      <c r="C8" s="15" t="s">
        <v>412</v>
      </c>
      <c r="D8" s="119" t="s">
        <v>24</v>
      </c>
      <c r="E8" s="120">
        <f>41.2+52</f>
        <v>93.2</v>
      </c>
      <c r="F8" s="121">
        <v>1833.6</v>
      </c>
      <c r="K8" s="3">
        <f t="shared" si="0"/>
        <v>0</v>
      </c>
    </row>
    <row r="9" spans="2:11" ht="15.75" x14ac:dyDescent="0.25">
      <c r="B9" s="118">
        <v>42849</v>
      </c>
      <c r="C9" s="15" t="s">
        <v>413</v>
      </c>
      <c r="D9" s="119" t="s">
        <v>7</v>
      </c>
      <c r="E9" s="120">
        <v>155.5</v>
      </c>
      <c r="F9" s="121">
        <v>5287</v>
      </c>
      <c r="I9">
        <v>262.89999999999998</v>
      </c>
      <c r="J9">
        <v>33</v>
      </c>
      <c r="K9" s="3">
        <f t="shared" si="0"/>
        <v>8675.6999999999989</v>
      </c>
    </row>
    <row r="10" spans="2:11" ht="15.75" x14ac:dyDescent="0.25">
      <c r="B10" s="118">
        <v>42849</v>
      </c>
      <c r="C10" s="15" t="s">
        <v>414</v>
      </c>
      <c r="D10" s="119" t="s">
        <v>10</v>
      </c>
      <c r="E10" s="120">
        <v>86.4</v>
      </c>
      <c r="F10" s="121">
        <v>2851.2</v>
      </c>
      <c r="K10" s="3">
        <f t="shared" si="0"/>
        <v>0</v>
      </c>
    </row>
    <row r="11" spans="2:11" ht="15.75" x14ac:dyDescent="0.25">
      <c r="B11" s="118">
        <v>42849</v>
      </c>
      <c r="C11" s="15" t="s">
        <v>415</v>
      </c>
      <c r="D11" s="119" t="s">
        <v>8</v>
      </c>
      <c r="E11" s="120">
        <v>389.9</v>
      </c>
      <c r="F11" s="121">
        <v>12866.7</v>
      </c>
      <c r="K11" s="3">
        <f t="shared" si="0"/>
        <v>0</v>
      </c>
    </row>
    <row r="12" spans="2:11" ht="15.75" x14ac:dyDescent="0.25">
      <c r="B12" s="118">
        <v>42849</v>
      </c>
      <c r="C12" s="15" t="s">
        <v>416</v>
      </c>
      <c r="D12" s="119" t="s">
        <v>14</v>
      </c>
      <c r="E12" s="120">
        <v>424.3</v>
      </c>
      <c r="F12" s="121">
        <v>14001.9</v>
      </c>
      <c r="K12" s="3">
        <f t="shared" si="0"/>
        <v>0</v>
      </c>
    </row>
    <row r="13" spans="2:11" ht="15.75" x14ac:dyDescent="0.25">
      <c r="B13" s="118">
        <v>42850</v>
      </c>
      <c r="C13" s="15" t="s">
        <v>417</v>
      </c>
      <c r="D13" s="119" t="s">
        <v>7</v>
      </c>
      <c r="E13" s="120">
        <v>396.4</v>
      </c>
      <c r="F13" s="121">
        <v>13081.2</v>
      </c>
      <c r="K13" s="3">
        <f t="shared" si="0"/>
        <v>0</v>
      </c>
    </row>
    <row r="14" spans="2:11" ht="15.75" x14ac:dyDescent="0.25">
      <c r="B14" s="118">
        <v>42850</v>
      </c>
      <c r="C14" s="15" t="s">
        <v>419</v>
      </c>
      <c r="D14" s="119" t="s">
        <v>14</v>
      </c>
      <c r="E14" s="120">
        <v>407.2</v>
      </c>
      <c r="F14" s="121">
        <v>13437.6</v>
      </c>
      <c r="K14" s="3">
        <f t="shared" si="0"/>
        <v>0</v>
      </c>
    </row>
    <row r="15" spans="2:11" ht="15.75" x14ac:dyDescent="0.25">
      <c r="B15" s="118">
        <v>42850</v>
      </c>
      <c r="C15" s="15" t="s">
        <v>418</v>
      </c>
      <c r="D15" s="119" t="s">
        <v>13</v>
      </c>
      <c r="E15" s="120">
        <f>78.4+47</f>
        <v>125.4</v>
      </c>
      <c r="F15" s="121">
        <v>3574.2</v>
      </c>
      <c r="K15" s="3">
        <f t="shared" si="0"/>
        <v>0</v>
      </c>
    </row>
    <row r="16" spans="2:11" ht="15.75" x14ac:dyDescent="0.25">
      <c r="B16" s="118">
        <v>42850</v>
      </c>
      <c r="C16" s="15" t="s">
        <v>420</v>
      </c>
      <c r="D16" s="119" t="s">
        <v>248</v>
      </c>
      <c r="E16" s="120">
        <v>176</v>
      </c>
      <c r="F16" s="121">
        <v>5984</v>
      </c>
      <c r="K16" s="3">
        <f t="shared" si="0"/>
        <v>0</v>
      </c>
    </row>
    <row r="17" spans="2:11" ht="15.75" x14ac:dyDescent="0.25">
      <c r="B17" s="118">
        <v>42850</v>
      </c>
      <c r="C17" s="15" t="s">
        <v>421</v>
      </c>
      <c r="D17" s="119" t="s">
        <v>24</v>
      </c>
      <c r="E17" s="120">
        <f>43.3+39.8+2</f>
        <v>85.1</v>
      </c>
      <c r="F17" s="121">
        <v>2274.3000000000002</v>
      </c>
    </row>
    <row r="18" spans="2:11" ht="15.75" x14ac:dyDescent="0.25">
      <c r="B18" s="118">
        <v>42850</v>
      </c>
      <c r="C18" s="15" t="s">
        <v>422</v>
      </c>
      <c r="D18" s="119" t="s">
        <v>8</v>
      </c>
      <c r="E18" s="120">
        <f>413.7+127.7</f>
        <v>541.4</v>
      </c>
      <c r="F18" s="121">
        <v>15950.7</v>
      </c>
    </row>
    <row r="19" spans="2:11" ht="15.75" x14ac:dyDescent="0.25">
      <c r="B19" s="118">
        <v>42851</v>
      </c>
      <c r="C19" s="15" t="s">
        <v>423</v>
      </c>
      <c r="D19" s="119" t="s">
        <v>24</v>
      </c>
      <c r="E19" s="120">
        <f>41.6+907.03</f>
        <v>948.63</v>
      </c>
      <c r="F19" s="121">
        <v>30847.19</v>
      </c>
    </row>
    <row r="20" spans="2:11" ht="15.75" x14ac:dyDescent="0.25">
      <c r="B20" s="118">
        <v>42851</v>
      </c>
      <c r="C20" s="15" t="s">
        <v>424</v>
      </c>
      <c r="D20" s="119" t="s">
        <v>248</v>
      </c>
      <c r="E20" s="120">
        <f>906.12+42.6</f>
        <v>948.72</v>
      </c>
      <c r="F20" s="121">
        <v>30966.959999999999</v>
      </c>
    </row>
    <row r="21" spans="2:11" ht="15.75" x14ac:dyDescent="0.25">
      <c r="B21" s="118">
        <v>42851</v>
      </c>
      <c r="C21" s="15" t="s">
        <v>425</v>
      </c>
      <c r="D21" s="119" t="s">
        <v>10</v>
      </c>
      <c r="E21" s="120">
        <v>89.1</v>
      </c>
      <c r="F21" s="121">
        <v>2940.3</v>
      </c>
    </row>
    <row r="22" spans="2:11" ht="15.75" x14ac:dyDescent="0.25">
      <c r="B22" s="118">
        <v>42851</v>
      </c>
      <c r="C22" s="15" t="s">
        <v>426</v>
      </c>
      <c r="D22" s="119" t="s">
        <v>13</v>
      </c>
      <c r="E22" s="120">
        <f>63+11.6</f>
        <v>74.599999999999994</v>
      </c>
      <c r="F22" s="121">
        <v>2947.6</v>
      </c>
      <c r="I22" s="3"/>
      <c r="J22" s="3"/>
      <c r="K22" s="3">
        <f>SUM(K6:K16)</f>
        <v>39642.659999999996</v>
      </c>
    </row>
    <row r="23" spans="2:11" ht="15.75" x14ac:dyDescent="0.25">
      <c r="B23" s="118">
        <v>42851</v>
      </c>
      <c r="C23" s="15" t="s">
        <v>427</v>
      </c>
      <c r="D23" s="119" t="s">
        <v>12</v>
      </c>
      <c r="E23" s="120">
        <v>262.89999999999998</v>
      </c>
      <c r="F23" s="121">
        <v>8675.7000000000007</v>
      </c>
      <c r="I23" s="3"/>
      <c r="J23" s="3"/>
    </row>
    <row r="24" spans="2:11" ht="15.75" x14ac:dyDescent="0.25">
      <c r="B24" s="118">
        <v>42851</v>
      </c>
      <c r="C24" s="15" t="s">
        <v>428</v>
      </c>
      <c r="D24" s="119" t="s">
        <v>14</v>
      </c>
      <c r="E24" s="120">
        <v>222.3</v>
      </c>
      <c r="F24" s="121">
        <v>7558.2</v>
      </c>
      <c r="I24" s="3"/>
      <c r="J24" s="3"/>
    </row>
    <row r="25" spans="2:11" ht="15.75" x14ac:dyDescent="0.25">
      <c r="B25" s="118">
        <v>42851</v>
      </c>
      <c r="C25" s="15" t="s">
        <v>429</v>
      </c>
      <c r="D25" s="119" t="s">
        <v>11</v>
      </c>
      <c r="E25" s="120">
        <f>75.9+48.3</f>
        <v>124.2</v>
      </c>
      <c r="F25" s="121">
        <v>4195.2</v>
      </c>
      <c r="I25" s="3"/>
      <c r="J25" s="3"/>
    </row>
    <row r="26" spans="2:11" ht="15.75" x14ac:dyDescent="0.25">
      <c r="B26" s="118">
        <v>42851</v>
      </c>
      <c r="C26" s="15" t="s">
        <v>430</v>
      </c>
      <c r="D26" s="119" t="s">
        <v>248</v>
      </c>
      <c r="E26" s="120">
        <v>9</v>
      </c>
      <c r="F26" s="121">
        <v>504</v>
      </c>
      <c r="I26" s="3"/>
      <c r="J26" s="3"/>
    </row>
    <row r="27" spans="2:11" ht="15.75" x14ac:dyDescent="0.25">
      <c r="B27" s="118">
        <v>42851</v>
      </c>
      <c r="C27" s="15" t="s">
        <v>431</v>
      </c>
      <c r="D27" s="119" t="s">
        <v>8</v>
      </c>
      <c r="E27" s="120">
        <f>287+62.9</f>
        <v>349.9</v>
      </c>
      <c r="F27" s="121">
        <v>11959.5</v>
      </c>
      <c r="I27" s="3"/>
      <c r="J27" s="3"/>
    </row>
    <row r="28" spans="2:11" ht="15.75" x14ac:dyDescent="0.25">
      <c r="B28" s="118">
        <v>42852</v>
      </c>
      <c r="C28" s="15" t="s">
        <v>432</v>
      </c>
      <c r="D28" s="119" t="s">
        <v>10</v>
      </c>
      <c r="E28" s="120">
        <f>16.6+57.8</f>
        <v>74.400000000000006</v>
      </c>
      <c r="F28" s="121">
        <v>3689.2</v>
      </c>
      <c r="I28" s="3"/>
      <c r="J28" s="3"/>
    </row>
    <row r="29" spans="2:11" ht="15.75" x14ac:dyDescent="0.25">
      <c r="B29" s="118">
        <v>42852</v>
      </c>
      <c r="C29" s="15" t="s">
        <v>433</v>
      </c>
      <c r="D29" s="119" t="s">
        <v>24</v>
      </c>
      <c r="E29" s="120">
        <f>119.4+42.1</f>
        <v>161.5</v>
      </c>
      <c r="F29" s="121">
        <v>3201.7</v>
      </c>
      <c r="I29" s="3"/>
      <c r="J29" s="3"/>
    </row>
    <row r="30" spans="2:11" ht="15.75" x14ac:dyDescent="0.25">
      <c r="B30" s="118">
        <v>42852</v>
      </c>
      <c r="C30" s="15" t="s">
        <v>434</v>
      </c>
      <c r="D30" s="119" t="s">
        <v>8</v>
      </c>
      <c r="E30" s="120">
        <f>68.1+331.8</f>
        <v>399.9</v>
      </c>
      <c r="F30" s="121">
        <v>15638.1</v>
      </c>
      <c r="I30" s="3"/>
      <c r="J30" s="3"/>
    </row>
    <row r="31" spans="2:11" ht="15.75" x14ac:dyDescent="0.25">
      <c r="B31" s="118">
        <v>42852</v>
      </c>
      <c r="C31" s="15" t="s">
        <v>435</v>
      </c>
      <c r="D31" s="119" t="s">
        <v>11</v>
      </c>
      <c r="E31" s="120">
        <v>102.7</v>
      </c>
      <c r="F31" s="121">
        <v>8113.3</v>
      </c>
      <c r="I31" s="3"/>
      <c r="J31" s="3"/>
    </row>
    <row r="32" spans="2:11" ht="15.75" x14ac:dyDescent="0.25">
      <c r="B32" s="118">
        <v>42853</v>
      </c>
      <c r="C32" s="15" t="s">
        <v>436</v>
      </c>
      <c r="D32" s="119" t="s">
        <v>7</v>
      </c>
      <c r="E32" s="120">
        <v>382.8</v>
      </c>
      <c r="F32" s="121">
        <v>13206.6</v>
      </c>
      <c r="I32" s="3"/>
      <c r="J32" s="3"/>
    </row>
    <row r="33" spans="2:11" ht="15.75" x14ac:dyDescent="0.25">
      <c r="B33" s="118">
        <v>42853</v>
      </c>
      <c r="C33" s="15" t="s">
        <v>437</v>
      </c>
      <c r="D33" s="119" t="s">
        <v>77</v>
      </c>
      <c r="E33" s="120">
        <f>504.6</f>
        <v>504.6</v>
      </c>
      <c r="F33" s="121">
        <v>17408.7</v>
      </c>
      <c r="I33" s="3"/>
      <c r="J33" s="3"/>
    </row>
    <row r="34" spans="2:11" ht="15.75" x14ac:dyDescent="0.25">
      <c r="B34" s="118">
        <v>42853</v>
      </c>
      <c r="C34" s="15" t="s">
        <v>438</v>
      </c>
      <c r="D34" s="119" t="s">
        <v>8</v>
      </c>
      <c r="E34" s="120">
        <v>408.5</v>
      </c>
      <c r="F34" s="121">
        <v>13889</v>
      </c>
      <c r="I34" s="3"/>
      <c r="J34" s="3"/>
    </row>
    <row r="35" spans="2:11" ht="15.75" x14ac:dyDescent="0.25">
      <c r="B35" s="118">
        <v>42853</v>
      </c>
      <c r="C35" s="15" t="s">
        <v>439</v>
      </c>
      <c r="D35" s="119" t="s">
        <v>24</v>
      </c>
      <c r="E35" s="120">
        <f>31.2+19.8</f>
        <v>51</v>
      </c>
      <c r="F35" s="121">
        <v>957.6</v>
      </c>
      <c r="I35" s="3"/>
      <c r="J35" s="3"/>
    </row>
    <row r="36" spans="2:11" ht="15.75" x14ac:dyDescent="0.25">
      <c r="B36" s="118">
        <v>42853</v>
      </c>
      <c r="C36" s="15" t="s">
        <v>440</v>
      </c>
      <c r="D36" s="119" t="s">
        <v>14</v>
      </c>
      <c r="E36" s="120">
        <v>424.2</v>
      </c>
      <c r="F36" s="121">
        <v>14422.8</v>
      </c>
      <c r="I36" s="3"/>
      <c r="J36" s="3"/>
    </row>
    <row r="37" spans="2:11" ht="15.75" x14ac:dyDescent="0.25">
      <c r="B37" s="118">
        <v>42853</v>
      </c>
      <c r="C37" s="15" t="s">
        <v>441</v>
      </c>
      <c r="D37" s="119" t="s">
        <v>13</v>
      </c>
      <c r="E37" s="120">
        <f>70.1+3</f>
        <v>73.099999999999994</v>
      </c>
      <c r="F37" s="121">
        <v>3499.2</v>
      </c>
      <c r="I37" s="3"/>
      <c r="J37" s="3"/>
    </row>
    <row r="38" spans="2:11" ht="15.75" x14ac:dyDescent="0.25">
      <c r="B38" s="118">
        <v>42854</v>
      </c>
      <c r="C38" s="15" t="s">
        <v>442</v>
      </c>
      <c r="D38" s="119" t="s">
        <v>24</v>
      </c>
      <c r="E38" s="120">
        <f>13.61+927.14+36.1+54.2</f>
        <v>1031.05</v>
      </c>
      <c r="F38" s="121">
        <v>35279.599999999999</v>
      </c>
      <c r="I38" s="3"/>
      <c r="J38" s="3"/>
    </row>
    <row r="39" spans="2:11" ht="15.75" x14ac:dyDescent="0.25">
      <c r="B39" s="118">
        <v>42854</v>
      </c>
      <c r="C39" s="15" t="s">
        <v>443</v>
      </c>
      <c r="D39" s="119" t="s">
        <v>8</v>
      </c>
      <c r="E39" s="120">
        <f>66.2+490.8</f>
        <v>557</v>
      </c>
      <c r="F39" s="121">
        <v>21188</v>
      </c>
      <c r="I39" s="3"/>
      <c r="J39" s="3"/>
    </row>
    <row r="40" spans="2:11" ht="15.75" x14ac:dyDescent="0.25">
      <c r="B40" s="118">
        <v>42854</v>
      </c>
      <c r="C40" s="15" t="s">
        <v>444</v>
      </c>
      <c r="D40" s="119" t="s">
        <v>14</v>
      </c>
      <c r="E40" s="120">
        <v>476</v>
      </c>
      <c r="F40" s="121">
        <v>16184</v>
      </c>
      <c r="I40" s="3"/>
      <c r="J40" s="3"/>
    </row>
    <row r="41" spans="2:11" ht="15.75" x14ac:dyDescent="0.25">
      <c r="B41" s="118">
        <v>42854</v>
      </c>
      <c r="C41" s="15" t="s">
        <v>445</v>
      </c>
      <c r="D41" s="119" t="s">
        <v>12</v>
      </c>
      <c r="E41" s="120">
        <f>1+192.4</f>
        <v>193.4</v>
      </c>
      <c r="F41" s="121">
        <v>8850.7999999999993</v>
      </c>
      <c r="I41" s="3"/>
      <c r="J41" s="3"/>
    </row>
    <row r="42" spans="2:11" ht="15.75" x14ac:dyDescent="0.25">
      <c r="B42" s="118">
        <v>42854</v>
      </c>
      <c r="C42" s="15" t="s">
        <v>446</v>
      </c>
      <c r="D42" s="119" t="s">
        <v>248</v>
      </c>
      <c r="E42" s="120">
        <f>57.7+18.2</f>
        <v>75.900000000000006</v>
      </c>
      <c r="F42" s="121">
        <v>2972.5</v>
      </c>
      <c r="I42" s="3"/>
      <c r="J42" s="3"/>
    </row>
    <row r="43" spans="2:11" ht="15.75" x14ac:dyDescent="0.25">
      <c r="B43" s="118">
        <v>42854</v>
      </c>
      <c r="C43" s="15" t="s">
        <v>447</v>
      </c>
      <c r="D43" s="119" t="s">
        <v>248</v>
      </c>
      <c r="E43" s="120">
        <v>225</v>
      </c>
      <c r="F43" s="121">
        <v>8100</v>
      </c>
      <c r="I43" s="3"/>
      <c r="J43" s="3"/>
    </row>
    <row r="44" spans="2:11" ht="15.75" x14ac:dyDescent="0.25">
      <c r="B44" s="118">
        <v>42854</v>
      </c>
      <c r="C44" s="15" t="s">
        <v>448</v>
      </c>
      <c r="D44" s="119" t="s">
        <v>13</v>
      </c>
      <c r="E44" s="120">
        <v>13.2</v>
      </c>
      <c r="F44" s="121">
        <v>356.4</v>
      </c>
      <c r="I44" s="3"/>
      <c r="J44" s="3"/>
    </row>
    <row r="45" spans="2:11" ht="15.75" x14ac:dyDescent="0.25">
      <c r="B45" s="118">
        <v>42854</v>
      </c>
      <c r="C45" s="15" t="s">
        <v>449</v>
      </c>
      <c r="D45" s="119" t="s">
        <v>248</v>
      </c>
      <c r="E45" s="120">
        <v>17.899999999999999</v>
      </c>
      <c r="F45" s="121">
        <v>1503.6</v>
      </c>
      <c r="I45" s="3"/>
      <c r="J45" s="3"/>
    </row>
    <row r="46" spans="2:11" ht="15.75" x14ac:dyDescent="0.25">
      <c r="B46" s="118"/>
      <c r="C46" s="15"/>
      <c r="D46" s="119"/>
      <c r="E46" s="120"/>
      <c r="F46" s="121"/>
      <c r="K46" s="3">
        <f t="shared" ref="K46:K56" si="1">J46*I46</f>
        <v>0</v>
      </c>
    </row>
    <row r="47" spans="2:11" ht="15.75" x14ac:dyDescent="0.25">
      <c r="B47" s="118"/>
      <c r="C47" s="15"/>
      <c r="D47" s="119"/>
      <c r="E47" s="120"/>
      <c r="F47" s="121"/>
      <c r="K47" s="3">
        <f t="shared" si="1"/>
        <v>0</v>
      </c>
    </row>
    <row r="48" spans="2:11" ht="15.75" x14ac:dyDescent="0.25">
      <c r="B48" s="118"/>
      <c r="C48" s="15"/>
      <c r="D48" s="119"/>
      <c r="E48" s="120"/>
      <c r="F48" s="121"/>
      <c r="K48" s="3">
        <f t="shared" si="1"/>
        <v>0</v>
      </c>
    </row>
    <row r="49" spans="2:13" ht="16.5" thickBot="1" x14ac:dyDescent="0.3">
      <c r="B49" s="118"/>
      <c r="C49" s="15"/>
      <c r="D49" s="119"/>
      <c r="E49" s="120"/>
      <c r="F49" s="121"/>
      <c r="K49" s="3">
        <f t="shared" si="1"/>
        <v>0</v>
      </c>
    </row>
    <row r="50" spans="2:13" ht="15.75" thickBot="1" x14ac:dyDescent="0.3">
      <c r="B50" s="29" t="s">
        <v>9</v>
      </c>
      <c r="C50" s="66"/>
      <c r="D50" s="31"/>
      <c r="E50" s="32">
        <v>0</v>
      </c>
      <c r="F50" s="33">
        <f>SUM(F3:F49)</f>
        <v>433555.64999999997</v>
      </c>
      <c r="K50" s="3">
        <f t="shared" si="1"/>
        <v>0</v>
      </c>
    </row>
    <row r="51" spans="2:13" ht="19.5" thickBot="1" x14ac:dyDescent="0.35">
      <c r="B51" s="34"/>
      <c r="C51" s="67"/>
      <c r="D51" s="36" t="s">
        <v>5</v>
      </c>
      <c r="E51" s="37">
        <f>SUM(E3:E50)</f>
        <v>12494.5</v>
      </c>
      <c r="K51" s="3">
        <f t="shared" si="1"/>
        <v>0</v>
      </c>
    </row>
    <row r="52" spans="2:13" x14ac:dyDescent="0.25">
      <c r="B52" s="34"/>
      <c r="C52" s="67"/>
      <c r="D52" s="26"/>
      <c r="E52" s="39"/>
      <c r="K52" s="3">
        <f t="shared" si="1"/>
        <v>0</v>
      </c>
    </row>
    <row r="53" spans="2:13" ht="21.75" thickBot="1" x14ac:dyDescent="0.4">
      <c r="B53" s="40"/>
      <c r="C53" s="41" t="s">
        <v>15</v>
      </c>
      <c r="D53" s="42">
        <f>E51*0.2</f>
        <v>2498.9</v>
      </c>
      <c r="F53"/>
      <c r="K53" s="3">
        <f t="shared" si="1"/>
        <v>0</v>
      </c>
    </row>
    <row r="54" spans="2:13" ht="21.75" thickBot="1" x14ac:dyDescent="0.4">
      <c r="C54" s="41" t="s">
        <v>16</v>
      </c>
      <c r="D54" s="44">
        <v>3400</v>
      </c>
      <c r="E54" s="45"/>
      <c r="F54" s="258">
        <f>D53+D54</f>
        <v>5898.9</v>
      </c>
      <c r="G54" s="259"/>
      <c r="K54" s="3">
        <f t="shared" si="1"/>
        <v>0</v>
      </c>
      <c r="L54" s="46"/>
      <c r="M54" s="46"/>
    </row>
    <row r="55" spans="2:13" ht="17.25" thickTop="1" thickBot="1" x14ac:dyDescent="0.3">
      <c r="E55" s="47" t="s">
        <v>258</v>
      </c>
      <c r="F55" s="142"/>
      <c r="G55" s="48">
        <v>-3400</v>
      </c>
      <c r="K55" s="3">
        <f t="shared" si="1"/>
        <v>0</v>
      </c>
      <c r="L55" s="49"/>
      <c r="M55" s="49"/>
    </row>
    <row r="56" spans="2:13" ht="16.5" thickBot="1" x14ac:dyDescent="0.3">
      <c r="C56" s="50" t="s">
        <v>94</v>
      </c>
      <c r="D56" s="131" t="s">
        <v>450</v>
      </c>
      <c r="E56" s="47" t="s">
        <v>258</v>
      </c>
      <c r="F56" s="125"/>
      <c r="G56" s="135">
        <v>-1800</v>
      </c>
      <c r="K56" s="3">
        <f t="shared" si="1"/>
        <v>0</v>
      </c>
      <c r="L56" s="49"/>
      <c r="M56" s="49"/>
    </row>
    <row r="57" spans="2:13" ht="17.25" thickTop="1" thickBot="1" x14ac:dyDescent="0.3">
      <c r="C57" s="122"/>
      <c r="D57" s="131" t="s">
        <v>451</v>
      </c>
      <c r="E57" s="47" t="s">
        <v>307</v>
      </c>
      <c r="F57" s="124"/>
      <c r="G57" s="136">
        <v>-699</v>
      </c>
      <c r="L57" s="49"/>
      <c r="M57" s="49"/>
    </row>
    <row r="58" spans="2:13" ht="17.25" thickTop="1" thickBot="1" x14ac:dyDescent="0.3">
      <c r="C58" s="52" t="s">
        <v>18</v>
      </c>
      <c r="D58" s="131" t="s">
        <v>452</v>
      </c>
      <c r="F58" s="261">
        <f>SUM(F54:G57)</f>
        <v>-0.1000000000003638</v>
      </c>
      <c r="G58" s="261"/>
      <c r="L58" s="49"/>
      <c r="M58" s="49"/>
    </row>
    <row r="59" spans="2:13" ht="19.5" thickBot="1" x14ac:dyDescent="0.35">
      <c r="E59" s="141" t="s">
        <v>19</v>
      </c>
      <c r="F59" s="262"/>
      <c r="G59" s="262"/>
    </row>
    <row r="62" spans="2:13" x14ac:dyDescent="0.25">
      <c r="I62" s="3"/>
      <c r="J62" s="3"/>
      <c r="K62" s="3">
        <f>SUM(K46:K56)</f>
        <v>0</v>
      </c>
    </row>
  </sheetData>
  <mergeCells count="3">
    <mergeCell ref="B1:C1"/>
    <mergeCell ref="F54:G54"/>
    <mergeCell ref="F58:G59"/>
  </mergeCells>
  <pageMargins left="0.70866141732283472" right="0.11811023622047245" top="0.74803149606299213" bottom="0.74803149606299213" header="0.31496062992125984" footer="0.31496062992125984"/>
  <pageSetup scale="90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6"/>
  <sheetViews>
    <sheetView topLeftCell="A40" workbookViewId="0">
      <selection activeCell="D59" sqref="D59"/>
    </sheetView>
  </sheetViews>
  <sheetFormatPr baseColWidth="10" defaultRowHeight="15" x14ac:dyDescent="0.25"/>
  <cols>
    <col min="1" max="1" width="3.42578125" customWidth="1"/>
    <col min="2" max="2" width="13.42578125" style="96" bestFit="1" customWidth="1"/>
    <col min="3" max="3" width="13.7109375" style="41" customWidth="1"/>
    <col min="4" max="4" width="33.5703125" customWidth="1"/>
    <col min="5" max="5" width="12" bestFit="1" customWidth="1"/>
    <col min="6" max="6" width="14.140625" style="3" bestFit="1" customWidth="1"/>
    <col min="7" max="7" width="15.7109375" customWidth="1"/>
    <col min="11" max="11" width="11.42578125" style="3"/>
  </cols>
  <sheetData>
    <row r="1" spans="2:11" ht="19.5" thickBot="1" x14ac:dyDescent="0.35">
      <c r="B1" s="257">
        <v>42866</v>
      </c>
      <c r="C1" s="257"/>
      <c r="D1" s="145" t="s">
        <v>0</v>
      </c>
      <c r="E1" s="2" t="s">
        <v>1</v>
      </c>
      <c r="K1"/>
    </row>
    <row r="2" spans="2:11" ht="19.5" thickBot="1" x14ac:dyDescent="0.35">
      <c r="B2" s="95" t="s">
        <v>2</v>
      </c>
      <c r="C2" s="5" t="s">
        <v>3</v>
      </c>
      <c r="D2" s="5" t="s">
        <v>4</v>
      </c>
      <c r="E2" s="6" t="s">
        <v>5</v>
      </c>
      <c r="F2" s="139" t="s">
        <v>453</v>
      </c>
      <c r="G2" s="8"/>
      <c r="K2"/>
    </row>
    <row r="3" spans="2:11" ht="15.75" x14ac:dyDescent="0.25">
      <c r="B3" s="83">
        <v>42851</v>
      </c>
      <c r="C3" s="69">
        <v>9472</v>
      </c>
      <c r="D3" s="70" t="s">
        <v>6</v>
      </c>
      <c r="E3" s="76">
        <f>75.4+6+23.9</f>
        <v>105.30000000000001</v>
      </c>
      <c r="F3" s="71">
        <v>3986.6</v>
      </c>
      <c r="K3"/>
    </row>
    <row r="4" spans="2:11" ht="15.75" x14ac:dyDescent="0.25">
      <c r="B4" s="118">
        <v>42854</v>
      </c>
      <c r="C4" s="15">
        <v>9893</v>
      </c>
      <c r="D4" s="119" t="s">
        <v>10</v>
      </c>
      <c r="E4" s="120">
        <f>104.6+10.1</f>
        <v>114.69999999999999</v>
      </c>
      <c r="F4" s="121">
        <v>4051.3</v>
      </c>
      <c r="K4"/>
    </row>
    <row r="5" spans="2:11" ht="15.75" x14ac:dyDescent="0.25">
      <c r="B5" s="118">
        <v>42854</v>
      </c>
      <c r="C5" s="15">
        <v>9963</v>
      </c>
      <c r="D5" s="119" t="s">
        <v>0</v>
      </c>
      <c r="E5" s="120">
        <f>32.1+10.4</f>
        <v>42.5</v>
      </c>
      <c r="F5" s="121">
        <v>1383.5</v>
      </c>
      <c r="K5"/>
    </row>
    <row r="6" spans="2:11" ht="15.75" x14ac:dyDescent="0.25">
      <c r="B6" s="118">
        <v>42857</v>
      </c>
      <c r="C6" s="15">
        <v>10245</v>
      </c>
      <c r="D6" s="119" t="s">
        <v>248</v>
      </c>
      <c r="E6" s="120">
        <v>916.3</v>
      </c>
      <c r="F6" s="121">
        <v>32070.5</v>
      </c>
      <c r="G6" t="s">
        <v>9</v>
      </c>
      <c r="I6">
        <v>385.5</v>
      </c>
      <c r="J6">
        <v>34</v>
      </c>
      <c r="K6" s="3">
        <f t="shared" ref="K6:K16" si="0">J6*I6</f>
        <v>13107</v>
      </c>
    </row>
    <row r="7" spans="2:11" ht="15.75" x14ac:dyDescent="0.25">
      <c r="B7" s="118">
        <v>42857</v>
      </c>
      <c r="C7" s="15">
        <v>10247</v>
      </c>
      <c r="D7" s="119" t="s">
        <v>8</v>
      </c>
      <c r="E7" s="120">
        <v>358.7</v>
      </c>
      <c r="F7" s="121">
        <v>12195.8</v>
      </c>
      <c r="K7" s="3">
        <f t="shared" si="0"/>
        <v>0</v>
      </c>
    </row>
    <row r="8" spans="2:11" ht="15.75" x14ac:dyDescent="0.25">
      <c r="B8" s="118">
        <v>42857</v>
      </c>
      <c r="C8" s="15">
        <v>10248</v>
      </c>
      <c r="D8" s="119" t="s">
        <v>14</v>
      </c>
      <c r="E8" s="120">
        <v>259.5</v>
      </c>
      <c r="F8" s="121">
        <v>8823</v>
      </c>
      <c r="K8" s="3">
        <f t="shared" si="0"/>
        <v>0</v>
      </c>
    </row>
    <row r="9" spans="2:11" ht="15.75" x14ac:dyDescent="0.25">
      <c r="B9" s="118">
        <v>42857</v>
      </c>
      <c r="C9" s="15">
        <v>10251</v>
      </c>
      <c r="D9" s="119" t="s">
        <v>10</v>
      </c>
      <c r="E9" s="120">
        <v>90.3</v>
      </c>
      <c r="F9" s="121">
        <v>3070.2</v>
      </c>
      <c r="K9" s="3">
        <f t="shared" si="0"/>
        <v>0</v>
      </c>
    </row>
    <row r="10" spans="2:11" ht="15.75" x14ac:dyDescent="0.25">
      <c r="B10" s="118">
        <v>42857</v>
      </c>
      <c r="C10" s="15">
        <v>10258</v>
      </c>
      <c r="D10" s="119" t="s">
        <v>24</v>
      </c>
      <c r="E10" s="120">
        <f>44+11.6+29.7</f>
        <v>85.3</v>
      </c>
      <c r="F10" s="121">
        <v>1918.2</v>
      </c>
      <c r="K10" s="3">
        <f t="shared" si="0"/>
        <v>0</v>
      </c>
    </row>
    <row r="11" spans="2:11" ht="15.75" x14ac:dyDescent="0.25">
      <c r="B11" s="118">
        <v>42857</v>
      </c>
      <c r="C11" s="15">
        <v>10259</v>
      </c>
      <c r="D11" s="119" t="s">
        <v>6</v>
      </c>
      <c r="E11" s="120">
        <f>9.5+12.4</f>
        <v>21.9</v>
      </c>
      <c r="F11" s="121">
        <v>989.2</v>
      </c>
      <c r="K11" s="3">
        <f t="shared" si="0"/>
        <v>0</v>
      </c>
    </row>
    <row r="12" spans="2:11" ht="15.75" x14ac:dyDescent="0.25">
      <c r="B12" s="118">
        <v>42857</v>
      </c>
      <c r="C12" s="15">
        <v>10260</v>
      </c>
      <c r="D12" s="119" t="s">
        <v>12</v>
      </c>
      <c r="E12" s="120">
        <f>14.6+188</f>
        <v>202.6</v>
      </c>
      <c r="F12" s="121">
        <v>7092.8</v>
      </c>
      <c r="K12" s="3">
        <f t="shared" si="0"/>
        <v>0</v>
      </c>
    </row>
    <row r="13" spans="2:11" ht="15.75" x14ac:dyDescent="0.25">
      <c r="B13" s="118">
        <v>42858</v>
      </c>
      <c r="C13" s="15">
        <v>10363</v>
      </c>
      <c r="D13" s="119" t="s">
        <v>14</v>
      </c>
      <c r="E13" s="120">
        <v>383.7</v>
      </c>
      <c r="F13" s="121">
        <v>13045.8</v>
      </c>
      <c r="K13" s="3">
        <f t="shared" si="0"/>
        <v>0</v>
      </c>
    </row>
    <row r="14" spans="2:11" ht="15.75" x14ac:dyDescent="0.25">
      <c r="B14" s="118">
        <v>42858</v>
      </c>
      <c r="C14" s="15">
        <v>10366</v>
      </c>
      <c r="D14" s="119" t="s">
        <v>7</v>
      </c>
      <c r="E14" s="120">
        <v>388.4</v>
      </c>
      <c r="F14" s="121">
        <v>13594</v>
      </c>
      <c r="K14" s="3">
        <f t="shared" si="0"/>
        <v>0</v>
      </c>
    </row>
    <row r="15" spans="2:11" ht="15.75" x14ac:dyDescent="0.25">
      <c r="B15" s="118">
        <v>42858</v>
      </c>
      <c r="C15" s="15">
        <v>10367</v>
      </c>
      <c r="D15" s="119" t="s">
        <v>8</v>
      </c>
      <c r="E15" s="120">
        <f>387.2+174.7</f>
        <v>561.9</v>
      </c>
      <c r="F15" s="121">
        <v>25219.1</v>
      </c>
      <c r="K15" s="3">
        <f t="shared" si="0"/>
        <v>0</v>
      </c>
    </row>
    <row r="16" spans="2:11" ht="15.75" x14ac:dyDescent="0.25">
      <c r="B16" s="118">
        <v>42858</v>
      </c>
      <c r="C16" s="15">
        <v>10368</v>
      </c>
      <c r="D16" s="119" t="s">
        <v>0</v>
      </c>
      <c r="E16" s="120">
        <v>102.9</v>
      </c>
      <c r="F16" s="121">
        <v>3498.6</v>
      </c>
      <c r="K16" s="3">
        <f t="shared" si="0"/>
        <v>0</v>
      </c>
    </row>
    <row r="17" spans="2:11" ht="15.75" x14ac:dyDescent="0.25">
      <c r="B17" s="118">
        <v>42858</v>
      </c>
      <c r="C17" s="15">
        <v>10369</v>
      </c>
      <c r="D17" s="119" t="s">
        <v>10</v>
      </c>
      <c r="E17" s="120">
        <f>111.9+3</f>
        <v>114.9</v>
      </c>
      <c r="F17" s="121">
        <v>9171.2999999999993</v>
      </c>
    </row>
    <row r="18" spans="2:11" ht="15.75" x14ac:dyDescent="0.25">
      <c r="B18" s="118">
        <v>42858</v>
      </c>
      <c r="C18" s="15">
        <v>10370</v>
      </c>
      <c r="D18" s="119" t="s">
        <v>24</v>
      </c>
      <c r="E18" s="120">
        <f>42+46.3+17.7</f>
        <v>106</v>
      </c>
      <c r="F18" s="121">
        <v>2380.6</v>
      </c>
    </row>
    <row r="19" spans="2:11" ht="15.75" x14ac:dyDescent="0.25">
      <c r="B19" s="118">
        <v>42858</v>
      </c>
      <c r="C19" s="15">
        <v>10371</v>
      </c>
      <c r="D19" s="119" t="s">
        <v>14</v>
      </c>
      <c r="E19" s="120">
        <v>65.7</v>
      </c>
      <c r="F19" s="121">
        <v>1576.8</v>
      </c>
    </row>
    <row r="20" spans="2:11" ht="15.75" x14ac:dyDescent="0.25">
      <c r="B20" s="118">
        <v>42859</v>
      </c>
      <c r="C20" s="15">
        <v>10478</v>
      </c>
      <c r="D20" s="119" t="s">
        <v>14</v>
      </c>
      <c r="E20" s="120">
        <v>377.8</v>
      </c>
      <c r="F20" s="121">
        <v>12845.2</v>
      </c>
    </row>
    <row r="21" spans="2:11" ht="15.75" x14ac:dyDescent="0.25">
      <c r="B21" s="118">
        <v>42859</v>
      </c>
      <c r="C21" s="15">
        <v>10479</v>
      </c>
      <c r="D21" s="119" t="s">
        <v>7</v>
      </c>
      <c r="E21" s="120">
        <v>385.5</v>
      </c>
      <c r="F21" s="121">
        <v>13107</v>
      </c>
    </row>
    <row r="22" spans="2:11" ht="15.75" x14ac:dyDescent="0.25">
      <c r="B22" s="118">
        <v>42859</v>
      </c>
      <c r="C22" s="15">
        <v>10480</v>
      </c>
      <c r="D22" s="119" t="s">
        <v>77</v>
      </c>
      <c r="E22" s="120">
        <v>382.7</v>
      </c>
      <c r="F22" s="121">
        <v>13394.5</v>
      </c>
      <c r="I22" s="3"/>
      <c r="J22" s="3"/>
      <c r="K22" s="3">
        <f>SUM(K6:K16)</f>
        <v>13107</v>
      </c>
    </row>
    <row r="23" spans="2:11" ht="15.75" x14ac:dyDescent="0.25">
      <c r="B23" s="118">
        <v>42859</v>
      </c>
      <c r="C23" s="15">
        <v>10485</v>
      </c>
      <c r="D23" s="119" t="s">
        <v>24</v>
      </c>
      <c r="E23" s="120">
        <f>930.77+19.2+60.3+66.3</f>
        <v>1076.57</v>
      </c>
      <c r="F23" s="121">
        <v>35734.15</v>
      </c>
      <c r="I23" s="3"/>
      <c r="J23" s="3"/>
    </row>
    <row r="24" spans="2:11" ht="15.75" x14ac:dyDescent="0.25">
      <c r="B24" s="118">
        <v>42859</v>
      </c>
      <c r="C24" s="15">
        <v>10488</v>
      </c>
      <c r="D24" s="119" t="s">
        <v>10</v>
      </c>
      <c r="E24" s="120">
        <v>74.2</v>
      </c>
      <c r="F24" s="121">
        <v>2522.8000000000002</v>
      </c>
      <c r="I24" s="3"/>
      <c r="J24" s="3"/>
    </row>
    <row r="25" spans="2:11" ht="15.75" x14ac:dyDescent="0.25">
      <c r="B25" s="118">
        <v>42859</v>
      </c>
      <c r="C25" s="15">
        <v>10489</v>
      </c>
      <c r="D25" s="119" t="s">
        <v>12</v>
      </c>
      <c r="E25" s="120">
        <v>265.10000000000002</v>
      </c>
      <c r="F25" s="121">
        <v>9013.4</v>
      </c>
      <c r="I25" s="3"/>
      <c r="J25" s="3"/>
    </row>
    <row r="26" spans="2:11" ht="15.75" x14ac:dyDescent="0.25">
      <c r="B26" s="118">
        <v>42859</v>
      </c>
      <c r="C26" s="15">
        <v>10490</v>
      </c>
      <c r="D26" s="119" t="s">
        <v>8</v>
      </c>
      <c r="E26" s="120">
        <f>370.4+167.2+40.3</f>
        <v>577.89999999999986</v>
      </c>
      <c r="F26" s="121">
        <v>25097.599999999999</v>
      </c>
      <c r="I26" s="3"/>
      <c r="J26" s="3"/>
    </row>
    <row r="27" spans="2:11" ht="15.75" x14ac:dyDescent="0.25">
      <c r="B27" s="118">
        <v>42859</v>
      </c>
      <c r="C27" s="15">
        <v>10491</v>
      </c>
      <c r="D27" s="119" t="s">
        <v>6</v>
      </c>
      <c r="E27" s="120">
        <f>16.8+5.5</f>
        <v>22.3</v>
      </c>
      <c r="F27" s="121">
        <v>1015.4</v>
      </c>
      <c r="I27" s="3"/>
      <c r="J27" s="3"/>
    </row>
    <row r="28" spans="2:11" ht="15.75" x14ac:dyDescent="0.25">
      <c r="B28" s="118">
        <v>42860</v>
      </c>
      <c r="C28" s="15">
        <v>10655</v>
      </c>
      <c r="D28" s="119" t="s">
        <v>8</v>
      </c>
      <c r="E28" s="120">
        <v>412.4</v>
      </c>
      <c r="F28" s="121">
        <v>14021.6</v>
      </c>
      <c r="I28" s="3"/>
      <c r="J28" s="3"/>
    </row>
    <row r="29" spans="2:11" ht="15.75" x14ac:dyDescent="0.25">
      <c r="B29" s="118">
        <v>42860</v>
      </c>
      <c r="C29" s="15">
        <v>10657</v>
      </c>
      <c r="D29" s="119" t="s">
        <v>14</v>
      </c>
      <c r="E29" s="120">
        <v>430.6</v>
      </c>
      <c r="F29" s="121">
        <v>14640.4</v>
      </c>
      <c r="I29" s="3"/>
      <c r="J29" s="3"/>
    </row>
    <row r="30" spans="2:11" ht="15.75" x14ac:dyDescent="0.25">
      <c r="B30" s="118">
        <v>42860</v>
      </c>
      <c r="C30" s="15">
        <v>10658</v>
      </c>
      <c r="D30" s="119" t="s">
        <v>11</v>
      </c>
      <c r="E30" s="120">
        <v>440.9</v>
      </c>
      <c r="F30" s="121">
        <v>15431.5</v>
      </c>
      <c r="I30" s="3"/>
      <c r="J30" s="3"/>
    </row>
    <row r="31" spans="2:11" ht="15.75" x14ac:dyDescent="0.25">
      <c r="B31" s="118">
        <v>42860</v>
      </c>
      <c r="C31" s="15">
        <v>10659</v>
      </c>
      <c r="D31" s="119" t="s">
        <v>7</v>
      </c>
      <c r="E31" s="120">
        <v>423.6</v>
      </c>
      <c r="F31" s="121">
        <v>14826</v>
      </c>
      <c r="I31" s="3"/>
      <c r="J31" s="3"/>
    </row>
    <row r="32" spans="2:11" ht="15.75" x14ac:dyDescent="0.25">
      <c r="B32" s="118">
        <v>42860</v>
      </c>
      <c r="C32" s="15">
        <v>10662</v>
      </c>
      <c r="D32" s="119" t="s">
        <v>10</v>
      </c>
      <c r="E32" s="120">
        <v>95</v>
      </c>
      <c r="F32" s="121">
        <v>3230</v>
      </c>
      <c r="I32" s="3"/>
      <c r="J32" s="3"/>
    </row>
    <row r="33" spans="2:13" ht="15.75" x14ac:dyDescent="0.25">
      <c r="B33" s="118">
        <v>42860</v>
      </c>
      <c r="C33" s="15">
        <v>10666</v>
      </c>
      <c r="D33" s="119" t="s">
        <v>248</v>
      </c>
      <c r="E33" s="120">
        <v>398.6</v>
      </c>
      <c r="F33" s="121">
        <v>14150.3</v>
      </c>
      <c r="I33" s="3"/>
      <c r="J33" s="3"/>
    </row>
    <row r="34" spans="2:13" ht="15.75" x14ac:dyDescent="0.25">
      <c r="B34" s="118">
        <v>42860</v>
      </c>
      <c r="C34" s="15">
        <v>10674</v>
      </c>
      <c r="D34" s="119" t="s">
        <v>12</v>
      </c>
      <c r="E34" s="120">
        <v>20</v>
      </c>
      <c r="F34" s="121">
        <v>380</v>
      </c>
      <c r="I34" s="3"/>
      <c r="J34" s="3"/>
    </row>
    <row r="35" spans="2:13" ht="15.75" x14ac:dyDescent="0.25">
      <c r="B35" s="118">
        <v>42860</v>
      </c>
      <c r="C35" s="15">
        <v>10748</v>
      </c>
      <c r="D35" s="119" t="s">
        <v>13</v>
      </c>
      <c r="E35" s="120">
        <v>65</v>
      </c>
      <c r="F35" s="121">
        <v>2795</v>
      </c>
      <c r="I35" s="3"/>
      <c r="J35" s="3"/>
    </row>
    <row r="36" spans="2:13" ht="15.75" x14ac:dyDescent="0.25">
      <c r="B36" s="118">
        <v>42861</v>
      </c>
      <c r="C36" s="15">
        <v>10822</v>
      </c>
      <c r="D36" s="119" t="s">
        <v>14</v>
      </c>
      <c r="E36" s="120">
        <v>423.5</v>
      </c>
      <c r="F36" s="121">
        <v>14399</v>
      </c>
      <c r="I36" s="3"/>
      <c r="J36" s="3"/>
    </row>
    <row r="37" spans="2:13" ht="15.75" x14ac:dyDescent="0.25">
      <c r="B37" s="118">
        <v>42861</v>
      </c>
      <c r="C37" s="15">
        <v>10824</v>
      </c>
      <c r="D37" s="119" t="s">
        <v>8</v>
      </c>
      <c r="E37" s="120">
        <v>393.5</v>
      </c>
      <c r="F37" s="121">
        <v>13379</v>
      </c>
      <c r="I37" s="3"/>
      <c r="J37" s="3"/>
    </row>
    <row r="38" spans="2:13" ht="15.75" x14ac:dyDescent="0.25">
      <c r="B38" s="118">
        <v>42861</v>
      </c>
      <c r="C38" s="15">
        <v>10826</v>
      </c>
      <c r="D38" s="119" t="s">
        <v>7</v>
      </c>
      <c r="E38" s="120">
        <v>430.1</v>
      </c>
      <c r="F38" s="121">
        <v>15053.5</v>
      </c>
      <c r="I38" s="3"/>
      <c r="J38" s="3"/>
    </row>
    <row r="39" spans="2:13" ht="15.75" x14ac:dyDescent="0.25">
      <c r="B39" s="118">
        <v>42861</v>
      </c>
      <c r="C39" s="15">
        <v>10827</v>
      </c>
      <c r="D39" s="119" t="s">
        <v>12</v>
      </c>
      <c r="E39" s="120">
        <v>357.8</v>
      </c>
      <c r="F39" s="121">
        <v>12165.2</v>
      </c>
      <c r="I39" s="3"/>
      <c r="J39" s="3"/>
    </row>
    <row r="40" spans="2:13" ht="15.75" x14ac:dyDescent="0.25">
      <c r="B40" s="118">
        <v>42861</v>
      </c>
      <c r="C40" s="15">
        <v>10832</v>
      </c>
      <c r="D40" s="119" t="s">
        <v>0</v>
      </c>
      <c r="E40" s="120">
        <f>85.9+16.7</f>
        <v>102.60000000000001</v>
      </c>
      <c r="F40" s="121">
        <v>3288</v>
      </c>
      <c r="I40" s="3"/>
      <c r="J40" s="3"/>
    </row>
    <row r="41" spans="2:13" ht="15.75" x14ac:dyDescent="0.25">
      <c r="B41" s="118">
        <v>42861</v>
      </c>
      <c r="C41" s="15">
        <v>10839</v>
      </c>
      <c r="D41" s="119" t="s">
        <v>13</v>
      </c>
      <c r="E41" s="120">
        <f>3+37+134.1</f>
        <v>174.1</v>
      </c>
      <c r="F41" s="121">
        <v>8060.3</v>
      </c>
      <c r="I41" s="3"/>
      <c r="J41" s="3"/>
    </row>
    <row r="42" spans="2:13" ht="16.5" thickBot="1" x14ac:dyDescent="0.3">
      <c r="B42" s="118">
        <v>42861</v>
      </c>
      <c r="C42" s="15">
        <v>10846</v>
      </c>
      <c r="D42" s="119" t="s">
        <v>248</v>
      </c>
      <c r="E42" s="120">
        <v>87.4</v>
      </c>
      <c r="F42" s="121">
        <v>2971.6</v>
      </c>
      <c r="I42" s="3"/>
      <c r="J42" s="3"/>
    </row>
    <row r="43" spans="2:13" ht="15.75" thickBot="1" x14ac:dyDescent="0.3">
      <c r="B43" s="29" t="s">
        <v>9</v>
      </c>
      <c r="C43" s="66"/>
      <c r="D43" s="31"/>
      <c r="E43" s="32">
        <v>0</v>
      </c>
      <c r="F43" s="33">
        <f>SUM(F3:F42)</f>
        <v>405588.74999999994</v>
      </c>
      <c r="K43" s="3">
        <f t="shared" ref="K43:K50" si="1">J43*I43</f>
        <v>0</v>
      </c>
    </row>
    <row r="44" spans="2:13" ht="19.5" thickBot="1" x14ac:dyDescent="0.35">
      <c r="B44" s="34"/>
      <c r="C44" s="67"/>
      <c r="D44" s="36" t="s">
        <v>5</v>
      </c>
      <c r="E44" s="37">
        <f>SUM(E3:E43)</f>
        <v>11337.77</v>
      </c>
      <c r="K44" s="3">
        <f t="shared" si="1"/>
        <v>0</v>
      </c>
    </row>
    <row r="45" spans="2:13" x14ac:dyDescent="0.25">
      <c r="B45" s="34"/>
      <c r="C45" s="67"/>
      <c r="D45" s="26"/>
      <c r="E45" s="39"/>
      <c r="K45" s="3">
        <f t="shared" si="1"/>
        <v>0</v>
      </c>
    </row>
    <row r="46" spans="2:13" ht="19.5" thickBot="1" x14ac:dyDescent="0.35">
      <c r="B46" s="40"/>
      <c r="C46" s="41" t="s">
        <v>15</v>
      </c>
      <c r="D46" s="149">
        <f>E44*0.2</f>
        <v>2267.5540000000001</v>
      </c>
      <c r="F46"/>
      <c r="K46" s="3">
        <f t="shared" si="1"/>
        <v>0</v>
      </c>
    </row>
    <row r="47" spans="2:13" ht="21.75" thickBot="1" x14ac:dyDescent="0.4">
      <c r="C47" s="41" t="s">
        <v>16</v>
      </c>
      <c r="D47" s="44">
        <v>3400</v>
      </c>
      <c r="E47" s="45"/>
      <c r="F47" s="258">
        <f>D46+D47</f>
        <v>5667.5540000000001</v>
      </c>
      <c r="G47" s="259"/>
      <c r="K47" s="3">
        <f t="shared" si="1"/>
        <v>0</v>
      </c>
      <c r="L47" s="46"/>
      <c r="M47" s="46"/>
    </row>
    <row r="48" spans="2:13" ht="22.5" thickTop="1" thickBot="1" x14ac:dyDescent="0.4">
      <c r="D48" s="146"/>
      <c r="E48" s="47" t="s">
        <v>258</v>
      </c>
      <c r="G48" s="147">
        <v>-3400</v>
      </c>
      <c r="L48" s="46"/>
      <c r="M48" s="46"/>
    </row>
    <row r="49" spans="3:13" ht="16.5" thickBot="1" x14ac:dyDescent="0.3">
      <c r="D49" s="131" t="s">
        <v>454</v>
      </c>
      <c r="E49" s="47" t="s">
        <v>258</v>
      </c>
      <c r="F49" s="142"/>
      <c r="G49" s="48">
        <v>-1039</v>
      </c>
      <c r="K49" s="3">
        <f t="shared" si="1"/>
        <v>0</v>
      </c>
      <c r="L49" s="49"/>
      <c r="M49" s="49"/>
    </row>
    <row r="50" spans="3:13" ht="16.5" thickBot="1" x14ac:dyDescent="0.3">
      <c r="C50" s="50" t="s">
        <v>455</v>
      </c>
      <c r="D50" s="131" t="s">
        <v>456</v>
      </c>
      <c r="E50" s="47" t="s">
        <v>258</v>
      </c>
      <c r="F50" s="125"/>
      <c r="G50" s="135">
        <v>-761</v>
      </c>
      <c r="K50" s="3">
        <f t="shared" si="1"/>
        <v>0</v>
      </c>
      <c r="L50" s="49"/>
      <c r="M50" s="49"/>
    </row>
    <row r="51" spans="3:13" ht="17.25" thickTop="1" thickBot="1" x14ac:dyDescent="0.3">
      <c r="C51" s="122" t="s">
        <v>311</v>
      </c>
      <c r="D51" s="131" t="s">
        <v>458</v>
      </c>
      <c r="E51" s="47" t="s">
        <v>307</v>
      </c>
      <c r="F51" s="124"/>
      <c r="G51" s="136">
        <v>-467</v>
      </c>
      <c r="L51" s="49"/>
      <c r="M51" s="49"/>
    </row>
    <row r="52" spans="3:13" ht="17.25" customHeight="1" thickBot="1" x14ac:dyDescent="0.4">
      <c r="C52" s="52" t="s">
        <v>18</v>
      </c>
      <c r="D52" s="131" t="s">
        <v>457</v>
      </c>
      <c r="E52" s="4" t="s">
        <v>258</v>
      </c>
      <c r="F52" s="263">
        <f>SUM(F47:G51)</f>
        <v>0.55400000000008731</v>
      </c>
      <c r="G52" s="264"/>
      <c r="L52" s="49"/>
      <c r="M52" s="49"/>
    </row>
    <row r="53" spans="3:13" ht="19.5" customHeight="1" x14ac:dyDescent="0.35">
      <c r="F53" s="148"/>
      <c r="G53" s="148"/>
    </row>
    <row r="54" spans="3:13" x14ac:dyDescent="0.25">
      <c r="F54" s="27"/>
      <c r="G54" s="26"/>
    </row>
    <row r="56" spans="3:13" x14ac:dyDescent="0.25">
      <c r="I56" s="3"/>
      <c r="J56" s="3"/>
      <c r="K56" s="3">
        <f>SUM(K43:K50)</f>
        <v>0</v>
      </c>
    </row>
  </sheetData>
  <mergeCells count="3">
    <mergeCell ref="B1:C1"/>
    <mergeCell ref="F47:G47"/>
    <mergeCell ref="F52:G52"/>
  </mergeCells>
  <pageMargins left="0.31496062992125984" right="0.11811023622047245" top="0.35433070866141736" bottom="0" header="0.31496062992125984" footer="0.31496062992125984"/>
  <pageSetup scale="90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7"/>
  <sheetViews>
    <sheetView topLeftCell="A28" workbookViewId="0">
      <selection activeCell="B45" sqref="B45"/>
    </sheetView>
  </sheetViews>
  <sheetFormatPr baseColWidth="10" defaultRowHeight="15" x14ac:dyDescent="0.25"/>
  <cols>
    <col min="1" max="1" width="3.42578125" customWidth="1"/>
    <col min="2" max="2" width="13.42578125" style="96" bestFit="1" customWidth="1"/>
    <col min="3" max="3" width="13.7109375" style="41" customWidth="1"/>
    <col min="4" max="4" width="28.5703125" bestFit="1" customWidth="1"/>
    <col min="5" max="5" width="12" bestFit="1" customWidth="1"/>
    <col min="6" max="6" width="14.140625" style="3" bestFit="1" customWidth="1"/>
    <col min="7" max="7" width="15.7109375" customWidth="1"/>
    <col min="11" max="11" width="11.42578125" style="3"/>
  </cols>
  <sheetData>
    <row r="1" spans="2:11" ht="19.5" thickBot="1" x14ac:dyDescent="0.35">
      <c r="B1" s="257">
        <v>42873</v>
      </c>
      <c r="C1" s="257"/>
      <c r="D1" s="150" t="s">
        <v>0</v>
      </c>
      <c r="E1" s="2" t="s">
        <v>1</v>
      </c>
      <c r="K1"/>
    </row>
    <row r="2" spans="2:11" ht="19.5" thickBot="1" x14ac:dyDescent="0.35">
      <c r="B2" s="95" t="s">
        <v>2</v>
      </c>
      <c r="C2" s="5" t="s">
        <v>3</v>
      </c>
      <c r="D2" s="5" t="s">
        <v>4</v>
      </c>
      <c r="E2" s="6" t="s">
        <v>5</v>
      </c>
      <c r="F2" s="139" t="s">
        <v>459</v>
      </c>
      <c r="G2" s="8"/>
      <c r="K2"/>
    </row>
    <row r="3" spans="2:11" ht="15.75" x14ac:dyDescent="0.25">
      <c r="B3" s="83">
        <v>42853</v>
      </c>
      <c r="C3" s="69" t="s">
        <v>460</v>
      </c>
      <c r="D3" s="70" t="s">
        <v>6</v>
      </c>
      <c r="E3" s="76">
        <f>10.4+11.7+326.1+161.4</f>
        <v>509.6</v>
      </c>
      <c r="F3" s="71">
        <v>23113.55</v>
      </c>
      <c r="K3"/>
    </row>
    <row r="4" spans="2:11" ht="15.75" x14ac:dyDescent="0.25">
      <c r="B4" s="118">
        <v>42853</v>
      </c>
      <c r="C4" s="15">
        <v>9717</v>
      </c>
      <c r="D4" s="119" t="s">
        <v>0</v>
      </c>
      <c r="E4" s="120">
        <f>83.4+83.9</f>
        <v>167.3</v>
      </c>
      <c r="F4" s="121">
        <v>9608</v>
      </c>
      <c r="K4"/>
    </row>
    <row r="5" spans="2:11" ht="15.75" x14ac:dyDescent="0.25">
      <c r="B5" s="118">
        <v>42853</v>
      </c>
      <c r="C5" s="15">
        <v>10256</v>
      </c>
      <c r="D5" s="119" t="s">
        <v>461</v>
      </c>
      <c r="E5" s="120">
        <v>86.8</v>
      </c>
      <c r="F5" s="121">
        <v>2951.2</v>
      </c>
      <c r="K5"/>
    </row>
    <row r="6" spans="2:11" ht="15.75" x14ac:dyDescent="0.25">
      <c r="B6" s="118">
        <v>42860</v>
      </c>
      <c r="C6" s="15">
        <v>10660</v>
      </c>
      <c r="D6" s="119" t="s">
        <v>461</v>
      </c>
      <c r="E6" s="120">
        <v>80.3</v>
      </c>
      <c r="F6" s="121">
        <v>1927.2</v>
      </c>
      <c r="G6" t="s">
        <v>9</v>
      </c>
      <c r="K6" s="3">
        <f t="shared" ref="K6:K16" si="0">J6*I6</f>
        <v>0</v>
      </c>
    </row>
    <row r="7" spans="2:11" ht="15.75" x14ac:dyDescent="0.25">
      <c r="B7" s="118">
        <v>42860</v>
      </c>
      <c r="C7" s="15">
        <v>10661</v>
      </c>
      <c r="D7" s="119" t="s">
        <v>6</v>
      </c>
      <c r="E7" s="120">
        <f>80.1+436.5</f>
        <v>516.6</v>
      </c>
      <c r="F7" s="121">
        <v>20644.2</v>
      </c>
      <c r="K7" s="3">
        <f t="shared" si="0"/>
        <v>0</v>
      </c>
    </row>
    <row r="8" spans="2:11" ht="15.75" x14ac:dyDescent="0.25">
      <c r="B8" s="118">
        <v>42861</v>
      </c>
      <c r="C8" s="15">
        <v>10838</v>
      </c>
      <c r="D8" s="119" t="s">
        <v>461</v>
      </c>
      <c r="E8" s="120">
        <f>64.9+48.5+83.2</f>
        <v>196.60000000000002</v>
      </c>
      <c r="F8" s="121">
        <v>5031.8999999999996</v>
      </c>
      <c r="K8" s="3">
        <f t="shared" si="0"/>
        <v>0</v>
      </c>
    </row>
    <row r="9" spans="2:11" ht="15.75" x14ac:dyDescent="0.25">
      <c r="B9" s="118">
        <v>42861</v>
      </c>
      <c r="C9" s="15">
        <v>10842</v>
      </c>
      <c r="D9" s="119" t="s">
        <v>91</v>
      </c>
      <c r="E9" s="120">
        <f>940.29+2+60.2</f>
        <v>1002.49</v>
      </c>
      <c r="F9" s="121">
        <v>34484.15</v>
      </c>
      <c r="K9" s="3">
        <f t="shared" si="0"/>
        <v>0</v>
      </c>
    </row>
    <row r="10" spans="2:11" ht="15.75" x14ac:dyDescent="0.25">
      <c r="B10" s="118">
        <v>42861</v>
      </c>
      <c r="C10" s="15">
        <v>10844</v>
      </c>
      <c r="D10" s="119" t="s">
        <v>10</v>
      </c>
      <c r="E10" s="120">
        <f>39.3+9.9+1+1</f>
        <v>51.199999999999996</v>
      </c>
      <c r="F10" s="121">
        <v>3000.1</v>
      </c>
      <c r="K10" s="3">
        <f t="shared" si="0"/>
        <v>0</v>
      </c>
    </row>
    <row r="11" spans="2:11" ht="15.75" x14ac:dyDescent="0.25">
      <c r="B11" s="118">
        <v>42864</v>
      </c>
      <c r="C11" s="15">
        <v>11173</v>
      </c>
      <c r="D11" s="119" t="s">
        <v>7</v>
      </c>
      <c r="E11" s="120">
        <v>534.70000000000005</v>
      </c>
      <c r="F11" s="121">
        <v>18179.8</v>
      </c>
      <c r="K11" s="3">
        <f t="shared" si="0"/>
        <v>0</v>
      </c>
    </row>
    <row r="12" spans="2:11" ht="15.75" x14ac:dyDescent="0.25">
      <c r="B12" s="118">
        <v>42864</v>
      </c>
      <c r="C12" s="15">
        <v>11174</v>
      </c>
      <c r="D12" s="119" t="s">
        <v>12</v>
      </c>
      <c r="E12" s="120">
        <v>193.1</v>
      </c>
      <c r="F12" s="121">
        <v>6565.4</v>
      </c>
      <c r="K12" s="3">
        <f t="shared" si="0"/>
        <v>0</v>
      </c>
    </row>
    <row r="13" spans="2:11" ht="15.75" x14ac:dyDescent="0.25">
      <c r="B13" s="118">
        <v>42864</v>
      </c>
      <c r="C13" s="15">
        <v>11175</v>
      </c>
      <c r="D13" s="119" t="s">
        <v>461</v>
      </c>
      <c r="E13" s="120">
        <v>66.400000000000006</v>
      </c>
      <c r="F13" s="121">
        <v>2921.6</v>
      </c>
      <c r="K13" s="3">
        <f t="shared" si="0"/>
        <v>0</v>
      </c>
    </row>
    <row r="14" spans="2:11" ht="15.75" x14ac:dyDescent="0.25">
      <c r="B14" s="118">
        <v>42864</v>
      </c>
      <c r="C14" s="15">
        <v>11178</v>
      </c>
      <c r="D14" s="119" t="s">
        <v>11</v>
      </c>
      <c r="E14" s="120">
        <f>66.1+88</f>
        <v>154.1</v>
      </c>
      <c r="F14" s="121">
        <v>9618.2999999999993</v>
      </c>
      <c r="K14" s="3">
        <f t="shared" si="0"/>
        <v>0</v>
      </c>
    </row>
    <row r="15" spans="2:11" ht="15.75" x14ac:dyDescent="0.25">
      <c r="B15" s="118">
        <v>42864</v>
      </c>
      <c r="C15" s="15">
        <v>11182</v>
      </c>
      <c r="D15" s="119" t="s">
        <v>14</v>
      </c>
      <c r="E15" s="120">
        <v>64.400000000000006</v>
      </c>
      <c r="F15" s="121">
        <v>3081.2</v>
      </c>
      <c r="K15" s="3">
        <f t="shared" si="0"/>
        <v>0</v>
      </c>
    </row>
    <row r="16" spans="2:11" ht="15.75" x14ac:dyDescent="0.25">
      <c r="B16" s="118">
        <v>42864</v>
      </c>
      <c r="C16" s="15">
        <v>11184</v>
      </c>
      <c r="D16" s="119" t="s">
        <v>10</v>
      </c>
      <c r="E16" s="120">
        <v>23</v>
      </c>
      <c r="F16" s="121">
        <v>1104</v>
      </c>
      <c r="K16" s="3">
        <f t="shared" si="0"/>
        <v>0</v>
      </c>
    </row>
    <row r="17" spans="2:11" ht="15.75" x14ac:dyDescent="0.25">
      <c r="B17" s="118">
        <v>42864</v>
      </c>
      <c r="C17" s="15">
        <v>11185</v>
      </c>
      <c r="D17" s="119" t="s">
        <v>13</v>
      </c>
      <c r="E17" s="120">
        <f>69.7+15.3</f>
        <v>85</v>
      </c>
      <c r="F17" s="121">
        <v>3731.5</v>
      </c>
    </row>
    <row r="18" spans="2:11" ht="15.75" x14ac:dyDescent="0.25">
      <c r="B18" s="118">
        <v>42864</v>
      </c>
      <c r="C18" s="15">
        <v>11190</v>
      </c>
      <c r="D18" s="119" t="s">
        <v>91</v>
      </c>
      <c r="E18" s="120">
        <f>63.8+79+37.2</f>
        <v>180</v>
      </c>
      <c r="F18" s="121">
        <v>3841.6</v>
      </c>
    </row>
    <row r="19" spans="2:11" ht="15.75" x14ac:dyDescent="0.25">
      <c r="B19" s="118">
        <v>42864</v>
      </c>
      <c r="C19" s="15">
        <v>11194</v>
      </c>
      <c r="D19" s="119" t="s">
        <v>461</v>
      </c>
      <c r="E19" s="120">
        <f>86.5+74.9+58.1</f>
        <v>219.5</v>
      </c>
      <c r="F19" s="121">
        <v>5451.2</v>
      </c>
    </row>
    <row r="20" spans="2:11" ht="15.75" x14ac:dyDescent="0.25">
      <c r="B20" s="118">
        <v>42865</v>
      </c>
      <c r="C20" s="15">
        <v>11327</v>
      </c>
      <c r="D20" s="119" t="s">
        <v>77</v>
      </c>
      <c r="E20" s="120">
        <v>413.1</v>
      </c>
      <c r="F20" s="121">
        <v>14458.5</v>
      </c>
    </row>
    <row r="21" spans="2:11" ht="15.75" x14ac:dyDescent="0.25">
      <c r="B21" s="118">
        <v>42865</v>
      </c>
      <c r="C21" s="15">
        <v>11328</v>
      </c>
      <c r="D21" s="119" t="s">
        <v>14</v>
      </c>
      <c r="E21" s="120">
        <v>406.2</v>
      </c>
      <c r="F21" s="121">
        <v>13810.8</v>
      </c>
    </row>
    <row r="22" spans="2:11" ht="15.75" x14ac:dyDescent="0.25">
      <c r="B22" s="118">
        <v>42865</v>
      </c>
      <c r="C22" s="15">
        <v>11329</v>
      </c>
      <c r="D22" s="119" t="s">
        <v>7</v>
      </c>
      <c r="E22" s="120">
        <v>441.8</v>
      </c>
      <c r="F22" s="121">
        <v>15463</v>
      </c>
      <c r="I22" s="3">
        <f t="shared" ref="I22" si="1">SUM(I6:I16)</f>
        <v>0</v>
      </c>
      <c r="J22" s="3"/>
      <c r="K22" s="3">
        <f>SUM(K6:K16)</f>
        <v>0</v>
      </c>
    </row>
    <row r="23" spans="2:11" ht="15.75" x14ac:dyDescent="0.25">
      <c r="B23" s="118">
        <v>42865</v>
      </c>
      <c r="C23" s="15">
        <v>11330</v>
      </c>
      <c r="D23" s="119" t="s">
        <v>10</v>
      </c>
      <c r="E23" s="120">
        <v>85</v>
      </c>
      <c r="F23" s="121">
        <v>2975</v>
      </c>
      <c r="I23" s="3"/>
      <c r="J23" s="3"/>
    </row>
    <row r="24" spans="2:11" ht="15.75" x14ac:dyDescent="0.25">
      <c r="B24" s="118">
        <v>42865</v>
      </c>
      <c r="C24" s="15">
        <v>11333</v>
      </c>
      <c r="D24" s="119" t="s">
        <v>8</v>
      </c>
      <c r="E24" s="120">
        <f>450.4+130.3+19.5</f>
        <v>600.20000000000005</v>
      </c>
      <c r="F24" s="121">
        <v>20791.5</v>
      </c>
      <c r="I24" s="3"/>
      <c r="J24" s="3"/>
    </row>
    <row r="25" spans="2:11" ht="15.75" x14ac:dyDescent="0.25">
      <c r="B25" s="118">
        <v>42865</v>
      </c>
      <c r="C25" s="15">
        <v>11334</v>
      </c>
      <c r="D25" s="119" t="s">
        <v>13</v>
      </c>
      <c r="E25" s="120">
        <v>69.099999999999994</v>
      </c>
      <c r="F25" s="121">
        <v>3040.4</v>
      </c>
      <c r="I25" s="3"/>
      <c r="J25" s="3"/>
    </row>
    <row r="26" spans="2:11" ht="15.75" x14ac:dyDescent="0.25">
      <c r="B26" s="118">
        <v>42865</v>
      </c>
      <c r="C26" s="15">
        <v>11336</v>
      </c>
      <c r="D26" s="119" t="s">
        <v>461</v>
      </c>
      <c r="E26" s="120">
        <f>944.37+48.1+8.6</f>
        <v>1001.07</v>
      </c>
      <c r="F26" s="121">
        <v>35624.720000000001</v>
      </c>
      <c r="I26" s="3"/>
      <c r="J26" s="3"/>
    </row>
    <row r="27" spans="2:11" ht="15.75" x14ac:dyDescent="0.25">
      <c r="B27" s="118">
        <v>42866</v>
      </c>
      <c r="C27" s="15">
        <v>11444</v>
      </c>
      <c r="D27" s="119" t="s">
        <v>77</v>
      </c>
      <c r="E27" s="120">
        <v>444.5</v>
      </c>
      <c r="F27" s="121">
        <v>15557.5</v>
      </c>
      <c r="I27" s="3"/>
      <c r="J27" s="3"/>
    </row>
    <row r="28" spans="2:11" ht="15.75" x14ac:dyDescent="0.25">
      <c r="B28" s="118">
        <v>42866</v>
      </c>
      <c r="C28" s="15">
        <v>11445</v>
      </c>
      <c r="D28" s="119" t="s">
        <v>12</v>
      </c>
      <c r="E28" s="120">
        <v>288.3</v>
      </c>
      <c r="F28" s="121">
        <v>10090.5</v>
      </c>
      <c r="I28" s="3"/>
      <c r="J28" s="3"/>
    </row>
    <row r="29" spans="2:11" ht="15.75" x14ac:dyDescent="0.25">
      <c r="B29" s="118">
        <v>42866</v>
      </c>
      <c r="C29" s="15">
        <v>11446</v>
      </c>
      <c r="D29" s="119" t="s">
        <v>461</v>
      </c>
      <c r="E29" s="120">
        <v>429</v>
      </c>
      <c r="F29" s="121">
        <v>15658.5</v>
      </c>
      <c r="I29" s="3"/>
      <c r="J29" s="3"/>
    </row>
    <row r="30" spans="2:11" ht="15.75" x14ac:dyDescent="0.25">
      <c r="B30" s="118">
        <v>42866</v>
      </c>
      <c r="C30" s="15">
        <v>11448</v>
      </c>
      <c r="D30" s="119" t="s">
        <v>14</v>
      </c>
      <c r="E30" s="120">
        <f>438.2+113.2+60.7</f>
        <v>612.1</v>
      </c>
      <c r="F30" s="121">
        <v>21095.4</v>
      </c>
      <c r="I30" s="3"/>
      <c r="J30" s="3"/>
    </row>
    <row r="31" spans="2:11" ht="15.75" x14ac:dyDescent="0.25">
      <c r="B31" s="118">
        <v>42866</v>
      </c>
      <c r="C31" s="15">
        <v>11451</v>
      </c>
      <c r="D31" s="119" t="s">
        <v>13</v>
      </c>
      <c r="E31" s="120">
        <f>2+51.1</f>
        <v>53.1</v>
      </c>
      <c r="F31" s="121">
        <v>2873.9</v>
      </c>
      <c r="I31" s="3"/>
      <c r="J31" s="3"/>
    </row>
    <row r="32" spans="2:11" ht="15.75" x14ac:dyDescent="0.25">
      <c r="B32" s="118">
        <v>42866</v>
      </c>
      <c r="C32" s="15">
        <v>11452</v>
      </c>
      <c r="D32" s="119" t="s">
        <v>8</v>
      </c>
      <c r="E32" s="120">
        <f>197.3+454.6</f>
        <v>651.90000000000009</v>
      </c>
      <c r="F32" s="121">
        <v>29524.7</v>
      </c>
      <c r="I32" s="3"/>
      <c r="J32" s="3"/>
    </row>
    <row r="33" spans="2:13" ht="15.75" x14ac:dyDescent="0.25">
      <c r="B33" s="118">
        <v>42866</v>
      </c>
      <c r="C33" s="15">
        <v>11455</v>
      </c>
      <c r="D33" s="119" t="s">
        <v>91</v>
      </c>
      <c r="E33" s="120">
        <f>909.9+13.61+63.7+57.3</f>
        <v>1044.51</v>
      </c>
      <c r="F33" s="121">
        <v>36018.050000000003</v>
      </c>
      <c r="I33" s="3"/>
      <c r="J33" s="3"/>
    </row>
    <row r="34" spans="2:13" ht="15.75" x14ac:dyDescent="0.25">
      <c r="B34" s="118">
        <v>42867</v>
      </c>
      <c r="C34" s="15">
        <v>11618</v>
      </c>
      <c r="D34" s="119" t="s">
        <v>7</v>
      </c>
      <c r="E34" s="120">
        <v>390.7</v>
      </c>
      <c r="F34" s="121">
        <v>14065.2</v>
      </c>
      <c r="I34" s="3"/>
      <c r="J34" s="3"/>
    </row>
    <row r="35" spans="2:13" ht="15.75" x14ac:dyDescent="0.25">
      <c r="B35" s="118">
        <v>42867</v>
      </c>
      <c r="C35" s="15">
        <v>11619</v>
      </c>
      <c r="D35" s="119" t="s">
        <v>10</v>
      </c>
      <c r="E35" s="120">
        <f>70.5+1</f>
        <v>71.5</v>
      </c>
      <c r="F35" s="121">
        <v>4908.5</v>
      </c>
      <c r="I35" s="3"/>
      <c r="J35" s="3"/>
    </row>
    <row r="36" spans="2:13" ht="15.75" x14ac:dyDescent="0.25">
      <c r="B36" s="118">
        <v>42867</v>
      </c>
      <c r="C36" s="15">
        <v>11621</v>
      </c>
      <c r="D36" s="119" t="s">
        <v>91</v>
      </c>
      <c r="E36" s="120">
        <v>80.900000000000006</v>
      </c>
      <c r="F36" s="121">
        <v>2831.5</v>
      </c>
      <c r="I36" s="3"/>
      <c r="J36" s="3"/>
    </row>
    <row r="37" spans="2:13" ht="15.75" x14ac:dyDescent="0.25">
      <c r="B37" s="118">
        <v>42867</v>
      </c>
      <c r="C37" s="15">
        <v>11623</v>
      </c>
      <c r="D37" s="119" t="s">
        <v>8</v>
      </c>
      <c r="E37" s="120">
        <f>107+424.5</f>
        <v>531.5</v>
      </c>
      <c r="F37" s="121">
        <v>16783.5</v>
      </c>
      <c r="I37" s="3"/>
      <c r="J37" s="3"/>
    </row>
    <row r="38" spans="2:13" ht="15.75" x14ac:dyDescent="0.25">
      <c r="B38" s="118">
        <v>42867</v>
      </c>
      <c r="C38" s="15">
        <v>11625</v>
      </c>
      <c r="D38" s="119" t="s">
        <v>0</v>
      </c>
      <c r="E38" s="120">
        <f>18.2+1</f>
        <v>19.2</v>
      </c>
      <c r="F38" s="121">
        <v>585.4</v>
      </c>
      <c r="I38" s="3"/>
      <c r="J38" s="3"/>
    </row>
    <row r="39" spans="2:13" ht="15.75" x14ac:dyDescent="0.25">
      <c r="B39" s="118">
        <v>42868</v>
      </c>
      <c r="C39" s="15">
        <v>11736</v>
      </c>
      <c r="D39" s="119" t="s">
        <v>11</v>
      </c>
      <c r="E39" s="120">
        <v>75.400000000000006</v>
      </c>
      <c r="F39" s="121">
        <v>2639</v>
      </c>
      <c r="I39" s="3"/>
      <c r="J39" s="3"/>
    </row>
    <row r="40" spans="2:13" ht="15.75" x14ac:dyDescent="0.25">
      <c r="B40" s="118">
        <v>42868</v>
      </c>
      <c r="C40" s="15">
        <v>11737</v>
      </c>
      <c r="D40" s="119" t="s">
        <v>8</v>
      </c>
      <c r="E40" s="120">
        <f>131.8+417.4</f>
        <v>549.20000000000005</v>
      </c>
      <c r="F40" s="121">
        <v>23439.599999999999</v>
      </c>
      <c r="I40" s="3"/>
      <c r="J40" s="3"/>
    </row>
    <row r="41" spans="2:13" ht="15.75" x14ac:dyDescent="0.25">
      <c r="B41" s="118">
        <v>42868</v>
      </c>
      <c r="C41" s="15">
        <v>11741</v>
      </c>
      <c r="D41" s="119" t="s">
        <v>91</v>
      </c>
      <c r="E41" s="120">
        <f>55+45.4</f>
        <v>100.4</v>
      </c>
      <c r="F41" s="121">
        <v>1898</v>
      </c>
      <c r="I41" s="3"/>
      <c r="J41" s="3"/>
    </row>
    <row r="42" spans="2:13" ht="15.75" x14ac:dyDescent="0.25">
      <c r="B42" s="118">
        <v>42868</v>
      </c>
      <c r="C42" s="15">
        <v>11743</v>
      </c>
      <c r="D42" s="119" t="s">
        <v>77</v>
      </c>
      <c r="E42" s="120">
        <v>417.9</v>
      </c>
      <c r="F42" s="121">
        <v>14626.5</v>
      </c>
      <c r="I42" s="3"/>
      <c r="J42" s="3"/>
    </row>
    <row r="43" spans="2:13" ht="16.5" thickBot="1" x14ac:dyDescent="0.3">
      <c r="B43" s="118">
        <v>42868</v>
      </c>
      <c r="C43" s="15">
        <v>11781</v>
      </c>
      <c r="D43" s="119" t="s">
        <v>12</v>
      </c>
      <c r="E43" s="120">
        <f>22+244.4+1+13.61</f>
        <v>281.01</v>
      </c>
      <c r="F43" s="121">
        <v>10464.450000000001</v>
      </c>
      <c r="I43" s="3"/>
      <c r="J43" s="3"/>
    </row>
    <row r="44" spans="2:13" ht="15.75" thickBot="1" x14ac:dyDescent="0.3">
      <c r="B44" s="29" t="s">
        <v>9</v>
      </c>
      <c r="C44" s="66"/>
      <c r="D44" s="31"/>
      <c r="E44" s="32">
        <v>0</v>
      </c>
      <c r="F44" s="33">
        <f>SUM(F3:F43)</f>
        <v>484479.02000000008</v>
      </c>
      <c r="K44" s="3">
        <f t="shared" ref="K44:K51" si="2">J44*I44</f>
        <v>0</v>
      </c>
    </row>
    <row r="45" spans="2:13" ht="19.5" thickBot="1" x14ac:dyDescent="0.35">
      <c r="B45" s="34"/>
      <c r="C45" s="67"/>
      <c r="D45" s="36" t="s">
        <v>5</v>
      </c>
      <c r="E45" s="37">
        <f>SUM(E3:E44)</f>
        <v>13188.680000000002</v>
      </c>
      <c r="K45" s="3">
        <f t="shared" si="2"/>
        <v>0</v>
      </c>
    </row>
    <row r="46" spans="2:13" x14ac:dyDescent="0.25">
      <c r="B46" s="34"/>
      <c r="C46" s="67"/>
      <c r="D46" s="26"/>
      <c r="E46" s="39"/>
      <c r="K46" s="3">
        <f t="shared" si="2"/>
        <v>0</v>
      </c>
    </row>
    <row r="47" spans="2:13" ht="19.5" thickBot="1" x14ac:dyDescent="0.35">
      <c r="B47" s="40"/>
      <c r="C47" s="41" t="s">
        <v>15</v>
      </c>
      <c r="D47" s="149">
        <f>E45*0.2</f>
        <v>2637.7360000000008</v>
      </c>
      <c r="F47"/>
      <c r="K47" s="3">
        <f t="shared" si="2"/>
        <v>0</v>
      </c>
    </row>
    <row r="48" spans="2:13" ht="21.75" thickBot="1" x14ac:dyDescent="0.4">
      <c r="C48" s="41" t="s">
        <v>16</v>
      </c>
      <c r="D48" s="44">
        <v>3400</v>
      </c>
      <c r="E48" s="45"/>
      <c r="F48" s="258">
        <f>D47+D48</f>
        <v>6037.7360000000008</v>
      </c>
      <c r="G48" s="259"/>
      <c r="K48" s="3">
        <f t="shared" si="2"/>
        <v>0</v>
      </c>
      <c r="L48" s="46"/>
      <c r="M48" s="46"/>
    </row>
    <row r="49" spans="3:13" ht="22.5" thickTop="1" thickBot="1" x14ac:dyDescent="0.4">
      <c r="D49" s="146"/>
      <c r="E49" s="47" t="s">
        <v>258</v>
      </c>
      <c r="G49" s="147">
        <v>-3400</v>
      </c>
      <c r="L49" s="46"/>
      <c r="M49" s="46"/>
    </row>
    <row r="50" spans="3:13" ht="16.5" thickBot="1" x14ac:dyDescent="0.3">
      <c r="D50" s="131" t="s">
        <v>462</v>
      </c>
      <c r="E50" s="47" t="s">
        <v>258</v>
      </c>
      <c r="F50" s="142"/>
      <c r="G50" s="48">
        <v>-1800</v>
      </c>
      <c r="K50" s="3">
        <f t="shared" si="2"/>
        <v>0</v>
      </c>
      <c r="L50" s="49"/>
      <c r="M50" s="49"/>
    </row>
    <row r="51" spans="3:13" ht="16.5" thickBot="1" x14ac:dyDescent="0.3">
      <c r="C51" s="50"/>
      <c r="D51" s="131" t="s">
        <v>463</v>
      </c>
      <c r="E51" s="47" t="s">
        <v>258</v>
      </c>
      <c r="F51" s="125"/>
      <c r="G51" s="135">
        <v>-837</v>
      </c>
      <c r="K51" s="3">
        <f t="shared" si="2"/>
        <v>0</v>
      </c>
      <c r="L51" s="49"/>
      <c r="M51" s="49"/>
    </row>
    <row r="52" spans="3:13" ht="17.25" thickTop="1" thickBot="1" x14ac:dyDescent="0.3">
      <c r="C52" s="122"/>
      <c r="D52" s="131" t="s">
        <v>464</v>
      </c>
      <c r="E52" s="47" t="s">
        <v>307</v>
      </c>
      <c r="F52" s="124"/>
      <c r="G52" s="136">
        <v>0</v>
      </c>
      <c r="L52" s="49"/>
      <c r="M52" s="49"/>
    </row>
    <row r="53" spans="3:13" ht="17.25" customHeight="1" thickBot="1" x14ac:dyDescent="0.4">
      <c r="C53" s="52"/>
      <c r="D53" s="131"/>
      <c r="E53" s="4" t="s">
        <v>258</v>
      </c>
      <c r="F53" s="263">
        <f>SUM(F48:G52)</f>
        <v>0.7360000000007858</v>
      </c>
      <c r="G53" s="264"/>
      <c r="L53" s="49"/>
      <c r="M53" s="49"/>
    </row>
    <row r="54" spans="3:13" ht="19.5" customHeight="1" x14ac:dyDescent="0.35">
      <c r="F54" s="148"/>
      <c r="G54" s="148"/>
    </row>
    <row r="55" spans="3:13" x14ac:dyDescent="0.25">
      <c r="F55" s="27"/>
      <c r="G55" s="26"/>
    </row>
    <row r="57" spans="3:13" x14ac:dyDescent="0.25">
      <c r="I57" s="3">
        <f t="shared" ref="I57" si="3">SUM(I44:I51)</f>
        <v>0</v>
      </c>
      <c r="J57" s="3"/>
      <c r="K57" s="3">
        <f>SUM(K44:K51)</f>
        <v>0</v>
      </c>
    </row>
  </sheetData>
  <mergeCells count="3">
    <mergeCell ref="B1:C1"/>
    <mergeCell ref="F48:G48"/>
    <mergeCell ref="F53:G53"/>
  </mergeCells>
  <pageMargins left="0.31496062992125984" right="0.11811023622047245" top="0.35433070866141736" bottom="0.15748031496062992" header="0.31496062992125984" footer="0.31496062992125984"/>
  <pageSetup scale="9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9"/>
  <sheetViews>
    <sheetView workbookViewId="0">
      <selection activeCell="F3" sqref="F3"/>
    </sheetView>
  </sheetViews>
  <sheetFormatPr baseColWidth="10" defaultRowHeight="15" x14ac:dyDescent="0.25"/>
  <cols>
    <col min="1" max="1" width="3.42578125" customWidth="1"/>
    <col min="2" max="2" width="13.42578125" bestFit="1" customWidth="1"/>
    <col min="3" max="3" width="13.7109375" style="43" customWidth="1"/>
    <col min="4" max="4" width="33.5703125" customWidth="1"/>
    <col min="5" max="5" width="12" bestFit="1" customWidth="1"/>
    <col min="6" max="6" width="14.140625" style="3" bestFit="1" customWidth="1"/>
    <col min="7" max="7" width="15.7109375" customWidth="1"/>
    <col min="11" max="11" width="11.42578125" style="3"/>
  </cols>
  <sheetData>
    <row r="1" spans="2:11" ht="19.5" thickBot="1" x14ac:dyDescent="0.35">
      <c r="B1" s="257">
        <v>42754</v>
      </c>
      <c r="C1" s="257"/>
      <c r="D1" s="1" t="s">
        <v>0</v>
      </c>
      <c r="E1" s="2" t="s">
        <v>1</v>
      </c>
      <c r="K1"/>
    </row>
    <row r="2" spans="2:11" ht="19.5" thickBot="1" x14ac:dyDescent="0.35">
      <c r="B2" s="4" t="s">
        <v>2</v>
      </c>
      <c r="C2" s="5" t="s">
        <v>3</v>
      </c>
      <c r="D2" s="5" t="s">
        <v>4</v>
      </c>
      <c r="E2" s="6" t="s">
        <v>5</v>
      </c>
      <c r="F2" s="7" t="s">
        <v>104</v>
      </c>
      <c r="G2" s="8"/>
      <c r="K2"/>
    </row>
    <row r="3" spans="2:11" x14ac:dyDescent="0.25">
      <c r="B3" t="s">
        <v>27</v>
      </c>
      <c r="C3" t="s">
        <v>28</v>
      </c>
      <c r="D3" t="s">
        <v>12</v>
      </c>
      <c r="E3">
        <v>186.9</v>
      </c>
      <c r="F3" s="65">
        <v>8829.2000000000007</v>
      </c>
      <c r="K3"/>
    </row>
    <row r="4" spans="2:11" x14ac:dyDescent="0.25">
      <c r="B4" t="s">
        <v>29</v>
      </c>
      <c r="C4" t="s">
        <v>30</v>
      </c>
      <c r="D4" t="s">
        <v>0</v>
      </c>
      <c r="E4">
        <v>218.2</v>
      </c>
      <c r="F4" s="65">
        <v>10076</v>
      </c>
      <c r="K4"/>
    </row>
    <row r="5" spans="2:11" x14ac:dyDescent="0.25">
      <c r="B5" t="s">
        <v>31</v>
      </c>
      <c r="C5" t="s">
        <v>32</v>
      </c>
      <c r="D5" t="s">
        <v>24</v>
      </c>
      <c r="E5">
        <v>110.4</v>
      </c>
      <c r="F5" s="65">
        <v>2819.4</v>
      </c>
      <c r="K5"/>
    </row>
    <row r="6" spans="2:11" x14ac:dyDescent="0.25">
      <c r="B6" t="s">
        <v>31</v>
      </c>
      <c r="C6" t="s">
        <v>33</v>
      </c>
      <c r="D6" t="s">
        <v>34</v>
      </c>
      <c r="E6">
        <v>168.1</v>
      </c>
      <c r="F6" s="65">
        <v>7026.1</v>
      </c>
      <c r="G6" t="s">
        <v>9</v>
      </c>
      <c r="I6">
        <v>6.7</v>
      </c>
      <c r="J6">
        <v>44</v>
      </c>
      <c r="K6" s="3">
        <f t="shared" ref="K6:K16" si="0">J6*I6</f>
        <v>294.8</v>
      </c>
    </row>
    <row r="7" spans="2:11" x14ac:dyDescent="0.25">
      <c r="B7" t="s">
        <v>31</v>
      </c>
      <c r="C7" t="s">
        <v>35</v>
      </c>
      <c r="D7" t="s">
        <v>12</v>
      </c>
      <c r="E7">
        <v>162.6</v>
      </c>
      <c r="F7" s="65">
        <v>7479.6</v>
      </c>
      <c r="K7" s="3">
        <f t="shared" si="0"/>
        <v>0</v>
      </c>
    </row>
    <row r="8" spans="2:11" x14ac:dyDescent="0.25">
      <c r="B8" t="s">
        <v>31</v>
      </c>
      <c r="C8" t="s">
        <v>36</v>
      </c>
      <c r="D8" t="s">
        <v>10</v>
      </c>
      <c r="E8">
        <v>84.6</v>
      </c>
      <c r="F8" s="65">
        <v>3891.6</v>
      </c>
      <c r="K8" s="3">
        <f t="shared" si="0"/>
        <v>0</v>
      </c>
    </row>
    <row r="9" spans="2:11" x14ac:dyDescent="0.25">
      <c r="B9" t="s">
        <v>37</v>
      </c>
      <c r="C9" t="s">
        <v>38</v>
      </c>
      <c r="D9" t="s">
        <v>34</v>
      </c>
      <c r="E9">
        <v>399.3</v>
      </c>
      <c r="F9" s="65">
        <v>17968.5</v>
      </c>
      <c r="K9" s="3">
        <f t="shared" si="0"/>
        <v>0</v>
      </c>
    </row>
    <row r="10" spans="2:11" x14ac:dyDescent="0.25">
      <c r="B10" t="s">
        <v>37</v>
      </c>
      <c r="C10" t="s">
        <v>39</v>
      </c>
      <c r="D10" t="s">
        <v>24</v>
      </c>
      <c r="E10">
        <v>576.5</v>
      </c>
      <c r="F10" s="65">
        <v>20326.2</v>
      </c>
      <c r="K10" s="3">
        <f t="shared" si="0"/>
        <v>0</v>
      </c>
    </row>
    <row r="11" spans="2:11" x14ac:dyDescent="0.25">
      <c r="B11" t="s">
        <v>37</v>
      </c>
      <c r="C11" t="s">
        <v>40</v>
      </c>
      <c r="D11" t="s">
        <v>10</v>
      </c>
      <c r="E11">
        <v>81.8</v>
      </c>
      <c r="F11" s="65">
        <v>3681</v>
      </c>
      <c r="K11" s="3">
        <f t="shared" si="0"/>
        <v>0</v>
      </c>
    </row>
    <row r="12" spans="2:11" x14ac:dyDescent="0.25">
      <c r="B12" t="s">
        <v>37</v>
      </c>
      <c r="C12" t="s">
        <v>41</v>
      </c>
      <c r="D12" t="s">
        <v>13</v>
      </c>
      <c r="E12">
        <v>43.5</v>
      </c>
      <c r="F12" s="65">
        <v>2382</v>
      </c>
      <c r="K12" s="3">
        <f t="shared" si="0"/>
        <v>0</v>
      </c>
    </row>
    <row r="13" spans="2:11" x14ac:dyDescent="0.25">
      <c r="B13" t="s">
        <v>37</v>
      </c>
      <c r="C13" t="s">
        <v>42</v>
      </c>
      <c r="D13" t="s">
        <v>0</v>
      </c>
      <c r="E13">
        <v>174.5</v>
      </c>
      <c r="F13" s="65">
        <v>9410.2000000000007</v>
      </c>
      <c r="K13" s="3">
        <f t="shared" si="0"/>
        <v>0</v>
      </c>
    </row>
    <row r="14" spans="2:11" x14ac:dyDescent="0.25">
      <c r="B14" t="s">
        <v>43</v>
      </c>
      <c r="C14" t="s">
        <v>44</v>
      </c>
      <c r="D14" t="s">
        <v>34</v>
      </c>
      <c r="E14">
        <v>413.4</v>
      </c>
      <c r="F14" s="65">
        <v>18603</v>
      </c>
      <c r="K14" s="3">
        <f t="shared" si="0"/>
        <v>0</v>
      </c>
    </row>
    <row r="15" spans="2:11" x14ac:dyDescent="0.25">
      <c r="B15" t="s">
        <v>43</v>
      </c>
      <c r="C15" t="s">
        <v>45</v>
      </c>
      <c r="D15" t="s">
        <v>24</v>
      </c>
      <c r="E15">
        <v>497.4</v>
      </c>
      <c r="F15" s="65">
        <v>17160.3</v>
      </c>
      <c r="K15" s="3">
        <f t="shared" si="0"/>
        <v>0</v>
      </c>
    </row>
    <row r="16" spans="2:11" x14ac:dyDescent="0.25">
      <c r="B16" t="s">
        <v>43</v>
      </c>
      <c r="C16" t="s">
        <v>46</v>
      </c>
      <c r="D16" t="s">
        <v>6</v>
      </c>
      <c r="E16">
        <v>111.4</v>
      </c>
      <c r="F16" s="65">
        <v>6675.2</v>
      </c>
      <c r="K16" s="3">
        <f t="shared" si="0"/>
        <v>0</v>
      </c>
    </row>
    <row r="17" spans="2:11" x14ac:dyDescent="0.25">
      <c r="B17" t="s">
        <v>47</v>
      </c>
      <c r="C17" t="s">
        <v>48</v>
      </c>
      <c r="D17" t="s">
        <v>34</v>
      </c>
      <c r="E17">
        <v>416.8</v>
      </c>
      <c r="F17" s="65">
        <v>18339.2</v>
      </c>
      <c r="I17" s="3">
        <f t="shared" ref="I17" si="1">SUM(I6:I16)</f>
        <v>6.7</v>
      </c>
      <c r="J17" s="3"/>
      <c r="K17" s="3">
        <f>SUM(K6:K16)</f>
        <v>294.8</v>
      </c>
    </row>
    <row r="18" spans="2:11" x14ac:dyDescent="0.25">
      <c r="B18" t="s">
        <v>47</v>
      </c>
      <c r="C18" t="s">
        <v>49</v>
      </c>
      <c r="D18" t="s">
        <v>14</v>
      </c>
      <c r="E18">
        <v>316.8</v>
      </c>
      <c r="F18" s="65">
        <v>17424</v>
      </c>
      <c r="I18" s="3"/>
      <c r="J18" s="3"/>
    </row>
    <row r="19" spans="2:11" x14ac:dyDescent="0.25">
      <c r="B19" t="s">
        <v>47</v>
      </c>
      <c r="C19" t="s">
        <v>50</v>
      </c>
      <c r="D19" t="s">
        <v>51</v>
      </c>
      <c r="E19">
        <v>21.2</v>
      </c>
      <c r="F19" s="65">
        <v>2280</v>
      </c>
      <c r="I19" s="3"/>
      <c r="J19" s="3"/>
    </row>
    <row r="20" spans="2:11" x14ac:dyDescent="0.25">
      <c r="B20" t="s">
        <v>47</v>
      </c>
      <c r="C20" t="s">
        <v>52</v>
      </c>
      <c r="D20" t="s">
        <v>24</v>
      </c>
      <c r="E20">
        <v>99.5</v>
      </c>
      <c r="F20" s="65">
        <v>2905</v>
      </c>
      <c r="I20" s="3"/>
      <c r="J20" s="3"/>
    </row>
    <row r="21" spans="2:11" x14ac:dyDescent="0.25">
      <c r="B21" t="s">
        <v>47</v>
      </c>
      <c r="C21" t="s">
        <v>53</v>
      </c>
      <c r="D21" t="s">
        <v>0</v>
      </c>
      <c r="E21">
        <v>133.30000000000001</v>
      </c>
      <c r="F21" s="65">
        <v>7124.9</v>
      </c>
      <c r="I21" s="3"/>
      <c r="J21" s="3"/>
    </row>
    <row r="22" spans="2:11" x14ac:dyDescent="0.25">
      <c r="B22" t="s">
        <v>47</v>
      </c>
      <c r="C22" t="s">
        <v>54</v>
      </c>
      <c r="D22" t="s">
        <v>6</v>
      </c>
      <c r="E22">
        <v>23.8</v>
      </c>
      <c r="F22" s="65">
        <v>1689.8</v>
      </c>
      <c r="I22" s="3"/>
      <c r="J22" s="3"/>
    </row>
    <row r="23" spans="2:11" x14ac:dyDescent="0.25">
      <c r="B23" t="s">
        <v>47</v>
      </c>
      <c r="C23" t="s">
        <v>55</v>
      </c>
      <c r="D23" t="s">
        <v>6</v>
      </c>
      <c r="E23">
        <v>27.24</v>
      </c>
      <c r="F23" s="65">
        <v>1307.52</v>
      </c>
      <c r="I23" s="3"/>
      <c r="J23" s="3"/>
    </row>
    <row r="24" spans="2:11" x14ac:dyDescent="0.25">
      <c r="B24" t="s">
        <v>47</v>
      </c>
      <c r="C24" t="s">
        <v>56</v>
      </c>
      <c r="D24" t="s">
        <v>10</v>
      </c>
      <c r="E24">
        <v>51.2</v>
      </c>
      <c r="F24" s="65">
        <v>1900</v>
      </c>
      <c r="I24" s="3"/>
      <c r="J24" s="3"/>
    </row>
    <row r="25" spans="2:11" x14ac:dyDescent="0.25">
      <c r="B25" t="s">
        <v>57</v>
      </c>
      <c r="C25" t="s">
        <v>58</v>
      </c>
      <c r="D25" t="s">
        <v>24</v>
      </c>
      <c r="E25">
        <v>1046.51</v>
      </c>
      <c r="F25" s="65">
        <v>35418.699999999997</v>
      </c>
      <c r="I25" s="3"/>
      <c r="J25" s="3"/>
    </row>
    <row r="26" spans="2:11" x14ac:dyDescent="0.25">
      <c r="B26" t="s">
        <v>57</v>
      </c>
      <c r="C26" t="s">
        <v>59</v>
      </c>
      <c r="D26" t="s">
        <v>14</v>
      </c>
      <c r="E26">
        <v>390.7</v>
      </c>
      <c r="F26" s="65">
        <v>17581.5</v>
      </c>
      <c r="I26" s="3"/>
      <c r="J26" s="3"/>
    </row>
    <row r="27" spans="2:11" x14ac:dyDescent="0.25">
      <c r="B27" t="s">
        <v>57</v>
      </c>
      <c r="C27" t="s">
        <v>60</v>
      </c>
      <c r="D27" t="s">
        <v>7</v>
      </c>
      <c r="E27">
        <v>395.5</v>
      </c>
      <c r="F27" s="65">
        <v>17797.5</v>
      </c>
      <c r="I27" s="3"/>
      <c r="J27" s="3"/>
    </row>
    <row r="28" spans="2:11" x14ac:dyDescent="0.25">
      <c r="B28" t="s">
        <v>57</v>
      </c>
      <c r="C28" t="s">
        <v>61</v>
      </c>
      <c r="D28" t="s">
        <v>10</v>
      </c>
      <c r="E28">
        <v>80.400000000000006</v>
      </c>
      <c r="F28" s="65">
        <v>3537.6</v>
      </c>
      <c r="I28" s="3"/>
      <c r="J28" s="3"/>
    </row>
    <row r="29" spans="2:11" x14ac:dyDescent="0.25">
      <c r="B29" t="s">
        <v>57</v>
      </c>
      <c r="C29" t="s">
        <v>62</v>
      </c>
      <c r="D29" t="s">
        <v>0</v>
      </c>
      <c r="E29">
        <v>86.8</v>
      </c>
      <c r="F29" s="65">
        <v>3819.2</v>
      </c>
      <c r="I29" s="3"/>
      <c r="J29" s="3"/>
    </row>
    <row r="30" spans="2:11" x14ac:dyDescent="0.25">
      <c r="B30" t="s">
        <v>57</v>
      </c>
      <c r="C30" t="s">
        <v>63</v>
      </c>
      <c r="D30" t="s">
        <v>12</v>
      </c>
      <c r="E30">
        <v>348.7</v>
      </c>
      <c r="F30" s="65">
        <v>15342.8</v>
      </c>
      <c r="I30" s="3"/>
      <c r="J30" s="3"/>
    </row>
    <row r="31" spans="2:11" x14ac:dyDescent="0.25">
      <c r="B31" t="s">
        <v>57</v>
      </c>
      <c r="C31" t="s">
        <v>64</v>
      </c>
      <c r="D31" t="s">
        <v>34</v>
      </c>
      <c r="E31">
        <v>998.8</v>
      </c>
      <c r="F31" s="65">
        <v>37297.4</v>
      </c>
      <c r="I31" s="3"/>
      <c r="J31" s="3"/>
    </row>
    <row r="32" spans="2:11" x14ac:dyDescent="0.25">
      <c r="B32" t="s">
        <v>57</v>
      </c>
      <c r="C32" t="s">
        <v>65</v>
      </c>
      <c r="D32" t="s">
        <v>11</v>
      </c>
      <c r="E32">
        <v>163.9</v>
      </c>
      <c r="F32" s="65">
        <v>7483.4</v>
      </c>
      <c r="I32" s="3"/>
      <c r="J32" s="3"/>
    </row>
    <row r="33" spans="2:10" x14ac:dyDescent="0.25">
      <c r="B33" t="s">
        <v>57</v>
      </c>
      <c r="C33" t="s">
        <v>66</v>
      </c>
      <c r="D33" t="s">
        <v>11</v>
      </c>
      <c r="E33">
        <v>173.8</v>
      </c>
      <c r="F33" s="65">
        <v>7557.2</v>
      </c>
      <c r="I33" s="3"/>
      <c r="J33" s="3"/>
    </row>
    <row r="34" spans="2:10" x14ac:dyDescent="0.25">
      <c r="B34" t="s">
        <v>57</v>
      </c>
      <c r="C34" t="s">
        <v>67</v>
      </c>
      <c r="D34" t="s">
        <v>6</v>
      </c>
      <c r="E34">
        <v>324.8</v>
      </c>
      <c r="F34" s="65">
        <v>15028.8</v>
      </c>
      <c r="I34" s="3"/>
      <c r="J34" s="3"/>
    </row>
    <row r="35" spans="2:10" x14ac:dyDescent="0.25">
      <c r="B35" t="s">
        <v>57</v>
      </c>
      <c r="C35" t="s">
        <v>68</v>
      </c>
      <c r="D35" t="s">
        <v>11</v>
      </c>
      <c r="E35">
        <v>133.4</v>
      </c>
      <c r="F35" s="65">
        <v>5603.2</v>
      </c>
      <c r="I35" s="3"/>
      <c r="J35" s="3"/>
    </row>
    <row r="36" spans="2:10" x14ac:dyDescent="0.25">
      <c r="B36" t="s">
        <v>57</v>
      </c>
      <c r="C36" t="s">
        <v>69</v>
      </c>
      <c r="D36" t="s">
        <v>11</v>
      </c>
      <c r="E36">
        <v>100.2</v>
      </c>
      <c r="F36" s="65">
        <v>3922</v>
      </c>
      <c r="I36" s="3"/>
      <c r="J36" s="3"/>
    </row>
    <row r="37" spans="2:10" x14ac:dyDescent="0.25">
      <c r="B37" t="s">
        <v>57</v>
      </c>
      <c r="C37" t="s">
        <v>70</v>
      </c>
      <c r="D37" t="s">
        <v>13</v>
      </c>
      <c r="E37">
        <v>109.1</v>
      </c>
      <c r="F37" s="65">
        <v>5559.7</v>
      </c>
      <c r="I37" s="3"/>
      <c r="J37" s="3"/>
    </row>
    <row r="38" spans="2:10" x14ac:dyDescent="0.25">
      <c r="B38" t="s">
        <v>57</v>
      </c>
      <c r="C38" t="s">
        <v>71</v>
      </c>
      <c r="D38" t="s">
        <v>0</v>
      </c>
      <c r="E38">
        <v>32.5</v>
      </c>
      <c r="F38" s="65">
        <v>2632.5</v>
      </c>
      <c r="I38" s="3"/>
      <c r="J38" s="3"/>
    </row>
    <row r="39" spans="2:10" x14ac:dyDescent="0.25">
      <c r="B39" t="s">
        <v>72</v>
      </c>
      <c r="C39" t="s">
        <v>73</v>
      </c>
      <c r="D39" t="s">
        <v>34</v>
      </c>
      <c r="E39">
        <v>945</v>
      </c>
      <c r="F39" s="65">
        <v>41580</v>
      </c>
      <c r="I39" s="3"/>
      <c r="J39" s="3"/>
    </row>
    <row r="40" spans="2:10" x14ac:dyDescent="0.25">
      <c r="B40" t="s">
        <v>72</v>
      </c>
      <c r="C40" t="s">
        <v>74</v>
      </c>
      <c r="D40" t="s">
        <v>14</v>
      </c>
      <c r="E40">
        <v>417.2</v>
      </c>
      <c r="F40" s="65">
        <v>18774</v>
      </c>
      <c r="I40" s="3"/>
      <c r="J40" s="3"/>
    </row>
    <row r="41" spans="2:10" x14ac:dyDescent="0.25">
      <c r="B41" t="s">
        <v>72</v>
      </c>
      <c r="C41" t="s">
        <v>75</v>
      </c>
      <c r="D41" t="s">
        <v>7</v>
      </c>
      <c r="E41">
        <v>403.6</v>
      </c>
      <c r="F41" s="65">
        <v>18162</v>
      </c>
      <c r="I41" s="3"/>
      <c r="J41" s="3"/>
    </row>
    <row r="42" spans="2:10" x14ac:dyDescent="0.25">
      <c r="B42" t="s">
        <v>72</v>
      </c>
      <c r="C42" t="s">
        <v>76</v>
      </c>
      <c r="D42" t="s">
        <v>77</v>
      </c>
      <c r="E42">
        <v>381.8</v>
      </c>
      <c r="F42" s="65">
        <v>21344.400000000001</v>
      </c>
      <c r="I42" s="3"/>
      <c r="J42" s="3"/>
    </row>
    <row r="43" spans="2:10" x14ac:dyDescent="0.25">
      <c r="B43" t="s">
        <v>72</v>
      </c>
      <c r="C43" t="s">
        <v>78</v>
      </c>
      <c r="D43" t="s">
        <v>10</v>
      </c>
      <c r="E43">
        <v>32.799999999999997</v>
      </c>
      <c r="F43" s="65">
        <v>2033.6</v>
      </c>
      <c r="I43" s="3"/>
      <c r="J43" s="3"/>
    </row>
    <row r="44" spans="2:10" x14ac:dyDescent="0.25">
      <c r="B44" t="s">
        <v>72</v>
      </c>
      <c r="C44" t="s">
        <v>79</v>
      </c>
      <c r="D44" t="s">
        <v>6</v>
      </c>
      <c r="E44">
        <v>101.4</v>
      </c>
      <c r="F44" s="65">
        <v>4461.6000000000004</v>
      </c>
      <c r="I44" s="3"/>
      <c r="J44" s="3"/>
    </row>
    <row r="45" spans="2:10" x14ac:dyDescent="0.25">
      <c r="B45" t="s">
        <v>72</v>
      </c>
      <c r="C45" t="s">
        <v>80</v>
      </c>
      <c r="D45" t="s">
        <v>24</v>
      </c>
      <c r="E45">
        <v>33.6</v>
      </c>
      <c r="F45" s="65">
        <v>873.6</v>
      </c>
      <c r="I45" s="3"/>
      <c r="J45" s="3"/>
    </row>
    <row r="46" spans="2:10" x14ac:dyDescent="0.25">
      <c r="B46" t="s">
        <v>72</v>
      </c>
      <c r="C46" t="s">
        <v>81</v>
      </c>
      <c r="D46" t="s">
        <v>13</v>
      </c>
      <c r="E46">
        <v>65.2</v>
      </c>
      <c r="F46" s="65">
        <v>2282</v>
      </c>
      <c r="I46" s="3"/>
      <c r="J46" s="3"/>
    </row>
    <row r="47" spans="2:10" x14ac:dyDescent="0.25">
      <c r="B47" t="s">
        <v>72</v>
      </c>
      <c r="C47" t="s">
        <v>82</v>
      </c>
      <c r="D47" t="s">
        <v>6</v>
      </c>
      <c r="E47">
        <v>25.4</v>
      </c>
      <c r="F47" s="65">
        <v>558.79999999999995</v>
      </c>
      <c r="I47" s="3"/>
      <c r="J47" s="3"/>
    </row>
    <row r="48" spans="2:10" x14ac:dyDescent="0.25">
      <c r="B48" t="s">
        <v>72</v>
      </c>
      <c r="C48" t="s">
        <v>83</v>
      </c>
      <c r="D48" t="s">
        <v>11</v>
      </c>
      <c r="E48">
        <v>483.8</v>
      </c>
      <c r="F48" s="65">
        <v>20439.400000000001</v>
      </c>
      <c r="I48" s="3"/>
      <c r="J48" s="3"/>
    </row>
    <row r="49" spans="2:13" x14ac:dyDescent="0.25">
      <c r="B49" t="s">
        <v>84</v>
      </c>
      <c r="C49" t="s">
        <v>85</v>
      </c>
      <c r="D49" t="s">
        <v>86</v>
      </c>
      <c r="E49">
        <v>735.6</v>
      </c>
      <c r="F49" s="65">
        <v>35091.599999999999</v>
      </c>
    </row>
    <row r="50" spans="2:13" ht="15.75" thickBot="1" x14ac:dyDescent="0.3">
      <c r="B50" s="14"/>
      <c r="C50" s="28"/>
      <c r="D50" s="16"/>
      <c r="E50" s="17"/>
      <c r="F50" s="13"/>
    </row>
    <row r="51" spans="2:13" ht="15.75" thickBot="1" x14ac:dyDescent="0.3">
      <c r="B51" s="29" t="s">
        <v>9</v>
      </c>
      <c r="C51" s="30"/>
      <c r="D51" s="31"/>
      <c r="E51" s="32">
        <v>0</v>
      </c>
      <c r="F51" s="33">
        <f>SUM(F3:F50)</f>
        <v>533481.22</v>
      </c>
      <c r="K51" s="3">
        <f t="shared" ref="K51:K52" si="2">J51*I51</f>
        <v>0</v>
      </c>
    </row>
    <row r="52" spans="2:13" ht="19.5" thickBot="1" x14ac:dyDescent="0.35">
      <c r="B52" s="34"/>
      <c r="C52" s="35"/>
      <c r="D52" s="36" t="s">
        <v>5</v>
      </c>
      <c r="E52" s="37">
        <f>SUM(E3:E51)</f>
        <v>12328.95</v>
      </c>
      <c r="I52" s="38"/>
      <c r="J52" s="38"/>
      <c r="K52" s="3">
        <f t="shared" si="2"/>
        <v>0</v>
      </c>
    </row>
    <row r="53" spans="2:13" x14ac:dyDescent="0.25">
      <c r="B53" s="34"/>
      <c r="C53" s="35"/>
      <c r="D53" s="26"/>
      <c r="E53" s="39"/>
      <c r="I53" s="38">
        <f>SUM(I51:I52)</f>
        <v>0</v>
      </c>
      <c r="J53" s="38"/>
      <c r="K53" s="38">
        <f>SUM(K51:K52)</f>
        <v>0</v>
      </c>
    </row>
    <row r="54" spans="2:13" ht="21.75" thickBot="1" x14ac:dyDescent="0.4">
      <c r="B54" s="40"/>
      <c r="C54" s="41" t="s">
        <v>15</v>
      </c>
      <c r="D54" s="42">
        <f>E52*0.2</f>
        <v>2465.7900000000004</v>
      </c>
      <c r="F54"/>
      <c r="K54"/>
    </row>
    <row r="55" spans="2:13" ht="21.75" thickBot="1" x14ac:dyDescent="0.4">
      <c r="C55" s="43" t="s">
        <v>16</v>
      </c>
      <c r="D55" s="44">
        <v>3400</v>
      </c>
      <c r="E55" s="45"/>
      <c r="F55" s="258">
        <f>D54+D55</f>
        <v>5865.7900000000009</v>
      </c>
      <c r="G55" s="259"/>
      <c r="I55" s="46"/>
      <c r="J55" s="46"/>
      <c r="K55" s="46"/>
      <c r="L55" s="46"/>
      <c r="M55" s="46"/>
    </row>
    <row r="56" spans="2:13" ht="17.25" thickTop="1" thickBot="1" x14ac:dyDescent="0.3">
      <c r="E56" s="47" t="s">
        <v>17</v>
      </c>
      <c r="G56" s="48">
        <v>0</v>
      </c>
      <c r="I56" s="46"/>
      <c r="J56" s="46"/>
      <c r="K56" s="49"/>
      <c r="L56" s="49"/>
      <c r="M56" s="49"/>
    </row>
    <row r="57" spans="2:13" ht="19.5" thickBot="1" x14ac:dyDescent="0.35">
      <c r="C57" s="50" t="s">
        <v>18</v>
      </c>
      <c r="D57" s="51" t="s">
        <v>88</v>
      </c>
      <c r="E57" s="47" t="s">
        <v>17</v>
      </c>
      <c r="F57" s="260">
        <v>0</v>
      </c>
      <c r="G57" s="260"/>
      <c r="I57" s="46"/>
      <c r="J57" s="46"/>
      <c r="K57" s="49"/>
      <c r="L57" s="49"/>
      <c r="M57" s="49"/>
    </row>
    <row r="58" spans="2:13" ht="20.25" thickTop="1" thickBot="1" x14ac:dyDescent="0.35">
      <c r="C58" s="52" t="s">
        <v>18</v>
      </c>
      <c r="D58" s="53" t="s">
        <v>87</v>
      </c>
      <c r="F58" s="261">
        <f>F55+F57+G56</f>
        <v>5865.7900000000009</v>
      </c>
      <c r="G58" s="261"/>
      <c r="I58" s="46"/>
      <c r="J58" s="46"/>
      <c r="K58" s="49"/>
      <c r="L58" s="49"/>
      <c r="M58" s="49"/>
    </row>
    <row r="59" spans="2:13" ht="19.5" thickBot="1" x14ac:dyDescent="0.35">
      <c r="C59"/>
      <c r="E59" s="2" t="s">
        <v>19</v>
      </c>
      <c r="F59" s="262"/>
      <c r="G59" s="262"/>
      <c r="K59"/>
    </row>
  </sheetData>
  <mergeCells count="4">
    <mergeCell ref="B1:C1"/>
    <mergeCell ref="F55:G55"/>
    <mergeCell ref="F57:G57"/>
    <mergeCell ref="F58:G59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8"/>
  <sheetViews>
    <sheetView topLeftCell="A40" workbookViewId="0">
      <selection activeCell="F59" sqref="F59"/>
    </sheetView>
  </sheetViews>
  <sheetFormatPr baseColWidth="10" defaultRowHeight="15" x14ac:dyDescent="0.25"/>
  <cols>
    <col min="1" max="1" width="3.42578125" customWidth="1"/>
    <col min="2" max="2" width="13.42578125" style="96" bestFit="1" customWidth="1"/>
    <col min="3" max="3" width="13.7109375" style="41" customWidth="1"/>
    <col min="4" max="4" width="28.5703125" bestFit="1" customWidth="1"/>
    <col min="5" max="5" width="12" bestFit="1" customWidth="1"/>
    <col min="6" max="6" width="14.140625" style="3" bestFit="1" customWidth="1"/>
    <col min="7" max="7" width="15.7109375" customWidth="1"/>
    <col min="11" max="11" width="11.42578125" style="3"/>
    <col min="13" max="13" width="11.42578125" style="3"/>
  </cols>
  <sheetData>
    <row r="1" spans="2:11" ht="19.5" thickBot="1" x14ac:dyDescent="0.35">
      <c r="B1" s="257">
        <v>42880</v>
      </c>
      <c r="C1" s="257"/>
      <c r="D1" s="151" t="s">
        <v>0</v>
      </c>
      <c r="E1" s="2" t="s">
        <v>1</v>
      </c>
      <c r="K1"/>
    </row>
    <row r="2" spans="2:11" ht="19.5" thickBot="1" x14ac:dyDescent="0.35">
      <c r="B2" s="95" t="s">
        <v>2</v>
      </c>
      <c r="C2" s="5" t="s">
        <v>3</v>
      </c>
      <c r="D2" s="5" t="s">
        <v>4</v>
      </c>
      <c r="E2" s="6" t="s">
        <v>5</v>
      </c>
      <c r="F2" s="139" t="s">
        <v>465</v>
      </c>
      <c r="G2" s="8"/>
      <c r="K2"/>
    </row>
    <row r="3" spans="2:11" ht="15.75" x14ac:dyDescent="0.25">
      <c r="B3" s="83">
        <v>42864</v>
      </c>
      <c r="C3" s="69">
        <v>11199</v>
      </c>
      <c r="D3" s="70" t="s">
        <v>8</v>
      </c>
      <c r="E3" s="76">
        <f>530.9+121.8</f>
        <v>652.69999999999993</v>
      </c>
      <c r="F3" s="71">
        <v>3035</v>
      </c>
      <c r="K3"/>
    </row>
    <row r="4" spans="2:11" ht="15.75" x14ac:dyDescent="0.25">
      <c r="B4" s="118">
        <v>42865</v>
      </c>
      <c r="C4" s="15">
        <v>11337</v>
      </c>
      <c r="D4" s="119" t="s">
        <v>0</v>
      </c>
      <c r="E4" s="120">
        <v>8.6999999999999993</v>
      </c>
      <c r="F4" s="121">
        <v>426.3</v>
      </c>
      <c r="K4"/>
    </row>
    <row r="5" spans="2:11" ht="15.75" x14ac:dyDescent="0.25">
      <c r="B5" s="118">
        <v>42866</v>
      </c>
      <c r="C5" s="15">
        <v>11443</v>
      </c>
      <c r="D5" s="119" t="s">
        <v>10</v>
      </c>
      <c r="E5" s="120">
        <v>93.3</v>
      </c>
      <c r="F5" s="121">
        <v>3285.5</v>
      </c>
      <c r="K5"/>
    </row>
    <row r="6" spans="2:11" ht="15.75" x14ac:dyDescent="0.25">
      <c r="B6" s="118">
        <v>42866</v>
      </c>
      <c r="C6" s="15">
        <v>11453</v>
      </c>
      <c r="D6" s="119" t="s">
        <v>0</v>
      </c>
      <c r="E6" s="120">
        <f>76+89.7</f>
        <v>165.7</v>
      </c>
      <c r="F6" s="121">
        <v>8991.5</v>
      </c>
      <c r="G6" t="s">
        <v>9</v>
      </c>
      <c r="I6">
        <v>941.7</v>
      </c>
      <c r="J6">
        <v>36</v>
      </c>
      <c r="K6" s="3">
        <f t="shared" ref="K6:K16" si="0">J6*I6</f>
        <v>33901.200000000004</v>
      </c>
    </row>
    <row r="7" spans="2:11" ht="15.75" x14ac:dyDescent="0.25">
      <c r="B7" s="118">
        <v>42867</v>
      </c>
      <c r="C7" s="15">
        <v>11620</v>
      </c>
      <c r="D7" s="119" t="s">
        <v>14</v>
      </c>
      <c r="E7" s="120">
        <v>158.5</v>
      </c>
      <c r="F7" s="121">
        <v>3804</v>
      </c>
      <c r="K7" s="3">
        <f t="shared" si="0"/>
        <v>0</v>
      </c>
    </row>
    <row r="8" spans="2:11" ht="15.75" x14ac:dyDescent="0.25">
      <c r="B8" s="118">
        <v>42867</v>
      </c>
      <c r="C8" s="15">
        <v>11622</v>
      </c>
      <c r="D8" s="119" t="s">
        <v>248</v>
      </c>
      <c r="E8" s="120">
        <v>173.9</v>
      </c>
      <c r="F8" s="121">
        <v>6086.5</v>
      </c>
      <c r="K8" s="3">
        <f t="shared" si="0"/>
        <v>0</v>
      </c>
    </row>
    <row r="9" spans="2:11" ht="15.75" x14ac:dyDescent="0.25">
      <c r="B9" s="118">
        <v>42867</v>
      </c>
      <c r="C9" s="15">
        <v>11628</v>
      </c>
      <c r="D9" s="119" t="s">
        <v>6</v>
      </c>
      <c r="E9" s="120">
        <f>400.2+22.3+65.2+13.5</f>
        <v>501.2</v>
      </c>
      <c r="F9" s="121">
        <v>19721.099999999999</v>
      </c>
      <c r="K9" s="3">
        <f t="shared" si="0"/>
        <v>0</v>
      </c>
    </row>
    <row r="10" spans="2:11" ht="15.75" x14ac:dyDescent="0.25">
      <c r="B10" s="118">
        <v>42868</v>
      </c>
      <c r="C10" s="15">
        <v>11735</v>
      </c>
      <c r="D10" s="119" t="s">
        <v>14</v>
      </c>
      <c r="E10" s="120">
        <v>401</v>
      </c>
      <c r="F10" s="121">
        <v>14035</v>
      </c>
      <c r="K10" s="3">
        <f t="shared" si="0"/>
        <v>0</v>
      </c>
    </row>
    <row r="11" spans="2:11" ht="15.75" x14ac:dyDescent="0.25">
      <c r="B11" s="118">
        <v>42868</v>
      </c>
      <c r="C11" s="15">
        <v>11742</v>
      </c>
      <c r="D11" s="119" t="s">
        <v>10</v>
      </c>
      <c r="E11" s="120">
        <v>68.7</v>
      </c>
      <c r="F11" s="121">
        <v>2404.5</v>
      </c>
      <c r="K11" s="3">
        <f t="shared" si="0"/>
        <v>0</v>
      </c>
    </row>
    <row r="12" spans="2:11" ht="15.75" x14ac:dyDescent="0.25">
      <c r="B12" s="118">
        <v>42870</v>
      </c>
      <c r="C12" s="15">
        <v>11979</v>
      </c>
      <c r="D12" s="119" t="s">
        <v>248</v>
      </c>
      <c r="E12" s="120">
        <f>941.7+7.3+47.5</f>
        <v>996.5</v>
      </c>
      <c r="F12" s="121">
        <v>35640</v>
      </c>
      <c r="K12" s="3">
        <f t="shared" si="0"/>
        <v>0</v>
      </c>
    </row>
    <row r="13" spans="2:11" ht="15.75" x14ac:dyDescent="0.25">
      <c r="B13" s="118">
        <v>42870</v>
      </c>
      <c r="C13" s="15">
        <v>11980</v>
      </c>
      <c r="D13" s="119" t="s">
        <v>24</v>
      </c>
      <c r="E13" s="120">
        <f>913.5+19.6+67.3</f>
        <v>1000.4</v>
      </c>
      <c r="F13" s="121">
        <v>34952</v>
      </c>
      <c r="K13" s="3">
        <f t="shared" si="0"/>
        <v>0</v>
      </c>
    </row>
    <row r="14" spans="2:11" ht="15.75" x14ac:dyDescent="0.25">
      <c r="B14" s="118">
        <v>42871</v>
      </c>
      <c r="C14" s="15">
        <v>12091</v>
      </c>
      <c r="D14" s="119" t="s">
        <v>8</v>
      </c>
      <c r="E14" s="120">
        <v>387.3</v>
      </c>
      <c r="F14" s="121">
        <v>13942.8</v>
      </c>
      <c r="K14" s="3">
        <f t="shared" si="0"/>
        <v>0</v>
      </c>
    </row>
    <row r="15" spans="2:11" ht="15.75" x14ac:dyDescent="0.25">
      <c r="B15" s="118">
        <v>42871</v>
      </c>
      <c r="C15" s="15">
        <v>12094</v>
      </c>
      <c r="D15" s="119" t="s">
        <v>10</v>
      </c>
      <c r="E15" s="120">
        <v>77.7</v>
      </c>
      <c r="F15" s="121">
        <v>2797.2</v>
      </c>
      <c r="K15" s="3">
        <f t="shared" si="0"/>
        <v>0</v>
      </c>
    </row>
    <row r="16" spans="2:11" ht="15.75" x14ac:dyDescent="0.25">
      <c r="B16" s="118">
        <v>42871</v>
      </c>
      <c r="C16" s="15">
        <v>12095</v>
      </c>
      <c r="D16" s="119" t="s">
        <v>248</v>
      </c>
      <c r="E16" s="120">
        <v>84.9</v>
      </c>
      <c r="F16" s="121">
        <v>3141.3</v>
      </c>
      <c r="K16" s="3">
        <f t="shared" si="0"/>
        <v>0</v>
      </c>
    </row>
    <row r="17" spans="2:11" ht="15.75" x14ac:dyDescent="0.25">
      <c r="B17" s="118">
        <v>42871</v>
      </c>
      <c r="C17" s="15">
        <v>12096</v>
      </c>
      <c r="D17" s="119" t="s">
        <v>12</v>
      </c>
      <c r="E17" s="120">
        <v>118.9</v>
      </c>
      <c r="F17" s="121">
        <v>9155.2999999999993</v>
      </c>
    </row>
    <row r="18" spans="2:11" ht="15.75" x14ac:dyDescent="0.25">
      <c r="B18" s="118">
        <v>42871</v>
      </c>
      <c r="C18" s="15">
        <v>12097</v>
      </c>
      <c r="D18" s="119" t="s">
        <v>11</v>
      </c>
      <c r="E18" s="120">
        <v>113.6</v>
      </c>
      <c r="F18" s="121">
        <v>8747.2000000000007</v>
      </c>
    </row>
    <row r="19" spans="2:11" ht="15.75" x14ac:dyDescent="0.25">
      <c r="B19" s="118">
        <v>42871</v>
      </c>
      <c r="C19" s="15">
        <v>12098</v>
      </c>
      <c r="D19" s="119" t="s">
        <v>0</v>
      </c>
      <c r="E19" s="120">
        <v>100.3</v>
      </c>
      <c r="F19" s="121">
        <v>3610.8</v>
      </c>
    </row>
    <row r="20" spans="2:11" ht="15.75" x14ac:dyDescent="0.25">
      <c r="B20" s="118">
        <v>42871</v>
      </c>
      <c r="C20" s="15">
        <v>12102</v>
      </c>
      <c r="D20" s="119" t="s">
        <v>248</v>
      </c>
      <c r="E20" s="120">
        <f>32.3+1+1</f>
        <v>34.299999999999997</v>
      </c>
      <c r="F20" s="121">
        <v>2634.6</v>
      </c>
    </row>
    <row r="21" spans="2:11" ht="15.75" x14ac:dyDescent="0.25">
      <c r="B21" s="118">
        <v>42871</v>
      </c>
      <c r="C21" s="15">
        <v>12103</v>
      </c>
      <c r="D21" s="119" t="s">
        <v>248</v>
      </c>
      <c r="E21" s="120">
        <v>3</v>
      </c>
      <c r="F21" s="121">
        <v>1575</v>
      </c>
    </row>
    <row r="22" spans="2:11" ht="15.75" x14ac:dyDescent="0.25">
      <c r="B22" s="118">
        <v>42872</v>
      </c>
      <c r="C22" s="15">
        <v>12227</v>
      </c>
      <c r="D22" s="119" t="s">
        <v>8</v>
      </c>
      <c r="E22" s="120">
        <v>378.6</v>
      </c>
      <c r="F22" s="121">
        <v>136929.60000000001</v>
      </c>
      <c r="I22" s="3">
        <f t="shared" ref="I22" si="1">SUM(I6:I16)</f>
        <v>941.7</v>
      </c>
      <c r="J22" s="3"/>
      <c r="K22" s="3">
        <f>SUM(K6:K16)</f>
        <v>33901.200000000004</v>
      </c>
    </row>
    <row r="23" spans="2:11" ht="15.75" x14ac:dyDescent="0.25">
      <c r="B23" s="118">
        <v>42872</v>
      </c>
      <c r="C23" s="15">
        <v>12228</v>
      </c>
      <c r="D23" s="119" t="s">
        <v>14</v>
      </c>
      <c r="E23" s="120">
        <v>383.9</v>
      </c>
      <c r="F23" s="121">
        <v>14204.3</v>
      </c>
      <c r="I23" s="3"/>
      <c r="J23" s="3"/>
    </row>
    <row r="24" spans="2:11" ht="15.75" x14ac:dyDescent="0.25">
      <c r="B24" s="118">
        <v>42872</v>
      </c>
      <c r="C24" s="15">
        <v>12231</v>
      </c>
      <c r="D24" s="119" t="s">
        <v>8</v>
      </c>
      <c r="E24" s="120">
        <f>50.7+48</f>
        <v>98.7</v>
      </c>
      <c r="F24" s="121">
        <v>4182.6000000000004</v>
      </c>
      <c r="I24" s="3"/>
      <c r="J24" s="3"/>
    </row>
    <row r="25" spans="2:11" ht="15.75" x14ac:dyDescent="0.25">
      <c r="B25" s="118">
        <v>42872</v>
      </c>
      <c r="C25" s="15">
        <v>12233</v>
      </c>
      <c r="D25" s="119" t="s">
        <v>24</v>
      </c>
      <c r="E25" s="120">
        <f>65.5+43.1+31.7</f>
        <v>140.29999999999998</v>
      </c>
      <c r="F25" s="121">
        <v>2915</v>
      </c>
      <c r="I25" s="3"/>
      <c r="J25" s="3"/>
    </row>
    <row r="26" spans="2:11" ht="15.75" x14ac:dyDescent="0.25">
      <c r="B26" s="118">
        <v>42872</v>
      </c>
      <c r="C26" s="15">
        <v>12235</v>
      </c>
      <c r="D26" s="119" t="s">
        <v>12</v>
      </c>
      <c r="E26" s="120">
        <f>128.6+14.1</f>
        <v>142.69999999999999</v>
      </c>
      <c r="F26" s="121">
        <v>6548.4</v>
      </c>
      <c r="I26" s="3"/>
      <c r="J26" s="3"/>
    </row>
    <row r="27" spans="2:11" ht="15.75" x14ac:dyDescent="0.25">
      <c r="B27" s="118">
        <v>42873</v>
      </c>
      <c r="C27" s="15">
        <v>12361</v>
      </c>
      <c r="D27" s="119" t="s">
        <v>13</v>
      </c>
      <c r="E27" s="120">
        <f>35.6+14.3+27.24+14.9+73.9</f>
        <v>165.94</v>
      </c>
      <c r="F27" s="121">
        <v>7297.12</v>
      </c>
      <c r="I27" s="3"/>
      <c r="J27" s="3"/>
    </row>
    <row r="28" spans="2:11" ht="15.75" x14ac:dyDescent="0.25">
      <c r="B28" s="118">
        <v>42873</v>
      </c>
      <c r="C28" s="15">
        <v>12363</v>
      </c>
      <c r="D28" s="119" t="s">
        <v>14</v>
      </c>
      <c r="E28" s="120">
        <v>432.2</v>
      </c>
      <c r="F28" s="121">
        <v>15559.2</v>
      </c>
      <c r="I28" s="3"/>
      <c r="J28" s="3"/>
    </row>
    <row r="29" spans="2:11" ht="15.75" x14ac:dyDescent="0.25">
      <c r="B29" s="118">
        <v>42873</v>
      </c>
      <c r="C29" s="15">
        <v>12364</v>
      </c>
      <c r="D29" s="119" t="s">
        <v>8</v>
      </c>
      <c r="E29" s="120">
        <f>94.6+428.9</f>
        <v>523.5</v>
      </c>
      <c r="F29" s="121">
        <v>17143.2</v>
      </c>
      <c r="I29" s="3"/>
      <c r="J29" s="3"/>
    </row>
    <row r="30" spans="2:11" ht="15.75" x14ac:dyDescent="0.25">
      <c r="B30" s="118">
        <v>42873</v>
      </c>
      <c r="C30" s="15">
        <v>12365</v>
      </c>
      <c r="D30" s="119" t="s">
        <v>77</v>
      </c>
      <c r="E30" s="120">
        <v>422.2</v>
      </c>
      <c r="F30" s="121">
        <v>15199.2</v>
      </c>
      <c r="I30" s="3"/>
      <c r="J30" s="3"/>
    </row>
    <row r="31" spans="2:11" ht="15.75" x14ac:dyDescent="0.25">
      <c r="B31" s="118">
        <v>42873</v>
      </c>
      <c r="C31" s="15">
        <v>12366</v>
      </c>
      <c r="D31" s="119" t="s">
        <v>11</v>
      </c>
      <c r="E31" s="120">
        <v>83.6</v>
      </c>
      <c r="F31" s="121">
        <v>3009.6</v>
      </c>
      <c r="I31" s="3"/>
      <c r="J31" s="3"/>
    </row>
    <row r="32" spans="2:11" ht="15.75" x14ac:dyDescent="0.25">
      <c r="B32" s="118">
        <v>42873</v>
      </c>
      <c r="C32" s="15">
        <v>12367</v>
      </c>
      <c r="D32" s="119" t="s">
        <v>10</v>
      </c>
      <c r="E32" s="120">
        <v>83.6</v>
      </c>
      <c r="F32" s="121">
        <v>3009.6</v>
      </c>
      <c r="I32" s="3"/>
      <c r="J32" s="3"/>
    </row>
    <row r="33" spans="2:11" ht="15.75" x14ac:dyDescent="0.25">
      <c r="B33" s="118">
        <v>42874</v>
      </c>
      <c r="C33" s="15">
        <v>12482</v>
      </c>
      <c r="D33" s="119" t="s">
        <v>248</v>
      </c>
      <c r="E33" s="120">
        <f>9.3+958.89</f>
        <v>968.18999999999994</v>
      </c>
      <c r="F33" s="121">
        <v>35040.839999999997</v>
      </c>
      <c r="I33" s="3"/>
      <c r="J33" s="3"/>
    </row>
    <row r="34" spans="2:11" ht="15.75" x14ac:dyDescent="0.25">
      <c r="B34" s="118">
        <v>42874</v>
      </c>
      <c r="C34" s="15">
        <v>12505</v>
      </c>
      <c r="D34" s="119" t="s">
        <v>8</v>
      </c>
      <c r="E34" s="120">
        <v>400.6</v>
      </c>
      <c r="F34" s="121">
        <v>14822.2</v>
      </c>
      <c r="I34" s="3"/>
      <c r="J34" s="3"/>
    </row>
    <row r="35" spans="2:11" ht="15.75" x14ac:dyDescent="0.25">
      <c r="B35" s="118">
        <v>42874</v>
      </c>
      <c r="C35" s="15">
        <v>12510</v>
      </c>
      <c r="D35" s="119" t="s">
        <v>12</v>
      </c>
      <c r="E35" s="120">
        <v>364.1</v>
      </c>
      <c r="F35" s="121">
        <v>13107.6</v>
      </c>
      <c r="I35" s="3"/>
      <c r="J35" s="3"/>
    </row>
    <row r="36" spans="2:11" ht="15.75" x14ac:dyDescent="0.25">
      <c r="B36" s="118">
        <v>42874</v>
      </c>
      <c r="C36" s="15">
        <v>12508</v>
      </c>
      <c r="D36" s="119" t="s">
        <v>14</v>
      </c>
      <c r="E36" s="120">
        <f>160.9+156.2</f>
        <v>317.10000000000002</v>
      </c>
      <c r="F36" s="121">
        <v>13138.5</v>
      </c>
      <c r="I36" s="3"/>
      <c r="J36" s="3"/>
    </row>
    <row r="37" spans="2:11" ht="15.75" x14ac:dyDescent="0.25">
      <c r="B37" s="118">
        <v>42874</v>
      </c>
      <c r="C37" s="15">
        <v>12518</v>
      </c>
      <c r="D37" s="119" t="s">
        <v>24</v>
      </c>
      <c r="E37" s="120">
        <f>965.24+41.8+47.9</f>
        <v>1054.94</v>
      </c>
      <c r="F37" s="121">
        <v>36709.839999999997</v>
      </c>
      <c r="I37" s="3"/>
      <c r="J37" s="3"/>
    </row>
    <row r="38" spans="2:11" ht="15.75" x14ac:dyDescent="0.25">
      <c r="B38" s="118">
        <v>42874</v>
      </c>
      <c r="C38" s="15">
        <v>12522</v>
      </c>
      <c r="D38" s="119" t="s">
        <v>248</v>
      </c>
      <c r="E38" s="120">
        <f>62.2+68</f>
        <v>130.19999999999999</v>
      </c>
      <c r="F38" s="121">
        <v>2536</v>
      </c>
      <c r="I38" s="3"/>
      <c r="J38" s="3"/>
    </row>
    <row r="39" spans="2:11" ht="15.75" x14ac:dyDescent="0.25">
      <c r="B39" s="118">
        <v>42874</v>
      </c>
      <c r="C39" s="15">
        <v>12531</v>
      </c>
      <c r="D39" s="119" t="s">
        <v>466</v>
      </c>
      <c r="E39" s="120">
        <f>39.7+3</f>
        <v>42.7</v>
      </c>
      <c r="F39" s="121">
        <v>2420.9</v>
      </c>
      <c r="I39" s="3"/>
      <c r="J39" s="3"/>
    </row>
    <row r="40" spans="2:11" ht="15.75" x14ac:dyDescent="0.25">
      <c r="B40" s="118">
        <v>42875</v>
      </c>
      <c r="C40" s="15">
        <v>12687</v>
      </c>
      <c r="D40" s="119" t="s">
        <v>77</v>
      </c>
      <c r="E40" s="120">
        <v>384.3</v>
      </c>
      <c r="F40" s="121">
        <v>13834.8</v>
      </c>
      <c r="I40" s="3"/>
      <c r="J40" s="3"/>
    </row>
    <row r="41" spans="2:11" ht="15.75" x14ac:dyDescent="0.25">
      <c r="B41" s="118">
        <v>42875</v>
      </c>
      <c r="C41" s="15">
        <v>12688</v>
      </c>
      <c r="D41" s="119" t="s">
        <v>11</v>
      </c>
      <c r="E41" s="120">
        <f>235.1+186</f>
        <v>421.1</v>
      </c>
      <c r="F41" s="121">
        <v>15346.6</v>
      </c>
      <c r="I41" s="3"/>
      <c r="J41" s="3"/>
    </row>
    <row r="42" spans="2:11" ht="15.75" x14ac:dyDescent="0.25">
      <c r="B42" s="118">
        <v>42875</v>
      </c>
      <c r="C42" s="15">
        <v>12691</v>
      </c>
      <c r="D42" s="119" t="s">
        <v>8</v>
      </c>
      <c r="E42" s="120">
        <f>389.7+59.2+54.3</f>
        <v>503.2</v>
      </c>
      <c r="F42" s="121">
        <v>17522.8</v>
      </c>
      <c r="I42" s="3"/>
      <c r="J42" s="3"/>
    </row>
    <row r="43" spans="2:11" ht="15.75" x14ac:dyDescent="0.25">
      <c r="B43" s="118">
        <v>42875</v>
      </c>
      <c r="C43" s="15">
        <v>12692</v>
      </c>
      <c r="D43" s="119" t="s">
        <v>7</v>
      </c>
      <c r="E43" s="120">
        <v>353.3</v>
      </c>
      <c r="F43" s="121">
        <v>12718.8</v>
      </c>
      <c r="I43" s="3"/>
      <c r="J43" s="3"/>
    </row>
    <row r="44" spans="2:11" ht="16.5" thickBot="1" x14ac:dyDescent="0.3">
      <c r="B44" s="118">
        <v>42875</v>
      </c>
      <c r="C44" s="15">
        <v>12694</v>
      </c>
      <c r="D44" s="119" t="s">
        <v>248</v>
      </c>
      <c r="E44" s="120">
        <v>69.2</v>
      </c>
      <c r="F44" s="121">
        <v>2560.4</v>
      </c>
      <c r="I44" s="3"/>
      <c r="J44" s="3"/>
    </row>
    <row r="45" spans="2:11" ht="15.75" thickBot="1" x14ac:dyDescent="0.3">
      <c r="B45" s="29" t="s">
        <v>9</v>
      </c>
      <c r="C45" s="66"/>
      <c r="D45" s="31"/>
      <c r="E45" s="32">
        <v>0</v>
      </c>
      <c r="F45" s="33">
        <f>SUM(F3:F44)</f>
        <v>583742.70000000007</v>
      </c>
      <c r="K45" s="3">
        <f t="shared" ref="K45:K52" si="2">J45*I45</f>
        <v>0</v>
      </c>
    </row>
    <row r="46" spans="2:11" ht="19.5" thickBot="1" x14ac:dyDescent="0.35">
      <c r="B46" s="34"/>
      <c r="C46" s="67"/>
      <c r="D46" s="36" t="s">
        <v>5</v>
      </c>
      <c r="E46" s="37">
        <f>SUM(E3:E45)</f>
        <v>13004.770000000002</v>
      </c>
      <c r="K46" s="3">
        <f t="shared" si="2"/>
        <v>0</v>
      </c>
    </row>
    <row r="47" spans="2:11" x14ac:dyDescent="0.25">
      <c r="B47" s="34"/>
      <c r="C47" s="67"/>
      <c r="D47" s="26"/>
      <c r="E47" s="39"/>
      <c r="K47" s="3">
        <f t="shared" si="2"/>
        <v>0</v>
      </c>
    </row>
    <row r="48" spans="2:11" ht="19.5" thickBot="1" x14ac:dyDescent="0.35">
      <c r="B48" s="40"/>
      <c r="C48" s="41" t="s">
        <v>15</v>
      </c>
      <c r="D48" s="149">
        <f>E46*0.2</f>
        <v>2600.9540000000006</v>
      </c>
      <c r="F48"/>
      <c r="K48" s="3">
        <f t="shared" si="2"/>
        <v>0</v>
      </c>
    </row>
    <row r="49" spans="3:13" ht="21.75" thickBot="1" x14ac:dyDescent="0.4">
      <c r="C49" s="41" t="s">
        <v>16</v>
      </c>
      <c r="D49" s="44">
        <v>3400</v>
      </c>
      <c r="E49" s="45"/>
      <c r="F49" s="258">
        <f>D48+D49</f>
        <v>6000.9540000000006</v>
      </c>
      <c r="G49" s="259"/>
      <c r="K49" s="3">
        <f t="shared" si="2"/>
        <v>0</v>
      </c>
      <c r="L49" s="46"/>
      <c r="M49" s="13"/>
    </row>
    <row r="50" spans="3:13" ht="22.5" thickTop="1" thickBot="1" x14ac:dyDescent="0.4">
      <c r="D50" s="146"/>
      <c r="E50" s="47" t="s">
        <v>258</v>
      </c>
      <c r="G50" s="147">
        <v>-3400</v>
      </c>
      <c r="L50" s="46"/>
      <c r="M50" s="13"/>
    </row>
    <row r="51" spans="3:13" ht="16.5" thickBot="1" x14ac:dyDescent="0.3">
      <c r="D51" s="131" t="s">
        <v>467</v>
      </c>
      <c r="E51" s="47" t="s">
        <v>258</v>
      </c>
      <c r="F51" s="142"/>
      <c r="G51" s="48">
        <v>-300</v>
      </c>
      <c r="K51" s="3">
        <f t="shared" si="2"/>
        <v>0</v>
      </c>
      <c r="L51" s="49"/>
      <c r="M51" s="49"/>
    </row>
    <row r="52" spans="3:13" ht="16.5" thickBot="1" x14ac:dyDescent="0.3">
      <c r="C52" s="50"/>
      <c r="D52" s="131" t="s">
        <v>468</v>
      </c>
      <c r="E52" s="47" t="s">
        <v>258</v>
      </c>
      <c r="F52" s="125"/>
      <c r="G52" s="135">
        <v>-2301</v>
      </c>
      <c r="K52" s="3">
        <f t="shared" si="2"/>
        <v>0</v>
      </c>
      <c r="L52" s="49"/>
      <c r="M52" s="49"/>
    </row>
    <row r="53" spans="3:13" ht="17.25" thickTop="1" thickBot="1" x14ac:dyDescent="0.3">
      <c r="C53" s="122"/>
      <c r="D53" s="131" t="s">
        <v>469</v>
      </c>
      <c r="E53" s="47" t="s">
        <v>307</v>
      </c>
      <c r="F53" s="124"/>
      <c r="G53" s="136">
        <v>0</v>
      </c>
      <c r="L53" s="49"/>
      <c r="M53" s="49"/>
    </row>
    <row r="54" spans="3:13" ht="17.25" customHeight="1" thickBot="1" x14ac:dyDescent="0.4">
      <c r="C54" s="52"/>
      <c r="D54" s="131"/>
      <c r="E54" s="4" t="s">
        <v>258</v>
      </c>
      <c r="F54" s="263">
        <f>SUM(F49:G53)</f>
        <v>-4.5999999999366992E-2</v>
      </c>
      <c r="G54" s="264"/>
      <c r="L54" s="49"/>
      <c r="M54" s="49"/>
    </row>
    <row r="55" spans="3:13" ht="19.5" customHeight="1" x14ac:dyDescent="0.35">
      <c r="F55" s="148"/>
      <c r="G55" s="148"/>
    </row>
    <row r="56" spans="3:13" x14ac:dyDescent="0.25">
      <c r="F56" s="27"/>
      <c r="G56" s="26"/>
    </row>
    <row r="58" spans="3:13" x14ac:dyDescent="0.25">
      <c r="I58" s="3">
        <f t="shared" ref="I58" si="3">SUM(I45:I52)</f>
        <v>0</v>
      </c>
      <c r="J58" s="3"/>
      <c r="K58" s="3">
        <f>SUM(K45:K52)</f>
        <v>0</v>
      </c>
    </row>
  </sheetData>
  <mergeCells count="3">
    <mergeCell ref="B1:C1"/>
    <mergeCell ref="F49:G49"/>
    <mergeCell ref="F54:G54"/>
  </mergeCells>
  <pageMargins left="0.70866141732283472" right="0.70866141732283472" top="0.15748031496062992" bottom="0.15748031496062992" header="0.31496062992125984" footer="0.31496062992125984"/>
  <pageSetup scale="85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67"/>
  <sheetViews>
    <sheetView topLeftCell="A45" workbookViewId="0">
      <selection activeCell="D68" sqref="D68"/>
    </sheetView>
  </sheetViews>
  <sheetFormatPr baseColWidth="10" defaultRowHeight="15" x14ac:dyDescent="0.25"/>
  <cols>
    <col min="1" max="1" width="3.42578125" customWidth="1"/>
    <col min="2" max="2" width="13.42578125" style="96" bestFit="1" customWidth="1"/>
    <col min="3" max="3" width="13.7109375" style="41" customWidth="1"/>
    <col min="4" max="4" width="28.5703125" bestFit="1" customWidth="1"/>
    <col min="5" max="5" width="12" bestFit="1" customWidth="1"/>
    <col min="6" max="6" width="14.140625" style="3" bestFit="1" customWidth="1"/>
    <col min="7" max="7" width="15.7109375" customWidth="1"/>
    <col min="11" max="11" width="11.42578125" style="3"/>
    <col min="13" max="13" width="11.42578125" style="3"/>
  </cols>
  <sheetData>
    <row r="1" spans="2:11" ht="19.5" thickBot="1" x14ac:dyDescent="0.35">
      <c r="B1" s="257">
        <v>42888</v>
      </c>
      <c r="C1" s="257"/>
      <c r="D1" s="152" t="s">
        <v>0</v>
      </c>
      <c r="E1" s="2" t="s">
        <v>1</v>
      </c>
      <c r="K1"/>
    </row>
    <row r="2" spans="2:11" ht="19.5" thickBot="1" x14ac:dyDescent="0.35">
      <c r="B2" s="95" t="s">
        <v>2</v>
      </c>
      <c r="C2" s="5" t="s">
        <v>3</v>
      </c>
      <c r="D2" s="5" t="s">
        <v>4</v>
      </c>
      <c r="E2" s="6" t="s">
        <v>5</v>
      </c>
      <c r="F2" s="139" t="s">
        <v>470</v>
      </c>
      <c r="G2" s="8"/>
      <c r="K2"/>
    </row>
    <row r="3" spans="2:11" ht="15.75" x14ac:dyDescent="0.25">
      <c r="B3" s="83">
        <v>42872</v>
      </c>
      <c r="C3" s="69" t="s">
        <v>471</v>
      </c>
      <c r="D3" s="70" t="s">
        <v>10</v>
      </c>
      <c r="E3" s="76">
        <v>77.7</v>
      </c>
      <c r="F3" s="71">
        <v>2797.2</v>
      </c>
      <c r="K3"/>
    </row>
    <row r="4" spans="2:11" ht="15.75" x14ac:dyDescent="0.25">
      <c r="B4" s="118">
        <v>42872</v>
      </c>
      <c r="C4" s="15" t="s">
        <v>472</v>
      </c>
      <c r="D4" s="119" t="s">
        <v>0</v>
      </c>
      <c r="E4" s="120">
        <f>88.5+85.2+10</f>
        <v>183.7</v>
      </c>
      <c r="F4" s="121">
        <v>9544.4</v>
      </c>
      <c r="K4"/>
    </row>
    <row r="5" spans="2:11" ht="15.75" x14ac:dyDescent="0.25">
      <c r="B5" s="118">
        <v>42874</v>
      </c>
      <c r="C5" s="15" t="s">
        <v>473</v>
      </c>
      <c r="D5" s="119" t="s">
        <v>304</v>
      </c>
      <c r="E5" s="120">
        <v>79.8</v>
      </c>
      <c r="F5" s="121">
        <v>2952.6</v>
      </c>
      <c r="K5"/>
    </row>
    <row r="6" spans="2:11" ht="15.75" x14ac:dyDescent="0.25">
      <c r="B6" s="118">
        <v>42874</v>
      </c>
      <c r="C6" s="15" t="s">
        <v>474</v>
      </c>
      <c r="D6" s="119" t="s">
        <v>10</v>
      </c>
      <c r="E6" s="120">
        <f>64.5+79.4+86.2</f>
        <v>230.10000000000002</v>
      </c>
      <c r="F6" s="121">
        <v>9842</v>
      </c>
      <c r="G6" t="s">
        <v>9</v>
      </c>
      <c r="K6" s="3">
        <f t="shared" ref="K6:K16" si="0">J6*I6</f>
        <v>0</v>
      </c>
    </row>
    <row r="7" spans="2:11" ht="15.75" x14ac:dyDescent="0.25">
      <c r="B7" s="118">
        <v>42874</v>
      </c>
      <c r="C7" s="15" t="s">
        <v>475</v>
      </c>
      <c r="D7" s="119" t="s">
        <v>6</v>
      </c>
      <c r="E7" s="120">
        <f>418.4+78+21.3+1+15.4+19.2</f>
        <v>553.29999999999995</v>
      </c>
      <c r="F7" s="121">
        <v>23087.200000000001</v>
      </c>
      <c r="K7" s="3">
        <f t="shared" si="0"/>
        <v>0</v>
      </c>
    </row>
    <row r="8" spans="2:11" ht="15.75" x14ac:dyDescent="0.25">
      <c r="B8" s="118">
        <v>42875</v>
      </c>
      <c r="C8" s="15" t="s">
        <v>476</v>
      </c>
      <c r="D8" s="119" t="s">
        <v>14</v>
      </c>
      <c r="E8" s="120">
        <v>92.6</v>
      </c>
      <c r="F8" s="121">
        <v>2222.4</v>
      </c>
      <c r="K8" s="3">
        <f t="shared" si="0"/>
        <v>0</v>
      </c>
    </row>
    <row r="9" spans="2:11" ht="15.75" x14ac:dyDescent="0.25">
      <c r="B9" s="118">
        <v>42877</v>
      </c>
      <c r="C9" s="15" t="s">
        <v>477</v>
      </c>
      <c r="D9" s="119" t="s">
        <v>8</v>
      </c>
      <c r="E9" s="120">
        <v>402.5</v>
      </c>
      <c r="F9" s="121">
        <v>14490</v>
      </c>
      <c r="K9" s="3">
        <f t="shared" si="0"/>
        <v>0</v>
      </c>
    </row>
    <row r="10" spans="2:11" ht="15.75" x14ac:dyDescent="0.25">
      <c r="B10" s="118">
        <v>42877</v>
      </c>
      <c r="C10" s="15" t="s">
        <v>478</v>
      </c>
      <c r="D10" s="119" t="s">
        <v>10</v>
      </c>
      <c r="E10" s="120">
        <f>86.7+2.36+1</f>
        <v>90.06</v>
      </c>
      <c r="F10" s="121">
        <v>3493.4</v>
      </c>
      <c r="K10" s="3">
        <f t="shared" si="0"/>
        <v>0</v>
      </c>
    </row>
    <row r="11" spans="2:11" ht="15.75" x14ac:dyDescent="0.25">
      <c r="B11" s="118">
        <v>42877</v>
      </c>
      <c r="C11" s="15" t="s">
        <v>479</v>
      </c>
      <c r="D11" s="119" t="s">
        <v>304</v>
      </c>
      <c r="E11" s="120">
        <v>80.400000000000006</v>
      </c>
      <c r="F11" s="121">
        <v>2894.4</v>
      </c>
      <c r="K11" s="3">
        <f t="shared" si="0"/>
        <v>0</v>
      </c>
    </row>
    <row r="12" spans="2:11" ht="15.75" x14ac:dyDescent="0.25">
      <c r="B12" s="118">
        <v>42878</v>
      </c>
      <c r="C12" s="15" t="s">
        <v>480</v>
      </c>
      <c r="D12" s="119" t="s">
        <v>51</v>
      </c>
      <c r="E12" s="120">
        <f>4.6+14.9</f>
        <v>19.5</v>
      </c>
      <c r="F12" s="121">
        <v>1795.8</v>
      </c>
      <c r="K12" s="3">
        <f t="shared" si="0"/>
        <v>0</v>
      </c>
    </row>
    <row r="13" spans="2:11" ht="15.75" x14ac:dyDescent="0.25">
      <c r="B13" s="118">
        <v>42878</v>
      </c>
      <c r="C13" s="15" t="s">
        <v>481</v>
      </c>
      <c r="D13" s="119" t="s">
        <v>14</v>
      </c>
      <c r="E13" s="120">
        <v>401.2</v>
      </c>
      <c r="F13" s="121">
        <v>15245.6</v>
      </c>
      <c r="K13" s="3">
        <f t="shared" si="0"/>
        <v>0</v>
      </c>
    </row>
    <row r="14" spans="2:11" ht="15.75" x14ac:dyDescent="0.25">
      <c r="B14" s="118">
        <v>42878</v>
      </c>
      <c r="C14" s="15" t="s">
        <v>482</v>
      </c>
      <c r="D14" s="119" t="s">
        <v>12</v>
      </c>
      <c r="E14" s="120">
        <v>252.3</v>
      </c>
      <c r="F14" s="121">
        <v>9335.1</v>
      </c>
      <c r="K14" s="3">
        <f t="shared" si="0"/>
        <v>0</v>
      </c>
    </row>
    <row r="15" spans="2:11" ht="15.75" x14ac:dyDescent="0.25">
      <c r="B15" s="118">
        <v>42878</v>
      </c>
      <c r="C15" s="15" t="s">
        <v>483</v>
      </c>
      <c r="D15" s="119" t="s">
        <v>8</v>
      </c>
      <c r="E15" s="120">
        <f>99.8+430</f>
        <v>529.79999999999995</v>
      </c>
      <c r="F15" s="121">
        <v>20070.8</v>
      </c>
      <c r="K15" s="3">
        <f t="shared" si="0"/>
        <v>0</v>
      </c>
    </row>
    <row r="16" spans="2:11" ht="15.75" x14ac:dyDescent="0.25">
      <c r="B16" s="118">
        <v>42878</v>
      </c>
      <c r="C16" s="15" t="s">
        <v>484</v>
      </c>
      <c r="D16" s="119" t="s">
        <v>304</v>
      </c>
      <c r="E16" s="120">
        <v>50.6</v>
      </c>
      <c r="F16" s="121">
        <v>4149.2</v>
      </c>
      <c r="K16" s="3">
        <f t="shared" si="0"/>
        <v>0</v>
      </c>
    </row>
    <row r="17" spans="2:11" ht="15.75" x14ac:dyDescent="0.25">
      <c r="B17" s="118">
        <v>42878</v>
      </c>
      <c r="C17" s="15" t="s">
        <v>485</v>
      </c>
      <c r="D17" s="119" t="s">
        <v>11</v>
      </c>
      <c r="E17" s="120">
        <v>97.7</v>
      </c>
      <c r="F17" s="121">
        <v>7620.6</v>
      </c>
    </row>
    <row r="18" spans="2:11" ht="15.75" x14ac:dyDescent="0.25">
      <c r="B18" s="118">
        <v>42878</v>
      </c>
      <c r="C18" s="15" t="s">
        <v>486</v>
      </c>
      <c r="D18" s="119" t="s">
        <v>304</v>
      </c>
      <c r="E18" s="120">
        <v>77.900000000000006</v>
      </c>
      <c r="F18" s="121">
        <v>2882.3</v>
      </c>
    </row>
    <row r="19" spans="2:11" ht="15.75" x14ac:dyDescent="0.25">
      <c r="B19" s="118">
        <v>42878</v>
      </c>
      <c r="C19" s="15" t="s">
        <v>487</v>
      </c>
      <c r="D19" s="119" t="s">
        <v>466</v>
      </c>
      <c r="E19" s="120">
        <f>40+65.7</f>
        <v>105.7</v>
      </c>
      <c r="F19" s="121">
        <v>4902.2</v>
      </c>
    </row>
    <row r="20" spans="2:11" ht="15.75" x14ac:dyDescent="0.25">
      <c r="B20" s="118">
        <v>42878</v>
      </c>
      <c r="C20" s="15" t="s">
        <v>488</v>
      </c>
      <c r="D20" s="119" t="s">
        <v>24</v>
      </c>
      <c r="E20" s="120">
        <f>47.7+54.4+42.1</f>
        <v>144.19999999999999</v>
      </c>
      <c r="F20" s="121">
        <v>3017.4</v>
      </c>
    </row>
    <row r="21" spans="2:11" ht="15.75" x14ac:dyDescent="0.25">
      <c r="B21" s="118">
        <v>42879</v>
      </c>
      <c r="C21" s="15" t="s">
        <v>489</v>
      </c>
      <c r="D21" s="119" t="s">
        <v>8</v>
      </c>
      <c r="E21" s="120">
        <f>440.7+96.6+64.3</f>
        <v>601.59999999999991</v>
      </c>
      <c r="F21" s="121">
        <v>20423.8</v>
      </c>
    </row>
    <row r="22" spans="2:11" ht="15.75" x14ac:dyDescent="0.25">
      <c r="B22" s="118">
        <v>42879</v>
      </c>
      <c r="C22" s="15" t="s">
        <v>490</v>
      </c>
      <c r="D22" s="119" t="s">
        <v>14</v>
      </c>
      <c r="E22" s="120">
        <v>449.5</v>
      </c>
      <c r="F22" s="121">
        <v>16631.5</v>
      </c>
      <c r="I22" s="3">
        <f t="shared" ref="I22" si="1">SUM(I6:I16)</f>
        <v>0</v>
      </c>
      <c r="J22" s="3"/>
      <c r="K22" s="3">
        <f>SUM(K6:K16)</f>
        <v>0</v>
      </c>
    </row>
    <row r="23" spans="2:11" ht="15.75" x14ac:dyDescent="0.25">
      <c r="B23" s="118">
        <v>42879</v>
      </c>
      <c r="C23" s="15" t="s">
        <v>491</v>
      </c>
      <c r="D23" s="119" t="s">
        <v>24</v>
      </c>
      <c r="E23" s="120">
        <f>977.6+13.61</f>
        <v>991.21</v>
      </c>
      <c r="F23" s="121">
        <v>35806.050000000003</v>
      </c>
      <c r="I23" s="3"/>
      <c r="J23" s="3"/>
    </row>
    <row r="24" spans="2:11" ht="15.75" x14ac:dyDescent="0.25">
      <c r="B24" s="118">
        <v>42879</v>
      </c>
      <c r="C24" s="15" t="s">
        <v>492</v>
      </c>
      <c r="D24" s="119" t="s">
        <v>6</v>
      </c>
      <c r="E24" s="120">
        <f>7+9.8</f>
        <v>16.8</v>
      </c>
      <c r="F24" s="121">
        <v>835.8</v>
      </c>
      <c r="I24" s="3"/>
      <c r="J24" s="3"/>
    </row>
    <row r="25" spans="2:11" ht="15.75" x14ac:dyDescent="0.25">
      <c r="B25" s="118">
        <v>42879</v>
      </c>
      <c r="C25" s="15" t="s">
        <v>493</v>
      </c>
      <c r="D25" s="119" t="s">
        <v>77</v>
      </c>
      <c r="E25" s="120">
        <v>409.3</v>
      </c>
      <c r="F25" s="121">
        <v>15553.4</v>
      </c>
      <c r="I25" s="3"/>
      <c r="J25" s="3"/>
    </row>
    <row r="26" spans="2:11" ht="15.75" x14ac:dyDescent="0.25">
      <c r="B26" s="118">
        <v>42879</v>
      </c>
      <c r="C26" s="15" t="s">
        <v>494</v>
      </c>
      <c r="D26" s="119" t="s">
        <v>11</v>
      </c>
      <c r="E26" s="120">
        <v>183.9</v>
      </c>
      <c r="F26" s="121">
        <v>6804.3</v>
      </c>
      <c r="I26" s="3"/>
      <c r="J26" s="3"/>
    </row>
    <row r="27" spans="2:11" ht="15.75" x14ac:dyDescent="0.25">
      <c r="B27" s="118">
        <v>42879</v>
      </c>
      <c r="C27" s="15" t="s">
        <v>495</v>
      </c>
      <c r="D27" s="119" t="s">
        <v>10</v>
      </c>
      <c r="E27" s="120">
        <v>97.3</v>
      </c>
      <c r="F27" s="121">
        <v>3600</v>
      </c>
      <c r="I27" s="3"/>
      <c r="J27" s="3"/>
    </row>
    <row r="28" spans="2:11" ht="15.75" x14ac:dyDescent="0.25">
      <c r="B28" s="118">
        <v>42880</v>
      </c>
      <c r="C28" s="15" t="s">
        <v>496</v>
      </c>
      <c r="D28" s="119" t="s">
        <v>14</v>
      </c>
      <c r="E28" s="120">
        <v>401.2</v>
      </c>
      <c r="F28" s="121">
        <v>14844.4</v>
      </c>
      <c r="I28" s="3"/>
      <c r="J28" s="3"/>
    </row>
    <row r="29" spans="2:11" ht="15.75" x14ac:dyDescent="0.25">
      <c r="B29" s="118">
        <v>42880</v>
      </c>
      <c r="C29" s="15" t="s">
        <v>497</v>
      </c>
      <c r="D29" s="119" t="s">
        <v>77</v>
      </c>
      <c r="E29" s="120">
        <v>417.1</v>
      </c>
      <c r="F29" s="121">
        <v>15849.8</v>
      </c>
      <c r="I29" s="3"/>
      <c r="J29" s="3"/>
    </row>
    <row r="30" spans="2:11" ht="15.75" x14ac:dyDescent="0.25">
      <c r="B30" s="118">
        <v>42880</v>
      </c>
      <c r="C30" s="15" t="s">
        <v>498</v>
      </c>
      <c r="D30" s="119" t="s">
        <v>8</v>
      </c>
      <c r="E30" s="120">
        <f>372.9+14.5</f>
        <v>387.4</v>
      </c>
      <c r="F30" s="121">
        <v>14203.3</v>
      </c>
      <c r="I30" s="3"/>
      <c r="J30" s="3"/>
    </row>
    <row r="31" spans="2:11" ht="15.75" x14ac:dyDescent="0.25">
      <c r="B31" s="118">
        <v>42880</v>
      </c>
      <c r="C31" s="15" t="s">
        <v>499</v>
      </c>
      <c r="D31" s="119" t="s">
        <v>10</v>
      </c>
      <c r="E31" s="120">
        <v>78.099999999999994</v>
      </c>
      <c r="F31" s="121">
        <v>2889.7</v>
      </c>
      <c r="I31" s="3"/>
      <c r="J31" s="3"/>
    </row>
    <row r="32" spans="2:11" ht="15.75" x14ac:dyDescent="0.25">
      <c r="B32" s="118">
        <v>42880</v>
      </c>
      <c r="C32" s="15" t="s">
        <v>500</v>
      </c>
      <c r="D32" s="119" t="s">
        <v>304</v>
      </c>
      <c r="E32" s="120">
        <v>27.24</v>
      </c>
      <c r="F32" s="121">
        <v>1062.3599999999999</v>
      </c>
      <c r="I32" s="3"/>
      <c r="J32" s="3"/>
    </row>
    <row r="33" spans="2:10" ht="15.75" x14ac:dyDescent="0.25">
      <c r="B33" s="118">
        <v>42880</v>
      </c>
      <c r="C33" s="15" t="s">
        <v>501</v>
      </c>
      <c r="D33" s="119" t="s">
        <v>304</v>
      </c>
      <c r="E33" s="120">
        <v>9.6999999999999993</v>
      </c>
      <c r="F33" s="121">
        <v>475.3</v>
      </c>
      <c r="I33" s="3"/>
      <c r="J33" s="3"/>
    </row>
    <row r="34" spans="2:10" ht="15.75" x14ac:dyDescent="0.25">
      <c r="B34" s="118">
        <v>42880</v>
      </c>
      <c r="C34" s="15" t="s">
        <v>502</v>
      </c>
      <c r="D34" s="119" t="s">
        <v>466</v>
      </c>
      <c r="E34" s="120">
        <f>71.9+20.36+61.6</f>
        <v>153.86000000000001</v>
      </c>
      <c r="F34" s="121">
        <v>6772.68</v>
      </c>
      <c r="I34" s="3"/>
      <c r="J34" s="3"/>
    </row>
    <row r="35" spans="2:10" ht="15.75" x14ac:dyDescent="0.25">
      <c r="B35" s="118">
        <v>42881</v>
      </c>
      <c r="C35" s="15" t="s">
        <v>503</v>
      </c>
      <c r="D35" s="119" t="s">
        <v>304</v>
      </c>
      <c r="E35" s="120">
        <f>934.85+26.2</f>
        <v>961.05000000000007</v>
      </c>
      <c r="F35" s="121">
        <v>34448.949999999997</v>
      </c>
      <c r="I35" s="3"/>
      <c r="J35" s="3"/>
    </row>
    <row r="36" spans="2:10" ht="15.75" x14ac:dyDescent="0.25">
      <c r="B36" s="118">
        <v>42881</v>
      </c>
      <c r="C36" s="15" t="s">
        <v>504</v>
      </c>
      <c r="D36" s="119" t="s">
        <v>24</v>
      </c>
      <c r="E36" s="120">
        <f>64.2+63.3</f>
        <v>127.5</v>
      </c>
      <c r="F36" s="121">
        <v>2803.2</v>
      </c>
      <c r="I36" s="3"/>
      <c r="J36" s="3"/>
    </row>
    <row r="37" spans="2:10" ht="15.75" x14ac:dyDescent="0.25">
      <c r="B37" s="118">
        <v>42881</v>
      </c>
      <c r="C37" s="15" t="s">
        <v>505</v>
      </c>
      <c r="D37" s="119" t="s">
        <v>77</v>
      </c>
      <c r="E37" s="120">
        <v>430.2</v>
      </c>
      <c r="F37" s="121">
        <v>15917.4</v>
      </c>
      <c r="I37" s="3"/>
      <c r="J37" s="3"/>
    </row>
    <row r="38" spans="2:10" ht="15.75" x14ac:dyDescent="0.25">
      <c r="B38" s="118">
        <v>42881</v>
      </c>
      <c r="C38" s="15" t="s">
        <v>506</v>
      </c>
      <c r="D38" s="119" t="s">
        <v>12</v>
      </c>
      <c r="E38" s="120">
        <f>352.4+88.7</f>
        <v>441.09999999999997</v>
      </c>
      <c r="F38" s="121">
        <v>20309.8</v>
      </c>
      <c r="I38" s="3"/>
      <c r="J38" s="3"/>
    </row>
    <row r="39" spans="2:10" ht="15.75" x14ac:dyDescent="0.25">
      <c r="B39" s="118">
        <v>42881</v>
      </c>
      <c r="C39" s="15" t="s">
        <v>507</v>
      </c>
      <c r="D39" s="119" t="s">
        <v>466</v>
      </c>
      <c r="E39" s="120">
        <f>27.24+1+20.5</f>
        <v>48.739999999999995</v>
      </c>
      <c r="F39" s="121">
        <v>2204.12</v>
      </c>
      <c r="I39" s="3"/>
      <c r="J39" s="3"/>
    </row>
    <row r="40" spans="2:10" ht="15.75" x14ac:dyDescent="0.25">
      <c r="B40" s="118">
        <v>42881</v>
      </c>
      <c r="C40" s="15" t="s">
        <v>508</v>
      </c>
      <c r="D40" s="119" t="s">
        <v>8</v>
      </c>
      <c r="E40" s="120">
        <f>422.3+56.4+54.4+24.1</f>
        <v>557.20000000000005</v>
      </c>
      <c r="F40" s="121">
        <v>22636.9</v>
      </c>
      <c r="I40" s="3"/>
      <c r="J40" s="3"/>
    </row>
    <row r="41" spans="2:10" ht="15.75" x14ac:dyDescent="0.25">
      <c r="B41" s="118">
        <v>42881</v>
      </c>
      <c r="C41" s="15" t="s">
        <v>509</v>
      </c>
      <c r="D41" s="119" t="s">
        <v>304</v>
      </c>
      <c r="E41" s="120">
        <f>20.7+39.4</f>
        <v>60.099999999999994</v>
      </c>
      <c r="F41" s="121">
        <v>3147.9</v>
      </c>
      <c r="I41" s="3"/>
      <c r="J41" s="3"/>
    </row>
    <row r="42" spans="2:10" ht="15.75" x14ac:dyDescent="0.25">
      <c r="B42" s="118">
        <v>42881</v>
      </c>
      <c r="C42" s="15" t="s">
        <v>510</v>
      </c>
      <c r="D42" s="119" t="s">
        <v>511</v>
      </c>
      <c r="E42" s="120">
        <v>36.9</v>
      </c>
      <c r="F42" s="121">
        <v>738</v>
      </c>
      <c r="I42" s="3"/>
      <c r="J42" s="3"/>
    </row>
    <row r="43" spans="2:10" ht="15.75" x14ac:dyDescent="0.25">
      <c r="B43" s="118">
        <v>42882</v>
      </c>
      <c r="C43" s="15" t="s">
        <v>512</v>
      </c>
      <c r="D43" s="119" t="s">
        <v>8</v>
      </c>
      <c r="E43" s="120">
        <f>424.3+50.9</f>
        <v>475.2</v>
      </c>
      <c r="F43" s="121">
        <v>17345</v>
      </c>
      <c r="I43" s="3"/>
      <c r="J43" s="3"/>
    </row>
    <row r="44" spans="2:10" ht="15.75" x14ac:dyDescent="0.25">
      <c r="B44" s="118">
        <v>42882</v>
      </c>
      <c r="C44" s="15" t="s">
        <v>513</v>
      </c>
      <c r="D44" s="119" t="s">
        <v>466</v>
      </c>
      <c r="E44" s="120">
        <v>150.1</v>
      </c>
      <c r="F44" s="121">
        <v>7054.7</v>
      </c>
      <c r="I44" s="3"/>
      <c r="J44" s="3"/>
    </row>
    <row r="45" spans="2:10" ht="15.75" x14ac:dyDescent="0.25">
      <c r="B45" s="118">
        <v>42882</v>
      </c>
      <c r="C45" s="15" t="s">
        <v>514</v>
      </c>
      <c r="D45" s="119" t="s">
        <v>14</v>
      </c>
      <c r="E45" s="120">
        <v>426.1</v>
      </c>
      <c r="F45" s="121">
        <v>16191.8</v>
      </c>
      <c r="I45" s="3"/>
      <c r="J45" s="3"/>
    </row>
    <row r="46" spans="2:10" ht="15.75" x14ac:dyDescent="0.25">
      <c r="B46" s="118">
        <v>42882</v>
      </c>
      <c r="C46" s="15" t="s">
        <v>515</v>
      </c>
      <c r="D46" s="119" t="s">
        <v>77</v>
      </c>
      <c r="E46" s="120">
        <v>411.4</v>
      </c>
      <c r="F46" s="121">
        <v>16044.6</v>
      </c>
      <c r="I46" s="3"/>
      <c r="J46" s="3"/>
    </row>
    <row r="47" spans="2:10" ht="15.75" x14ac:dyDescent="0.25">
      <c r="B47" s="118">
        <v>42882</v>
      </c>
      <c r="C47" s="15" t="s">
        <v>516</v>
      </c>
      <c r="D47" s="119" t="s">
        <v>12</v>
      </c>
      <c r="E47" s="120">
        <f>91.8+1</f>
        <v>92.8</v>
      </c>
      <c r="F47" s="121">
        <v>4258.3999999999996</v>
      </c>
      <c r="I47" s="3"/>
      <c r="J47" s="3"/>
    </row>
    <row r="48" spans="2:10" ht="15.75" x14ac:dyDescent="0.25">
      <c r="B48" s="118">
        <v>42882</v>
      </c>
      <c r="C48" s="15" t="s">
        <v>517</v>
      </c>
      <c r="D48" s="119" t="s">
        <v>24</v>
      </c>
      <c r="E48" s="120">
        <f>25.8+39.4</f>
        <v>65.2</v>
      </c>
      <c r="F48" s="121">
        <v>1251</v>
      </c>
      <c r="I48" s="3"/>
      <c r="J48" s="3"/>
    </row>
    <row r="49" spans="2:13" ht="15.75" x14ac:dyDescent="0.25">
      <c r="B49" s="118">
        <v>42882</v>
      </c>
      <c r="C49" s="15" t="s">
        <v>518</v>
      </c>
      <c r="D49" s="119" t="s">
        <v>10</v>
      </c>
      <c r="E49" s="120">
        <v>86.2</v>
      </c>
      <c r="F49" s="121">
        <v>3275.6</v>
      </c>
      <c r="I49" s="3"/>
      <c r="J49" s="3"/>
    </row>
    <row r="50" spans="2:13" ht="15.75" x14ac:dyDescent="0.25">
      <c r="B50" s="118">
        <v>42882</v>
      </c>
      <c r="C50" s="15" t="s">
        <v>519</v>
      </c>
      <c r="D50" s="119" t="s">
        <v>304</v>
      </c>
      <c r="E50" s="120">
        <f>80.6+15</f>
        <v>95.6</v>
      </c>
      <c r="F50" s="121">
        <v>4172.8</v>
      </c>
      <c r="I50" s="3"/>
      <c r="J50" s="3"/>
    </row>
    <row r="51" spans="2:13" ht="15.75" x14ac:dyDescent="0.25">
      <c r="B51" s="118">
        <v>42882</v>
      </c>
      <c r="C51" s="15" t="s">
        <v>520</v>
      </c>
      <c r="D51" s="119" t="s">
        <v>11</v>
      </c>
      <c r="E51" s="120">
        <v>97.2</v>
      </c>
      <c r="F51" s="121">
        <v>1749.6</v>
      </c>
      <c r="I51" s="3"/>
      <c r="J51" s="3"/>
    </row>
    <row r="52" spans="2:13" ht="15.75" x14ac:dyDescent="0.25">
      <c r="B52" s="118">
        <v>42882</v>
      </c>
      <c r="C52" s="15" t="s">
        <v>521</v>
      </c>
      <c r="D52" s="119" t="s">
        <v>304</v>
      </c>
      <c r="E52" s="120">
        <v>21.4</v>
      </c>
      <c r="F52" s="121">
        <v>428</v>
      </c>
      <c r="I52" s="3"/>
      <c r="J52" s="3"/>
    </row>
    <row r="53" spans="2:13" ht="16.5" thickBot="1" x14ac:dyDescent="0.3">
      <c r="B53" s="118"/>
      <c r="C53" s="15"/>
      <c r="D53" s="119"/>
      <c r="E53" s="120"/>
      <c r="F53" s="121"/>
      <c r="I53" s="3"/>
      <c r="J53" s="3"/>
    </row>
    <row r="54" spans="2:13" ht="15.75" thickBot="1" x14ac:dyDescent="0.3">
      <c r="B54" s="29" t="s">
        <v>9</v>
      </c>
      <c r="C54" s="66"/>
      <c r="D54" s="31"/>
      <c r="E54" s="32">
        <v>0</v>
      </c>
      <c r="F54" s="33">
        <f>SUM(F3:F53)</f>
        <v>470072.75999999995</v>
      </c>
      <c r="K54" s="3">
        <f t="shared" ref="K54:K61" si="2">J54*I54</f>
        <v>0</v>
      </c>
    </row>
    <row r="55" spans="2:13" ht="19.5" thickBot="1" x14ac:dyDescent="0.35">
      <c r="B55" s="34"/>
      <c r="C55" s="67"/>
      <c r="D55" s="36" t="s">
        <v>5</v>
      </c>
      <c r="E55" s="37">
        <f>SUM(E3:E54)</f>
        <v>12277.260000000004</v>
      </c>
      <c r="K55" s="3">
        <f t="shared" si="2"/>
        <v>0</v>
      </c>
    </row>
    <row r="56" spans="2:13" x14ac:dyDescent="0.25">
      <c r="B56" s="34"/>
      <c r="C56" s="67"/>
      <c r="D56" s="26"/>
      <c r="E56" s="39"/>
      <c r="K56" s="3">
        <f t="shared" si="2"/>
        <v>0</v>
      </c>
    </row>
    <row r="57" spans="2:13" ht="19.5" thickBot="1" x14ac:dyDescent="0.35">
      <c r="B57" s="40"/>
      <c r="C57" s="41" t="s">
        <v>15</v>
      </c>
      <c r="D57" s="149">
        <f>E55*0.2</f>
        <v>2455.4520000000007</v>
      </c>
      <c r="F57"/>
      <c r="K57" s="3">
        <f t="shared" si="2"/>
        <v>0</v>
      </c>
    </row>
    <row r="58" spans="2:13" ht="21.75" thickBot="1" x14ac:dyDescent="0.4">
      <c r="C58" s="41" t="s">
        <v>16</v>
      </c>
      <c r="D58" s="44">
        <v>3400</v>
      </c>
      <c r="E58" s="45"/>
      <c r="F58" s="258">
        <f>D57+D58</f>
        <v>5855.4520000000011</v>
      </c>
      <c r="G58" s="259"/>
      <c r="K58" s="3">
        <f t="shared" si="2"/>
        <v>0</v>
      </c>
      <c r="L58" s="46"/>
      <c r="M58" s="13"/>
    </row>
    <row r="59" spans="2:13" ht="22.5" thickTop="1" thickBot="1" x14ac:dyDescent="0.4">
      <c r="D59" s="146"/>
      <c r="E59" s="47" t="s">
        <v>258</v>
      </c>
      <c r="G59" s="147">
        <v>-3400</v>
      </c>
      <c r="L59" s="46"/>
      <c r="M59" s="13"/>
    </row>
    <row r="60" spans="2:13" ht="16.5" thickBot="1" x14ac:dyDescent="0.3">
      <c r="D60" s="131" t="s">
        <v>522</v>
      </c>
      <c r="E60" s="47" t="s">
        <v>258</v>
      </c>
      <c r="F60" s="142"/>
      <c r="G60" s="48">
        <v>-300</v>
      </c>
      <c r="I60" t="s">
        <v>606</v>
      </c>
      <c r="K60" s="3" t="e">
        <f t="shared" si="2"/>
        <v>#VALUE!</v>
      </c>
      <c r="L60" s="49"/>
      <c r="M60" s="49"/>
    </row>
    <row r="61" spans="2:13" ht="16.5" thickBot="1" x14ac:dyDescent="0.3">
      <c r="C61" s="156"/>
      <c r="D61" s="155" t="s">
        <v>524</v>
      </c>
      <c r="E61" s="47" t="s">
        <v>258</v>
      </c>
      <c r="F61" s="125"/>
      <c r="G61" s="135">
        <v>-709.5</v>
      </c>
      <c r="K61" s="3">
        <f t="shared" si="2"/>
        <v>0</v>
      </c>
      <c r="L61" s="49"/>
      <c r="M61" s="49"/>
    </row>
    <row r="62" spans="2:13" ht="17.25" thickTop="1" thickBot="1" x14ac:dyDescent="0.3">
      <c r="B62" s="96" t="s">
        <v>607</v>
      </c>
      <c r="C62" s="153" t="s">
        <v>523</v>
      </c>
      <c r="D62" s="155" t="s">
        <v>525</v>
      </c>
      <c r="E62" s="47" t="s">
        <v>307</v>
      </c>
      <c r="F62" s="124"/>
      <c r="G62" s="136">
        <v>-1446</v>
      </c>
      <c r="L62" s="49"/>
      <c r="M62" s="49"/>
    </row>
    <row r="63" spans="2:13" ht="17.25" customHeight="1" thickBot="1" x14ac:dyDescent="0.4">
      <c r="C63" s="157"/>
      <c r="D63" s="155" t="s">
        <v>526</v>
      </c>
      <c r="E63" s="4" t="s">
        <v>258</v>
      </c>
      <c r="F63" s="263">
        <f>SUM(F58:G62)</f>
        <v>-4.7999999998864951E-2</v>
      </c>
      <c r="G63" s="264"/>
      <c r="L63" s="49"/>
      <c r="M63" s="49"/>
    </row>
    <row r="64" spans="2:13" ht="19.5" customHeight="1" x14ac:dyDescent="0.35">
      <c r="F64" s="148"/>
      <c r="G64" s="148"/>
    </row>
    <row r="65" spans="6:11" x14ac:dyDescent="0.25">
      <c r="F65" s="27"/>
      <c r="G65" s="26"/>
    </row>
    <row r="67" spans="6:11" x14ac:dyDescent="0.25">
      <c r="I67" s="3">
        <f t="shared" ref="I67" si="3">SUM(I54:I61)</f>
        <v>0</v>
      </c>
      <c r="J67" s="3"/>
      <c r="K67" s="3" t="e">
        <f>SUM(K54:K61)</f>
        <v>#VALUE!</v>
      </c>
    </row>
  </sheetData>
  <mergeCells count="3">
    <mergeCell ref="B1:C1"/>
    <mergeCell ref="F58:G58"/>
    <mergeCell ref="F63:G63"/>
  </mergeCells>
  <pageMargins left="0.70866141732283472" right="0.11811023622047245" top="0.74803149606299213" bottom="0.74803149606299213" header="0.31496062992125984" footer="0.31496062992125984"/>
  <pageSetup scale="90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0"/>
  <sheetViews>
    <sheetView topLeftCell="A25" workbookViewId="0">
      <selection activeCell="D40" sqref="D40"/>
    </sheetView>
  </sheetViews>
  <sheetFormatPr baseColWidth="10" defaultRowHeight="15" x14ac:dyDescent="0.25"/>
  <cols>
    <col min="1" max="1" width="3.42578125" customWidth="1"/>
    <col min="2" max="2" width="13.42578125" style="96" bestFit="1" customWidth="1"/>
    <col min="3" max="3" width="13.7109375" style="41" customWidth="1"/>
    <col min="4" max="4" width="28.5703125" bestFit="1" customWidth="1"/>
    <col min="5" max="5" width="12" bestFit="1" customWidth="1"/>
    <col min="6" max="6" width="14.140625" style="3" bestFit="1" customWidth="1"/>
    <col min="7" max="7" width="15.7109375" customWidth="1"/>
    <col min="11" max="11" width="11.42578125" style="3"/>
    <col min="13" max="13" width="11.42578125" style="3"/>
  </cols>
  <sheetData>
    <row r="1" spans="2:11" ht="19.5" thickBot="1" x14ac:dyDescent="0.35">
      <c r="B1" s="257">
        <v>42894</v>
      </c>
      <c r="C1" s="257"/>
      <c r="D1" s="154" t="s">
        <v>0</v>
      </c>
      <c r="E1" s="2" t="s">
        <v>1</v>
      </c>
      <c r="K1"/>
    </row>
    <row r="2" spans="2:11" ht="19.5" thickBot="1" x14ac:dyDescent="0.35">
      <c r="B2" s="95" t="s">
        <v>2</v>
      </c>
      <c r="C2" s="5" t="s">
        <v>3</v>
      </c>
      <c r="D2" s="5" t="s">
        <v>4</v>
      </c>
      <c r="E2" s="6" t="s">
        <v>5</v>
      </c>
      <c r="F2" s="139" t="s">
        <v>527</v>
      </c>
      <c r="G2" s="8"/>
      <c r="K2"/>
    </row>
    <row r="3" spans="2:11" ht="15.75" x14ac:dyDescent="0.25">
      <c r="B3" s="83"/>
      <c r="C3" s="69"/>
      <c r="D3" s="70"/>
      <c r="E3" s="76"/>
      <c r="F3" s="71"/>
      <c r="K3"/>
    </row>
    <row r="4" spans="2:11" ht="15.75" x14ac:dyDescent="0.25">
      <c r="B4" s="118">
        <v>42884</v>
      </c>
      <c r="C4" s="15" t="s">
        <v>528</v>
      </c>
      <c r="D4" s="119" t="s">
        <v>8</v>
      </c>
      <c r="E4" s="120">
        <v>315</v>
      </c>
      <c r="F4" s="121">
        <v>11970</v>
      </c>
      <c r="K4"/>
    </row>
    <row r="5" spans="2:11" ht="15.75" x14ac:dyDescent="0.25">
      <c r="B5" s="118">
        <v>42884</v>
      </c>
      <c r="C5" s="15" t="s">
        <v>529</v>
      </c>
      <c r="D5" s="119" t="s">
        <v>14</v>
      </c>
      <c r="E5" s="120">
        <v>244.9</v>
      </c>
      <c r="F5" s="121">
        <v>9306.2000000000007</v>
      </c>
      <c r="K5"/>
    </row>
    <row r="6" spans="2:11" ht="15.75" x14ac:dyDescent="0.25">
      <c r="B6" s="118">
        <v>42884</v>
      </c>
      <c r="C6" s="15" t="s">
        <v>530</v>
      </c>
      <c r="D6" s="119" t="s">
        <v>10</v>
      </c>
      <c r="E6" s="120">
        <v>78.8</v>
      </c>
      <c r="F6" s="121">
        <v>2994.4</v>
      </c>
      <c r="G6" t="s">
        <v>9</v>
      </c>
      <c r="K6" s="3">
        <f t="shared" ref="K6:K16" si="0">J6*I6</f>
        <v>0</v>
      </c>
    </row>
    <row r="7" spans="2:11" ht="15.75" x14ac:dyDescent="0.25">
      <c r="B7" s="118">
        <v>42884</v>
      </c>
      <c r="C7" s="15" t="s">
        <v>531</v>
      </c>
      <c r="D7" s="119" t="s">
        <v>24</v>
      </c>
      <c r="E7" s="120">
        <f>885.26+64.2+12.1+13.61</f>
        <v>975.17000000000007</v>
      </c>
      <c r="F7" s="121">
        <v>33134.65</v>
      </c>
      <c r="K7" s="3">
        <f t="shared" si="0"/>
        <v>0</v>
      </c>
    </row>
    <row r="8" spans="2:11" ht="15.75" x14ac:dyDescent="0.25">
      <c r="B8" s="118">
        <v>42885</v>
      </c>
      <c r="C8" s="15" t="s">
        <v>532</v>
      </c>
      <c r="D8" s="119" t="s">
        <v>295</v>
      </c>
      <c r="E8" s="120">
        <f>65.6+69.5</f>
        <v>135.1</v>
      </c>
      <c r="F8" s="121">
        <v>2632.5</v>
      </c>
      <c r="K8" s="3">
        <f t="shared" si="0"/>
        <v>0</v>
      </c>
    </row>
    <row r="9" spans="2:11" ht="15.75" x14ac:dyDescent="0.25">
      <c r="B9" s="118">
        <v>42885</v>
      </c>
      <c r="C9" s="15" t="s">
        <v>533</v>
      </c>
      <c r="D9" s="119" t="s">
        <v>295</v>
      </c>
      <c r="E9" s="120">
        <v>81.5</v>
      </c>
      <c r="F9" s="121">
        <v>3178.5</v>
      </c>
      <c r="K9" s="3">
        <f t="shared" si="0"/>
        <v>0</v>
      </c>
    </row>
    <row r="10" spans="2:11" ht="15.75" x14ac:dyDescent="0.25">
      <c r="B10" s="118">
        <v>42885</v>
      </c>
      <c r="C10" s="15" t="s">
        <v>534</v>
      </c>
      <c r="D10" s="119" t="s">
        <v>0</v>
      </c>
      <c r="E10" s="120">
        <v>86.5</v>
      </c>
      <c r="F10" s="121">
        <v>3287</v>
      </c>
      <c r="K10" s="3">
        <f t="shared" si="0"/>
        <v>0</v>
      </c>
    </row>
    <row r="11" spans="2:11" ht="15.75" x14ac:dyDescent="0.25">
      <c r="B11" s="118">
        <v>42885</v>
      </c>
      <c r="C11" s="15" t="s">
        <v>535</v>
      </c>
      <c r="D11" s="119" t="s">
        <v>14</v>
      </c>
      <c r="E11" s="120">
        <v>420.3</v>
      </c>
      <c r="F11" s="121">
        <v>15971.4</v>
      </c>
      <c r="K11" s="3">
        <f t="shared" si="0"/>
        <v>0</v>
      </c>
    </row>
    <row r="12" spans="2:11" ht="15.75" x14ac:dyDescent="0.25">
      <c r="B12" s="118">
        <v>42885</v>
      </c>
      <c r="C12" s="15" t="s">
        <v>536</v>
      </c>
      <c r="D12" s="119" t="s">
        <v>24</v>
      </c>
      <c r="E12" s="120">
        <f>49.9+34.4+36</f>
        <v>120.3</v>
      </c>
      <c r="F12" s="121">
        <v>2533.6</v>
      </c>
      <c r="K12" s="3">
        <f t="shared" si="0"/>
        <v>0</v>
      </c>
    </row>
    <row r="13" spans="2:11" ht="15.75" x14ac:dyDescent="0.25">
      <c r="B13" s="118">
        <v>42885</v>
      </c>
      <c r="C13" s="15" t="s">
        <v>537</v>
      </c>
      <c r="D13" s="119" t="s">
        <v>295</v>
      </c>
      <c r="E13" s="120">
        <f>17+2+8.4</f>
        <v>27.4</v>
      </c>
      <c r="F13" s="121">
        <v>2451.1999999999998</v>
      </c>
      <c r="K13" s="3">
        <f t="shared" si="0"/>
        <v>0</v>
      </c>
    </row>
    <row r="14" spans="2:11" ht="15.75" x14ac:dyDescent="0.25">
      <c r="B14" s="118">
        <v>42885</v>
      </c>
      <c r="C14" s="15" t="s">
        <v>538</v>
      </c>
      <c r="D14" s="119" t="s">
        <v>466</v>
      </c>
      <c r="E14" s="120">
        <v>43.4</v>
      </c>
      <c r="F14" s="121">
        <v>1909.6</v>
      </c>
      <c r="K14" s="3">
        <f t="shared" si="0"/>
        <v>0</v>
      </c>
    </row>
    <row r="15" spans="2:11" ht="15.75" x14ac:dyDescent="0.25">
      <c r="B15" s="118">
        <v>42885</v>
      </c>
      <c r="C15" s="15" t="s">
        <v>539</v>
      </c>
      <c r="D15" s="119" t="s">
        <v>8</v>
      </c>
      <c r="E15" s="120">
        <f>414+49.1+56</f>
        <v>519.1</v>
      </c>
      <c r="F15" s="121">
        <v>20006.599999999999</v>
      </c>
      <c r="K15" s="3">
        <f t="shared" si="0"/>
        <v>0</v>
      </c>
    </row>
    <row r="16" spans="2:11" ht="15.75" x14ac:dyDescent="0.25">
      <c r="B16" s="118">
        <v>42885</v>
      </c>
      <c r="C16" s="15" t="s">
        <v>540</v>
      </c>
      <c r="D16" s="119" t="s">
        <v>12</v>
      </c>
      <c r="E16" s="120">
        <f>13.8+177.6</f>
        <v>191.4</v>
      </c>
      <c r="F16" s="121">
        <v>7521.6</v>
      </c>
      <c r="K16" s="3">
        <f t="shared" si="0"/>
        <v>0</v>
      </c>
    </row>
    <row r="17" spans="2:11" ht="15.75" x14ac:dyDescent="0.25">
      <c r="B17" s="118">
        <v>42886</v>
      </c>
      <c r="C17" s="15" t="s">
        <v>541</v>
      </c>
      <c r="D17" s="119" t="s">
        <v>8</v>
      </c>
      <c r="E17" s="120">
        <f>56.7+105.8+421.5</f>
        <v>584</v>
      </c>
      <c r="F17" s="121">
        <v>20019.3</v>
      </c>
    </row>
    <row r="18" spans="2:11" ht="15.75" x14ac:dyDescent="0.25">
      <c r="B18" s="118">
        <v>42886</v>
      </c>
      <c r="C18" s="15" t="s">
        <v>542</v>
      </c>
      <c r="D18" s="119" t="s">
        <v>14</v>
      </c>
      <c r="E18" s="120">
        <v>432.6</v>
      </c>
      <c r="F18" s="121">
        <v>16438.8</v>
      </c>
    </row>
    <row r="19" spans="2:11" ht="15.75" x14ac:dyDescent="0.25">
      <c r="B19" s="118">
        <v>42887</v>
      </c>
      <c r="C19" s="15" t="s">
        <v>543</v>
      </c>
      <c r="D19" s="119" t="s">
        <v>511</v>
      </c>
      <c r="E19" s="120">
        <v>61.2</v>
      </c>
      <c r="F19" s="121">
        <v>2815.2</v>
      </c>
    </row>
    <row r="20" spans="2:11" ht="15.75" x14ac:dyDescent="0.25">
      <c r="B20" s="118">
        <v>42887</v>
      </c>
      <c r="C20" s="15" t="s">
        <v>544</v>
      </c>
      <c r="D20" s="119" t="s">
        <v>12</v>
      </c>
      <c r="E20" s="120">
        <f>72.4+23</f>
        <v>95.4</v>
      </c>
      <c r="F20" s="121">
        <v>4768.2</v>
      </c>
    </row>
    <row r="21" spans="2:11" ht="15.75" x14ac:dyDescent="0.25">
      <c r="B21" s="118">
        <v>42887</v>
      </c>
      <c r="C21" s="15" t="s">
        <v>545</v>
      </c>
      <c r="D21" s="119" t="s">
        <v>24</v>
      </c>
      <c r="E21" s="120">
        <f>33+50.8+47.8</f>
        <v>131.6</v>
      </c>
      <c r="F21" s="121">
        <v>3059.4</v>
      </c>
    </row>
    <row r="22" spans="2:11" ht="15.75" x14ac:dyDescent="0.25">
      <c r="B22" s="118">
        <v>42887</v>
      </c>
      <c r="C22" s="15" t="s">
        <v>546</v>
      </c>
      <c r="D22" s="119" t="s">
        <v>295</v>
      </c>
      <c r="E22" s="120">
        <v>8.1999999999999993</v>
      </c>
      <c r="F22" s="121">
        <v>451</v>
      </c>
      <c r="I22" s="3">
        <f t="shared" ref="I22" si="1">SUM(I6:I16)</f>
        <v>0</v>
      </c>
      <c r="J22" s="3"/>
      <c r="K22" s="3">
        <f>SUM(K6:K16)</f>
        <v>0</v>
      </c>
    </row>
    <row r="23" spans="2:11" ht="15.75" x14ac:dyDescent="0.25">
      <c r="B23" s="118">
        <v>42887</v>
      </c>
      <c r="C23" s="15" t="s">
        <v>548</v>
      </c>
      <c r="D23" s="119" t="s">
        <v>11</v>
      </c>
      <c r="E23" s="120">
        <v>31.7</v>
      </c>
      <c r="F23" s="121">
        <v>1775.2</v>
      </c>
      <c r="I23" s="3"/>
      <c r="J23" s="3"/>
    </row>
    <row r="24" spans="2:11" ht="15.75" x14ac:dyDescent="0.25">
      <c r="B24" s="118">
        <v>42887</v>
      </c>
      <c r="C24" s="15" t="s">
        <v>547</v>
      </c>
      <c r="D24" s="119" t="s">
        <v>8</v>
      </c>
      <c r="E24" s="120">
        <v>441.1</v>
      </c>
      <c r="F24" s="121">
        <v>16761.8</v>
      </c>
      <c r="I24" s="3"/>
      <c r="J24" s="3"/>
    </row>
    <row r="25" spans="2:11" ht="15.75" x14ac:dyDescent="0.25">
      <c r="B25" s="118">
        <v>42887</v>
      </c>
      <c r="C25" s="15" t="s">
        <v>549</v>
      </c>
      <c r="D25" s="119" t="s">
        <v>14</v>
      </c>
      <c r="E25" s="120">
        <v>175.8</v>
      </c>
      <c r="F25" s="121">
        <v>8438.4</v>
      </c>
      <c r="I25" s="3"/>
      <c r="J25" s="3"/>
    </row>
    <row r="26" spans="2:11" ht="15.75" x14ac:dyDescent="0.25">
      <c r="B26" s="118">
        <v>42888</v>
      </c>
      <c r="C26" s="15" t="s">
        <v>550</v>
      </c>
      <c r="D26" s="119" t="s">
        <v>295</v>
      </c>
      <c r="E26" s="120">
        <v>884.81</v>
      </c>
      <c r="F26" s="121">
        <v>31853.16</v>
      </c>
      <c r="I26" s="3"/>
      <c r="J26" s="3"/>
    </row>
    <row r="27" spans="2:11" ht="15.75" x14ac:dyDescent="0.25">
      <c r="B27" s="118">
        <v>42888</v>
      </c>
      <c r="C27" s="15" t="s">
        <v>551</v>
      </c>
      <c r="D27" s="119" t="s">
        <v>24</v>
      </c>
      <c r="E27" s="120">
        <f>889.8+13.61</f>
        <v>903.41</v>
      </c>
      <c r="F27" s="121">
        <v>32645.25</v>
      </c>
      <c r="I27" s="3"/>
      <c r="J27" s="3"/>
    </row>
    <row r="28" spans="2:11" ht="15.75" x14ac:dyDescent="0.25">
      <c r="B28" s="118">
        <v>42888</v>
      </c>
      <c r="C28" s="15" t="s">
        <v>552</v>
      </c>
      <c r="D28" s="119" t="s">
        <v>8</v>
      </c>
      <c r="E28" s="120">
        <f>49.4+410.6+63.2</f>
        <v>523.20000000000005</v>
      </c>
      <c r="F28" s="121">
        <v>20213.599999999999</v>
      </c>
      <c r="I28" s="3"/>
      <c r="J28" s="3"/>
    </row>
    <row r="29" spans="2:11" ht="15.75" x14ac:dyDescent="0.25">
      <c r="B29" s="118">
        <v>42888</v>
      </c>
      <c r="C29" s="15" t="s">
        <v>553</v>
      </c>
      <c r="D29" s="119" t="s">
        <v>14</v>
      </c>
      <c r="E29" s="120">
        <v>403.6</v>
      </c>
      <c r="F29" s="121">
        <v>15740.4</v>
      </c>
      <c r="I29" s="3"/>
      <c r="J29" s="3"/>
    </row>
    <row r="30" spans="2:11" ht="15.75" x14ac:dyDescent="0.25">
      <c r="B30" s="118">
        <v>42888</v>
      </c>
      <c r="C30" s="15" t="s">
        <v>554</v>
      </c>
      <c r="D30" s="119" t="s">
        <v>77</v>
      </c>
      <c r="E30" s="120">
        <v>113.3</v>
      </c>
      <c r="F30" s="121">
        <v>2039.4</v>
      </c>
      <c r="I30" s="3"/>
      <c r="J30" s="3"/>
    </row>
    <row r="31" spans="2:11" ht="15.75" x14ac:dyDescent="0.25">
      <c r="B31" s="118">
        <v>42888</v>
      </c>
      <c r="C31" s="15" t="s">
        <v>555</v>
      </c>
      <c r="D31" s="119" t="s">
        <v>11</v>
      </c>
      <c r="E31" s="120">
        <f>84.5+2</f>
        <v>86.5</v>
      </c>
      <c r="F31" s="121">
        <v>3581</v>
      </c>
      <c r="I31" s="3"/>
      <c r="J31" s="3"/>
    </row>
    <row r="32" spans="2:11" ht="15.75" x14ac:dyDescent="0.25">
      <c r="B32" s="118">
        <v>42888</v>
      </c>
      <c r="C32" s="15" t="s">
        <v>556</v>
      </c>
      <c r="D32" s="119" t="s">
        <v>10</v>
      </c>
      <c r="E32" s="120">
        <v>70.8</v>
      </c>
      <c r="F32" s="121">
        <v>2690.4</v>
      </c>
      <c r="I32" s="3"/>
      <c r="J32" s="3"/>
    </row>
    <row r="33" spans="2:13" ht="15.75" x14ac:dyDescent="0.25">
      <c r="B33" s="118">
        <v>42889</v>
      </c>
      <c r="C33" s="15" t="s">
        <v>557</v>
      </c>
      <c r="D33" s="119" t="s">
        <v>8</v>
      </c>
      <c r="E33" s="120">
        <f>76.2+655.6</f>
        <v>731.80000000000007</v>
      </c>
      <c r="F33" s="121">
        <v>30750</v>
      </c>
      <c r="I33" s="3"/>
      <c r="J33" s="3"/>
    </row>
    <row r="34" spans="2:13" ht="15.75" x14ac:dyDescent="0.25">
      <c r="B34" s="118">
        <v>42889</v>
      </c>
      <c r="C34" s="15" t="s">
        <v>558</v>
      </c>
      <c r="D34" s="119" t="s">
        <v>14</v>
      </c>
      <c r="E34" s="120">
        <v>527.29999999999995</v>
      </c>
      <c r="F34" s="121">
        <v>21092</v>
      </c>
      <c r="I34" s="3"/>
      <c r="J34" s="3"/>
    </row>
    <row r="35" spans="2:13" ht="15.75" x14ac:dyDescent="0.25">
      <c r="B35" s="118">
        <v>42889</v>
      </c>
      <c r="C35" s="15" t="s">
        <v>559</v>
      </c>
      <c r="D35" s="119" t="s">
        <v>295</v>
      </c>
      <c r="E35" s="120">
        <v>83.4</v>
      </c>
      <c r="F35" s="121">
        <v>3252.6</v>
      </c>
      <c r="I35" s="3"/>
      <c r="J35" s="3"/>
    </row>
    <row r="36" spans="2:13" ht="16.5" thickBot="1" x14ac:dyDescent="0.3">
      <c r="B36" s="118"/>
      <c r="C36" s="15"/>
      <c r="D36" s="119"/>
      <c r="E36" s="120"/>
      <c r="F36" s="121"/>
      <c r="I36" s="3"/>
      <c r="J36" s="3"/>
    </row>
    <row r="37" spans="2:13" ht="15.75" thickBot="1" x14ac:dyDescent="0.3">
      <c r="B37" s="29" t="s">
        <v>9</v>
      </c>
      <c r="C37" s="66"/>
      <c r="D37" s="31"/>
      <c r="E37" s="32">
        <v>0</v>
      </c>
      <c r="F37" s="33">
        <f>SUM(F3:F36)</f>
        <v>355282.36000000004</v>
      </c>
      <c r="K37" s="3">
        <f t="shared" ref="K37:K44" si="2">J37*I37</f>
        <v>0</v>
      </c>
    </row>
    <row r="38" spans="2:13" ht="19.5" thickBot="1" x14ac:dyDescent="0.35">
      <c r="B38" s="34"/>
      <c r="C38" s="67"/>
      <c r="D38" s="36" t="s">
        <v>5</v>
      </c>
      <c r="E38" s="37">
        <f>SUM(E3:E37)</f>
        <v>9528.59</v>
      </c>
      <c r="K38" s="3">
        <f t="shared" si="2"/>
        <v>0</v>
      </c>
    </row>
    <row r="39" spans="2:13" x14ac:dyDescent="0.25">
      <c r="B39" s="34"/>
      <c r="C39" s="67"/>
      <c r="D39" s="26"/>
      <c r="E39" s="39"/>
      <c r="K39" s="3">
        <f t="shared" si="2"/>
        <v>0</v>
      </c>
    </row>
    <row r="40" spans="2:13" ht="19.5" thickBot="1" x14ac:dyDescent="0.35">
      <c r="B40" s="40"/>
      <c r="C40" s="41" t="s">
        <v>15</v>
      </c>
      <c r="D40" s="149">
        <f>E38*0.2</f>
        <v>1905.7180000000001</v>
      </c>
      <c r="F40"/>
      <c r="K40" s="3">
        <f t="shared" si="2"/>
        <v>0</v>
      </c>
    </row>
    <row r="41" spans="2:13" ht="21.75" thickBot="1" x14ac:dyDescent="0.4">
      <c r="C41" s="41" t="s">
        <v>16</v>
      </c>
      <c r="D41" s="44">
        <v>3400</v>
      </c>
      <c r="E41" s="45"/>
      <c r="F41" s="258">
        <f>D40+D41</f>
        <v>5305.7179999999998</v>
      </c>
      <c r="G41" s="259"/>
      <c r="K41" s="3">
        <f t="shared" si="2"/>
        <v>0</v>
      </c>
      <c r="L41" s="46"/>
      <c r="M41" s="13"/>
    </row>
    <row r="42" spans="2:13" ht="22.5" thickTop="1" thickBot="1" x14ac:dyDescent="0.4">
      <c r="D42" s="146"/>
      <c r="E42" s="47" t="s">
        <v>258</v>
      </c>
      <c r="G42" s="147">
        <v>-1700</v>
      </c>
      <c r="L42" s="46"/>
      <c r="M42" s="13"/>
    </row>
    <row r="43" spans="2:13" ht="16.5" thickBot="1" x14ac:dyDescent="0.3">
      <c r="D43" s="131" t="s">
        <v>560</v>
      </c>
      <c r="E43" s="47" t="s">
        <v>258</v>
      </c>
      <c r="F43" s="142"/>
      <c r="G43" s="48">
        <v>-300</v>
      </c>
      <c r="K43" s="3">
        <f t="shared" si="2"/>
        <v>0</v>
      </c>
      <c r="L43" s="49"/>
      <c r="M43" s="49"/>
    </row>
    <row r="44" spans="2:13" ht="16.5" thickBot="1" x14ac:dyDescent="0.3">
      <c r="C44" s="156"/>
      <c r="D44" s="131" t="s">
        <v>561</v>
      </c>
      <c r="E44" s="47" t="s">
        <v>258</v>
      </c>
      <c r="F44" s="125"/>
      <c r="G44" s="135">
        <v>-3305</v>
      </c>
      <c r="K44" s="3">
        <f t="shared" si="2"/>
        <v>0</v>
      </c>
      <c r="L44" s="49"/>
      <c r="M44" s="49"/>
    </row>
    <row r="45" spans="2:13" ht="17.25" thickTop="1" thickBot="1" x14ac:dyDescent="0.3">
      <c r="C45" s="153"/>
      <c r="D45" s="131" t="s">
        <v>562</v>
      </c>
      <c r="E45" s="47" t="s">
        <v>307</v>
      </c>
      <c r="F45" s="124"/>
      <c r="G45" s="136">
        <v>0</v>
      </c>
      <c r="L45" s="49"/>
      <c r="M45" s="49"/>
    </row>
    <row r="46" spans="2:13" ht="17.25" customHeight="1" thickBot="1" x14ac:dyDescent="0.4">
      <c r="C46" s="157"/>
      <c r="D46" s="155"/>
      <c r="E46" s="4" t="s">
        <v>258</v>
      </c>
      <c r="F46" s="263">
        <f>SUM(F41:G45)</f>
        <v>0.7179999999998472</v>
      </c>
      <c r="G46" s="264"/>
      <c r="L46" s="49"/>
      <c r="M46" s="49"/>
    </row>
    <row r="47" spans="2:13" ht="19.5" customHeight="1" x14ac:dyDescent="0.35">
      <c r="F47" s="148"/>
      <c r="G47" s="148"/>
    </row>
    <row r="48" spans="2:13" x14ac:dyDescent="0.25">
      <c r="F48" s="27"/>
      <c r="G48" s="26"/>
    </row>
    <row r="50" spans="9:11" x14ac:dyDescent="0.25">
      <c r="I50" s="3">
        <f t="shared" ref="I50" si="3">SUM(I37:I44)</f>
        <v>0</v>
      </c>
      <c r="J50" s="3"/>
      <c r="K50" s="3">
        <f>SUM(K37:K44)</f>
        <v>0</v>
      </c>
    </row>
  </sheetData>
  <mergeCells count="3">
    <mergeCell ref="B1:C1"/>
    <mergeCell ref="F41:G41"/>
    <mergeCell ref="F46:G46"/>
  </mergeCells>
  <pageMargins left="0.31496062992125984" right="0.19685039370078741" top="0.74803149606299213" bottom="0.74803149606299213" header="0.31496062992125984" footer="0.31496062992125984"/>
  <pageSetup scale="90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7"/>
  <sheetViews>
    <sheetView topLeftCell="A37" workbookViewId="0">
      <selection activeCell="I63" sqref="I63"/>
    </sheetView>
  </sheetViews>
  <sheetFormatPr baseColWidth="10" defaultRowHeight="15" x14ac:dyDescent="0.25"/>
  <cols>
    <col min="1" max="1" width="3.42578125" customWidth="1"/>
    <col min="2" max="2" width="13.42578125" style="96" bestFit="1" customWidth="1"/>
    <col min="3" max="3" width="13.7109375" style="41" customWidth="1"/>
    <col min="4" max="4" width="28.5703125" bestFit="1" customWidth="1"/>
    <col min="5" max="5" width="12" bestFit="1" customWidth="1"/>
    <col min="6" max="6" width="14.140625" style="3" bestFit="1" customWidth="1"/>
    <col min="7" max="7" width="15.7109375" customWidth="1"/>
    <col min="11" max="11" width="11.42578125" style="3"/>
    <col min="13" max="13" width="11.42578125" style="3"/>
  </cols>
  <sheetData>
    <row r="1" spans="2:11" ht="19.5" thickBot="1" x14ac:dyDescent="0.35">
      <c r="B1" s="257">
        <v>42902</v>
      </c>
      <c r="C1" s="257"/>
      <c r="D1" s="158" t="s">
        <v>0</v>
      </c>
      <c r="E1" s="2" t="s">
        <v>1</v>
      </c>
      <c r="K1"/>
    </row>
    <row r="2" spans="2:11" ht="19.5" thickBot="1" x14ac:dyDescent="0.35">
      <c r="B2" s="95" t="s">
        <v>2</v>
      </c>
      <c r="C2" s="5" t="s">
        <v>3</v>
      </c>
      <c r="D2" s="5" t="s">
        <v>4</v>
      </c>
      <c r="E2" s="6" t="s">
        <v>5</v>
      </c>
      <c r="F2" s="139" t="s">
        <v>563</v>
      </c>
      <c r="G2" s="8"/>
      <c r="K2"/>
    </row>
    <row r="3" spans="2:11" ht="15.75" x14ac:dyDescent="0.25">
      <c r="B3" s="83">
        <v>42881</v>
      </c>
      <c r="C3" s="69" t="s">
        <v>564</v>
      </c>
      <c r="D3" s="70" t="s">
        <v>10</v>
      </c>
      <c r="E3" s="76">
        <v>80.5</v>
      </c>
      <c r="F3" s="71">
        <v>2978.5</v>
      </c>
      <c r="K3"/>
    </row>
    <row r="4" spans="2:11" ht="15.75" x14ac:dyDescent="0.25">
      <c r="B4" s="118">
        <v>42881</v>
      </c>
      <c r="C4" s="15" t="s">
        <v>565</v>
      </c>
      <c r="D4" s="119" t="s">
        <v>0</v>
      </c>
      <c r="E4" s="120">
        <f>83.5+82.2</f>
        <v>165.7</v>
      </c>
      <c r="F4" s="121">
        <v>8718.1</v>
      </c>
      <c r="K4"/>
    </row>
    <row r="5" spans="2:11" ht="15.75" x14ac:dyDescent="0.25">
      <c r="B5" s="118">
        <v>42881</v>
      </c>
      <c r="C5" s="15" t="s">
        <v>566</v>
      </c>
      <c r="D5" s="119" t="s">
        <v>6</v>
      </c>
      <c r="E5" s="120">
        <f>409.4+90.7+14.7</f>
        <v>514.79999999999995</v>
      </c>
      <c r="F5" s="121">
        <v>22866.7</v>
      </c>
      <c r="K5"/>
    </row>
    <row r="6" spans="2:11" ht="15.75" x14ac:dyDescent="0.25">
      <c r="B6" s="118">
        <v>42888</v>
      </c>
      <c r="C6" s="15" t="s">
        <v>567</v>
      </c>
      <c r="D6" s="119" t="s">
        <v>6</v>
      </c>
      <c r="E6" s="120">
        <f>13.1+9.4+67.4+430.7</f>
        <v>520.6</v>
      </c>
      <c r="F6" s="121">
        <v>22631.1</v>
      </c>
      <c r="G6" t="s">
        <v>9</v>
      </c>
      <c r="K6" s="3">
        <f t="shared" ref="K6:K16" si="0">J6*I6</f>
        <v>0</v>
      </c>
    </row>
    <row r="7" spans="2:11" ht="15.75" x14ac:dyDescent="0.25">
      <c r="B7" s="118">
        <v>42888</v>
      </c>
      <c r="C7" s="15" t="s">
        <v>568</v>
      </c>
      <c r="D7" s="119" t="s">
        <v>12</v>
      </c>
      <c r="E7" s="120">
        <f>342.2+25.6+13.61</f>
        <v>381.41</v>
      </c>
      <c r="F7" s="121">
        <v>14230.45</v>
      </c>
      <c r="K7" s="3">
        <f t="shared" si="0"/>
        <v>0</v>
      </c>
    </row>
    <row r="8" spans="2:11" ht="15.75" x14ac:dyDescent="0.25">
      <c r="B8" s="118">
        <v>42889</v>
      </c>
      <c r="C8" s="15" t="s">
        <v>569</v>
      </c>
      <c r="D8" s="119" t="s">
        <v>11</v>
      </c>
      <c r="E8" s="120">
        <f>240.8+202.7</f>
        <v>443.5</v>
      </c>
      <c r="F8" s="121">
        <v>16814.900000000001</v>
      </c>
      <c r="K8" s="3">
        <f t="shared" si="0"/>
        <v>0</v>
      </c>
    </row>
    <row r="9" spans="2:11" ht="15.75" x14ac:dyDescent="0.25">
      <c r="B9" s="118">
        <v>42889</v>
      </c>
      <c r="C9" s="15" t="s">
        <v>570</v>
      </c>
      <c r="D9" s="119" t="s">
        <v>10</v>
      </c>
      <c r="E9" s="120">
        <v>13.7</v>
      </c>
      <c r="F9" s="121">
        <v>767.2</v>
      </c>
      <c r="K9" s="3">
        <f t="shared" si="0"/>
        <v>0</v>
      </c>
    </row>
    <row r="10" spans="2:11" ht="15.75" x14ac:dyDescent="0.25">
      <c r="B10" s="118">
        <v>42891</v>
      </c>
      <c r="C10" s="15" t="s">
        <v>571</v>
      </c>
      <c r="D10" s="119" t="s">
        <v>24</v>
      </c>
      <c r="E10" s="120">
        <f>866.4+52.2+54.4</f>
        <v>973</v>
      </c>
      <c r="F10" s="121">
        <v>32016</v>
      </c>
      <c r="K10" s="3">
        <f t="shared" si="0"/>
        <v>0</v>
      </c>
    </row>
    <row r="11" spans="2:11" ht="15.75" x14ac:dyDescent="0.25">
      <c r="B11" s="118">
        <v>42889</v>
      </c>
      <c r="C11" s="15" t="s">
        <v>572</v>
      </c>
      <c r="D11" s="119" t="s">
        <v>295</v>
      </c>
      <c r="E11" s="120">
        <f>98.4+103.1</f>
        <v>201.5</v>
      </c>
      <c r="F11" s="121">
        <v>11696.1</v>
      </c>
      <c r="K11" s="3">
        <f t="shared" si="0"/>
        <v>0</v>
      </c>
    </row>
    <row r="12" spans="2:11" ht="15.75" x14ac:dyDescent="0.25">
      <c r="B12" s="118">
        <v>42891</v>
      </c>
      <c r="C12" s="15" t="s">
        <v>573</v>
      </c>
      <c r="D12" s="119" t="s">
        <v>295</v>
      </c>
      <c r="E12" s="120">
        <v>55.2</v>
      </c>
      <c r="F12" s="121">
        <v>1048.8</v>
      </c>
      <c r="K12" s="3">
        <f t="shared" si="0"/>
        <v>0</v>
      </c>
    </row>
    <row r="13" spans="2:11" ht="15.75" x14ac:dyDescent="0.25">
      <c r="B13" s="118">
        <v>42891</v>
      </c>
      <c r="C13" s="15" t="s">
        <v>574</v>
      </c>
      <c r="D13" s="119" t="s">
        <v>295</v>
      </c>
      <c r="E13" s="120">
        <v>85.3</v>
      </c>
      <c r="F13" s="121">
        <v>3326.7</v>
      </c>
      <c r="K13" s="3">
        <f t="shared" si="0"/>
        <v>0</v>
      </c>
    </row>
    <row r="14" spans="2:11" ht="15.75" x14ac:dyDescent="0.25">
      <c r="B14" s="118">
        <v>42891</v>
      </c>
      <c r="C14" s="15" t="s">
        <v>575</v>
      </c>
      <c r="D14" s="119" t="s">
        <v>295</v>
      </c>
      <c r="E14" s="120">
        <v>80.5</v>
      </c>
      <c r="F14" s="121">
        <v>3139.5</v>
      </c>
      <c r="K14" s="3">
        <f t="shared" si="0"/>
        <v>0</v>
      </c>
    </row>
    <row r="15" spans="2:11" ht="15.75" x14ac:dyDescent="0.25">
      <c r="B15" s="118">
        <v>42891</v>
      </c>
      <c r="C15" s="15" t="s">
        <v>576</v>
      </c>
      <c r="D15" s="119" t="s">
        <v>295</v>
      </c>
      <c r="E15" s="120">
        <v>9.1999999999999993</v>
      </c>
      <c r="F15" s="121">
        <v>312.8</v>
      </c>
      <c r="K15" s="3">
        <f t="shared" si="0"/>
        <v>0</v>
      </c>
    </row>
    <row r="16" spans="2:11" ht="15.75" x14ac:dyDescent="0.25">
      <c r="B16" s="118">
        <v>42891</v>
      </c>
      <c r="C16" s="15" t="s">
        <v>577</v>
      </c>
      <c r="D16" s="119" t="s">
        <v>34</v>
      </c>
      <c r="E16" s="120">
        <f>139.6+383.8</f>
        <v>523.4</v>
      </c>
      <c r="F16" s="121">
        <v>17481</v>
      </c>
      <c r="K16" s="3">
        <f t="shared" si="0"/>
        <v>0</v>
      </c>
    </row>
    <row r="17" spans="2:11" ht="15.75" x14ac:dyDescent="0.25">
      <c r="B17" s="118">
        <v>42891</v>
      </c>
      <c r="C17" s="15" t="s">
        <v>578</v>
      </c>
      <c r="D17" s="119" t="s">
        <v>14</v>
      </c>
      <c r="E17" s="120">
        <v>356.5</v>
      </c>
      <c r="F17" s="121">
        <v>14260</v>
      </c>
    </row>
    <row r="18" spans="2:11" ht="15.75" x14ac:dyDescent="0.25">
      <c r="B18" s="118">
        <v>42891</v>
      </c>
      <c r="C18" s="15" t="s">
        <v>579</v>
      </c>
      <c r="D18" s="119" t="s">
        <v>12</v>
      </c>
      <c r="E18" s="120">
        <f>253.7+16.2</f>
        <v>269.89999999999998</v>
      </c>
      <c r="F18" s="121">
        <v>10817.7</v>
      </c>
    </row>
    <row r="19" spans="2:11" ht="15.75" x14ac:dyDescent="0.25">
      <c r="B19" s="118">
        <v>42891</v>
      </c>
      <c r="C19" s="15" t="s">
        <v>580</v>
      </c>
      <c r="D19" s="119" t="s">
        <v>10</v>
      </c>
      <c r="E19" s="120">
        <f>77.9+1</f>
        <v>78.900000000000006</v>
      </c>
      <c r="F19" s="121">
        <v>3806.1</v>
      </c>
    </row>
    <row r="20" spans="2:11" ht="15.75" x14ac:dyDescent="0.25">
      <c r="B20" s="118">
        <v>42892</v>
      </c>
      <c r="C20" s="15" t="s">
        <v>581</v>
      </c>
      <c r="D20" s="119" t="s">
        <v>10</v>
      </c>
      <c r="E20" s="120">
        <v>54.7</v>
      </c>
      <c r="F20" s="121">
        <v>4485.3999999999996</v>
      </c>
    </row>
    <row r="21" spans="2:11" ht="15.75" x14ac:dyDescent="0.25">
      <c r="B21" s="118">
        <v>42892</v>
      </c>
      <c r="C21" s="15" t="s">
        <v>582</v>
      </c>
      <c r="D21" s="119" t="s">
        <v>14</v>
      </c>
      <c r="E21" s="120">
        <v>432.4</v>
      </c>
      <c r="F21" s="121">
        <v>16863.599999999999</v>
      </c>
    </row>
    <row r="22" spans="2:11" ht="15.75" x14ac:dyDescent="0.25">
      <c r="B22" s="118">
        <v>42892</v>
      </c>
      <c r="C22" s="15" t="s">
        <v>583</v>
      </c>
      <c r="D22" s="119" t="s">
        <v>34</v>
      </c>
      <c r="E22" s="120">
        <f>34.2+412.2</f>
        <v>446.4</v>
      </c>
      <c r="F22" s="121">
        <v>17649</v>
      </c>
      <c r="I22" s="3">
        <f t="shared" ref="I22" si="1">SUM(I6:I16)</f>
        <v>0</v>
      </c>
      <c r="J22" s="3"/>
      <c r="K22" s="3">
        <f>SUM(K6:K16)</f>
        <v>0</v>
      </c>
    </row>
    <row r="23" spans="2:11" ht="15.75" x14ac:dyDescent="0.25">
      <c r="B23" s="118">
        <v>42892</v>
      </c>
      <c r="C23" s="15" t="s">
        <v>584</v>
      </c>
      <c r="D23" s="119" t="s">
        <v>295</v>
      </c>
      <c r="E23" s="120">
        <f>59.5+13.1</f>
        <v>72.599999999999994</v>
      </c>
      <c r="F23" s="121">
        <v>1635.4</v>
      </c>
      <c r="I23" s="3"/>
      <c r="J23" s="3"/>
    </row>
    <row r="24" spans="2:11" ht="15.75" x14ac:dyDescent="0.25">
      <c r="B24" s="118">
        <v>42892</v>
      </c>
      <c r="C24" s="15" t="s">
        <v>585</v>
      </c>
      <c r="D24" s="119" t="s">
        <v>24</v>
      </c>
      <c r="E24" s="120">
        <f>35.9+48.3+17.5</f>
        <v>101.69999999999999</v>
      </c>
      <c r="F24" s="121">
        <v>2244.6999999999998</v>
      </c>
      <c r="I24" s="3"/>
      <c r="J24" s="3"/>
    </row>
    <row r="25" spans="2:11" ht="15.75" x14ac:dyDescent="0.25">
      <c r="B25" s="118">
        <v>42893</v>
      </c>
      <c r="C25" s="15" t="s">
        <v>586</v>
      </c>
      <c r="D25" s="119" t="s">
        <v>10</v>
      </c>
      <c r="E25" s="120">
        <v>84.7</v>
      </c>
      <c r="F25" s="121">
        <v>3303.3</v>
      </c>
      <c r="I25" s="3"/>
      <c r="J25" s="3"/>
    </row>
    <row r="26" spans="2:11" ht="15.75" x14ac:dyDescent="0.25">
      <c r="B26" s="118">
        <v>42893</v>
      </c>
      <c r="C26" s="15" t="s">
        <v>587</v>
      </c>
      <c r="D26" s="119" t="s">
        <v>14</v>
      </c>
      <c r="E26" s="120">
        <v>431</v>
      </c>
      <c r="F26" s="121">
        <v>16809</v>
      </c>
      <c r="I26" s="3"/>
      <c r="J26" s="3"/>
    </row>
    <row r="27" spans="2:11" ht="15.75" x14ac:dyDescent="0.25">
      <c r="B27" s="118">
        <v>42893</v>
      </c>
      <c r="C27" s="15" t="s">
        <v>588</v>
      </c>
      <c r="D27" s="119" t="s">
        <v>34</v>
      </c>
      <c r="E27" s="120">
        <v>427.4</v>
      </c>
      <c r="F27" s="121">
        <v>16668.599999999999</v>
      </c>
      <c r="I27" s="3"/>
      <c r="J27" s="3"/>
    </row>
    <row r="28" spans="2:11" ht="15.75" x14ac:dyDescent="0.25">
      <c r="B28" s="118">
        <v>42894</v>
      </c>
      <c r="C28" s="15" t="s">
        <v>589</v>
      </c>
      <c r="D28" s="119" t="s">
        <v>34</v>
      </c>
      <c r="E28" s="120">
        <f>429.3+102</f>
        <v>531.29999999999995</v>
      </c>
      <c r="F28" s="121">
        <v>18578.7</v>
      </c>
      <c r="I28" s="3"/>
      <c r="J28" s="3"/>
    </row>
    <row r="29" spans="2:11" ht="15.75" x14ac:dyDescent="0.25">
      <c r="B29" s="118">
        <v>42894</v>
      </c>
      <c r="C29" s="15" t="s">
        <v>590</v>
      </c>
      <c r="D29" s="119" t="s">
        <v>14</v>
      </c>
      <c r="E29" s="120">
        <v>447.6</v>
      </c>
      <c r="F29" s="121">
        <v>17456.400000000001</v>
      </c>
      <c r="I29" s="3"/>
      <c r="J29" s="3"/>
    </row>
    <row r="30" spans="2:11" ht="15.75" x14ac:dyDescent="0.25">
      <c r="B30" s="118">
        <v>42894</v>
      </c>
      <c r="C30" s="15" t="s">
        <v>591</v>
      </c>
      <c r="D30" s="119" t="s">
        <v>77</v>
      </c>
      <c r="E30" s="120">
        <v>457.5</v>
      </c>
      <c r="F30" s="121">
        <v>17842.5</v>
      </c>
      <c r="I30" s="3"/>
      <c r="J30" s="3"/>
    </row>
    <row r="31" spans="2:11" ht="15.75" x14ac:dyDescent="0.25">
      <c r="B31" s="118">
        <v>42895</v>
      </c>
      <c r="C31" s="15" t="s">
        <v>592</v>
      </c>
      <c r="D31" s="119" t="s">
        <v>34</v>
      </c>
      <c r="E31" s="120">
        <f>425.1+113.7</f>
        <v>538.80000000000007</v>
      </c>
      <c r="F31" s="121">
        <v>20558.400000000001</v>
      </c>
      <c r="I31" s="3"/>
      <c r="J31" s="3"/>
    </row>
    <row r="32" spans="2:11" ht="15.75" x14ac:dyDescent="0.25">
      <c r="B32" s="118">
        <v>42895</v>
      </c>
      <c r="C32" s="15" t="s">
        <v>593</v>
      </c>
      <c r="D32" s="119" t="s">
        <v>11</v>
      </c>
      <c r="E32" s="120">
        <f>344.1+234</f>
        <v>578.1</v>
      </c>
      <c r="F32" s="121">
        <v>21609.9</v>
      </c>
      <c r="I32" s="3"/>
      <c r="J32" s="3"/>
    </row>
    <row r="33" spans="2:13" ht="15.75" x14ac:dyDescent="0.25">
      <c r="B33" s="118">
        <v>42895</v>
      </c>
      <c r="C33" s="15" t="s">
        <v>594</v>
      </c>
      <c r="D33" s="119" t="s">
        <v>14</v>
      </c>
      <c r="E33" s="120">
        <v>432</v>
      </c>
      <c r="F33" s="121">
        <v>16848</v>
      </c>
      <c r="I33" s="3"/>
      <c r="J33" s="3"/>
    </row>
    <row r="34" spans="2:13" ht="15.75" x14ac:dyDescent="0.25">
      <c r="B34" s="118">
        <v>42895</v>
      </c>
      <c r="C34" s="15" t="s">
        <v>595</v>
      </c>
      <c r="D34" s="119" t="s">
        <v>10</v>
      </c>
      <c r="E34" s="120">
        <v>80.2</v>
      </c>
      <c r="F34" s="121">
        <v>3127.8</v>
      </c>
      <c r="I34" s="3"/>
      <c r="J34" s="3"/>
    </row>
    <row r="35" spans="2:13" ht="15.75" x14ac:dyDescent="0.25">
      <c r="B35" s="118">
        <v>42895</v>
      </c>
      <c r="C35" s="15" t="s">
        <v>596</v>
      </c>
      <c r="D35" s="119" t="s">
        <v>295</v>
      </c>
      <c r="E35" s="120">
        <v>78.2</v>
      </c>
      <c r="F35" s="121">
        <v>3049.8</v>
      </c>
      <c r="I35" s="3"/>
      <c r="J35" s="3"/>
    </row>
    <row r="36" spans="2:13" ht="15.75" x14ac:dyDescent="0.25">
      <c r="B36" s="118">
        <v>42895</v>
      </c>
      <c r="C36" s="15" t="s">
        <v>597</v>
      </c>
      <c r="D36" s="119" t="s">
        <v>12</v>
      </c>
      <c r="E36" s="120">
        <f>22.2+358.7</f>
        <v>380.9</v>
      </c>
      <c r="F36" s="121">
        <v>15254.7</v>
      </c>
      <c r="I36" s="3"/>
      <c r="J36" s="3"/>
    </row>
    <row r="37" spans="2:13" ht="15.75" x14ac:dyDescent="0.25">
      <c r="B37" s="118">
        <v>42895</v>
      </c>
      <c r="C37" s="15" t="s">
        <v>598</v>
      </c>
      <c r="D37" s="119" t="s">
        <v>295</v>
      </c>
      <c r="E37" s="120">
        <f>906.27+46.4</f>
        <v>952.67</v>
      </c>
      <c r="F37" s="121">
        <v>31926.78</v>
      </c>
      <c r="I37" s="3"/>
      <c r="J37" s="3"/>
    </row>
    <row r="38" spans="2:13" ht="15.75" x14ac:dyDescent="0.25">
      <c r="B38" s="118">
        <v>42895</v>
      </c>
      <c r="C38" s="15" t="s">
        <v>599</v>
      </c>
      <c r="D38" s="119" t="s">
        <v>77</v>
      </c>
      <c r="E38" s="120">
        <v>216.5</v>
      </c>
      <c r="F38" s="121">
        <v>8876.5</v>
      </c>
      <c r="I38" s="3"/>
      <c r="J38" s="3"/>
    </row>
    <row r="39" spans="2:13" ht="15.75" x14ac:dyDescent="0.25">
      <c r="B39" s="118">
        <v>42896</v>
      </c>
      <c r="C39" s="15" t="s">
        <v>600</v>
      </c>
      <c r="D39" s="119" t="s">
        <v>77</v>
      </c>
      <c r="E39" s="120">
        <f>91+309</f>
        <v>400</v>
      </c>
      <c r="F39" s="121">
        <v>15854</v>
      </c>
      <c r="I39" s="3"/>
      <c r="J39" s="3"/>
    </row>
    <row r="40" spans="2:13" ht="15.75" x14ac:dyDescent="0.25">
      <c r="B40" s="118">
        <v>42896</v>
      </c>
      <c r="C40" s="15" t="s">
        <v>601</v>
      </c>
      <c r="D40" s="119" t="s">
        <v>295</v>
      </c>
      <c r="E40" s="120">
        <v>88.9</v>
      </c>
      <c r="F40" s="121">
        <v>3467.1</v>
      </c>
      <c r="I40" s="3"/>
      <c r="J40" s="3"/>
    </row>
    <row r="41" spans="2:13" ht="15.75" x14ac:dyDescent="0.25">
      <c r="B41" s="118">
        <v>42896</v>
      </c>
      <c r="C41" s="15" t="s">
        <v>602</v>
      </c>
      <c r="D41" s="119" t="s">
        <v>14</v>
      </c>
      <c r="E41" s="120">
        <f>114.4+503</f>
        <v>617.4</v>
      </c>
      <c r="F41" s="121">
        <v>23621</v>
      </c>
      <c r="I41" s="3"/>
      <c r="J41" s="3"/>
    </row>
    <row r="42" spans="2:13" ht="15.75" x14ac:dyDescent="0.25">
      <c r="B42" s="118">
        <v>42896</v>
      </c>
      <c r="C42" s="15" t="s">
        <v>603</v>
      </c>
      <c r="D42" s="119" t="s">
        <v>34</v>
      </c>
      <c r="E42" s="120">
        <f>499.6+106.4+16.8</f>
        <v>622.79999999999995</v>
      </c>
      <c r="F42" s="121">
        <v>21802.799999999999</v>
      </c>
      <c r="I42" s="3"/>
      <c r="J42" s="3"/>
    </row>
    <row r="43" spans="2:13" ht="16.5" thickBot="1" x14ac:dyDescent="0.3">
      <c r="B43" s="118"/>
      <c r="C43" s="15"/>
      <c r="D43" s="119"/>
      <c r="E43" s="120"/>
      <c r="F43" s="121"/>
      <c r="I43" s="3"/>
      <c r="J43" s="3"/>
    </row>
    <row r="44" spans="2:13" ht="15.75" thickBot="1" x14ac:dyDescent="0.3">
      <c r="B44" s="29" t="s">
        <v>9</v>
      </c>
      <c r="C44" s="66"/>
      <c r="D44" s="31"/>
      <c r="E44" s="32">
        <v>0</v>
      </c>
      <c r="F44" s="33">
        <f>SUM(F3:F43)</f>
        <v>506445.02999999997</v>
      </c>
      <c r="K44" s="3">
        <f t="shared" ref="K44:K51" si="2">J44*I44</f>
        <v>0</v>
      </c>
    </row>
    <row r="45" spans="2:13" ht="19.5" thickBot="1" x14ac:dyDescent="0.35">
      <c r="B45" s="34"/>
      <c r="C45" s="67"/>
      <c r="D45" s="36" t="s">
        <v>5</v>
      </c>
      <c r="E45" s="37">
        <f>SUM(E3:E44)</f>
        <v>13227.379999999997</v>
      </c>
      <c r="I45">
        <v>216.5</v>
      </c>
      <c r="J45">
        <v>41</v>
      </c>
      <c r="K45" s="3">
        <f t="shared" si="2"/>
        <v>8876.5</v>
      </c>
    </row>
    <row r="46" spans="2:13" x14ac:dyDescent="0.25">
      <c r="B46" s="34"/>
      <c r="C46" s="67"/>
      <c r="D46" s="26"/>
      <c r="E46" s="39"/>
      <c r="K46" s="3">
        <f t="shared" si="2"/>
        <v>0</v>
      </c>
    </row>
    <row r="47" spans="2:13" ht="19.5" thickBot="1" x14ac:dyDescent="0.35">
      <c r="B47" s="40"/>
      <c r="C47" s="41" t="s">
        <v>15</v>
      </c>
      <c r="D47" s="149">
        <f>E45*0.3</f>
        <v>3968.213999999999</v>
      </c>
      <c r="F47"/>
      <c r="K47" s="3">
        <f t="shared" si="2"/>
        <v>0</v>
      </c>
    </row>
    <row r="48" spans="2:13" ht="21.75" thickBot="1" x14ac:dyDescent="0.4">
      <c r="C48" s="41" t="s">
        <v>16</v>
      </c>
      <c r="D48" s="44">
        <v>4000</v>
      </c>
      <c r="E48" s="45"/>
      <c r="F48" s="258">
        <f>D47+D48</f>
        <v>7968.213999999999</v>
      </c>
      <c r="G48" s="259"/>
      <c r="K48" s="3">
        <f t="shared" si="2"/>
        <v>0</v>
      </c>
      <c r="L48" s="46"/>
      <c r="M48" s="13"/>
    </row>
    <row r="49" spans="3:13" ht="22.5" thickTop="1" thickBot="1" x14ac:dyDescent="0.4">
      <c r="D49" s="146"/>
      <c r="E49" s="47" t="s">
        <v>258</v>
      </c>
      <c r="G49" s="147">
        <v>-1011</v>
      </c>
      <c r="L49" s="46"/>
      <c r="M49" s="13"/>
    </row>
    <row r="50" spans="3:13" ht="19.5" thickBot="1" x14ac:dyDescent="0.35">
      <c r="D50" s="131" t="s">
        <v>604</v>
      </c>
      <c r="E50" s="47" t="s">
        <v>258</v>
      </c>
      <c r="F50" s="142"/>
      <c r="G50" s="160">
        <v>-6957</v>
      </c>
      <c r="K50" s="3">
        <f t="shared" si="2"/>
        <v>0</v>
      </c>
      <c r="L50" s="49"/>
      <c r="M50" s="49"/>
    </row>
    <row r="51" spans="3:13" ht="16.5" thickBot="1" x14ac:dyDescent="0.3">
      <c r="C51" s="156"/>
      <c r="D51" s="131" t="s">
        <v>605</v>
      </c>
      <c r="E51" s="47" t="s">
        <v>258</v>
      </c>
      <c r="F51" s="125"/>
      <c r="G51" s="135">
        <v>0</v>
      </c>
      <c r="K51" s="3">
        <f t="shared" si="2"/>
        <v>0</v>
      </c>
      <c r="L51" s="49"/>
      <c r="M51" s="49"/>
    </row>
    <row r="52" spans="3:13" ht="17.25" thickTop="1" thickBot="1" x14ac:dyDescent="0.3">
      <c r="C52" s="153"/>
      <c r="D52" s="131"/>
      <c r="E52" s="47" t="s">
        <v>307</v>
      </c>
      <c r="F52" s="124"/>
      <c r="G52" s="136">
        <v>0</v>
      </c>
      <c r="L52" s="49"/>
      <c r="M52" s="49"/>
    </row>
    <row r="53" spans="3:13" ht="17.25" customHeight="1" thickBot="1" x14ac:dyDescent="0.4">
      <c r="C53" s="157"/>
      <c r="D53" s="155"/>
      <c r="E53" s="4" t="s">
        <v>258</v>
      </c>
      <c r="F53" s="263">
        <f>SUM(F48:G52)</f>
        <v>0.2139999999990323</v>
      </c>
      <c r="G53" s="264"/>
      <c r="L53" s="49"/>
      <c r="M53" s="49"/>
    </row>
    <row r="54" spans="3:13" ht="19.5" customHeight="1" x14ac:dyDescent="0.35">
      <c r="F54" s="148"/>
      <c r="G54" s="148"/>
    </row>
    <row r="55" spans="3:13" x14ac:dyDescent="0.25">
      <c r="F55" s="27"/>
      <c r="G55" s="26"/>
    </row>
    <row r="57" spans="3:13" x14ac:dyDescent="0.25">
      <c r="I57" s="3">
        <f>SUM(I44:I51)</f>
        <v>216.5</v>
      </c>
      <c r="J57" s="3"/>
      <c r="K57" s="3">
        <f>SUM(K44:K51)</f>
        <v>8876.5</v>
      </c>
    </row>
  </sheetData>
  <mergeCells count="3">
    <mergeCell ref="B1:C1"/>
    <mergeCell ref="F48:G48"/>
    <mergeCell ref="F53:G53"/>
  </mergeCells>
  <pageMargins left="0.70866141732283472" right="0.70866141732283472" top="0.55118110236220474" bottom="0.15748031496062992" header="0.31496062992125984" footer="0.31496062992125984"/>
  <pageSetup scale="85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1"/>
  <sheetViews>
    <sheetView topLeftCell="A28" workbookViewId="0">
      <selection activeCell="E48" sqref="E48"/>
    </sheetView>
  </sheetViews>
  <sheetFormatPr baseColWidth="10" defaultRowHeight="15" x14ac:dyDescent="0.25"/>
  <cols>
    <col min="1" max="1" width="3.42578125" customWidth="1"/>
    <col min="2" max="2" width="13.42578125" style="96" bestFit="1" customWidth="1"/>
    <col min="3" max="3" width="13.7109375" style="41" customWidth="1"/>
    <col min="4" max="4" width="28.5703125" bestFit="1" customWidth="1"/>
    <col min="5" max="5" width="12" bestFit="1" customWidth="1"/>
    <col min="6" max="6" width="14.140625" style="3" bestFit="1" customWidth="1"/>
    <col min="7" max="7" width="15.7109375" customWidth="1"/>
    <col min="11" max="11" width="11.42578125" style="3"/>
    <col min="13" max="13" width="11.42578125" style="3"/>
  </cols>
  <sheetData>
    <row r="1" spans="2:11" ht="19.5" thickBot="1" x14ac:dyDescent="0.35">
      <c r="B1" s="257">
        <v>42909</v>
      </c>
      <c r="C1" s="257"/>
      <c r="D1" s="161" t="s">
        <v>0</v>
      </c>
      <c r="E1" s="2" t="s">
        <v>1</v>
      </c>
      <c r="K1"/>
    </row>
    <row r="2" spans="2:11" ht="19.5" thickBot="1" x14ac:dyDescent="0.35">
      <c r="B2" s="95" t="s">
        <v>2</v>
      </c>
      <c r="C2" s="5" t="s">
        <v>3</v>
      </c>
      <c r="D2" s="5" t="s">
        <v>4</v>
      </c>
      <c r="E2" s="6" t="s">
        <v>5</v>
      </c>
      <c r="F2" s="139" t="s">
        <v>608</v>
      </c>
      <c r="G2" s="8"/>
      <c r="K2"/>
    </row>
    <row r="3" spans="2:11" ht="15.75" x14ac:dyDescent="0.25">
      <c r="B3" s="83">
        <v>42894</v>
      </c>
      <c r="C3" s="69" t="s">
        <v>609</v>
      </c>
      <c r="D3" s="70" t="s">
        <v>10</v>
      </c>
      <c r="E3" s="76">
        <v>104.1</v>
      </c>
      <c r="F3" s="71">
        <v>4059.9</v>
      </c>
      <c r="K3"/>
    </row>
    <row r="4" spans="2:11" ht="15.75" x14ac:dyDescent="0.25">
      <c r="B4" s="118">
        <v>42895</v>
      </c>
      <c r="C4" s="15">
        <v>15286</v>
      </c>
      <c r="D4" s="119" t="s">
        <v>24</v>
      </c>
      <c r="E4" s="120">
        <f>52.8+75.2+18.3+13.61</f>
        <v>159.91000000000003</v>
      </c>
      <c r="F4" s="121">
        <v>4068.75</v>
      </c>
      <c r="K4"/>
    </row>
    <row r="5" spans="2:11" ht="15.75" x14ac:dyDescent="0.25">
      <c r="B5" s="118">
        <v>42896</v>
      </c>
      <c r="C5" s="15">
        <v>15415</v>
      </c>
      <c r="D5" s="119" t="s">
        <v>24</v>
      </c>
      <c r="E5" s="120">
        <v>961.45</v>
      </c>
      <c r="F5" s="121">
        <v>32689.3</v>
      </c>
      <c r="K5"/>
    </row>
    <row r="6" spans="2:11" ht="15.75" x14ac:dyDescent="0.25">
      <c r="B6" s="118">
        <v>42896</v>
      </c>
      <c r="C6" s="15">
        <v>15438</v>
      </c>
      <c r="D6" s="119" t="s">
        <v>24</v>
      </c>
      <c r="E6" s="120">
        <v>47.9</v>
      </c>
      <c r="F6" s="121">
        <v>1149.5999999999999</v>
      </c>
      <c r="G6" t="s">
        <v>9</v>
      </c>
      <c r="K6" s="3">
        <f t="shared" ref="K6:K16" si="0">J6*I6</f>
        <v>0</v>
      </c>
    </row>
    <row r="7" spans="2:11" ht="15.75" x14ac:dyDescent="0.25">
      <c r="B7" s="118">
        <v>42898</v>
      </c>
      <c r="C7" s="15">
        <v>15650</v>
      </c>
      <c r="D7" s="119" t="s">
        <v>8</v>
      </c>
      <c r="E7" s="120">
        <f>321.1+52.6</f>
        <v>373.70000000000005</v>
      </c>
      <c r="F7" s="121">
        <v>14363.9</v>
      </c>
      <c r="K7" s="3">
        <f t="shared" si="0"/>
        <v>0</v>
      </c>
    </row>
    <row r="8" spans="2:11" ht="15.75" x14ac:dyDescent="0.25">
      <c r="B8" s="118">
        <v>42898</v>
      </c>
      <c r="C8" s="15">
        <v>15651</v>
      </c>
      <c r="D8" s="119" t="s">
        <v>14</v>
      </c>
      <c r="E8" s="120">
        <v>243.2</v>
      </c>
      <c r="F8" s="121">
        <v>9484.7999999999993</v>
      </c>
      <c r="K8" s="3">
        <f t="shared" si="0"/>
        <v>0</v>
      </c>
    </row>
    <row r="9" spans="2:11" ht="15.75" x14ac:dyDescent="0.25">
      <c r="B9" s="118">
        <v>42898</v>
      </c>
      <c r="C9" s="15">
        <v>15652</v>
      </c>
      <c r="D9" s="119" t="s">
        <v>12</v>
      </c>
      <c r="E9" s="120">
        <f>169.7+12</f>
        <v>181.7</v>
      </c>
      <c r="F9" s="121">
        <v>7302.3</v>
      </c>
      <c r="K9" s="3">
        <f t="shared" si="0"/>
        <v>0</v>
      </c>
    </row>
    <row r="10" spans="2:11" ht="15.75" x14ac:dyDescent="0.25">
      <c r="B10" s="118">
        <v>42898</v>
      </c>
      <c r="C10" s="15">
        <v>15653</v>
      </c>
      <c r="D10" s="119" t="s">
        <v>10</v>
      </c>
      <c r="E10" s="120">
        <v>68.8</v>
      </c>
      <c r="F10" s="121">
        <v>2683.2</v>
      </c>
      <c r="K10" s="3">
        <f t="shared" si="0"/>
        <v>0</v>
      </c>
    </row>
    <row r="11" spans="2:11" ht="15.75" x14ac:dyDescent="0.25">
      <c r="B11" s="118">
        <v>42898</v>
      </c>
      <c r="C11" s="15">
        <v>15654</v>
      </c>
      <c r="D11" s="119" t="s">
        <v>77</v>
      </c>
      <c r="E11" s="120">
        <v>231</v>
      </c>
      <c r="F11" s="121">
        <v>9471</v>
      </c>
      <c r="K11" s="3">
        <f t="shared" si="0"/>
        <v>0</v>
      </c>
    </row>
    <row r="12" spans="2:11" ht="15.75" x14ac:dyDescent="0.25">
      <c r="B12" s="118">
        <v>42898</v>
      </c>
      <c r="C12" s="15">
        <v>15655</v>
      </c>
      <c r="D12" s="119" t="s">
        <v>610</v>
      </c>
      <c r="E12" s="120">
        <f>4+11.3</f>
        <v>15.3</v>
      </c>
      <c r="F12" s="121">
        <v>2744.1</v>
      </c>
      <c r="K12" s="3">
        <f t="shared" si="0"/>
        <v>0</v>
      </c>
    </row>
    <row r="13" spans="2:11" ht="15.75" x14ac:dyDescent="0.25">
      <c r="B13" s="118">
        <v>42898</v>
      </c>
      <c r="C13" s="15">
        <v>15656</v>
      </c>
      <c r="D13" s="119" t="s">
        <v>24</v>
      </c>
      <c r="E13" s="120">
        <f>43+13</f>
        <v>56</v>
      </c>
      <c r="F13" s="121">
        <v>1305</v>
      </c>
      <c r="K13" s="3">
        <f t="shared" si="0"/>
        <v>0</v>
      </c>
    </row>
    <row r="14" spans="2:11" ht="15.75" x14ac:dyDescent="0.25">
      <c r="B14" s="118">
        <v>42898</v>
      </c>
      <c r="C14" s="15">
        <v>15657</v>
      </c>
      <c r="D14" s="119" t="s">
        <v>610</v>
      </c>
      <c r="E14" s="120">
        <f>2+6.3</f>
        <v>8.3000000000000007</v>
      </c>
      <c r="F14" s="121">
        <v>761.4</v>
      </c>
      <c r="K14" s="3">
        <f t="shared" si="0"/>
        <v>0</v>
      </c>
    </row>
    <row r="15" spans="2:11" ht="15.75" x14ac:dyDescent="0.25">
      <c r="B15" s="118">
        <v>42899</v>
      </c>
      <c r="C15" s="15">
        <v>15820</v>
      </c>
      <c r="D15" s="119" t="s">
        <v>8</v>
      </c>
      <c r="E15" s="120">
        <f>385.5+108.6</f>
        <v>494.1</v>
      </c>
      <c r="F15" s="121">
        <v>16989.3</v>
      </c>
      <c r="K15" s="3">
        <f t="shared" si="0"/>
        <v>0</v>
      </c>
    </row>
    <row r="16" spans="2:11" ht="15.75" x14ac:dyDescent="0.25">
      <c r="B16" s="118">
        <v>42899</v>
      </c>
      <c r="C16" s="15">
        <v>15821</v>
      </c>
      <c r="D16" s="119" t="s">
        <v>14</v>
      </c>
      <c r="E16" s="120">
        <v>283.39999999999998</v>
      </c>
      <c r="F16" s="121">
        <v>11052.6</v>
      </c>
      <c r="K16" s="3">
        <f t="shared" si="0"/>
        <v>0</v>
      </c>
    </row>
    <row r="17" spans="2:11" ht="15.75" x14ac:dyDescent="0.25">
      <c r="B17" s="118">
        <v>42899</v>
      </c>
      <c r="C17" s="15">
        <v>15823</v>
      </c>
      <c r="D17" s="119" t="s">
        <v>77</v>
      </c>
      <c r="E17" s="120">
        <v>195.9</v>
      </c>
      <c r="F17" s="121">
        <v>7640.1</v>
      </c>
    </row>
    <row r="18" spans="2:11" ht="15.75" x14ac:dyDescent="0.25">
      <c r="B18" s="118">
        <v>42899</v>
      </c>
      <c r="C18" s="15">
        <v>15824</v>
      </c>
      <c r="D18" s="119" t="s">
        <v>610</v>
      </c>
      <c r="E18" s="120">
        <v>11.9</v>
      </c>
      <c r="F18" s="121">
        <v>708</v>
      </c>
    </row>
    <row r="19" spans="2:11" ht="15.75" x14ac:dyDescent="0.25">
      <c r="B19" s="118">
        <v>42899</v>
      </c>
      <c r="C19" s="15">
        <v>15826</v>
      </c>
      <c r="D19" s="119" t="s">
        <v>24</v>
      </c>
      <c r="E19" s="120">
        <v>35.5</v>
      </c>
      <c r="F19" s="121">
        <v>852</v>
      </c>
    </row>
    <row r="20" spans="2:11" ht="15.75" x14ac:dyDescent="0.25">
      <c r="B20" s="118">
        <v>42900</v>
      </c>
      <c r="C20" s="15">
        <v>15939</v>
      </c>
      <c r="D20" s="119" t="s">
        <v>8</v>
      </c>
      <c r="E20" s="120">
        <v>413.6</v>
      </c>
      <c r="F20" s="121">
        <v>16957.599999999999</v>
      </c>
    </row>
    <row r="21" spans="2:11" ht="15.75" x14ac:dyDescent="0.25">
      <c r="B21" s="118">
        <v>42900</v>
      </c>
      <c r="C21" s="15">
        <v>15940</v>
      </c>
      <c r="D21" s="119" t="s">
        <v>14</v>
      </c>
      <c r="E21" s="120">
        <v>408.2</v>
      </c>
      <c r="F21" s="121">
        <v>16736.2</v>
      </c>
    </row>
    <row r="22" spans="2:11" ht="15.75" x14ac:dyDescent="0.25">
      <c r="B22" s="118">
        <v>42900</v>
      </c>
      <c r="C22" s="15">
        <v>15941</v>
      </c>
      <c r="D22" s="119" t="s">
        <v>11</v>
      </c>
      <c r="E22" s="120">
        <f>179.2+58.5</f>
        <v>237.7</v>
      </c>
      <c r="F22" s="121">
        <v>8977.7999999999993</v>
      </c>
      <c r="I22" s="3">
        <f t="shared" ref="I22" si="1">SUM(I6:I16)</f>
        <v>0</v>
      </c>
      <c r="J22" s="3"/>
      <c r="K22" s="3">
        <f>SUM(K6:K16)</f>
        <v>0</v>
      </c>
    </row>
    <row r="23" spans="2:11" ht="15.75" x14ac:dyDescent="0.25">
      <c r="B23" s="118">
        <v>42900</v>
      </c>
      <c r="C23" s="15">
        <v>15942</v>
      </c>
      <c r="D23" s="119" t="s">
        <v>10</v>
      </c>
      <c r="E23" s="120">
        <v>77.7</v>
      </c>
      <c r="F23" s="121">
        <v>3030.3</v>
      </c>
      <c r="I23" s="3"/>
      <c r="J23" s="3"/>
    </row>
    <row r="24" spans="2:11" ht="15.75" x14ac:dyDescent="0.25">
      <c r="B24" s="118">
        <v>42901</v>
      </c>
      <c r="C24" s="15">
        <v>16069</v>
      </c>
      <c r="D24" s="119" t="s">
        <v>8</v>
      </c>
      <c r="E24" s="120">
        <f>441.2+57.6</f>
        <v>498.8</v>
      </c>
      <c r="F24" s="121">
        <v>19165.2</v>
      </c>
      <c r="I24" s="3"/>
      <c r="J24" s="3"/>
    </row>
    <row r="25" spans="2:11" ht="15.75" x14ac:dyDescent="0.25">
      <c r="B25" s="118">
        <v>42901</v>
      </c>
      <c r="C25" s="15">
        <v>16070</v>
      </c>
      <c r="D25" s="119" t="s">
        <v>14</v>
      </c>
      <c r="E25" s="120">
        <v>483.1</v>
      </c>
      <c r="F25" s="121">
        <v>18840.900000000001</v>
      </c>
      <c r="I25" s="3"/>
      <c r="J25" s="3"/>
    </row>
    <row r="26" spans="2:11" ht="15.75" x14ac:dyDescent="0.25">
      <c r="B26" s="118">
        <v>42901</v>
      </c>
      <c r="C26" s="15">
        <v>16071</v>
      </c>
      <c r="D26" s="119" t="s">
        <v>77</v>
      </c>
      <c r="E26" s="120">
        <v>203.8</v>
      </c>
      <c r="F26" s="121">
        <v>7948.2</v>
      </c>
      <c r="I26" s="3"/>
      <c r="J26" s="3"/>
    </row>
    <row r="27" spans="2:11" ht="15.75" x14ac:dyDescent="0.25">
      <c r="B27" s="118">
        <v>42901</v>
      </c>
      <c r="C27" s="15">
        <v>16072</v>
      </c>
      <c r="D27" s="119" t="s">
        <v>24</v>
      </c>
      <c r="E27" s="120">
        <f>951.63+13.61+63.9+59.8</f>
        <v>1088.94</v>
      </c>
      <c r="F27" s="121">
        <v>34601.64</v>
      </c>
      <c r="I27" s="3"/>
      <c r="J27" s="3"/>
    </row>
    <row r="28" spans="2:11" ht="15.75" x14ac:dyDescent="0.25">
      <c r="B28" s="118">
        <v>42902</v>
      </c>
      <c r="C28" s="15">
        <v>16211</v>
      </c>
      <c r="D28" s="119" t="s">
        <v>14</v>
      </c>
      <c r="E28" s="120">
        <f>444.7+56</f>
        <v>500.7</v>
      </c>
      <c r="F28" s="121">
        <v>19863.3</v>
      </c>
      <c r="I28" s="3"/>
      <c r="J28" s="3"/>
    </row>
    <row r="29" spans="2:11" ht="15.75" x14ac:dyDescent="0.25">
      <c r="B29" s="118">
        <v>42902</v>
      </c>
      <c r="C29" s="15">
        <v>16212</v>
      </c>
      <c r="D29" s="119" t="s">
        <v>77</v>
      </c>
      <c r="E29" s="120">
        <v>431.4</v>
      </c>
      <c r="F29" s="121">
        <v>16824.599999999999</v>
      </c>
      <c r="I29" s="3"/>
      <c r="J29" s="3"/>
    </row>
    <row r="30" spans="2:11" ht="15.75" x14ac:dyDescent="0.25">
      <c r="B30" s="118">
        <v>42902</v>
      </c>
      <c r="C30" s="15">
        <v>16224</v>
      </c>
      <c r="D30" s="119" t="s">
        <v>11</v>
      </c>
      <c r="E30" s="120">
        <f>167+526.8</f>
        <v>693.8</v>
      </c>
      <c r="F30" s="121">
        <v>26999.8</v>
      </c>
      <c r="I30" s="3"/>
      <c r="J30" s="3"/>
    </row>
    <row r="31" spans="2:11" ht="15.75" x14ac:dyDescent="0.25">
      <c r="B31" s="118">
        <v>42902</v>
      </c>
      <c r="C31" s="15">
        <v>16227</v>
      </c>
      <c r="D31" s="119" t="s">
        <v>610</v>
      </c>
      <c r="E31" s="120">
        <f>574+13.3</f>
        <v>587.29999999999995</v>
      </c>
      <c r="F31" s="121">
        <v>19548.2</v>
      </c>
      <c r="I31" s="3"/>
      <c r="J31" s="3"/>
    </row>
    <row r="32" spans="2:11" ht="15.75" x14ac:dyDescent="0.25">
      <c r="B32" s="118">
        <v>42902</v>
      </c>
      <c r="C32" s="15">
        <v>16230</v>
      </c>
      <c r="D32" s="119" t="s">
        <v>8</v>
      </c>
      <c r="E32" s="120">
        <f>419.7+193.5+277.2</f>
        <v>890.40000000000009</v>
      </c>
      <c r="F32" s="121">
        <v>39338.1</v>
      </c>
      <c r="I32" s="3"/>
      <c r="J32" s="3"/>
    </row>
    <row r="33" spans="2:13" ht="15.75" x14ac:dyDescent="0.25">
      <c r="B33" s="118">
        <v>42902</v>
      </c>
      <c r="C33" s="15">
        <v>16231</v>
      </c>
      <c r="D33" s="119" t="s">
        <v>12</v>
      </c>
      <c r="E33" s="120">
        <f>486.2+1+24.5</f>
        <v>511.7</v>
      </c>
      <c r="F33" s="121">
        <v>21177.3</v>
      </c>
      <c r="I33" s="3"/>
      <c r="J33" s="3"/>
    </row>
    <row r="34" spans="2:13" ht="15.75" x14ac:dyDescent="0.25">
      <c r="B34" s="118">
        <v>42902</v>
      </c>
      <c r="C34" s="15">
        <v>16236</v>
      </c>
      <c r="D34" s="119" t="s">
        <v>24</v>
      </c>
      <c r="E34" s="120">
        <f>1+40.7+51.3</f>
        <v>93</v>
      </c>
      <c r="F34" s="121">
        <v>285.2</v>
      </c>
      <c r="I34" s="3"/>
      <c r="J34" s="3"/>
    </row>
    <row r="35" spans="2:13" ht="16.5" thickBot="1" x14ac:dyDescent="0.3">
      <c r="B35" s="118">
        <v>42905</v>
      </c>
      <c r="C35" s="15">
        <v>16625</v>
      </c>
      <c r="D35" s="119" t="s">
        <v>14</v>
      </c>
      <c r="E35" s="120">
        <v>317.5</v>
      </c>
      <c r="F35" s="121">
        <v>15875</v>
      </c>
      <c r="I35" s="3"/>
      <c r="J35" s="3"/>
    </row>
    <row r="36" spans="2:13" ht="15.75" thickBot="1" x14ac:dyDescent="0.3">
      <c r="B36" s="29" t="s">
        <v>9</v>
      </c>
      <c r="C36" s="66"/>
      <c r="D36" s="31"/>
      <c r="E36" s="32">
        <v>0</v>
      </c>
      <c r="F36" s="33">
        <f>SUM(F3:F35)</f>
        <v>413494.58999999997</v>
      </c>
      <c r="K36" s="3">
        <f t="shared" ref="K36:K43" si="2">J36*I36</f>
        <v>0</v>
      </c>
    </row>
    <row r="37" spans="2:13" ht="19.5" thickBot="1" x14ac:dyDescent="0.35">
      <c r="B37" s="34"/>
      <c r="C37" s="67"/>
      <c r="D37" s="36" t="s">
        <v>5</v>
      </c>
      <c r="E37" s="37">
        <f>SUM(E3:E36)</f>
        <v>10909.800000000001</v>
      </c>
      <c r="K37" s="3">
        <f t="shared" si="2"/>
        <v>0</v>
      </c>
    </row>
    <row r="38" spans="2:13" x14ac:dyDescent="0.25">
      <c r="B38" s="34"/>
      <c r="C38" s="67"/>
      <c r="D38" s="26"/>
      <c r="E38" s="39"/>
      <c r="K38" s="3">
        <f t="shared" si="2"/>
        <v>0</v>
      </c>
    </row>
    <row r="39" spans="2:13" ht="19.5" thickBot="1" x14ac:dyDescent="0.35">
      <c r="B39" s="40"/>
      <c r="C39" s="41" t="s">
        <v>15</v>
      </c>
      <c r="D39" s="149">
        <f>E37*0.3</f>
        <v>3272.94</v>
      </c>
      <c r="F39"/>
      <c r="K39" s="3">
        <f t="shared" si="2"/>
        <v>0</v>
      </c>
    </row>
    <row r="40" spans="2:13" ht="21.75" thickBot="1" x14ac:dyDescent="0.4">
      <c r="C40" s="41" t="s">
        <v>16</v>
      </c>
      <c r="D40" s="44">
        <v>4000</v>
      </c>
      <c r="E40" s="45"/>
      <c r="F40" s="258">
        <f>D39+D40</f>
        <v>7272.9400000000005</v>
      </c>
      <c r="G40" s="259"/>
      <c r="K40" s="3">
        <f t="shared" si="2"/>
        <v>0</v>
      </c>
      <c r="L40" s="46"/>
      <c r="M40" s="13"/>
    </row>
    <row r="41" spans="2:13" ht="22.5" thickTop="1" thickBot="1" x14ac:dyDescent="0.4">
      <c r="D41" s="146"/>
      <c r="E41" s="47" t="s">
        <v>258</v>
      </c>
      <c r="G41" s="147">
        <v>-423</v>
      </c>
      <c r="L41" s="46"/>
      <c r="M41" s="13"/>
    </row>
    <row r="42" spans="2:13" ht="19.5" thickBot="1" x14ac:dyDescent="0.35">
      <c r="D42" s="131" t="s">
        <v>611</v>
      </c>
      <c r="E42" s="47" t="s">
        <v>258</v>
      </c>
      <c r="F42" s="142"/>
      <c r="G42" s="160">
        <v>-6850</v>
      </c>
      <c r="K42" s="3">
        <f t="shared" si="2"/>
        <v>0</v>
      </c>
      <c r="L42" s="49"/>
      <c r="M42" s="49"/>
    </row>
    <row r="43" spans="2:13" ht="16.5" thickBot="1" x14ac:dyDescent="0.3">
      <c r="C43" s="156"/>
      <c r="D43" s="131" t="s">
        <v>612</v>
      </c>
      <c r="E43" s="47" t="s">
        <v>258</v>
      </c>
      <c r="F43" s="125"/>
      <c r="G43" s="135">
        <v>0</v>
      </c>
      <c r="K43" s="3">
        <f t="shared" si="2"/>
        <v>0</v>
      </c>
      <c r="L43" s="49"/>
      <c r="M43" s="49"/>
    </row>
    <row r="44" spans="2:13" ht="17.25" thickTop="1" thickBot="1" x14ac:dyDescent="0.3">
      <c r="C44" s="153"/>
      <c r="D44" s="131"/>
      <c r="E44" s="47" t="s">
        <v>307</v>
      </c>
      <c r="F44" s="124"/>
      <c r="G44" s="136">
        <v>0</v>
      </c>
      <c r="L44" s="49"/>
      <c r="M44" s="49"/>
    </row>
    <row r="45" spans="2:13" ht="17.25" customHeight="1" thickBot="1" x14ac:dyDescent="0.4">
      <c r="C45" s="157"/>
      <c r="D45" s="155"/>
      <c r="E45" s="4" t="s">
        <v>258</v>
      </c>
      <c r="F45" s="263">
        <f>SUM(F40:G44)</f>
        <v>-5.9999999999490683E-2</v>
      </c>
      <c r="G45" s="264"/>
      <c r="L45" s="49"/>
      <c r="M45" s="49"/>
    </row>
    <row r="46" spans="2:13" ht="19.5" customHeight="1" x14ac:dyDescent="0.35">
      <c r="F46" s="148"/>
      <c r="G46" s="148"/>
    </row>
    <row r="47" spans="2:13" x14ac:dyDescent="0.25">
      <c r="F47" s="27"/>
      <c r="G47" s="26"/>
    </row>
    <row r="49" spans="4:11" x14ac:dyDescent="0.25">
      <c r="I49" s="3">
        <f>SUM(I36:I43)</f>
        <v>0</v>
      </c>
      <c r="J49" s="3"/>
      <c r="K49" s="3">
        <f>SUM(K36:K43)</f>
        <v>0</v>
      </c>
    </row>
    <row r="50" spans="4:11" x14ac:dyDescent="0.25">
      <c r="D50" t="s">
        <v>709</v>
      </c>
    </row>
    <row r="51" spans="4:11" x14ac:dyDescent="0.25">
      <c r="F51" s="3" t="s">
        <v>708</v>
      </c>
    </row>
  </sheetData>
  <mergeCells count="3">
    <mergeCell ref="B1:C1"/>
    <mergeCell ref="F40:G40"/>
    <mergeCell ref="F45:G45"/>
  </mergeCells>
  <pageMargins left="0.70866141732283472" right="0.11811023622047245" top="0.55118110236220474" bottom="0.35433070866141736" header="0.31496062992125984" footer="0.31496062992125984"/>
  <pageSetup scale="90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6"/>
  <sheetViews>
    <sheetView topLeftCell="A31" workbookViewId="0">
      <selection activeCell="D57" sqref="D57"/>
    </sheetView>
  </sheetViews>
  <sheetFormatPr baseColWidth="10" defaultRowHeight="15" x14ac:dyDescent="0.25"/>
  <cols>
    <col min="1" max="1" width="3.42578125" customWidth="1"/>
    <col min="2" max="2" width="13.42578125" style="96" bestFit="1" customWidth="1"/>
    <col min="3" max="3" width="13.7109375" style="41" customWidth="1"/>
    <col min="4" max="4" width="28.5703125" bestFit="1" customWidth="1"/>
    <col min="5" max="5" width="12" bestFit="1" customWidth="1"/>
    <col min="6" max="6" width="14.140625" style="3" bestFit="1" customWidth="1"/>
    <col min="7" max="7" width="15.7109375" customWidth="1"/>
    <col min="11" max="11" width="11.42578125" style="3"/>
    <col min="13" max="13" width="11.42578125" style="3"/>
  </cols>
  <sheetData>
    <row r="1" spans="2:11" ht="19.5" thickBot="1" x14ac:dyDescent="0.35">
      <c r="B1" s="257">
        <v>42916</v>
      </c>
      <c r="C1" s="257"/>
      <c r="D1" s="162" t="s">
        <v>0</v>
      </c>
      <c r="E1" s="2" t="s">
        <v>1</v>
      </c>
      <c r="K1"/>
    </row>
    <row r="2" spans="2:11" ht="19.5" thickBot="1" x14ac:dyDescent="0.35">
      <c r="B2" s="95" t="s">
        <v>2</v>
      </c>
      <c r="C2" s="5" t="s">
        <v>3</v>
      </c>
      <c r="D2" s="5" t="s">
        <v>4</v>
      </c>
      <c r="E2" s="6" t="s">
        <v>5</v>
      </c>
      <c r="F2" s="139" t="s">
        <v>613</v>
      </c>
      <c r="G2" s="8"/>
      <c r="K2"/>
    </row>
    <row r="3" spans="2:11" ht="15.75" x14ac:dyDescent="0.25">
      <c r="B3" s="83">
        <v>42894</v>
      </c>
      <c r="C3" s="69" t="s">
        <v>614</v>
      </c>
      <c r="D3" s="70" t="s">
        <v>295</v>
      </c>
      <c r="E3" s="76">
        <v>90.5</v>
      </c>
      <c r="F3" s="71">
        <v>3529.5</v>
      </c>
      <c r="K3"/>
    </row>
    <row r="4" spans="2:11" ht="15.75" x14ac:dyDescent="0.25">
      <c r="B4" s="118">
        <v>42894</v>
      </c>
      <c r="C4" s="15">
        <v>15126</v>
      </c>
      <c r="D4" s="119" t="s">
        <v>0</v>
      </c>
      <c r="E4" s="120">
        <v>96.6</v>
      </c>
      <c r="F4" s="121">
        <v>3767.4</v>
      </c>
      <c r="K4"/>
    </row>
    <row r="5" spans="2:11" ht="15.75" x14ac:dyDescent="0.25">
      <c r="B5" s="118">
        <v>42895</v>
      </c>
      <c r="C5" s="15">
        <v>15287</v>
      </c>
      <c r="D5" s="119" t="s">
        <v>6</v>
      </c>
      <c r="E5" s="120">
        <f>292+160.7+13.3+9+5</f>
        <v>480</v>
      </c>
      <c r="F5" s="121">
        <v>23974.7</v>
      </c>
      <c r="K5"/>
    </row>
    <row r="6" spans="2:11" ht="15.75" x14ac:dyDescent="0.25">
      <c r="B6" s="118">
        <v>42896</v>
      </c>
      <c r="C6" s="15">
        <v>15435</v>
      </c>
      <c r="D6" s="119" t="s">
        <v>0</v>
      </c>
      <c r="E6" s="120">
        <v>86.8</v>
      </c>
      <c r="F6" s="121">
        <v>3385.2</v>
      </c>
      <c r="G6" t="s">
        <v>9</v>
      </c>
      <c r="K6" s="3">
        <f t="shared" ref="K6:K16" si="0">J6*I6</f>
        <v>0</v>
      </c>
    </row>
    <row r="7" spans="2:11" ht="15.75" x14ac:dyDescent="0.25">
      <c r="B7" s="118">
        <v>42898</v>
      </c>
      <c r="C7" s="15">
        <v>15661</v>
      </c>
      <c r="D7" s="119" t="s">
        <v>615</v>
      </c>
      <c r="E7" s="120">
        <v>116.6</v>
      </c>
      <c r="F7" s="121">
        <v>8978.2000000000007</v>
      </c>
      <c r="K7" s="3">
        <f t="shared" si="0"/>
        <v>0</v>
      </c>
    </row>
    <row r="8" spans="2:11" ht="15.75" x14ac:dyDescent="0.25">
      <c r="B8" s="118">
        <v>42899</v>
      </c>
      <c r="C8" s="15">
        <v>15822</v>
      </c>
      <c r="D8" s="119" t="s">
        <v>10</v>
      </c>
      <c r="E8" s="120">
        <v>102.7</v>
      </c>
      <c r="F8" s="121">
        <v>4005.3</v>
      </c>
      <c r="K8" s="3">
        <f t="shared" si="0"/>
        <v>0</v>
      </c>
    </row>
    <row r="9" spans="2:11" ht="15.75" x14ac:dyDescent="0.25">
      <c r="B9" s="118">
        <v>42899</v>
      </c>
      <c r="C9" s="15">
        <v>15825</v>
      </c>
      <c r="D9" s="119" t="s">
        <v>295</v>
      </c>
      <c r="E9" s="120">
        <v>1</v>
      </c>
      <c r="F9" s="121">
        <v>160</v>
      </c>
      <c r="K9" s="3">
        <f t="shared" si="0"/>
        <v>0</v>
      </c>
    </row>
    <row r="10" spans="2:11" ht="15.75" x14ac:dyDescent="0.25">
      <c r="B10" s="118">
        <v>42900</v>
      </c>
      <c r="C10" s="15">
        <v>15943</v>
      </c>
      <c r="D10" s="119" t="s">
        <v>295</v>
      </c>
      <c r="E10" s="120">
        <v>7.9</v>
      </c>
      <c r="F10" s="121">
        <v>474</v>
      </c>
      <c r="K10" s="3">
        <f t="shared" si="0"/>
        <v>0</v>
      </c>
    </row>
    <row r="11" spans="2:11" ht="15.75" x14ac:dyDescent="0.25">
      <c r="B11" s="118">
        <v>42901</v>
      </c>
      <c r="C11" s="15">
        <v>16073</v>
      </c>
      <c r="D11" s="119" t="s">
        <v>10</v>
      </c>
      <c r="E11" s="120">
        <v>83.8</v>
      </c>
      <c r="F11" s="121">
        <v>3268.2</v>
      </c>
      <c r="K11" s="3">
        <f t="shared" si="0"/>
        <v>0</v>
      </c>
    </row>
    <row r="12" spans="2:11" ht="15.75" x14ac:dyDescent="0.25">
      <c r="B12" s="118">
        <v>42901</v>
      </c>
      <c r="C12" s="15">
        <v>16075</v>
      </c>
      <c r="D12" s="119" t="s">
        <v>12</v>
      </c>
      <c r="E12" s="120">
        <v>100.7</v>
      </c>
      <c r="F12" s="121">
        <v>4934.3</v>
      </c>
      <c r="K12" s="3">
        <f t="shared" si="0"/>
        <v>0</v>
      </c>
    </row>
    <row r="13" spans="2:11" ht="15.75" x14ac:dyDescent="0.25">
      <c r="B13" s="118">
        <v>42902</v>
      </c>
      <c r="C13" s="15">
        <v>16213</v>
      </c>
      <c r="D13" s="119" t="s">
        <v>10</v>
      </c>
      <c r="E13" s="120">
        <f>400.1+58</f>
        <v>458.1</v>
      </c>
      <c r="F13" s="121">
        <v>18376.099999999999</v>
      </c>
      <c r="K13" s="3">
        <f t="shared" si="0"/>
        <v>0</v>
      </c>
    </row>
    <row r="14" spans="2:11" ht="15.75" x14ac:dyDescent="0.25">
      <c r="B14" s="118">
        <v>42902</v>
      </c>
      <c r="C14" s="15">
        <v>16214</v>
      </c>
      <c r="D14" s="119" t="s">
        <v>295</v>
      </c>
      <c r="E14" s="120">
        <v>81.2</v>
      </c>
      <c r="F14" s="121">
        <v>3166.8</v>
      </c>
      <c r="K14" s="3">
        <f t="shared" si="0"/>
        <v>0</v>
      </c>
    </row>
    <row r="15" spans="2:11" ht="15.75" x14ac:dyDescent="0.25">
      <c r="B15" s="118">
        <v>42902</v>
      </c>
      <c r="C15" s="15">
        <v>16226</v>
      </c>
      <c r="D15" s="119" t="s">
        <v>0</v>
      </c>
      <c r="E15" s="120">
        <v>92.2</v>
      </c>
      <c r="F15" s="121">
        <v>6269.6</v>
      </c>
      <c r="K15" s="3">
        <f t="shared" si="0"/>
        <v>0</v>
      </c>
    </row>
    <row r="16" spans="2:11" ht="15.75" x14ac:dyDescent="0.25">
      <c r="B16" s="118">
        <v>42902</v>
      </c>
      <c r="C16" s="15">
        <v>16284</v>
      </c>
      <c r="D16" s="119" t="s">
        <v>295</v>
      </c>
      <c r="E16" s="120">
        <v>1334.3</v>
      </c>
      <c r="F16" s="121">
        <v>52037.7</v>
      </c>
      <c r="K16" s="3">
        <f t="shared" si="0"/>
        <v>0</v>
      </c>
    </row>
    <row r="17" spans="2:11" ht="15.75" x14ac:dyDescent="0.25">
      <c r="B17" s="118">
        <v>42902</v>
      </c>
      <c r="C17" s="15">
        <v>16285</v>
      </c>
      <c r="D17" s="119" t="s">
        <v>295</v>
      </c>
      <c r="E17" s="120">
        <v>24.1</v>
      </c>
      <c r="F17" s="121">
        <v>409.7</v>
      </c>
    </row>
    <row r="18" spans="2:11" ht="15.75" x14ac:dyDescent="0.25">
      <c r="B18" s="118">
        <v>42902</v>
      </c>
      <c r="C18" s="15">
        <v>16286</v>
      </c>
      <c r="D18" s="119" t="s">
        <v>295</v>
      </c>
      <c r="E18" s="120">
        <v>64.099999999999994</v>
      </c>
      <c r="F18" s="121">
        <v>4422.8999999999996</v>
      </c>
    </row>
    <row r="19" spans="2:11" ht="15.75" x14ac:dyDescent="0.25">
      <c r="B19" s="118">
        <v>42905</v>
      </c>
      <c r="C19" s="15">
        <v>16626</v>
      </c>
      <c r="D19" s="119" t="s">
        <v>8</v>
      </c>
      <c r="E19" s="120">
        <v>433.2</v>
      </c>
      <c r="F19" s="121">
        <v>18194.400000000001</v>
      </c>
    </row>
    <row r="20" spans="2:11" ht="15.75" x14ac:dyDescent="0.25">
      <c r="B20" s="118">
        <v>42906</v>
      </c>
      <c r="C20" s="15">
        <v>16773</v>
      </c>
      <c r="D20" s="119" t="s">
        <v>8</v>
      </c>
      <c r="E20" s="120">
        <v>456.1</v>
      </c>
      <c r="F20" s="121">
        <v>18244</v>
      </c>
    </row>
    <row r="21" spans="2:11" ht="15.75" x14ac:dyDescent="0.25">
      <c r="B21" s="118">
        <v>42906</v>
      </c>
      <c r="C21" s="15">
        <v>16774</v>
      </c>
      <c r="D21" s="119" t="s">
        <v>14</v>
      </c>
      <c r="E21" s="120">
        <v>461</v>
      </c>
      <c r="F21" s="121">
        <v>18440</v>
      </c>
    </row>
    <row r="22" spans="2:11" ht="15.75" x14ac:dyDescent="0.25">
      <c r="B22" s="118">
        <v>42906</v>
      </c>
      <c r="C22" s="15">
        <v>16775</v>
      </c>
      <c r="D22" s="119" t="s">
        <v>295</v>
      </c>
      <c r="E22" s="120">
        <v>93.2</v>
      </c>
      <c r="F22" s="121">
        <v>3728</v>
      </c>
      <c r="I22" s="3">
        <f t="shared" ref="I22" si="1">SUM(I6:I16)</f>
        <v>0</v>
      </c>
      <c r="J22" s="3"/>
      <c r="K22" s="3">
        <f>SUM(K6:K16)</f>
        <v>0</v>
      </c>
    </row>
    <row r="23" spans="2:11" ht="15.75" x14ac:dyDescent="0.25">
      <c r="B23" s="118">
        <v>42906</v>
      </c>
      <c r="C23" s="15">
        <v>16776</v>
      </c>
      <c r="D23" s="119" t="s">
        <v>10</v>
      </c>
      <c r="E23" s="120">
        <v>101.9</v>
      </c>
      <c r="F23" s="121">
        <v>4076</v>
      </c>
      <c r="I23" s="3"/>
      <c r="J23" s="3"/>
    </row>
    <row r="24" spans="2:11" ht="15.75" x14ac:dyDescent="0.25">
      <c r="B24" s="118">
        <v>42907</v>
      </c>
      <c r="C24" s="15">
        <v>16891</v>
      </c>
      <c r="D24" s="119" t="s">
        <v>8</v>
      </c>
      <c r="E24" s="120">
        <v>413.3</v>
      </c>
      <c r="F24" s="121">
        <v>16532</v>
      </c>
      <c r="I24" s="3"/>
      <c r="J24" s="3"/>
    </row>
    <row r="25" spans="2:11" ht="15.75" x14ac:dyDescent="0.25">
      <c r="B25" s="118">
        <v>42907</v>
      </c>
      <c r="C25" s="15">
        <v>16892</v>
      </c>
      <c r="D25" s="119" t="s">
        <v>14</v>
      </c>
      <c r="E25" s="120">
        <v>412.4</v>
      </c>
      <c r="F25" s="121">
        <v>16496</v>
      </c>
      <c r="I25" s="3"/>
      <c r="J25" s="3"/>
    </row>
    <row r="26" spans="2:11" ht="15.75" x14ac:dyDescent="0.25">
      <c r="B26" s="118">
        <v>42907</v>
      </c>
      <c r="C26" s="15">
        <v>16893</v>
      </c>
      <c r="D26" s="119" t="s">
        <v>295</v>
      </c>
      <c r="E26" s="120">
        <f>11.2+2</f>
        <v>13.2</v>
      </c>
      <c r="F26" s="121">
        <v>1064.4000000000001</v>
      </c>
      <c r="I26" s="3"/>
      <c r="J26" s="3"/>
    </row>
    <row r="27" spans="2:11" ht="15.75" x14ac:dyDescent="0.25">
      <c r="B27" s="118">
        <v>42907</v>
      </c>
      <c r="C27" s="15">
        <v>16894</v>
      </c>
      <c r="D27" s="119" t="s">
        <v>12</v>
      </c>
      <c r="E27" s="120">
        <f>62.5+97.1+18.6</f>
        <v>178.2</v>
      </c>
      <c r="F27" s="121">
        <v>8143.6</v>
      </c>
      <c r="I27" s="3"/>
      <c r="J27" s="3"/>
    </row>
    <row r="28" spans="2:11" ht="15.75" x14ac:dyDescent="0.25">
      <c r="B28" s="118">
        <v>42907</v>
      </c>
      <c r="C28" s="15">
        <v>16895</v>
      </c>
      <c r="D28" s="119" t="s">
        <v>0</v>
      </c>
      <c r="E28" s="120">
        <v>95.5</v>
      </c>
      <c r="F28" s="121">
        <v>3915.5</v>
      </c>
      <c r="I28" s="3"/>
      <c r="J28" s="3"/>
    </row>
    <row r="29" spans="2:11" ht="15.75" x14ac:dyDescent="0.25">
      <c r="B29" s="118">
        <v>42907</v>
      </c>
      <c r="C29" s="15">
        <v>16896</v>
      </c>
      <c r="D29" s="119" t="s">
        <v>7</v>
      </c>
      <c r="E29" s="120">
        <f>165.7+115.8</f>
        <v>281.5</v>
      </c>
      <c r="F29" s="121">
        <v>11128.2</v>
      </c>
      <c r="I29" s="3"/>
      <c r="J29" s="3"/>
    </row>
    <row r="30" spans="2:11" ht="15.75" x14ac:dyDescent="0.25">
      <c r="B30" s="118">
        <v>42908</v>
      </c>
      <c r="C30" s="15">
        <v>17022</v>
      </c>
      <c r="D30" s="119" t="s">
        <v>8</v>
      </c>
      <c r="E30" s="120">
        <v>446.4</v>
      </c>
      <c r="F30" s="121">
        <v>17856</v>
      </c>
      <c r="I30" s="3"/>
      <c r="J30" s="3"/>
    </row>
    <row r="31" spans="2:11" ht="15.75" x14ac:dyDescent="0.25">
      <c r="B31" s="118">
        <v>42908</v>
      </c>
      <c r="C31" s="15">
        <v>17023</v>
      </c>
      <c r="D31" s="119" t="s">
        <v>14</v>
      </c>
      <c r="E31" s="120">
        <v>411.7</v>
      </c>
      <c r="F31" s="121">
        <v>16468</v>
      </c>
      <c r="I31" s="3"/>
      <c r="J31" s="3"/>
    </row>
    <row r="32" spans="2:11" ht="15.75" x14ac:dyDescent="0.25">
      <c r="B32" s="118">
        <v>42908</v>
      </c>
      <c r="C32" s="15">
        <v>17025</v>
      </c>
      <c r="D32" s="119" t="s">
        <v>295</v>
      </c>
      <c r="E32" s="120">
        <v>86.9</v>
      </c>
      <c r="F32" s="121">
        <v>3476</v>
      </c>
      <c r="I32" s="3"/>
      <c r="J32" s="3"/>
    </row>
    <row r="33" spans="2:13" ht="15.75" x14ac:dyDescent="0.25">
      <c r="B33" s="118">
        <v>42908</v>
      </c>
      <c r="C33" s="15">
        <v>17028</v>
      </c>
      <c r="D33" s="119" t="s">
        <v>24</v>
      </c>
      <c r="E33" s="120">
        <f>54.1+62.4+37.1</f>
        <v>153.6</v>
      </c>
      <c r="F33" s="121">
        <v>3463.8</v>
      </c>
      <c r="I33" s="3"/>
      <c r="J33" s="3"/>
    </row>
    <row r="34" spans="2:13" ht="15.75" x14ac:dyDescent="0.25">
      <c r="B34" s="118">
        <v>42909</v>
      </c>
      <c r="C34" s="15">
        <v>17183</v>
      </c>
      <c r="D34" s="119" t="s">
        <v>14</v>
      </c>
      <c r="E34" s="120">
        <f>413.7+58.7+49.5</f>
        <v>521.9</v>
      </c>
      <c r="F34" s="121">
        <v>19610.900000000001</v>
      </c>
      <c r="I34" s="3"/>
      <c r="J34" s="3"/>
    </row>
    <row r="35" spans="2:13" ht="15.75" x14ac:dyDescent="0.25">
      <c r="B35" s="118">
        <v>42909</v>
      </c>
      <c r="C35" s="15">
        <v>17184</v>
      </c>
      <c r="D35" s="119" t="s">
        <v>8</v>
      </c>
      <c r="E35" s="120">
        <f>413.6+25.4+51.7</f>
        <v>490.7</v>
      </c>
      <c r="F35" s="121">
        <v>20307.3</v>
      </c>
      <c r="I35" s="3"/>
      <c r="J35" s="3"/>
    </row>
    <row r="36" spans="2:13" ht="15.75" x14ac:dyDescent="0.25">
      <c r="B36" s="118">
        <v>42909</v>
      </c>
      <c r="C36" s="15">
        <v>17185</v>
      </c>
      <c r="D36" s="119" t="s">
        <v>12</v>
      </c>
      <c r="E36" s="120">
        <f>371.3+16.2+13.5</f>
        <v>401</v>
      </c>
      <c r="F36" s="121">
        <v>16474.7</v>
      </c>
      <c r="I36" s="3"/>
      <c r="J36" s="3"/>
    </row>
    <row r="37" spans="2:13" ht="15.75" x14ac:dyDescent="0.25">
      <c r="B37" s="118">
        <v>42909</v>
      </c>
      <c r="C37" s="15">
        <v>17186</v>
      </c>
      <c r="D37" s="119" t="s">
        <v>295</v>
      </c>
      <c r="E37" s="120">
        <v>75.7</v>
      </c>
      <c r="F37" s="121">
        <v>3028</v>
      </c>
      <c r="I37" s="3"/>
      <c r="J37" s="3"/>
    </row>
    <row r="38" spans="2:13" ht="15.75" x14ac:dyDescent="0.25">
      <c r="B38" s="118">
        <v>42909</v>
      </c>
      <c r="C38" s="15">
        <v>17187</v>
      </c>
      <c r="D38" s="119" t="s">
        <v>10</v>
      </c>
      <c r="E38" s="120">
        <v>181.6</v>
      </c>
      <c r="F38" s="121">
        <v>7264</v>
      </c>
      <c r="I38" s="3"/>
      <c r="J38" s="3"/>
    </row>
    <row r="39" spans="2:13" ht="15.75" x14ac:dyDescent="0.25">
      <c r="B39" s="118">
        <v>42909</v>
      </c>
      <c r="C39" s="15">
        <v>17189</v>
      </c>
      <c r="D39" s="119" t="s">
        <v>295</v>
      </c>
      <c r="E39" s="120">
        <f>895.8+50.9</f>
        <v>946.69999999999993</v>
      </c>
      <c r="F39" s="121">
        <v>33022.5</v>
      </c>
      <c r="I39" s="3"/>
      <c r="J39" s="3"/>
    </row>
    <row r="40" spans="2:13" ht="15.75" x14ac:dyDescent="0.25">
      <c r="B40" s="118">
        <v>42902</v>
      </c>
      <c r="C40" s="15">
        <v>16233</v>
      </c>
      <c r="D40" s="119" t="s">
        <v>6</v>
      </c>
      <c r="E40" s="120">
        <f>93.3+94+15</f>
        <v>202.3</v>
      </c>
      <c r="F40" s="121">
        <v>10487.3</v>
      </c>
      <c r="I40" s="3"/>
      <c r="J40" s="3"/>
    </row>
    <row r="41" spans="2:13" ht="15.75" x14ac:dyDescent="0.25">
      <c r="B41" s="118">
        <v>42910</v>
      </c>
      <c r="C41" s="15">
        <v>17349</v>
      </c>
      <c r="D41" s="119" t="s">
        <v>14</v>
      </c>
      <c r="E41" s="120">
        <v>234.2</v>
      </c>
      <c r="F41" s="121">
        <v>26561.4</v>
      </c>
      <c r="I41" s="3"/>
      <c r="J41" s="3"/>
    </row>
    <row r="42" spans="2:13" ht="16.5" thickBot="1" x14ac:dyDescent="0.3">
      <c r="B42" s="118">
        <v>42910</v>
      </c>
      <c r="C42" s="15">
        <v>17351</v>
      </c>
      <c r="D42" s="119" t="s">
        <v>10</v>
      </c>
      <c r="E42" s="120">
        <v>80.5</v>
      </c>
      <c r="F42" s="121">
        <v>3220</v>
      </c>
      <c r="I42" s="3"/>
      <c r="J42" s="3"/>
    </row>
    <row r="43" spans="2:13" ht="15.75" thickBot="1" x14ac:dyDescent="0.3">
      <c r="B43" s="29" t="s">
        <v>9</v>
      </c>
      <c r="C43" s="66"/>
      <c r="D43" s="31"/>
      <c r="E43" s="32">
        <v>0</v>
      </c>
      <c r="F43" s="33">
        <f>SUM(F3:F42)</f>
        <v>442361.60000000003</v>
      </c>
      <c r="K43" s="3">
        <f t="shared" ref="K43:K50" si="2">J43*I43</f>
        <v>0</v>
      </c>
    </row>
    <row r="44" spans="2:13" ht="19.5" thickBot="1" x14ac:dyDescent="0.35">
      <c r="B44" s="34"/>
      <c r="C44" s="67"/>
      <c r="D44" s="36" t="s">
        <v>5</v>
      </c>
      <c r="E44" s="37">
        <f>SUM(E3:E43)</f>
        <v>10393.300000000001</v>
      </c>
      <c r="K44" s="3">
        <f t="shared" si="2"/>
        <v>0</v>
      </c>
    </row>
    <row r="45" spans="2:13" x14ac:dyDescent="0.25">
      <c r="B45" s="34"/>
      <c r="C45" s="67"/>
      <c r="D45" s="26"/>
      <c r="E45" s="39"/>
      <c r="K45" s="3">
        <f t="shared" si="2"/>
        <v>0</v>
      </c>
    </row>
    <row r="46" spans="2:13" ht="19.5" thickBot="1" x14ac:dyDescent="0.35">
      <c r="B46" s="40"/>
      <c r="C46" s="41" t="s">
        <v>15</v>
      </c>
      <c r="D46" s="149">
        <f>E44*0.3</f>
        <v>3117.9900000000002</v>
      </c>
      <c r="F46"/>
      <c r="K46" s="3">
        <f t="shared" si="2"/>
        <v>0</v>
      </c>
    </row>
    <row r="47" spans="2:13" ht="21.75" thickBot="1" x14ac:dyDescent="0.4">
      <c r="C47" s="41" t="s">
        <v>16</v>
      </c>
      <c r="D47" s="44">
        <v>4000</v>
      </c>
      <c r="E47" s="45"/>
      <c r="F47" s="258">
        <f>D46+D47</f>
        <v>7117.99</v>
      </c>
      <c r="G47" s="259"/>
      <c r="K47" s="3">
        <f t="shared" si="2"/>
        <v>0</v>
      </c>
      <c r="L47" s="46"/>
      <c r="M47" s="13"/>
    </row>
    <row r="48" spans="2:13" ht="22.5" thickTop="1" thickBot="1" x14ac:dyDescent="0.4">
      <c r="D48" s="146"/>
      <c r="E48" s="47" t="s">
        <v>258</v>
      </c>
      <c r="G48" s="147">
        <v>-1853</v>
      </c>
      <c r="L48" s="46"/>
      <c r="M48" s="13"/>
    </row>
    <row r="49" spans="2:13" ht="19.5" thickBot="1" x14ac:dyDescent="0.35">
      <c r="B49" s="164"/>
      <c r="C49" s="165" t="s">
        <v>616</v>
      </c>
      <c r="D49" s="131" t="s">
        <v>618</v>
      </c>
      <c r="E49" s="47" t="s">
        <v>258</v>
      </c>
      <c r="F49" s="142"/>
      <c r="G49" s="160">
        <v>-5265</v>
      </c>
      <c r="K49" s="3">
        <f t="shared" si="2"/>
        <v>0</v>
      </c>
      <c r="L49" s="49"/>
      <c r="M49" s="49"/>
    </row>
    <row r="50" spans="2:13" ht="16.5" thickBot="1" x14ac:dyDescent="0.3">
      <c r="B50" s="96" t="s">
        <v>619</v>
      </c>
      <c r="C50" s="166"/>
      <c r="D50" s="131" t="s">
        <v>617</v>
      </c>
      <c r="E50" s="47" t="s">
        <v>258</v>
      </c>
      <c r="F50" s="125"/>
      <c r="G50" s="135">
        <v>0</v>
      </c>
      <c r="K50" s="3">
        <f t="shared" si="2"/>
        <v>0</v>
      </c>
      <c r="L50" s="49"/>
      <c r="M50" s="49"/>
    </row>
    <row r="51" spans="2:13" ht="17.25" thickTop="1" thickBot="1" x14ac:dyDescent="0.3">
      <c r="C51" s="167"/>
      <c r="D51" s="131"/>
      <c r="E51" s="47" t="s">
        <v>307</v>
      </c>
      <c r="F51" s="124"/>
      <c r="G51" s="136">
        <v>0</v>
      </c>
      <c r="L51" s="49"/>
      <c r="M51" s="49"/>
    </row>
    <row r="52" spans="2:13" ht="17.25" customHeight="1" thickBot="1" x14ac:dyDescent="0.4">
      <c r="C52" s="168"/>
      <c r="D52" s="155"/>
      <c r="E52" s="4" t="s">
        <v>258</v>
      </c>
      <c r="F52" s="263">
        <f>SUM(F47:G51)</f>
        <v>-1.0000000000218279E-2</v>
      </c>
      <c r="G52" s="264"/>
      <c r="L52" s="49"/>
      <c r="M52" s="49"/>
    </row>
    <row r="53" spans="2:13" ht="19.5" customHeight="1" x14ac:dyDescent="0.35">
      <c r="C53" s="109"/>
      <c r="F53" s="148"/>
      <c r="G53" s="148"/>
    </row>
    <row r="54" spans="2:13" x14ac:dyDescent="0.25">
      <c r="F54" s="27"/>
      <c r="G54" s="26"/>
    </row>
    <row r="56" spans="2:13" x14ac:dyDescent="0.25">
      <c r="I56" s="3">
        <f>SUM(I43:I50)</f>
        <v>0</v>
      </c>
      <c r="J56" s="3"/>
      <c r="K56" s="3">
        <f>SUM(K43:K50)</f>
        <v>0</v>
      </c>
    </row>
  </sheetData>
  <mergeCells count="3">
    <mergeCell ref="B1:C1"/>
    <mergeCell ref="F47:G47"/>
    <mergeCell ref="F52:G52"/>
  </mergeCells>
  <pageMargins left="0.70866141732283472" right="0.11811023622047245" top="0.35433070866141736" bottom="0.19685039370078741" header="0.31496062992125984" footer="0.31496062992125984"/>
  <pageSetup scale="90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6"/>
  <sheetViews>
    <sheetView topLeftCell="A32" workbookViewId="0">
      <selection activeCell="B50" sqref="B50"/>
    </sheetView>
  </sheetViews>
  <sheetFormatPr baseColWidth="10" defaultRowHeight="15" x14ac:dyDescent="0.25"/>
  <cols>
    <col min="1" max="1" width="3.42578125" customWidth="1"/>
    <col min="2" max="2" width="13.42578125" style="96" bestFit="1" customWidth="1"/>
    <col min="3" max="3" width="13.7109375" style="41" customWidth="1"/>
    <col min="4" max="4" width="28.5703125" bestFit="1" customWidth="1"/>
    <col min="5" max="5" width="12" bestFit="1" customWidth="1"/>
    <col min="6" max="6" width="14.140625" style="3" bestFit="1" customWidth="1"/>
    <col min="7" max="7" width="15.7109375" customWidth="1"/>
    <col min="11" max="11" width="11.42578125" style="3"/>
    <col min="13" max="13" width="11.42578125" style="3"/>
  </cols>
  <sheetData>
    <row r="1" spans="2:11" ht="19.5" thickBot="1" x14ac:dyDescent="0.35">
      <c r="B1" s="257">
        <v>42922</v>
      </c>
      <c r="C1" s="257"/>
      <c r="D1" s="163" t="s">
        <v>0</v>
      </c>
      <c r="E1" s="2" t="s">
        <v>1</v>
      </c>
      <c r="K1"/>
    </row>
    <row r="2" spans="2:11" ht="19.5" thickBot="1" x14ac:dyDescent="0.35">
      <c r="B2" s="95" t="s">
        <v>2</v>
      </c>
      <c r="C2" s="5" t="s">
        <v>3</v>
      </c>
      <c r="D2" s="5" t="s">
        <v>4</v>
      </c>
      <c r="E2" s="6" t="s">
        <v>5</v>
      </c>
      <c r="F2" s="139" t="s">
        <v>620</v>
      </c>
      <c r="G2" s="8"/>
      <c r="K2"/>
    </row>
    <row r="3" spans="2:11" ht="15.75" x14ac:dyDescent="0.25">
      <c r="B3" s="83"/>
      <c r="C3" s="69"/>
      <c r="D3" s="70"/>
      <c r="E3" s="76"/>
      <c r="F3" s="71"/>
      <c r="K3"/>
    </row>
    <row r="4" spans="2:11" ht="15.75" x14ac:dyDescent="0.25">
      <c r="B4" s="118">
        <v>42901</v>
      </c>
      <c r="C4" s="15">
        <v>16074</v>
      </c>
      <c r="D4" s="119" t="s">
        <v>0</v>
      </c>
      <c r="E4" s="120">
        <v>103.6</v>
      </c>
      <c r="F4" s="121">
        <v>4040.4</v>
      </c>
      <c r="K4"/>
    </row>
    <row r="5" spans="2:11" ht="15.75" x14ac:dyDescent="0.25">
      <c r="B5" s="118">
        <v>42902</v>
      </c>
      <c r="C5" s="15">
        <v>16232</v>
      </c>
      <c r="D5" s="119" t="s">
        <v>6</v>
      </c>
      <c r="E5" s="120">
        <f>243+81.8+18.2</f>
        <v>343</v>
      </c>
      <c r="F5" s="121">
        <v>16599.2</v>
      </c>
      <c r="K5"/>
    </row>
    <row r="6" spans="2:11" ht="15.75" x14ac:dyDescent="0.25">
      <c r="B6" s="118">
        <v>42906</v>
      </c>
      <c r="C6" s="15">
        <v>16777</v>
      </c>
      <c r="D6" s="119" t="s">
        <v>24</v>
      </c>
      <c r="E6" s="120">
        <f>918.1+64.5+65+13.61+67.5</f>
        <v>1128.7099999999998</v>
      </c>
      <c r="F6" s="121">
        <v>36150.85</v>
      </c>
      <c r="G6" t="s">
        <v>9</v>
      </c>
      <c r="K6" s="3">
        <f t="shared" ref="K6:K16" si="0">J6*I6</f>
        <v>0</v>
      </c>
    </row>
    <row r="7" spans="2:11" ht="15.75" x14ac:dyDescent="0.25">
      <c r="B7" s="118">
        <v>42908</v>
      </c>
      <c r="C7" s="15">
        <v>17026</v>
      </c>
      <c r="D7" s="119" t="s">
        <v>10</v>
      </c>
      <c r="E7" s="120">
        <v>1</v>
      </c>
      <c r="F7" s="121">
        <v>770</v>
      </c>
      <c r="K7" s="3">
        <f t="shared" si="0"/>
        <v>0</v>
      </c>
    </row>
    <row r="8" spans="2:11" ht="15.75" x14ac:dyDescent="0.25">
      <c r="B8" s="118">
        <v>42908</v>
      </c>
      <c r="C8" s="15">
        <v>17027</v>
      </c>
      <c r="D8" s="119" t="s">
        <v>10</v>
      </c>
      <c r="E8" s="120">
        <v>2</v>
      </c>
      <c r="F8" s="121">
        <v>370</v>
      </c>
      <c r="K8" s="3">
        <f t="shared" si="0"/>
        <v>0</v>
      </c>
    </row>
    <row r="9" spans="2:11" ht="15.75" x14ac:dyDescent="0.25">
      <c r="B9" s="118">
        <v>42909</v>
      </c>
      <c r="C9" s="15">
        <v>17188</v>
      </c>
      <c r="D9" s="119" t="s">
        <v>11</v>
      </c>
      <c r="E9" s="120">
        <f>124.2+285</f>
        <v>409.2</v>
      </c>
      <c r="F9" s="121">
        <v>17748.599999999999</v>
      </c>
      <c r="K9" s="3">
        <f t="shared" si="0"/>
        <v>0</v>
      </c>
    </row>
    <row r="10" spans="2:11" ht="15.75" x14ac:dyDescent="0.25">
      <c r="B10" s="118">
        <v>42909</v>
      </c>
      <c r="C10" s="15">
        <v>17190</v>
      </c>
      <c r="D10" s="119" t="s">
        <v>24</v>
      </c>
      <c r="E10" s="120">
        <f>952.99+49.2</f>
        <v>1002.19</v>
      </c>
      <c r="F10" s="121">
        <v>35488.44</v>
      </c>
      <c r="K10" s="3">
        <f t="shared" si="0"/>
        <v>0</v>
      </c>
    </row>
    <row r="11" spans="2:11" ht="15.75" x14ac:dyDescent="0.25">
      <c r="B11" s="118">
        <v>42910</v>
      </c>
      <c r="C11" s="15">
        <v>17352</v>
      </c>
      <c r="D11" s="119" t="s">
        <v>11</v>
      </c>
      <c r="E11" s="120">
        <f>71.6+114.1+181.6+7.3</f>
        <v>374.59999999999997</v>
      </c>
      <c r="F11" s="121">
        <v>15872.1</v>
      </c>
      <c r="K11" s="3">
        <f t="shared" si="0"/>
        <v>0</v>
      </c>
    </row>
    <row r="12" spans="2:11" ht="15.75" x14ac:dyDescent="0.25">
      <c r="B12" s="118">
        <v>42912</v>
      </c>
      <c r="C12" s="15">
        <v>17548</v>
      </c>
      <c r="D12" s="119" t="s">
        <v>10</v>
      </c>
      <c r="E12" s="120">
        <v>80.099999999999994</v>
      </c>
      <c r="F12" s="121">
        <v>3204</v>
      </c>
      <c r="K12" s="3">
        <f t="shared" si="0"/>
        <v>0</v>
      </c>
    </row>
    <row r="13" spans="2:11" ht="15.75" x14ac:dyDescent="0.25">
      <c r="B13" s="118">
        <v>42912</v>
      </c>
      <c r="C13" s="15">
        <v>17550</v>
      </c>
      <c r="D13" s="119" t="s">
        <v>248</v>
      </c>
      <c r="E13" s="120">
        <v>111</v>
      </c>
      <c r="F13" s="121">
        <v>4107</v>
      </c>
      <c r="K13" s="3">
        <f t="shared" si="0"/>
        <v>0</v>
      </c>
    </row>
    <row r="14" spans="2:11" ht="15.75" x14ac:dyDescent="0.25">
      <c r="B14" s="118">
        <v>42912</v>
      </c>
      <c r="C14" s="15">
        <v>17551</v>
      </c>
      <c r="D14" s="119" t="s">
        <v>24</v>
      </c>
      <c r="E14" s="120">
        <v>59.8</v>
      </c>
      <c r="F14" s="121">
        <v>1435.2</v>
      </c>
      <c r="K14" s="3">
        <f t="shared" si="0"/>
        <v>0</v>
      </c>
    </row>
    <row r="15" spans="2:11" ht="15.75" x14ac:dyDescent="0.25">
      <c r="B15" s="118">
        <v>42912</v>
      </c>
      <c r="C15" s="15">
        <v>17552</v>
      </c>
      <c r="D15" s="119" t="s">
        <v>34</v>
      </c>
      <c r="E15" s="120">
        <v>395.4</v>
      </c>
      <c r="F15" s="121">
        <v>15816</v>
      </c>
      <c r="K15" s="3">
        <f t="shared" si="0"/>
        <v>0</v>
      </c>
    </row>
    <row r="16" spans="2:11" ht="15.75" x14ac:dyDescent="0.25">
      <c r="B16" s="118">
        <v>42912</v>
      </c>
      <c r="C16" s="15">
        <v>17553</v>
      </c>
      <c r="D16" s="119" t="s">
        <v>14</v>
      </c>
      <c r="E16" s="120">
        <v>410</v>
      </c>
      <c r="F16" s="121">
        <v>16400</v>
      </c>
      <c r="K16" s="3">
        <f t="shared" si="0"/>
        <v>0</v>
      </c>
    </row>
    <row r="17" spans="2:11" ht="15.75" x14ac:dyDescent="0.25">
      <c r="B17" s="118">
        <v>42912</v>
      </c>
      <c r="C17" s="15">
        <v>17554</v>
      </c>
      <c r="D17" s="119" t="s">
        <v>12</v>
      </c>
      <c r="E17" s="120">
        <f>263.7+15.9</f>
        <v>279.59999999999997</v>
      </c>
      <c r="F17" s="121">
        <v>11517.9</v>
      </c>
    </row>
    <row r="18" spans="2:11" ht="15.75" x14ac:dyDescent="0.25">
      <c r="B18" s="118">
        <v>42913</v>
      </c>
      <c r="C18" s="15">
        <v>17669</v>
      </c>
      <c r="D18" s="119" t="s">
        <v>34</v>
      </c>
      <c r="E18" s="120">
        <v>379.3</v>
      </c>
      <c r="F18" s="121">
        <v>15172</v>
      </c>
    </row>
    <row r="19" spans="2:11" ht="15.75" x14ac:dyDescent="0.25">
      <c r="B19" s="118">
        <v>42913</v>
      </c>
      <c r="C19" s="15">
        <v>17670</v>
      </c>
      <c r="D19" s="119" t="s">
        <v>14</v>
      </c>
      <c r="E19" s="120">
        <v>399.7</v>
      </c>
      <c r="F19" s="121">
        <v>15988</v>
      </c>
    </row>
    <row r="20" spans="2:11" ht="15.75" x14ac:dyDescent="0.25">
      <c r="B20" s="118">
        <v>42913</v>
      </c>
      <c r="C20" s="15">
        <v>17671</v>
      </c>
      <c r="D20" s="119" t="s">
        <v>77</v>
      </c>
      <c r="E20" s="120">
        <v>159.5</v>
      </c>
      <c r="F20" s="121">
        <v>6380</v>
      </c>
    </row>
    <row r="21" spans="2:11" ht="15.75" x14ac:dyDescent="0.25">
      <c r="B21" s="118">
        <v>42913</v>
      </c>
      <c r="C21" s="15">
        <v>17673</v>
      </c>
      <c r="D21" s="119" t="s">
        <v>248</v>
      </c>
      <c r="E21" s="120">
        <v>91.5</v>
      </c>
      <c r="F21" s="121">
        <v>3751.5</v>
      </c>
    </row>
    <row r="22" spans="2:11" ht="15.75" x14ac:dyDescent="0.25">
      <c r="B22" s="118">
        <v>42913</v>
      </c>
      <c r="C22" s="15">
        <v>17676</v>
      </c>
      <c r="D22" s="119" t="s">
        <v>248</v>
      </c>
      <c r="E22" s="120">
        <f>58.7+7.1</f>
        <v>65.8</v>
      </c>
      <c r="F22" s="121">
        <v>3183.5</v>
      </c>
      <c r="I22" s="3">
        <f t="shared" ref="I22" si="1">SUM(I6:I16)</f>
        <v>0</v>
      </c>
      <c r="J22" s="3"/>
      <c r="K22" s="3">
        <f>SUM(K6:K16)</f>
        <v>0</v>
      </c>
    </row>
    <row r="23" spans="2:11" ht="15.75" x14ac:dyDescent="0.25">
      <c r="B23" s="118">
        <v>42914</v>
      </c>
      <c r="C23" s="15">
        <v>17798</v>
      </c>
      <c r="D23" s="119" t="s">
        <v>24</v>
      </c>
      <c r="E23" s="120">
        <f>58.4+44+72.3</f>
        <v>174.7</v>
      </c>
      <c r="F23" s="121">
        <v>3842.4</v>
      </c>
      <c r="I23" s="3"/>
      <c r="J23" s="3"/>
    </row>
    <row r="24" spans="2:11" ht="15.75" x14ac:dyDescent="0.25">
      <c r="B24" s="118">
        <v>42914</v>
      </c>
      <c r="C24" s="15">
        <v>17799</v>
      </c>
      <c r="D24" s="119" t="s">
        <v>34</v>
      </c>
      <c r="E24" s="120">
        <v>429.8</v>
      </c>
      <c r="F24" s="121">
        <v>17192</v>
      </c>
      <c r="I24" s="3"/>
      <c r="J24" s="3"/>
    </row>
    <row r="25" spans="2:11" ht="15.75" x14ac:dyDescent="0.25">
      <c r="B25" s="118">
        <v>42914</v>
      </c>
      <c r="C25" s="15">
        <v>17800</v>
      </c>
      <c r="D25" s="119" t="s">
        <v>10</v>
      </c>
      <c r="E25" s="120">
        <f>101.5+15.1</f>
        <v>116.6</v>
      </c>
      <c r="F25" s="121">
        <v>4981.1000000000004</v>
      </c>
      <c r="I25" s="3"/>
      <c r="J25" s="3"/>
    </row>
    <row r="26" spans="2:11" ht="15.75" x14ac:dyDescent="0.25">
      <c r="B26" s="118">
        <v>42914</v>
      </c>
      <c r="C26" s="15">
        <v>17801</v>
      </c>
      <c r="D26" s="119" t="s">
        <v>24</v>
      </c>
      <c r="E26" s="120">
        <f>11.5+2</f>
        <v>13.5</v>
      </c>
      <c r="F26" s="121">
        <v>611.5</v>
      </c>
      <c r="I26" s="3"/>
      <c r="J26" s="3"/>
    </row>
    <row r="27" spans="2:11" ht="15.75" x14ac:dyDescent="0.25">
      <c r="B27" s="118">
        <v>42915</v>
      </c>
      <c r="C27" s="15">
        <v>17939</v>
      </c>
      <c r="D27" s="119" t="s">
        <v>24</v>
      </c>
      <c r="E27" s="120">
        <f>942.11+13.61+1</f>
        <v>956.72</v>
      </c>
      <c r="F27" s="121">
        <v>34835.9</v>
      </c>
      <c r="I27" s="3"/>
      <c r="J27" s="3"/>
    </row>
    <row r="28" spans="2:11" ht="15.75" x14ac:dyDescent="0.25">
      <c r="B28" s="118">
        <v>42915</v>
      </c>
      <c r="C28" s="15">
        <v>17942</v>
      </c>
      <c r="D28" s="119" t="s">
        <v>14</v>
      </c>
      <c r="E28" s="120">
        <f>342.7+112.4</f>
        <v>455.1</v>
      </c>
      <c r="F28" s="121">
        <v>18209.5</v>
      </c>
      <c r="I28" s="3"/>
      <c r="J28" s="3"/>
    </row>
    <row r="29" spans="2:11" ht="15.75" x14ac:dyDescent="0.25">
      <c r="B29" s="118">
        <v>42915</v>
      </c>
      <c r="C29" s="15">
        <v>17953</v>
      </c>
      <c r="D29" s="119" t="s">
        <v>34</v>
      </c>
      <c r="E29" s="120">
        <f>122.1+336+105.9</f>
        <v>564</v>
      </c>
      <c r="F29" s="121">
        <v>20951.099999999999</v>
      </c>
      <c r="I29" s="3"/>
      <c r="J29" s="3"/>
    </row>
    <row r="30" spans="2:11" ht="15.75" x14ac:dyDescent="0.25">
      <c r="B30" s="118">
        <v>42915</v>
      </c>
      <c r="C30" s="15">
        <v>17954</v>
      </c>
      <c r="D30" s="119" t="s">
        <v>248</v>
      </c>
      <c r="E30" s="120">
        <f>2.8+33</f>
        <v>35.799999999999997</v>
      </c>
      <c r="F30" s="121">
        <v>2187.1999999999998</v>
      </c>
      <c r="I30" s="3"/>
      <c r="J30" s="3"/>
    </row>
    <row r="31" spans="2:11" ht="15.75" x14ac:dyDescent="0.25">
      <c r="B31" s="118">
        <v>42916</v>
      </c>
      <c r="C31" s="15">
        <v>18060</v>
      </c>
      <c r="D31" s="119" t="s">
        <v>14</v>
      </c>
      <c r="E31" s="120">
        <v>461</v>
      </c>
      <c r="F31" s="121">
        <v>18901</v>
      </c>
      <c r="I31" s="3"/>
      <c r="J31" s="3"/>
    </row>
    <row r="32" spans="2:11" ht="15.75" x14ac:dyDescent="0.25">
      <c r="B32" s="118">
        <v>42916</v>
      </c>
      <c r="C32" s="15">
        <v>18070</v>
      </c>
      <c r="D32" s="119" t="s">
        <v>10</v>
      </c>
      <c r="E32" s="120">
        <f>40+2+1+9.9</f>
        <v>52.9</v>
      </c>
      <c r="F32" s="121">
        <v>3257.6</v>
      </c>
      <c r="I32" s="3"/>
      <c r="J32" s="3"/>
    </row>
    <row r="33" spans="2:13" ht="15.75" x14ac:dyDescent="0.25">
      <c r="B33" s="118">
        <v>42916</v>
      </c>
      <c r="C33" s="15">
        <v>18071</v>
      </c>
      <c r="D33" s="119" t="s">
        <v>248</v>
      </c>
      <c r="E33" s="120">
        <v>902.2</v>
      </c>
      <c r="F33" s="121">
        <v>32479.200000000001</v>
      </c>
      <c r="I33" s="3"/>
      <c r="J33" s="3"/>
    </row>
    <row r="34" spans="2:13" ht="15.75" x14ac:dyDescent="0.25">
      <c r="B34" s="118">
        <v>42916</v>
      </c>
      <c r="C34" s="15">
        <v>18087</v>
      </c>
      <c r="D34" s="119" t="s">
        <v>34</v>
      </c>
      <c r="E34" s="120">
        <f>421.8+250.44</f>
        <v>672.24</v>
      </c>
      <c r="F34" s="121">
        <v>29062.6</v>
      </c>
      <c r="I34" s="3"/>
      <c r="J34" s="3"/>
    </row>
    <row r="35" spans="2:13" ht="15.75" x14ac:dyDescent="0.25">
      <c r="B35" s="118">
        <v>42917</v>
      </c>
      <c r="C35" s="15">
        <v>18188</v>
      </c>
      <c r="D35" s="119" t="s">
        <v>34</v>
      </c>
      <c r="E35" s="120">
        <v>415.7</v>
      </c>
      <c r="F35" s="121">
        <v>17043.7</v>
      </c>
      <c r="I35" s="3"/>
      <c r="J35" s="3"/>
    </row>
    <row r="36" spans="2:13" ht="15.75" x14ac:dyDescent="0.25">
      <c r="B36" s="118">
        <v>42917</v>
      </c>
      <c r="C36" s="15">
        <v>18191</v>
      </c>
      <c r="D36" s="119" t="s">
        <v>248</v>
      </c>
      <c r="E36" s="120">
        <v>376</v>
      </c>
      <c r="F36" s="121">
        <v>15416</v>
      </c>
      <c r="I36" s="3"/>
      <c r="J36" s="3"/>
    </row>
    <row r="37" spans="2:13" ht="15.75" x14ac:dyDescent="0.25">
      <c r="B37" s="118">
        <v>42917</v>
      </c>
      <c r="C37" s="15">
        <v>18195</v>
      </c>
      <c r="D37" s="119" t="s">
        <v>14</v>
      </c>
      <c r="E37" s="120">
        <v>415.5</v>
      </c>
      <c r="F37" s="121">
        <v>17035.5</v>
      </c>
      <c r="I37" s="3"/>
      <c r="J37" s="3"/>
    </row>
    <row r="38" spans="2:13" ht="15.75" x14ac:dyDescent="0.25">
      <c r="B38" s="118">
        <v>42917</v>
      </c>
      <c r="C38" s="15">
        <v>18206</v>
      </c>
      <c r="D38" s="119" t="s">
        <v>24</v>
      </c>
      <c r="E38" s="120">
        <f>63.5+16.6+76.4</f>
        <v>156.5</v>
      </c>
      <c r="F38" s="121">
        <v>3706.2</v>
      </c>
      <c r="I38" s="3"/>
      <c r="J38" s="3"/>
    </row>
    <row r="39" spans="2:13" ht="15.75" x14ac:dyDescent="0.25">
      <c r="B39" s="118">
        <v>42917</v>
      </c>
      <c r="C39" s="15">
        <v>18219</v>
      </c>
      <c r="D39" s="119" t="s">
        <v>10</v>
      </c>
      <c r="E39" s="120">
        <v>24.9</v>
      </c>
      <c r="F39" s="121">
        <v>1593.6</v>
      </c>
      <c r="I39" s="3"/>
      <c r="J39" s="3"/>
    </row>
    <row r="40" spans="2:13" ht="15.75" x14ac:dyDescent="0.25">
      <c r="B40" s="118">
        <v>42917</v>
      </c>
      <c r="C40" s="15">
        <v>18232</v>
      </c>
      <c r="D40" s="119" t="s">
        <v>248</v>
      </c>
      <c r="E40" s="120">
        <f>102.6+16.7+7.9</f>
        <v>127.2</v>
      </c>
      <c r="F40" s="121">
        <v>6607.8</v>
      </c>
      <c r="I40" s="3"/>
      <c r="J40" s="3"/>
    </row>
    <row r="41" spans="2:13" ht="15.75" x14ac:dyDescent="0.25">
      <c r="B41" s="118"/>
      <c r="C41" s="15"/>
      <c r="D41" s="119"/>
      <c r="E41" s="120"/>
      <c r="F41" s="121"/>
      <c r="I41" s="3"/>
      <c r="J41" s="3"/>
    </row>
    <row r="42" spans="2:13" ht="16.5" thickBot="1" x14ac:dyDescent="0.3">
      <c r="B42" s="118"/>
      <c r="C42" s="15"/>
      <c r="D42" s="119"/>
      <c r="E42" s="120"/>
      <c r="F42" s="121"/>
      <c r="I42" s="3"/>
      <c r="J42" s="3"/>
    </row>
    <row r="43" spans="2:13" ht="15.75" thickBot="1" x14ac:dyDescent="0.3">
      <c r="B43" s="29" t="s">
        <v>9</v>
      </c>
      <c r="C43" s="66"/>
      <c r="D43" s="31"/>
      <c r="E43" s="32">
        <v>0</v>
      </c>
      <c r="F43" s="33">
        <f>SUM(F3:F42)</f>
        <v>471908.58999999997</v>
      </c>
      <c r="K43" s="3">
        <f t="shared" ref="K43:K50" si="2">J43*I43</f>
        <v>0</v>
      </c>
    </row>
    <row r="44" spans="2:13" ht="19.5" thickBot="1" x14ac:dyDescent="0.35">
      <c r="B44" s="34"/>
      <c r="C44" s="67"/>
      <c r="D44" s="36" t="s">
        <v>5</v>
      </c>
      <c r="E44" s="37">
        <f>SUM(E3:E43)</f>
        <v>12146.360000000002</v>
      </c>
      <c r="K44" s="3">
        <f t="shared" si="2"/>
        <v>0</v>
      </c>
    </row>
    <row r="45" spans="2:13" x14ac:dyDescent="0.25">
      <c r="B45" s="34"/>
      <c r="C45" s="67"/>
      <c r="D45" s="26"/>
      <c r="E45" s="39"/>
      <c r="K45" s="3">
        <f t="shared" si="2"/>
        <v>0</v>
      </c>
    </row>
    <row r="46" spans="2:13" ht="19.5" thickBot="1" x14ac:dyDescent="0.35">
      <c r="B46" s="40"/>
      <c r="C46" s="41" t="s">
        <v>15</v>
      </c>
      <c r="D46" s="149">
        <f>E44*0.3</f>
        <v>3643.9080000000008</v>
      </c>
      <c r="F46"/>
      <c r="K46" s="3">
        <f t="shared" si="2"/>
        <v>0</v>
      </c>
    </row>
    <row r="47" spans="2:13" ht="21.75" thickBot="1" x14ac:dyDescent="0.4">
      <c r="C47" s="41" t="s">
        <v>16</v>
      </c>
      <c r="D47" s="44">
        <v>4000</v>
      </c>
      <c r="E47" s="45"/>
      <c r="F47" s="258">
        <f>D46+D47</f>
        <v>7643.9080000000013</v>
      </c>
      <c r="G47" s="259"/>
      <c r="K47" s="3">
        <f t="shared" si="2"/>
        <v>0</v>
      </c>
      <c r="L47" s="46"/>
      <c r="M47" s="13"/>
    </row>
    <row r="48" spans="2:13" ht="22.5" thickTop="1" thickBot="1" x14ac:dyDescent="0.4">
      <c r="D48" s="146"/>
      <c r="E48" s="47" t="s">
        <v>258</v>
      </c>
      <c r="G48" s="147">
        <v>-2000</v>
      </c>
      <c r="L48" s="46"/>
      <c r="M48" s="13"/>
    </row>
    <row r="49" spans="2:13" ht="19.5" thickBot="1" x14ac:dyDescent="0.35">
      <c r="B49" s="164"/>
      <c r="C49" s="165"/>
      <c r="D49" s="131" t="s">
        <v>621</v>
      </c>
      <c r="E49" s="47" t="s">
        <v>258</v>
      </c>
      <c r="F49" s="142"/>
      <c r="G49" s="160">
        <v>-1140.5</v>
      </c>
      <c r="K49" s="3">
        <f t="shared" si="2"/>
        <v>0</v>
      </c>
      <c r="L49" s="49"/>
      <c r="M49" s="49"/>
    </row>
    <row r="50" spans="2:13" ht="19.5" thickBot="1" x14ac:dyDescent="0.35">
      <c r="B50" s="173">
        <v>0</v>
      </c>
      <c r="C50" s="174"/>
      <c r="D50" s="131" t="s">
        <v>622</v>
      </c>
      <c r="E50" s="47" t="s">
        <v>258</v>
      </c>
      <c r="F50" s="125"/>
      <c r="G50" s="169">
        <v>-500</v>
      </c>
      <c r="K50" s="3">
        <f t="shared" si="2"/>
        <v>0</v>
      </c>
      <c r="L50" s="49"/>
      <c r="M50" s="49"/>
    </row>
    <row r="51" spans="2:13" ht="20.25" thickTop="1" thickBot="1" x14ac:dyDescent="0.35">
      <c r="B51" s="173" t="s">
        <v>624</v>
      </c>
      <c r="C51" s="174"/>
      <c r="D51" s="131" t="s">
        <v>623</v>
      </c>
      <c r="E51" s="47" t="s">
        <v>307</v>
      </c>
      <c r="F51" s="124"/>
      <c r="G51" s="170">
        <v>-4003</v>
      </c>
      <c r="L51" s="49"/>
      <c r="M51" s="49"/>
    </row>
    <row r="52" spans="2:13" ht="17.25" customHeight="1" thickBot="1" x14ac:dyDescent="0.4">
      <c r="C52" s="168"/>
      <c r="D52" s="172" t="s">
        <v>625</v>
      </c>
      <c r="E52" s="4" t="s">
        <v>258</v>
      </c>
      <c r="F52" s="263">
        <f>SUM(F47:G51)</f>
        <v>0.40800000000126602</v>
      </c>
      <c r="G52" s="264"/>
      <c r="L52" s="49"/>
      <c r="M52" s="49"/>
    </row>
    <row r="53" spans="2:13" ht="19.5" customHeight="1" x14ac:dyDescent="0.35">
      <c r="C53" s="109"/>
      <c r="D53" s="171" t="s">
        <v>626</v>
      </c>
      <c r="F53" s="148"/>
      <c r="G53" s="148"/>
    </row>
    <row r="54" spans="2:13" x14ac:dyDescent="0.25">
      <c r="F54" s="27"/>
      <c r="G54" s="26"/>
    </row>
    <row r="56" spans="2:13" x14ac:dyDescent="0.25">
      <c r="I56" s="3">
        <f>SUM(I43:I50)</f>
        <v>0</v>
      </c>
      <c r="J56" s="3"/>
      <c r="K56" s="3">
        <f>SUM(K43:K50)</f>
        <v>0</v>
      </c>
    </row>
  </sheetData>
  <mergeCells count="3">
    <mergeCell ref="B1:C1"/>
    <mergeCell ref="F47:G47"/>
    <mergeCell ref="F52:G52"/>
  </mergeCells>
  <pageMargins left="0.51181102362204722" right="0.11811023622047245" top="0.35433070866141736" bottom="0.15748031496062992" header="0.31496062992125984" footer="0.31496062992125984"/>
  <pageSetup scale="90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9"/>
  <sheetViews>
    <sheetView topLeftCell="A40" workbookViewId="0">
      <selection activeCell="G60" sqref="G60"/>
    </sheetView>
  </sheetViews>
  <sheetFormatPr baseColWidth="10" defaultRowHeight="15" x14ac:dyDescent="0.25"/>
  <cols>
    <col min="1" max="1" width="3.42578125" customWidth="1"/>
    <col min="2" max="2" width="13.42578125" style="96" bestFit="1" customWidth="1"/>
    <col min="3" max="3" width="13.7109375" style="41" customWidth="1"/>
    <col min="4" max="4" width="28.5703125" bestFit="1" customWidth="1"/>
    <col min="5" max="5" width="12" bestFit="1" customWidth="1"/>
    <col min="6" max="6" width="14.140625" style="3" bestFit="1" customWidth="1"/>
    <col min="7" max="7" width="15.7109375" customWidth="1"/>
    <col min="11" max="11" width="11.42578125" style="3"/>
    <col min="13" max="13" width="11.42578125" style="3"/>
  </cols>
  <sheetData>
    <row r="1" spans="2:11" ht="19.5" thickBot="1" x14ac:dyDescent="0.35">
      <c r="B1" s="257">
        <v>42930</v>
      </c>
      <c r="C1" s="257"/>
      <c r="D1" s="175" t="s">
        <v>0</v>
      </c>
      <c r="E1" s="2" t="s">
        <v>1</v>
      </c>
      <c r="K1"/>
    </row>
    <row r="2" spans="2:11" ht="19.5" thickBot="1" x14ac:dyDescent="0.35">
      <c r="B2" s="95" t="s">
        <v>2</v>
      </c>
      <c r="C2" s="5" t="s">
        <v>3</v>
      </c>
      <c r="D2" s="5" t="s">
        <v>4</v>
      </c>
      <c r="E2" s="6" t="s">
        <v>5</v>
      </c>
      <c r="F2" s="139" t="s">
        <v>627</v>
      </c>
      <c r="G2" s="8"/>
      <c r="K2"/>
    </row>
    <row r="3" spans="2:11" ht="15.75" x14ac:dyDescent="0.25">
      <c r="B3" s="83">
        <v>42909</v>
      </c>
      <c r="C3" s="69" t="s">
        <v>628</v>
      </c>
      <c r="D3" s="70" t="s">
        <v>6</v>
      </c>
      <c r="E3" s="76">
        <f>454.2+13.5+6.9+9.3+92</f>
        <v>575.9</v>
      </c>
      <c r="F3" s="71">
        <v>26839.9</v>
      </c>
      <c r="K3"/>
    </row>
    <row r="4" spans="2:11" ht="15.75" x14ac:dyDescent="0.25">
      <c r="B4" s="118">
        <v>42913</v>
      </c>
      <c r="C4" s="15">
        <v>17672</v>
      </c>
      <c r="D4" s="119" t="s">
        <v>10</v>
      </c>
      <c r="E4" s="120">
        <v>91.6</v>
      </c>
      <c r="F4" s="121">
        <v>3664</v>
      </c>
      <c r="K4"/>
    </row>
    <row r="5" spans="2:11" ht="15.75" x14ac:dyDescent="0.25">
      <c r="B5" s="118">
        <v>42913</v>
      </c>
      <c r="C5" s="15">
        <v>17674</v>
      </c>
      <c r="D5" s="119" t="s">
        <v>0</v>
      </c>
      <c r="E5" s="120">
        <f>89.5+108.1</f>
        <v>197.6</v>
      </c>
      <c r="F5" s="121">
        <v>11903.7</v>
      </c>
      <c r="K5"/>
    </row>
    <row r="6" spans="2:11" ht="15.75" x14ac:dyDescent="0.25">
      <c r="B6" s="118">
        <v>42916</v>
      </c>
      <c r="C6" s="15">
        <v>18068</v>
      </c>
      <c r="D6" s="119" t="s">
        <v>248</v>
      </c>
      <c r="E6" s="120">
        <f>12.5+303.7</f>
        <v>316.2</v>
      </c>
      <c r="F6" s="121">
        <v>13226.7</v>
      </c>
      <c r="G6" t="s">
        <v>9</v>
      </c>
      <c r="K6" s="3">
        <f t="shared" ref="K6:K16" si="0">J6*I6</f>
        <v>0</v>
      </c>
    </row>
    <row r="7" spans="2:11" ht="15.75" x14ac:dyDescent="0.25">
      <c r="B7" s="118">
        <v>42916</v>
      </c>
      <c r="C7" s="15">
        <v>18072</v>
      </c>
      <c r="D7" s="119" t="s">
        <v>11</v>
      </c>
      <c r="E7" s="120">
        <f>172.4+105.2</f>
        <v>277.60000000000002</v>
      </c>
      <c r="F7" s="121">
        <v>10692</v>
      </c>
      <c r="K7" s="3">
        <f t="shared" si="0"/>
        <v>0</v>
      </c>
    </row>
    <row r="8" spans="2:11" ht="15.75" x14ac:dyDescent="0.25">
      <c r="B8" s="118">
        <v>42916</v>
      </c>
      <c r="C8" s="15">
        <v>18077</v>
      </c>
      <c r="D8" s="119" t="s">
        <v>466</v>
      </c>
      <c r="E8" s="120">
        <f>14.5+27.24+50.1+65</f>
        <v>156.84</v>
      </c>
      <c r="F8" s="121">
        <v>7494.44</v>
      </c>
      <c r="K8" s="3">
        <f t="shared" si="0"/>
        <v>0</v>
      </c>
    </row>
    <row r="9" spans="2:11" ht="15.75" x14ac:dyDescent="0.25">
      <c r="B9" s="118">
        <v>42917</v>
      </c>
      <c r="C9" s="15">
        <v>18192</v>
      </c>
      <c r="D9" s="119" t="s">
        <v>248</v>
      </c>
      <c r="E9" s="120">
        <f>78.4+70.7</f>
        <v>149.10000000000002</v>
      </c>
      <c r="F9" s="121">
        <v>9011.7999999999993</v>
      </c>
      <c r="K9" s="3">
        <f t="shared" si="0"/>
        <v>0</v>
      </c>
    </row>
    <row r="10" spans="2:11" ht="15.75" x14ac:dyDescent="0.25">
      <c r="B10" s="118">
        <v>42917</v>
      </c>
      <c r="C10" s="15">
        <v>18203</v>
      </c>
      <c r="D10" s="119" t="s">
        <v>11</v>
      </c>
      <c r="E10" s="120">
        <f>72.9+167.2</f>
        <v>240.1</v>
      </c>
      <c r="F10" s="121">
        <v>10581.8</v>
      </c>
      <c r="K10" s="3">
        <f t="shared" si="0"/>
        <v>0</v>
      </c>
    </row>
    <row r="11" spans="2:11" ht="15.75" x14ac:dyDescent="0.25">
      <c r="B11" s="118">
        <v>42919</v>
      </c>
      <c r="C11" s="15">
        <v>18448</v>
      </c>
      <c r="D11" s="119" t="s">
        <v>24</v>
      </c>
      <c r="E11" s="120">
        <f>860.3+47+47.8</f>
        <v>955.09999999999991</v>
      </c>
      <c r="F11" s="121">
        <v>34106.300000000003</v>
      </c>
      <c r="K11" s="3">
        <f t="shared" si="0"/>
        <v>0</v>
      </c>
    </row>
    <row r="12" spans="2:11" ht="15.75" x14ac:dyDescent="0.25">
      <c r="B12" s="118">
        <v>42919</v>
      </c>
      <c r="C12" s="15">
        <v>18449</v>
      </c>
      <c r="D12" s="119" t="s">
        <v>10</v>
      </c>
      <c r="E12" s="120">
        <v>87.4</v>
      </c>
      <c r="F12" s="121">
        <v>3670.8</v>
      </c>
      <c r="K12" s="3">
        <f t="shared" si="0"/>
        <v>0</v>
      </c>
    </row>
    <row r="13" spans="2:11" ht="15.75" x14ac:dyDescent="0.25">
      <c r="B13" s="118">
        <v>42919</v>
      </c>
      <c r="C13" s="15">
        <v>18454</v>
      </c>
      <c r="D13" s="119" t="s">
        <v>34</v>
      </c>
      <c r="E13" s="120">
        <f>322.3+52.2</f>
        <v>374.5</v>
      </c>
      <c r="F13" s="121">
        <v>15520.2</v>
      </c>
      <c r="K13" s="3">
        <f t="shared" si="0"/>
        <v>0</v>
      </c>
    </row>
    <row r="14" spans="2:11" ht="15.75" x14ac:dyDescent="0.25">
      <c r="B14" s="118">
        <v>42919</v>
      </c>
      <c r="C14" s="15">
        <v>18462</v>
      </c>
      <c r="D14" s="119" t="s">
        <v>248</v>
      </c>
      <c r="E14" s="120">
        <f>7.8+2</f>
        <v>9.8000000000000007</v>
      </c>
      <c r="F14" s="121">
        <v>947.2</v>
      </c>
      <c r="K14" s="3">
        <f t="shared" si="0"/>
        <v>0</v>
      </c>
    </row>
    <row r="15" spans="2:11" ht="15.75" x14ac:dyDescent="0.25">
      <c r="B15" s="118">
        <v>42919</v>
      </c>
      <c r="C15" s="15">
        <v>18465</v>
      </c>
      <c r="D15" s="119" t="s">
        <v>14</v>
      </c>
      <c r="E15" s="120">
        <v>314.2</v>
      </c>
      <c r="F15" s="121">
        <v>13196.4</v>
      </c>
      <c r="K15" s="3">
        <f t="shared" si="0"/>
        <v>0</v>
      </c>
    </row>
    <row r="16" spans="2:11" ht="15.75" x14ac:dyDescent="0.25">
      <c r="B16" s="118">
        <v>42919</v>
      </c>
      <c r="C16" s="15">
        <v>18466</v>
      </c>
      <c r="D16" s="119" t="s">
        <v>248</v>
      </c>
      <c r="E16" s="120">
        <v>79.8</v>
      </c>
      <c r="F16" s="121">
        <v>4069.8</v>
      </c>
      <c r="K16" s="3">
        <f t="shared" si="0"/>
        <v>0</v>
      </c>
    </row>
    <row r="17" spans="2:11" ht="15.75" x14ac:dyDescent="0.25">
      <c r="B17" s="118">
        <v>42919</v>
      </c>
      <c r="C17" s="15">
        <v>18467</v>
      </c>
      <c r="D17" s="119" t="s">
        <v>11</v>
      </c>
      <c r="E17" s="120">
        <v>72.599999999999994</v>
      </c>
      <c r="F17" s="121">
        <v>4210.8</v>
      </c>
    </row>
    <row r="18" spans="2:11" ht="15.75" x14ac:dyDescent="0.25">
      <c r="B18" s="118">
        <v>42919</v>
      </c>
      <c r="C18" s="15">
        <v>18468</v>
      </c>
      <c r="D18" s="119" t="s">
        <v>12</v>
      </c>
      <c r="E18" s="120">
        <f>83.7+29.4</f>
        <v>113.1</v>
      </c>
      <c r="F18" s="121">
        <v>5338.2</v>
      </c>
    </row>
    <row r="19" spans="2:11" ht="15.75" x14ac:dyDescent="0.25">
      <c r="B19" s="118">
        <v>42920</v>
      </c>
      <c r="C19" s="15">
        <v>18610</v>
      </c>
      <c r="D19" s="119" t="s">
        <v>34</v>
      </c>
      <c r="E19" s="120">
        <v>332.3</v>
      </c>
      <c r="F19" s="121">
        <v>13956.6</v>
      </c>
    </row>
    <row r="20" spans="2:11" ht="15.75" x14ac:dyDescent="0.25">
      <c r="B20" s="118">
        <v>42920</v>
      </c>
      <c r="C20" s="15">
        <v>18611</v>
      </c>
      <c r="D20" s="119" t="s">
        <v>14</v>
      </c>
      <c r="E20" s="120">
        <v>343.7</v>
      </c>
      <c r="F20" s="121">
        <v>14435.4</v>
      </c>
    </row>
    <row r="21" spans="2:11" ht="15.75" x14ac:dyDescent="0.25">
      <c r="B21" s="118">
        <v>42920</v>
      </c>
      <c r="C21" s="15">
        <v>18612</v>
      </c>
      <c r="D21" s="119" t="s">
        <v>12</v>
      </c>
      <c r="E21" s="120">
        <v>172.8</v>
      </c>
      <c r="F21" s="121">
        <v>7257.6</v>
      </c>
    </row>
    <row r="22" spans="2:11" ht="15.75" x14ac:dyDescent="0.25">
      <c r="B22" s="118">
        <v>42920</v>
      </c>
      <c r="C22" s="15">
        <v>18615</v>
      </c>
      <c r="D22" s="119" t="s">
        <v>24</v>
      </c>
      <c r="E22" s="120">
        <f>48.6+51+19.2+65.4</f>
        <v>184.2</v>
      </c>
      <c r="F22" s="121">
        <v>3970.8</v>
      </c>
      <c r="I22" s="3">
        <f t="shared" ref="I22" si="1">SUM(I6:I16)</f>
        <v>0</v>
      </c>
      <c r="J22" s="3"/>
      <c r="K22" s="3">
        <f>SUM(K6:K16)</f>
        <v>0</v>
      </c>
    </row>
    <row r="23" spans="2:11" ht="15.75" x14ac:dyDescent="0.25">
      <c r="B23" s="118">
        <v>42920</v>
      </c>
      <c r="C23" s="15">
        <v>18616</v>
      </c>
      <c r="D23" s="119" t="s">
        <v>248</v>
      </c>
      <c r="E23" s="120">
        <v>63.2</v>
      </c>
      <c r="F23" s="121">
        <v>3223.2</v>
      </c>
      <c r="I23" s="3"/>
      <c r="J23" s="3"/>
    </row>
    <row r="24" spans="2:11" ht="15.75" x14ac:dyDescent="0.25">
      <c r="B24" s="118">
        <v>42921</v>
      </c>
      <c r="C24" s="15">
        <v>18736</v>
      </c>
      <c r="D24" s="119" t="s">
        <v>14</v>
      </c>
      <c r="E24" s="120">
        <v>399.2</v>
      </c>
      <c r="F24" s="121">
        <v>16766.400000000001</v>
      </c>
      <c r="I24" s="3"/>
      <c r="J24" s="3"/>
    </row>
    <row r="25" spans="2:11" ht="15.75" x14ac:dyDescent="0.25">
      <c r="B25" s="118">
        <v>42921</v>
      </c>
      <c r="C25" s="15">
        <v>18739</v>
      </c>
      <c r="D25" s="119" t="s">
        <v>34</v>
      </c>
      <c r="E25" s="120">
        <f>432.6+127.6</f>
        <v>560.20000000000005</v>
      </c>
      <c r="F25" s="121">
        <v>23018</v>
      </c>
      <c r="I25" s="3"/>
      <c r="J25" s="3"/>
    </row>
    <row r="26" spans="2:11" ht="15.75" x14ac:dyDescent="0.25">
      <c r="B26" s="118">
        <v>42921</v>
      </c>
      <c r="C26" s="15">
        <v>18742</v>
      </c>
      <c r="D26" s="119" t="s">
        <v>248</v>
      </c>
      <c r="E26" s="120">
        <f>68.4+14.2</f>
        <v>82.600000000000009</v>
      </c>
      <c r="F26" s="121">
        <v>4397.2</v>
      </c>
      <c r="I26" s="3"/>
      <c r="J26" s="3"/>
    </row>
    <row r="27" spans="2:11" ht="15.75" x14ac:dyDescent="0.25">
      <c r="B27" s="118">
        <v>42922</v>
      </c>
      <c r="C27" s="15">
        <v>18849</v>
      </c>
      <c r="D27" s="119" t="s">
        <v>10</v>
      </c>
      <c r="E27" s="120">
        <v>261.5</v>
      </c>
      <c r="F27" s="121">
        <v>10983</v>
      </c>
      <c r="I27" s="3"/>
      <c r="J27" s="3"/>
    </row>
    <row r="28" spans="2:11" ht="15.75" x14ac:dyDescent="0.25">
      <c r="B28" s="118">
        <v>42922</v>
      </c>
      <c r="C28" s="15">
        <v>18851</v>
      </c>
      <c r="D28" s="119" t="s">
        <v>34</v>
      </c>
      <c r="E28" s="120">
        <f>378.7+106.8</f>
        <v>485.5</v>
      </c>
      <c r="F28" s="121">
        <v>23381.4</v>
      </c>
      <c r="I28" s="3"/>
      <c r="J28" s="3"/>
    </row>
    <row r="29" spans="2:11" ht="15.75" x14ac:dyDescent="0.25">
      <c r="B29" s="118">
        <v>42922</v>
      </c>
      <c r="C29" s="15">
        <v>18858</v>
      </c>
      <c r="D29" s="119" t="s">
        <v>11</v>
      </c>
      <c r="E29" s="120">
        <f>36.2+52.6</f>
        <v>88.800000000000011</v>
      </c>
      <c r="F29" s="121">
        <v>4203.6000000000004</v>
      </c>
      <c r="I29" s="3"/>
      <c r="J29" s="3"/>
    </row>
    <row r="30" spans="2:11" ht="15.75" x14ac:dyDescent="0.25">
      <c r="B30" s="118">
        <v>42922</v>
      </c>
      <c r="C30" s="15">
        <v>18859</v>
      </c>
      <c r="D30" s="119" t="s">
        <v>248</v>
      </c>
      <c r="E30" s="120">
        <v>175.8</v>
      </c>
      <c r="F30" s="121">
        <v>7383.6</v>
      </c>
      <c r="I30" s="3"/>
      <c r="J30" s="3"/>
    </row>
    <row r="31" spans="2:11" ht="15.75" x14ac:dyDescent="0.25">
      <c r="B31" s="118">
        <v>42922</v>
      </c>
      <c r="C31" s="15">
        <v>18860</v>
      </c>
      <c r="D31" s="119" t="s">
        <v>14</v>
      </c>
      <c r="E31" s="120">
        <f>381.8+55.1+93.4</f>
        <v>530.30000000000007</v>
      </c>
      <c r="F31" s="121">
        <v>20361.599999999999</v>
      </c>
      <c r="I31" s="3"/>
      <c r="J31" s="3"/>
    </row>
    <row r="32" spans="2:11" ht="15.75" x14ac:dyDescent="0.25">
      <c r="B32" s="118">
        <v>42893</v>
      </c>
      <c r="C32" s="15">
        <v>19004</v>
      </c>
      <c r="D32" s="119" t="s">
        <v>24</v>
      </c>
      <c r="E32" s="120">
        <f>927.6+53.3+32.1+13.6+2+62.7+53.4</f>
        <v>1144.7</v>
      </c>
      <c r="F32" s="121">
        <v>41700.699999999997</v>
      </c>
      <c r="I32" s="3"/>
      <c r="J32" s="3"/>
    </row>
    <row r="33" spans="2:11" ht="15.75" x14ac:dyDescent="0.25">
      <c r="B33" s="118">
        <v>42923</v>
      </c>
      <c r="C33" s="15">
        <v>19008</v>
      </c>
      <c r="D33" s="119" t="s">
        <v>14</v>
      </c>
      <c r="E33" s="120">
        <v>385</v>
      </c>
      <c r="F33" s="121">
        <v>16170</v>
      </c>
      <c r="I33" s="3"/>
      <c r="J33" s="3"/>
    </row>
    <row r="34" spans="2:11" ht="15.75" x14ac:dyDescent="0.25">
      <c r="B34" s="118">
        <v>42923</v>
      </c>
      <c r="C34" s="15">
        <v>19010</v>
      </c>
      <c r="D34" s="119" t="s">
        <v>248</v>
      </c>
      <c r="E34" s="120">
        <f>464.6+28.4</f>
        <v>493</v>
      </c>
      <c r="F34" s="121">
        <v>19294</v>
      </c>
      <c r="I34" s="3"/>
      <c r="J34" s="3"/>
    </row>
    <row r="35" spans="2:11" ht="15.75" x14ac:dyDescent="0.25">
      <c r="B35" s="118">
        <v>42923</v>
      </c>
      <c r="C35" s="15">
        <v>19011</v>
      </c>
      <c r="D35" s="119" t="s">
        <v>12</v>
      </c>
      <c r="E35" s="120">
        <v>25.5</v>
      </c>
      <c r="F35" s="121">
        <v>1632</v>
      </c>
      <c r="I35" s="3"/>
      <c r="J35" s="3"/>
    </row>
    <row r="36" spans="2:11" ht="15.75" x14ac:dyDescent="0.25">
      <c r="B36" s="118">
        <v>42923</v>
      </c>
      <c r="C36" s="15">
        <v>19013</v>
      </c>
      <c r="D36" s="119" t="s">
        <v>248</v>
      </c>
      <c r="E36" s="120">
        <f>62.9+111.4</f>
        <v>174.3</v>
      </c>
      <c r="F36" s="121">
        <v>8104.2</v>
      </c>
      <c r="I36" s="3"/>
      <c r="J36" s="3"/>
    </row>
    <row r="37" spans="2:11" ht="15.75" x14ac:dyDescent="0.25">
      <c r="B37" s="118">
        <v>42923</v>
      </c>
      <c r="C37" s="15">
        <v>19014</v>
      </c>
      <c r="D37" s="119" t="s">
        <v>34</v>
      </c>
      <c r="E37" s="120">
        <f>388.2+22.4+48.9+79.2</f>
        <v>538.69999999999993</v>
      </c>
      <c r="F37" s="121">
        <v>23266.2</v>
      </c>
      <c r="I37" s="3"/>
      <c r="J37" s="3"/>
    </row>
    <row r="38" spans="2:11" ht="15.75" x14ac:dyDescent="0.25">
      <c r="B38" s="118">
        <v>42923</v>
      </c>
      <c r="C38" s="15">
        <v>19018</v>
      </c>
      <c r="D38" s="119" t="s">
        <v>248</v>
      </c>
      <c r="E38" s="120">
        <v>56.7</v>
      </c>
      <c r="F38" s="121">
        <v>2778.3</v>
      </c>
      <c r="I38" s="3"/>
      <c r="J38" s="3"/>
    </row>
    <row r="39" spans="2:11" ht="15.75" x14ac:dyDescent="0.25">
      <c r="B39" s="118">
        <v>42924</v>
      </c>
      <c r="C39" s="15">
        <v>19140</v>
      </c>
      <c r="D39" s="119" t="s">
        <v>248</v>
      </c>
      <c r="E39" s="120">
        <f>157.6+70.2+2</f>
        <v>229.8</v>
      </c>
      <c r="F39" s="121">
        <v>9112.4</v>
      </c>
      <c r="I39" s="3"/>
      <c r="J39" s="3"/>
    </row>
    <row r="40" spans="2:11" ht="15.75" x14ac:dyDescent="0.25">
      <c r="B40" s="118">
        <v>42924</v>
      </c>
      <c r="C40" s="15">
        <v>19142</v>
      </c>
      <c r="D40" s="119" t="s">
        <v>248</v>
      </c>
      <c r="E40" s="120">
        <f>902.95+74.7</f>
        <v>977.65000000000009</v>
      </c>
      <c r="F40" s="121">
        <v>38427.15</v>
      </c>
      <c r="I40" s="3"/>
      <c r="J40" s="3"/>
    </row>
    <row r="41" spans="2:11" ht="15.75" x14ac:dyDescent="0.25">
      <c r="B41" s="118">
        <v>42924</v>
      </c>
      <c r="C41" s="15">
        <v>19143</v>
      </c>
      <c r="D41" s="119" t="s">
        <v>14</v>
      </c>
      <c r="E41" s="120">
        <f>377.8+104</f>
        <v>481.8</v>
      </c>
      <c r="F41" s="121">
        <v>17739.599999999999</v>
      </c>
      <c r="I41" s="3"/>
      <c r="J41" s="3"/>
    </row>
    <row r="42" spans="2:11" ht="15.75" x14ac:dyDescent="0.25">
      <c r="B42" s="118">
        <v>42924</v>
      </c>
      <c r="C42" s="15">
        <v>19152</v>
      </c>
      <c r="D42" s="119" t="s">
        <v>34</v>
      </c>
      <c r="E42" s="120">
        <f>350.6+100.2+50.8</f>
        <v>501.6</v>
      </c>
      <c r="F42" s="121">
        <v>22289.200000000001</v>
      </c>
      <c r="I42" s="3"/>
      <c r="J42" s="3"/>
    </row>
    <row r="43" spans="2:11" ht="15.75" x14ac:dyDescent="0.25">
      <c r="B43" s="118">
        <v>42924</v>
      </c>
      <c r="C43" s="15">
        <v>19153</v>
      </c>
      <c r="D43" s="119" t="s">
        <v>248</v>
      </c>
      <c r="E43" s="120">
        <f>122.8+6.7</f>
        <v>129.5</v>
      </c>
      <c r="F43" s="121">
        <v>6964</v>
      </c>
      <c r="I43" s="3"/>
      <c r="J43" s="3"/>
    </row>
    <row r="44" spans="2:11" ht="15.75" x14ac:dyDescent="0.25">
      <c r="B44" s="118">
        <v>42924</v>
      </c>
      <c r="C44" s="15">
        <v>19154</v>
      </c>
      <c r="D44" s="119" t="s">
        <v>12</v>
      </c>
      <c r="E44" s="120">
        <f>20.3+1</f>
        <v>21.3</v>
      </c>
      <c r="F44" s="121">
        <v>1257.2</v>
      </c>
      <c r="I44" s="3"/>
      <c r="J44" s="3"/>
    </row>
    <row r="45" spans="2:11" ht="16.5" thickBot="1" x14ac:dyDescent="0.3">
      <c r="B45" s="118">
        <v>42924</v>
      </c>
      <c r="C45" s="15">
        <v>19155</v>
      </c>
      <c r="D45" s="119" t="s">
        <v>10</v>
      </c>
      <c r="E45" s="120">
        <f>22.6+23.4+9.2</f>
        <v>55.2</v>
      </c>
      <c r="F45" s="121">
        <v>2997.8</v>
      </c>
      <c r="I45" s="3"/>
      <c r="J45" s="3"/>
    </row>
    <row r="46" spans="2:11" ht="15.75" thickBot="1" x14ac:dyDescent="0.3">
      <c r="B46" s="29" t="s">
        <v>9</v>
      </c>
      <c r="C46" s="66"/>
      <c r="D46" s="31"/>
      <c r="E46" s="32">
        <v>0</v>
      </c>
      <c r="F46" s="33">
        <f>SUM(F3:F45)</f>
        <v>539545.18999999994</v>
      </c>
      <c r="K46" s="3">
        <f t="shared" ref="K46:K53" si="2">J46*I46</f>
        <v>0</v>
      </c>
    </row>
    <row r="47" spans="2:11" ht="19.5" thickBot="1" x14ac:dyDescent="0.35">
      <c r="B47" s="34"/>
      <c r="C47" s="67"/>
      <c r="D47" s="36" t="s">
        <v>5</v>
      </c>
      <c r="E47" s="37">
        <f>SUM(E3:E46)</f>
        <v>12906.289999999999</v>
      </c>
      <c r="K47" s="3">
        <f t="shared" si="2"/>
        <v>0</v>
      </c>
    </row>
    <row r="48" spans="2:11" x14ac:dyDescent="0.25">
      <c r="B48" s="34"/>
      <c r="C48" s="67"/>
      <c r="D48" s="26"/>
      <c r="E48" s="39"/>
      <c r="K48" s="3">
        <f t="shared" si="2"/>
        <v>0</v>
      </c>
    </row>
    <row r="49" spans="2:13" ht="19.5" thickBot="1" x14ac:dyDescent="0.35">
      <c r="B49" s="40"/>
      <c r="C49" s="41" t="s">
        <v>15</v>
      </c>
      <c r="D49" s="149">
        <f>E47*0.3</f>
        <v>3871.8869999999997</v>
      </c>
      <c r="F49"/>
      <c r="K49" s="3">
        <f t="shared" si="2"/>
        <v>0</v>
      </c>
    </row>
    <row r="50" spans="2:13" ht="21.75" thickBot="1" x14ac:dyDescent="0.4">
      <c r="C50" s="41" t="s">
        <v>16</v>
      </c>
      <c r="D50" s="44">
        <v>4000</v>
      </c>
      <c r="E50" s="45"/>
      <c r="F50" s="258">
        <f>D49+D50</f>
        <v>7871.8869999999997</v>
      </c>
      <c r="G50" s="259"/>
      <c r="K50" s="3">
        <f t="shared" si="2"/>
        <v>0</v>
      </c>
      <c r="L50" s="46"/>
      <c r="M50" s="13"/>
    </row>
    <row r="51" spans="2:13" ht="22.5" thickTop="1" thickBot="1" x14ac:dyDescent="0.4">
      <c r="D51" s="146"/>
      <c r="E51" s="47" t="s">
        <v>258</v>
      </c>
      <c r="G51" s="147">
        <v>-2598</v>
      </c>
      <c r="L51" s="46"/>
      <c r="M51" s="13"/>
    </row>
    <row r="52" spans="2:13" ht="19.5" thickBot="1" x14ac:dyDescent="0.35">
      <c r="B52" s="265" t="s">
        <v>631</v>
      </c>
      <c r="C52" s="266"/>
      <c r="D52" s="177" t="s">
        <v>629</v>
      </c>
      <c r="E52" s="47" t="s">
        <v>258</v>
      </c>
      <c r="F52" s="142"/>
      <c r="G52" s="160">
        <v>-5274</v>
      </c>
      <c r="K52" s="3">
        <f t="shared" si="2"/>
        <v>0</v>
      </c>
      <c r="L52" s="49"/>
      <c r="M52" s="49"/>
    </row>
    <row r="53" spans="2:13" ht="19.5" thickBot="1" x14ac:dyDescent="0.35">
      <c r="B53" s="267"/>
      <c r="C53" s="268"/>
      <c r="D53" s="131" t="s">
        <v>630</v>
      </c>
      <c r="E53" s="47" t="s">
        <v>258</v>
      </c>
      <c r="F53" s="125"/>
      <c r="G53" s="169">
        <v>0</v>
      </c>
      <c r="K53" s="3">
        <f t="shared" si="2"/>
        <v>0</v>
      </c>
      <c r="L53" s="49"/>
      <c r="M53" s="49"/>
    </row>
    <row r="54" spans="2:13" ht="19.5" thickBot="1" x14ac:dyDescent="0.35">
      <c r="B54" s="173"/>
      <c r="C54" s="174"/>
      <c r="D54" s="131"/>
      <c r="E54" s="47" t="s">
        <v>307</v>
      </c>
      <c r="F54" s="124"/>
      <c r="G54" s="170">
        <v>0</v>
      </c>
      <c r="L54" s="49"/>
      <c r="M54" s="49"/>
    </row>
    <row r="55" spans="2:13" ht="17.25" customHeight="1" thickBot="1" x14ac:dyDescent="0.4">
      <c r="C55" s="168"/>
      <c r="D55" s="172"/>
      <c r="E55" s="4" t="s">
        <v>258</v>
      </c>
      <c r="F55" s="263">
        <f>SUM(F50:G54)</f>
        <v>-0.11300000000028376</v>
      </c>
      <c r="G55" s="264"/>
      <c r="L55" s="49"/>
      <c r="M55" s="49"/>
    </row>
    <row r="56" spans="2:13" ht="19.5" customHeight="1" x14ac:dyDescent="0.35">
      <c r="C56" s="109"/>
      <c r="D56" s="171" t="s">
        <v>626</v>
      </c>
      <c r="F56" s="148"/>
      <c r="G56" s="148"/>
    </row>
    <row r="57" spans="2:13" x14ac:dyDescent="0.25">
      <c r="F57" s="27"/>
      <c r="G57" s="26"/>
    </row>
    <row r="59" spans="2:13" x14ac:dyDescent="0.25">
      <c r="I59" s="3">
        <f>SUM(I46:I53)</f>
        <v>0</v>
      </c>
      <c r="J59" s="3"/>
      <c r="K59" s="3">
        <f>SUM(K46:K53)</f>
        <v>0</v>
      </c>
    </row>
  </sheetData>
  <mergeCells count="4">
    <mergeCell ref="B1:C1"/>
    <mergeCell ref="F50:G50"/>
    <mergeCell ref="F55:G55"/>
    <mergeCell ref="B52:C53"/>
  </mergeCells>
  <pageMargins left="0.31496062992125984" right="0.11811023622047245" top="0.35433070866141736" bottom="0.15748031496062992" header="0.31496062992125984" footer="0.31496062992125984"/>
  <pageSetup scale="85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4"/>
  <sheetViews>
    <sheetView topLeftCell="A47" workbookViewId="0">
      <selection activeCell="H61" sqref="H61"/>
    </sheetView>
  </sheetViews>
  <sheetFormatPr baseColWidth="10" defaultRowHeight="15" x14ac:dyDescent="0.25"/>
  <cols>
    <col min="1" max="1" width="3.42578125" customWidth="1"/>
    <col min="2" max="2" width="13.42578125" style="96" bestFit="1" customWidth="1"/>
    <col min="3" max="3" width="13.7109375" style="41" customWidth="1"/>
    <col min="4" max="4" width="28.5703125" bestFit="1" customWidth="1"/>
    <col min="5" max="5" width="12" bestFit="1" customWidth="1"/>
    <col min="6" max="6" width="14.140625" style="3" bestFit="1" customWidth="1"/>
    <col min="7" max="7" width="15.7109375" customWidth="1"/>
    <col min="11" max="11" width="11.42578125" style="3"/>
    <col min="13" max="13" width="11.42578125" style="3"/>
  </cols>
  <sheetData>
    <row r="1" spans="2:11" ht="19.5" thickBot="1" x14ac:dyDescent="0.35">
      <c r="B1" s="257">
        <v>42937</v>
      </c>
      <c r="C1" s="257"/>
      <c r="D1" s="176" t="s">
        <v>0</v>
      </c>
      <c r="E1" s="2" t="s">
        <v>1</v>
      </c>
      <c r="K1"/>
    </row>
    <row r="2" spans="2:11" ht="19.5" thickBot="1" x14ac:dyDescent="0.35">
      <c r="B2" s="95" t="s">
        <v>2</v>
      </c>
      <c r="C2" s="5" t="s">
        <v>3</v>
      </c>
      <c r="D2" s="5" t="s">
        <v>4</v>
      </c>
      <c r="E2" s="6" t="s">
        <v>5</v>
      </c>
      <c r="F2" s="139" t="s">
        <v>632</v>
      </c>
      <c r="G2" s="8"/>
      <c r="K2"/>
    </row>
    <row r="3" spans="2:11" ht="15.75" x14ac:dyDescent="0.25">
      <c r="B3" s="83">
        <v>42888</v>
      </c>
      <c r="C3" s="69">
        <v>14336</v>
      </c>
      <c r="D3" s="70" t="s">
        <v>466</v>
      </c>
      <c r="E3" s="76">
        <v>54.1</v>
      </c>
      <c r="F3" s="71">
        <v>2488.6</v>
      </c>
      <c r="K3"/>
    </row>
    <row r="4" spans="2:11" ht="15.75" x14ac:dyDescent="0.25">
      <c r="B4" s="118">
        <v>42917</v>
      </c>
      <c r="C4" s="15">
        <v>18220</v>
      </c>
      <c r="D4" s="119" t="s">
        <v>0</v>
      </c>
      <c r="E4" s="120">
        <f>99.1+8.3+10.1</f>
        <v>117.49999999999999</v>
      </c>
      <c r="F4" s="121">
        <v>5184.3999999999996</v>
      </c>
      <c r="K4"/>
    </row>
    <row r="5" spans="2:11" ht="15.75" x14ac:dyDescent="0.25">
      <c r="B5" s="118">
        <v>42920</v>
      </c>
      <c r="C5" s="15">
        <v>18613</v>
      </c>
      <c r="D5" s="119" t="s">
        <v>248</v>
      </c>
      <c r="E5" s="120">
        <v>1</v>
      </c>
      <c r="F5" s="121">
        <v>780</v>
      </c>
      <c r="K5"/>
    </row>
    <row r="6" spans="2:11" ht="15.75" x14ac:dyDescent="0.25">
      <c r="B6" s="118">
        <v>42921</v>
      </c>
      <c r="C6" s="15">
        <v>18743</v>
      </c>
      <c r="D6" s="119" t="s">
        <v>248</v>
      </c>
      <c r="E6" s="120">
        <v>97.5</v>
      </c>
      <c r="F6" s="121">
        <v>4192.5</v>
      </c>
      <c r="G6" t="s">
        <v>9</v>
      </c>
      <c r="K6" s="3">
        <f t="shared" ref="K6:K16" si="0">J6*I6</f>
        <v>0</v>
      </c>
    </row>
    <row r="7" spans="2:11" ht="15.75" x14ac:dyDescent="0.25">
      <c r="B7" s="118">
        <v>42922</v>
      </c>
      <c r="C7" s="15">
        <v>18855</v>
      </c>
      <c r="D7" s="119" t="s">
        <v>248</v>
      </c>
      <c r="E7" s="120">
        <f>6.7+67.6</f>
        <v>74.3</v>
      </c>
      <c r="F7" s="121">
        <v>3970.8</v>
      </c>
      <c r="K7" s="3">
        <f t="shared" si="0"/>
        <v>0</v>
      </c>
    </row>
    <row r="8" spans="2:11" ht="15.75" x14ac:dyDescent="0.25">
      <c r="B8" s="118">
        <v>42922</v>
      </c>
      <c r="C8" s="15">
        <v>18856</v>
      </c>
      <c r="D8" s="119" t="s">
        <v>24</v>
      </c>
      <c r="E8" s="120">
        <v>70.5</v>
      </c>
      <c r="F8" s="121">
        <v>1692</v>
      </c>
      <c r="K8" s="3">
        <f t="shared" si="0"/>
        <v>0</v>
      </c>
    </row>
    <row r="9" spans="2:11" ht="15.75" x14ac:dyDescent="0.25">
      <c r="B9" s="118">
        <v>42923</v>
      </c>
      <c r="C9" s="15">
        <v>19009</v>
      </c>
      <c r="D9" s="119" t="s">
        <v>11</v>
      </c>
      <c r="E9" s="120">
        <f>112.8+35.7</f>
        <v>148.5</v>
      </c>
      <c r="F9" s="121">
        <v>6582.6</v>
      </c>
      <c r="K9" s="3">
        <f t="shared" si="0"/>
        <v>0</v>
      </c>
    </row>
    <row r="10" spans="2:11" ht="15.75" x14ac:dyDescent="0.25">
      <c r="B10" s="118">
        <v>42923</v>
      </c>
      <c r="C10" s="15">
        <v>19012</v>
      </c>
      <c r="D10" s="119" t="s">
        <v>633</v>
      </c>
      <c r="E10" s="120">
        <f>35.1+2+41.1</f>
        <v>78.2</v>
      </c>
      <c r="F10" s="121">
        <v>3185.2</v>
      </c>
      <c r="K10" s="3">
        <f t="shared" si="0"/>
        <v>0</v>
      </c>
    </row>
    <row r="11" spans="2:11" ht="15.75" x14ac:dyDescent="0.25">
      <c r="B11" s="118">
        <v>42923</v>
      </c>
      <c r="C11" s="15">
        <v>19021</v>
      </c>
      <c r="D11" s="119" t="s">
        <v>6</v>
      </c>
      <c r="E11" s="120">
        <f>332.5+174.1</f>
        <v>506.6</v>
      </c>
      <c r="F11" s="121">
        <v>26817</v>
      </c>
      <c r="K11" s="3">
        <f t="shared" si="0"/>
        <v>0</v>
      </c>
    </row>
    <row r="12" spans="2:11" ht="15.75" x14ac:dyDescent="0.25">
      <c r="B12" s="118">
        <v>42923</v>
      </c>
      <c r="C12" s="15">
        <v>19022</v>
      </c>
      <c r="D12" s="119" t="s">
        <v>0</v>
      </c>
      <c r="E12" s="120">
        <f>83.6+38.3</f>
        <v>121.89999999999999</v>
      </c>
      <c r="F12" s="121">
        <v>7363.4</v>
      </c>
      <c r="K12" s="3">
        <f t="shared" si="0"/>
        <v>0</v>
      </c>
    </row>
    <row r="13" spans="2:11" ht="15.75" x14ac:dyDescent="0.25">
      <c r="B13" s="118">
        <v>42924</v>
      </c>
      <c r="C13" s="15">
        <v>19139</v>
      </c>
      <c r="D13" s="119" t="s">
        <v>24</v>
      </c>
      <c r="E13" s="120">
        <f>113.8+55.3+58.4</f>
        <v>227.5</v>
      </c>
      <c r="F13" s="121">
        <v>5109.6000000000004</v>
      </c>
      <c r="K13" s="3">
        <f t="shared" si="0"/>
        <v>0</v>
      </c>
    </row>
    <row r="14" spans="2:11" ht="15.75" x14ac:dyDescent="0.25">
      <c r="B14" s="118">
        <v>42924</v>
      </c>
      <c r="C14" s="15">
        <v>19141</v>
      </c>
      <c r="D14" s="119" t="s">
        <v>11</v>
      </c>
      <c r="E14" s="120">
        <f>54.4+153.2+8.4</f>
        <v>216</v>
      </c>
      <c r="F14" s="121">
        <v>9585.6</v>
      </c>
      <c r="K14" s="3">
        <f t="shared" si="0"/>
        <v>0</v>
      </c>
    </row>
    <row r="15" spans="2:11" ht="15.75" x14ac:dyDescent="0.25">
      <c r="B15" s="118">
        <v>42924</v>
      </c>
      <c r="C15" s="15">
        <v>19144</v>
      </c>
      <c r="D15" s="119" t="s">
        <v>466</v>
      </c>
      <c r="E15" s="120">
        <f>197+46.6</f>
        <v>243.6</v>
      </c>
      <c r="F15" s="121">
        <v>10904.8</v>
      </c>
      <c r="K15" s="3">
        <f t="shared" si="0"/>
        <v>0</v>
      </c>
    </row>
    <row r="16" spans="2:11" ht="15.75" x14ac:dyDescent="0.25">
      <c r="B16" s="118">
        <v>42926</v>
      </c>
      <c r="C16" s="15">
        <v>19359</v>
      </c>
      <c r="D16" s="119" t="s">
        <v>8</v>
      </c>
      <c r="E16" s="120">
        <f>298.9+99.7</f>
        <v>398.59999999999997</v>
      </c>
      <c r="F16" s="121">
        <v>19532.8</v>
      </c>
      <c r="K16" s="3">
        <f t="shared" si="0"/>
        <v>0</v>
      </c>
    </row>
    <row r="17" spans="2:11" ht="15.75" x14ac:dyDescent="0.25">
      <c r="B17" s="118">
        <v>42926</v>
      </c>
      <c r="C17" s="15">
        <v>19368</v>
      </c>
      <c r="D17" s="119" t="s">
        <v>14</v>
      </c>
      <c r="E17" s="120">
        <v>298.10000000000002</v>
      </c>
      <c r="F17" s="121">
        <v>12520.2</v>
      </c>
    </row>
    <row r="18" spans="2:11" ht="15.75" x14ac:dyDescent="0.25">
      <c r="B18" s="118">
        <v>42926</v>
      </c>
      <c r="C18" s="15">
        <v>19369</v>
      </c>
      <c r="D18" s="119" t="s">
        <v>248</v>
      </c>
      <c r="E18" s="120">
        <v>149.6</v>
      </c>
      <c r="F18" s="121">
        <v>6133.6</v>
      </c>
    </row>
    <row r="19" spans="2:11" ht="15.75" x14ac:dyDescent="0.25">
      <c r="B19" s="118">
        <v>42926</v>
      </c>
      <c r="C19" s="15">
        <v>19370</v>
      </c>
      <c r="D19" s="119" t="s">
        <v>11</v>
      </c>
      <c r="E19" s="120">
        <f>71.1+99.8</f>
        <v>170.89999999999998</v>
      </c>
      <c r="F19" s="121">
        <v>7078</v>
      </c>
    </row>
    <row r="20" spans="2:11" ht="15.75" x14ac:dyDescent="0.25">
      <c r="B20" s="118">
        <v>42926</v>
      </c>
      <c r="C20" s="15">
        <v>19371</v>
      </c>
      <c r="D20" s="119" t="s">
        <v>10</v>
      </c>
      <c r="E20" s="120">
        <v>77.7</v>
      </c>
      <c r="F20" s="121">
        <v>3263.4</v>
      </c>
    </row>
    <row r="21" spans="2:11" ht="15.75" x14ac:dyDescent="0.25">
      <c r="B21" s="118">
        <v>42926</v>
      </c>
      <c r="C21" s="15">
        <v>19372</v>
      </c>
      <c r="D21" s="119" t="s">
        <v>248</v>
      </c>
      <c r="E21" s="120">
        <f>76.5+2</f>
        <v>78.5</v>
      </c>
      <c r="F21" s="121">
        <v>3583</v>
      </c>
    </row>
    <row r="22" spans="2:11" ht="15.75" x14ac:dyDescent="0.25">
      <c r="B22" s="118">
        <v>42926</v>
      </c>
      <c r="C22" s="15">
        <v>19373</v>
      </c>
      <c r="D22" s="119" t="s">
        <v>248</v>
      </c>
      <c r="E22" s="120">
        <f>49.4+5.4</f>
        <v>54.8</v>
      </c>
      <c r="F22" s="121">
        <v>3183</v>
      </c>
      <c r="I22" s="3">
        <f t="shared" ref="I22" si="1">SUM(I6:I16)</f>
        <v>0</v>
      </c>
      <c r="J22" s="3"/>
      <c r="K22" s="3">
        <f>SUM(K6:K16)</f>
        <v>0</v>
      </c>
    </row>
    <row r="23" spans="2:11" ht="15.75" x14ac:dyDescent="0.25">
      <c r="B23" s="118">
        <v>42926</v>
      </c>
      <c r="C23" s="15">
        <v>19374</v>
      </c>
      <c r="D23" s="119" t="s">
        <v>24</v>
      </c>
      <c r="E23" s="120">
        <f>65.8+17.5</f>
        <v>83.3</v>
      </c>
      <c r="F23" s="121">
        <v>1946.7</v>
      </c>
      <c r="I23" s="3"/>
      <c r="J23" s="3"/>
    </row>
    <row r="24" spans="2:11" ht="15.75" x14ac:dyDescent="0.25">
      <c r="B24" s="118">
        <v>42927</v>
      </c>
      <c r="C24" s="15">
        <v>19501</v>
      </c>
      <c r="D24" s="119" t="s">
        <v>14</v>
      </c>
      <c r="E24" s="120">
        <v>430.3</v>
      </c>
      <c r="F24" s="121">
        <v>18502.900000000001</v>
      </c>
      <c r="I24" s="3"/>
      <c r="J24" s="3"/>
    </row>
    <row r="25" spans="2:11" ht="15.75" x14ac:dyDescent="0.25">
      <c r="B25" s="118">
        <v>42927</v>
      </c>
      <c r="C25" s="15">
        <v>19502</v>
      </c>
      <c r="D25" s="119" t="s">
        <v>12</v>
      </c>
      <c r="E25" s="120">
        <f>267.3+12</f>
        <v>279.3</v>
      </c>
      <c r="F25" s="121">
        <v>12297.9</v>
      </c>
      <c r="I25" s="3"/>
      <c r="J25" s="3"/>
    </row>
    <row r="26" spans="2:11" ht="15.75" x14ac:dyDescent="0.25">
      <c r="B26" s="118">
        <v>42927</v>
      </c>
      <c r="C26" s="15">
        <v>19504</v>
      </c>
      <c r="D26" s="119" t="s">
        <v>248</v>
      </c>
      <c r="E26" s="120">
        <v>254</v>
      </c>
      <c r="F26" s="121">
        <v>10922</v>
      </c>
      <c r="I26" s="3"/>
      <c r="J26" s="3"/>
    </row>
    <row r="27" spans="2:11" ht="15.75" x14ac:dyDescent="0.25">
      <c r="B27" s="118">
        <v>42927</v>
      </c>
      <c r="C27" s="15">
        <v>19505</v>
      </c>
      <c r="D27" s="119" t="s">
        <v>8</v>
      </c>
      <c r="E27" s="120">
        <f>406.9+115.6</f>
        <v>522.5</v>
      </c>
      <c r="F27" s="121">
        <v>19577.5</v>
      </c>
      <c r="I27" s="3"/>
      <c r="J27" s="3"/>
    </row>
    <row r="28" spans="2:11" ht="15.75" x14ac:dyDescent="0.25">
      <c r="B28" s="118">
        <v>42927</v>
      </c>
      <c r="C28" s="15">
        <v>19506</v>
      </c>
      <c r="D28" s="119" t="s">
        <v>248</v>
      </c>
      <c r="E28" s="120">
        <v>69</v>
      </c>
      <c r="F28" s="121">
        <v>2967</v>
      </c>
      <c r="I28" s="3"/>
      <c r="J28" s="3"/>
    </row>
    <row r="29" spans="2:11" ht="15.75" x14ac:dyDescent="0.25">
      <c r="B29" s="118">
        <v>42927</v>
      </c>
      <c r="C29" s="15">
        <v>19507</v>
      </c>
      <c r="D29" s="119" t="s">
        <v>11</v>
      </c>
      <c r="E29" s="120">
        <f>89.2+13.4+26.3</f>
        <v>128.9</v>
      </c>
      <c r="F29" s="121">
        <v>4870.3</v>
      </c>
      <c r="I29" s="3"/>
      <c r="J29" s="3"/>
    </row>
    <row r="30" spans="2:11" ht="15.75" x14ac:dyDescent="0.25">
      <c r="B30" s="118">
        <v>42927</v>
      </c>
      <c r="C30" s="15">
        <v>19508</v>
      </c>
      <c r="D30" s="119" t="s">
        <v>10</v>
      </c>
      <c r="E30" s="120">
        <f>49.3+7.4</f>
        <v>56.699999999999996</v>
      </c>
      <c r="F30" s="121">
        <v>3256.6</v>
      </c>
      <c r="I30" s="3"/>
      <c r="J30" s="3"/>
    </row>
    <row r="31" spans="2:11" ht="15.75" x14ac:dyDescent="0.25">
      <c r="B31" s="118">
        <v>42927</v>
      </c>
      <c r="C31" s="15">
        <v>19509</v>
      </c>
      <c r="D31" s="119" t="s">
        <v>248</v>
      </c>
      <c r="E31" s="120">
        <f>9.6+51.3</f>
        <v>60.9</v>
      </c>
      <c r="F31" s="121">
        <v>2015.4</v>
      </c>
      <c r="I31" s="3"/>
      <c r="J31" s="3"/>
    </row>
    <row r="32" spans="2:11" ht="15.75" x14ac:dyDescent="0.25">
      <c r="B32" s="118">
        <v>42927</v>
      </c>
      <c r="C32" s="15">
        <v>19510</v>
      </c>
      <c r="D32" s="119" t="s">
        <v>13</v>
      </c>
      <c r="E32" s="120">
        <f>35.6+3</f>
        <v>38.6</v>
      </c>
      <c r="F32" s="121">
        <v>2543</v>
      </c>
      <c r="I32" s="3"/>
      <c r="J32" s="3"/>
    </row>
    <row r="33" spans="2:10" ht="15.75" x14ac:dyDescent="0.25">
      <c r="B33" s="118">
        <v>42927</v>
      </c>
      <c r="C33" s="15">
        <v>19511</v>
      </c>
      <c r="D33" s="119" t="s">
        <v>248</v>
      </c>
      <c r="E33" s="120">
        <v>13.5</v>
      </c>
      <c r="F33" s="121">
        <v>648</v>
      </c>
      <c r="I33" s="3"/>
      <c r="J33" s="3"/>
    </row>
    <row r="34" spans="2:10" ht="15.75" x14ac:dyDescent="0.25">
      <c r="B34" s="118">
        <v>42928</v>
      </c>
      <c r="C34" s="15">
        <v>19619</v>
      </c>
      <c r="D34" s="119" t="s">
        <v>24</v>
      </c>
      <c r="E34" s="120">
        <f>970.68+13.6+103+75.5+19.5+1</f>
        <v>1183.28</v>
      </c>
      <c r="F34" s="121">
        <v>45832.78</v>
      </c>
      <c r="I34" s="3"/>
      <c r="J34" s="3"/>
    </row>
    <row r="35" spans="2:10" ht="15.75" x14ac:dyDescent="0.25">
      <c r="B35" s="118">
        <v>42928</v>
      </c>
      <c r="C35" s="15">
        <v>19622</v>
      </c>
      <c r="D35" s="119" t="s">
        <v>10</v>
      </c>
      <c r="E35" s="120">
        <v>47.2</v>
      </c>
      <c r="F35" s="121">
        <v>2643.2</v>
      </c>
      <c r="I35" s="3"/>
      <c r="J35" s="3"/>
    </row>
    <row r="36" spans="2:10" ht="15.75" x14ac:dyDescent="0.25">
      <c r="B36" s="118">
        <v>42928</v>
      </c>
      <c r="C36" s="15">
        <v>19623</v>
      </c>
      <c r="D36" s="119" t="s">
        <v>13</v>
      </c>
      <c r="E36" s="120">
        <f>30.6+13.6</f>
        <v>44.2</v>
      </c>
      <c r="F36" s="121">
        <v>2203.1999999999998</v>
      </c>
      <c r="I36" s="3"/>
      <c r="J36" s="3"/>
    </row>
    <row r="37" spans="2:10" ht="15.75" x14ac:dyDescent="0.25">
      <c r="B37" s="118">
        <v>42928</v>
      </c>
      <c r="C37" s="15">
        <v>19624</v>
      </c>
      <c r="D37" s="119" t="s">
        <v>14</v>
      </c>
      <c r="E37" s="120">
        <v>506.1</v>
      </c>
      <c r="F37" s="121">
        <v>21762.3</v>
      </c>
      <c r="I37" s="3"/>
      <c r="J37" s="3"/>
    </row>
    <row r="38" spans="2:10" ht="15.75" x14ac:dyDescent="0.25">
      <c r="B38" s="118">
        <v>42928</v>
      </c>
      <c r="C38" s="15">
        <v>19625</v>
      </c>
      <c r="D38" s="119" t="s">
        <v>8</v>
      </c>
      <c r="E38" s="120">
        <f>58.5+475.3</f>
        <v>533.79999999999995</v>
      </c>
      <c r="F38" s="121">
        <v>22894.9</v>
      </c>
      <c r="I38" s="3"/>
      <c r="J38" s="3"/>
    </row>
    <row r="39" spans="2:10" ht="15.75" x14ac:dyDescent="0.25">
      <c r="B39" s="118">
        <v>42928</v>
      </c>
      <c r="C39" s="15">
        <v>19628</v>
      </c>
      <c r="D39" s="119" t="s">
        <v>248</v>
      </c>
      <c r="E39" s="120">
        <v>45.7</v>
      </c>
      <c r="F39" s="121">
        <v>1188.2</v>
      </c>
      <c r="I39" s="3"/>
      <c r="J39" s="3"/>
    </row>
    <row r="40" spans="2:10" ht="15.75" x14ac:dyDescent="0.25">
      <c r="B40" s="118">
        <v>42928</v>
      </c>
      <c r="C40" s="15">
        <v>19629</v>
      </c>
      <c r="D40" s="119" t="s">
        <v>8</v>
      </c>
      <c r="E40" s="120">
        <v>114</v>
      </c>
      <c r="F40" s="121">
        <v>2736</v>
      </c>
      <c r="I40" s="3"/>
      <c r="J40" s="3"/>
    </row>
    <row r="41" spans="2:10" ht="15.75" x14ac:dyDescent="0.25">
      <c r="B41" s="118">
        <v>42929</v>
      </c>
      <c r="C41" s="15">
        <v>19768</v>
      </c>
      <c r="D41" s="119" t="s">
        <v>8</v>
      </c>
      <c r="E41" s="120">
        <f>390.6+112.6+25.3</f>
        <v>528.5</v>
      </c>
      <c r="F41" s="121">
        <v>22132.2</v>
      </c>
      <c r="I41" s="3"/>
      <c r="J41" s="3"/>
    </row>
    <row r="42" spans="2:10" ht="15.75" x14ac:dyDescent="0.25">
      <c r="B42" s="118">
        <v>42929</v>
      </c>
      <c r="C42" s="15">
        <v>19769</v>
      </c>
      <c r="D42" s="119" t="s">
        <v>14</v>
      </c>
      <c r="E42" s="120">
        <f>404.7+115</f>
        <v>519.70000000000005</v>
      </c>
      <c r="F42" s="121">
        <v>22232.1</v>
      </c>
      <c r="I42" s="3"/>
      <c r="J42" s="3"/>
    </row>
    <row r="43" spans="2:10" ht="15.75" x14ac:dyDescent="0.25">
      <c r="B43" s="118">
        <v>42929</v>
      </c>
      <c r="C43" s="15">
        <v>19770</v>
      </c>
      <c r="D43" s="119" t="s">
        <v>248</v>
      </c>
      <c r="E43" s="120">
        <v>253.8</v>
      </c>
      <c r="F43" s="121">
        <v>10913.4</v>
      </c>
      <c r="I43" s="3"/>
      <c r="J43" s="3"/>
    </row>
    <row r="44" spans="2:10" ht="15.75" x14ac:dyDescent="0.25">
      <c r="B44" s="118">
        <v>42929</v>
      </c>
      <c r="C44" s="15">
        <v>19771</v>
      </c>
      <c r="D44" s="119" t="s">
        <v>10</v>
      </c>
      <c r="E44" s="120">
        <v>76.3</v>
      </c>
      <c r="F44" s="121">
        <v>3280.9</v>
      </c>
      <c r="I44" s="3"/>
      <c r="J44" s="3"/>
    </row>
    <row r="45" spans="2:10" ht="15.75" x14ac:dyDescent="0.25">
      <c r="B45" s="118">
        <v>42929</v>
      </c>
      <c r="C45" s="15">
        <v>19773</v>
      </c>
      <c r="D45" s="119" t="s">
        <v>248</v>
      </c>
      <c r="E45" s="120">
        <f>56.3+5.2</f>
        <v>61.5</v>
      </c>
      <c r="F45" s="121">
        <v>3506.4</v>
      </c>
      <c r="I45" s="3"/>
      <c r="J45" s="3"/>
    </row>
    <row r="46" spans="2:10" ht="15.75" x14ac:dyDescent="0.25">
      <c r="B46" s="118">
        <v>42930</v>
      </c>
      <c r="C46" s="15">
        <v>19881</v>
      </c>
      <c r="D46" s="119" t="s">
        <v>14</v>
      </c>
      <c r="E46" s="120">
        <v>411</v>
      </c>
      <c r="F46" s="121">
        <v>17673</v>
      </c>
      <c r="I46" s="3"/>
      <c r="J46" s="3"/>
    </row>
    <row r="47" spans="2:10" ht="15.75" x14ac:dyDescent="0.25">
      <c r="B47" s="118">
        <v>42930</v>
      </c>
      <c r="C47" s="15">
        <v>19882</v>
      </c>
      <c r="D47" s="119" t="s">
        <v>12</v>
      </c>
      <c r="E47" s="120">
        <v>347.7</v>
      </c>
      <c r="F47" s="121">
        <v>14951.1</v>
      </c>
      <c r="I47" s="3"/>
      <c r="J47" s="3"/>
    </row>
    <row r="48" spans="2:10" ht="15.75" x14ac:dyDescent="0.25">
      <c r="B48" s="118">
        <v>42930</v>
      </c>
      <c r="C48" s="15">
        <v>19883</v>
      </c>
      <c r="D48" s="119" t="s">
        <v>10</v>
      </c>
      <c r="E48" s="120">
        <v>79.400000000000006</v>
      </c>
      <c r="F48" s="121">
        <v>3414.2</v>
      </c>
      <c r="I48" s="3"/>
      <c r="J48" s="3"/>
    </row>
    <row r="49" spans="2:11" ht="15.75" x14ac:dyDescent="0.25">
      <c r="B49" s="118">
        <v>42930</v>
      </c>
      <c r="C49" s="15">
        <v>19887</v>
      </c>
      <c r="D49" s="119" t="s">
        <v>248</v>
      </c>
      <c r="E49" s="120">
        <v>938</v>
      </c>
      <c r="F49" s="121">
        <v>38458</v>
      </c>
      <c r="I49" s="3"/>
      <c r="J49" s="3"/>
    </row>
    <row r="50" spans="2:11" ht="15.75" x14ac:dyDescent="0.25">
      <c r="B50" s="118">
        <v>42930</v>
      </c>
      <c r="C50" s="15">
        <v>19898</v>
      </c>
      <c r="D50" s="119" t="s">
        <v>24</v>
      </c>
      <c r="E50" s="120">
        <f>49.8+19.2</f>
        <v>69</v>
      </c>
      <c r="F50" s="121">
        <v>1299.5999999999999</v>
      </c>
      <c r="I50" s="3"/>
      <c r="J50" s="3"/>
    </row>
    <row r="51" spans="2:11" ht="15.75" x14ac:dyDescent="0.25">
      <c r="B51" s="118">
        <v>42930</v>
      </c>
      <c r="C51" s="15">
        <v>19900</v>
      </c>
      <c r="D51" s="119" t="s">
        <v>8</v>
      </c>
      <c r="E51" s="120">
        <f>398.8+100.4+30</f>
        <v>529.20000000000005</v>
      </c>
      <c r="F51" s="121">
        <v>20278</v>
      </c>
      <c r="I51" s="3"/>
      <c r="J51" s="3"/>
    </row>
    <row r="52" spans="2:11" ht="15.75" x14ac:dyDescent="0.25">
      <c r="B52" s="118">
        <v>42930</v>
      </c>
      <c r="C52" s="15">
        <v>19901</v>
      </c>
      <c r="D52" s="119" t="s">
        <v>248</v>
      </c>
      <c r="E52" s="120">
        <f>95.7+1</f>
        <v>96.7</v>
      </c>
      <c r="F52" s="121">
        <v>3268.2</v>
      </c>
      <c r="I52" s="3"/>
      <c r="J52" s="3"/>
    </row>
    <row r="53" spans="2:11" ht="15.75" x14ac:dyDescent="0.25">
      <c r="B53" s="118">
        <v>42930</v>
      </c>
      <c r="C53" s="15">
        <v>19902</v>
      </c>
      <c r="D53" s="119" t="s">
        <v>248</v>
      </c>
      <c r="E53" s="120">
        <f>132.8+60.4</f>
        <v>193.20000000000002</v>
      </c>
      <c r="F53" s="121">
        <v>10745.6</v>
      </c>
      <c r="I53" s="3"/>
      <c r="J53" s="3"/>
    </row>
    <row r="54" spans="2:11" ht="15.75" x14ac:dyDescent="0.25">
      <c r="B54" s="118">
        <v>42930</v>
      </c>
      <c r="C54" s="15">
        <v>19903</v>
      </c>
      <c r="D54" s="119" t="s">
        <v>248</v>
      </c>
      <c r="E54" s="120">
        <v>72.2</v>
      </c>
      <c r="F54" s="121">
        <v>4115.3999999999996</v>
      </c>
      <c r="I54" s="3"/>
      <c r="J54" s="3"/>
    </row>
    <row r="55" spans="2:11" ht="15.75" x14ac:dyDescent="0.25">
      <c r="B55" s="118">
        <v>42931</v>
      </c>
      <c r="C55" s="15">
        <v>20081</v>
      </c>
      <c r="D55" s="119" t="s">
        <v>8</v>
      </c>
      <c r="E55" s="120">
        <f>426.8+111.2+98.2+28.3+108</f>
        <v>772.5</v>
      </c>
      <c r="F55" s="121">
        <v>31574.2</v>
      </c>
      <c r="I55" s="3"/>
      <c r="J55" s="3"/>
    </row>
    <row r="56" spans="2:11" ht="15.75" x14ac:dyDescent="0.25">
      <c r="B56" s="118">
        <v>42931</v>
      </c>
      <c r="C56" s="15">
        <v>20082</v>
      </c>
      <c r="D56" s="119" t="s">
        <v>24</v>
      </c>
      <c r="E56" s="120">
        <v>32.1</v>
      </c>
      <c r="F56" s="121">
        <v>834.6</v>
      </c>
      <c r="I56" s="3"/>
      <c r="J56" s="3"/>
    </row>
    <row r="57" spans="2:11" ht="15.75" x14ac:dyDescent="0.25">
      <c r="B57" s="118">
        <v>42931</v>
      </c>
      <c r="C57" s="15">
        <v>20083</v>
      </c>
      <c r="D57" s="119" t="s">
        <v>248</v>
      </c>
      <c r="E57" s="120">
        <f>191.7+27.2</f>
        <v>218.89999999999998</v>
      </c>
      <c r="F57" s="121">
        <v>12968.2</v>
      </c>
      <c r="I57" s="3"/>
      <c r="J57" s="3"/>
    </row>
    <row r="58" spans="2:11" ht="15.75" x14ac:dyDescent="0.25">
      <c r="B58" s="118">
        <v>42931</v>
      </c>
      <c r="C58" s="15">
        <v>20085</v>
      </c>
      <c r="D58" s="119" t="s">
        <v>248</v>
      </c>
      <c r="E58" s="120">
        <f>80.4+2</f>
        <v>82.4</v>
      </c>
      <c r="F58" s="121">
        <v>3927.6</v>
      </c>
      <c r="I58" s="3"/>
      <c r="J58" s="3"/>
    </row>
    <row r="59" spans="2:11" ht="15.75" x14ac:dyDescent="0.25">
      <c r="B59" s="118">
        <v>42931</v>
      </c>
      <c r="C59" s="15">
        <v>20087</v>
      </c>
      <c r="D59" s="119" t="s">
        <v>248</v>
      </c>
      <c r="E59" s="120">
        <v>80.5</v>
      </c>
      <c r="F59" s="121">
        <v>3461.5</v>
      </c>
      <c r="I59" s="3"/>
      <c r="J59" s="3"/>
    </row>
    <row r="60" spans="2:11" ht="16.5" thickBot="1" x14ac:dyDescent="0.3">
      <c r="B60" s="118">
        <v>42931</v>
      </c>
      <c r="C60" s="15">
        <v>20088</v>
      </c>
      <c r="D60" s="119" t="s">
        <v>10</v>
      </c>
      <c r="E60" s="120">
        <f>1+10.1+28.9</f>
        <v>40</v>
      </c>
      <c r="F60" s="121">
        <v>2651</v>
      </c>
      <c r="I60" s="3"/>
      <c r="J60" s="3"/>
    </row>
    <row r="61" spans="2:11" ht="15.75" thickBot="1" x14ac:dyDescent="0.3">
      <c r="B61" s="29" t="s">
        <v>9</v>
      </c>
      <c r="C61" s="66"/>
      <c r="D61" s="31"/>
      <c r="E61" s="32">
        <v>0</v>
      </c>
      <c r="F61" s="33">
        <f>SUM(F3:F60)</f>
        <v>553643.57999999996</v>
      </c>
      <c r="K61" s="3">
        <f t="shared" ref="K61:K68" si="2">J61*I61</f>
        <v>0</v>
      </c>
    </row>
    <row r="62" spans="2:11" ht="19.5" thickBot="1" x14ac:dyDescent="0.35">
      <c r="B62" s="34"/>
      <c r="C62" s="67"/>
      <c r="D62" s="36" t="s">
        <v>5</v>
      </c>
      <c r="E62" s="37">
        <f>SUM(E3:E61)</f>
        <v>12999.280000000002</v>
      </c>
      <c r="K62" s="3">
        <f t="shared" si="2"/>
        <v>0</v>
      </c>
    </row>
    <row r="63" spans="2:11" x14ac:dyDescent="0.25">
      <c r="B63" s="34"/>
      <c r="C63" s="67"/>
      <c r="D63" s="26"/>
      <c r="E63" s="39"/>
      <c r="K63" s="3">
        <f t="shared" si="2"/>
        <v>0</v>
      </c>
    </row>
    <row r="64" spans="2:11" ht="19.5" thickBot="1" x14ac:dyDescent="0.35">
      <c r="B64" s="40"/>
      <c r="C64" s="41" t="s">
        <v>15</v>
      </c>
      <c r="D64" s="149">
        <f>E62*0.3</f>
        <v>3899.7840000000006</v>
      </c>
      <c r="F64"/>
      <c r="K64" s="3">
        <f t="shared" si="2"/>
        <v>0</v>
      </c>
    </row>
    <row r="65" spans="2:13" ht="21.75" thickBot="1" x14ac:dyDescent="0.4">
      <c r="C65" s="41" t="s">
        <v>16</v>
      </c>
      <c r="D65" s="44">
        <v>4000</v>
      </c>
      <c r="E65" s="45"/>
      <c r="F65" s="258">
        <f>D64+D65</f>
        <v>7899.7840000000006</v>
      </c>
      <c r="G65" s="259"/>
      <c r="K65" s="3">
        <f t="shared" si="2"/>
        <v>0</v>
      </c>
      <c r="L65" s="46"/>
      <c r="M65" s="13"/>
    </row>
    <row r="66" spans="2:13" ht="22.5" thickTop="1" thickBot="1" x14ac:dyDescent="0.4">
      <c r="D66" s="146"/>
      <c r="E66" s="47" t="s">
        <v>258</v>
      </c>
      <c r="G66" s="147">
        <v>-4000</v>
      </c>
      <c r="L66" s="46"/>
      <c r="M66" s="13"/>
    </row>
    <row r="67" spans="2:13" ht="19.5" thickBot="1" x14ac:dyDescent="0.35">
      <c r="B67" s="269"/>
      <c r="C67" s="270"/>
      <c r="D67" s="172" t="s">
        <v>634</v>
      </c>
      <c r="E67" s="47" t="s">
        <v>258</v>
      </c>
      <c r="F67" s="142"/>
      <c r="G67" s="160">
        <v>-1112</v>
      </c>
      <c r="K67" s="3">
        <f t="shared" si="2"/>
        <v>0</v>
      </c>
      <c r="L67" s="49"/>
      <c r="M67" s="49"/>
    </row>
    <row r="68" spans="2:13" ht="19.5" thickBot="1" x14ac:dyDescent="0.35">
      <c r="B68" s="271"/>
      <c r="C68" s="272"/>
      <c r="D68" s="131" t="s">
        <v>635</v>
      </c>
      <c r="E68" s="47" t="s">
        <v>258</v>
      </c>
      <c r="F68" s="125"/>
      <c r="G68" s="169">
        <v>-2788</v>
      </c>
      <c r="K68" s="3">
        <f t="shared" si="2"/>
        <v>0</v>
      </c>
      <c r="L68" s="49"/>
      <c r="M68" s="49"/>
    </row>
    <row r="69" spans="2:13" ht="19.5" thickBot="1" x14ac:dyDescent="0.35">
      <c r="B69" s="173"/>
      <c r="C69" s="174"/>
      <c r="D69" s="131" t="s">
        <v>636</v>
      </c>
      <c r="E69" s="47" t="s">
        <v>307</v>
      </c>
      <c r="F69" s="124"/>
      <c r="G69" s="170">
        <v>0</v>
      </c>
      <c r="L69" s="49"/>
      <c r="M69" s="49"/>
    </row>
    <row r="70" spans="2:13" ht="17.25" customHeight="1" thickBot="1" x14ac:dyDescent="0.4">
      <c r="C70" s="168"/>
      <c r="D70" s="172"/>
      <c r="E70" s="4" t="s">
        <v>258</v>
      </c>
      <c r="F70" s="263">
        <f>SUM(F65:G69)</f>
        <v>-0.21599999999943975</v>
      </c>
      <c r="G70" s="264"/>
      <c r="L70" s="49"/>
      <c r="M70" s="49"/>
    </row>
    <row r="71" spans="2:13" ht="19.5" customHeight="1" x14ac:dyDescent="0.35">
      <c r="C71" s="109"/>
      <c r="D71" s="171" t="s">
        <v>626</v>
      </c>
      <c r="F71" s="148"/>
      <c r="G71" s="148"/>
    </row>
    <row r="72" spans="2:13" x14ac:dyDescent="0.25">
      <c r="F72" s="27"/>
      <c r="G72" s="26"/>
    </row>
    <row r="74" spans="2:13" x14ac:dyDescent="0.25">
      <c r="I74" s="3">
        <f>SUM(I61:I68)</f>
        <v>0</v>
      </c>
      <c r="J74" s="3"/>
      <c r="K74" s="3">
        <f>SUM(K61:K68)</f>
        <v>0</v>
      </c>
    </row>
  </sheetData>
  <sortState ref="B3:F33">
    <sortCondition ref="C3:C33"/>
  </sortState>
  <mergeCells count="4">
    <mergeCell ref="B1:C1"/>
    <mergeCell ref="F65:G65"/>
    <mergeCell ref="B67:C68"/>
    <mergeCell ref="F70:G70"/>
  </mergeCells>
  <pageMargins left="0.70866141732283472" right="0.11811023622047245" top="0.74803149606299213" bottom="0.74803149606299213" header="0.31496062992125984" footer="0.31496062992125984"/>
  <pageSetup scale="90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4"/>
  <sheetViews>
    <sheetView topLeftCell="A34" workbookViewId="0">
      <selection activeCell="D54" sqref="D54"/>
    </sheetView>
  </sheetViews>
  <sheetFormatPr baseColWidth="10" defaultRowHeight="15" x14ac:dyDescent="0.25"/>
  <cols>
    <col min="1" max="1" width="3.42578125" customWidth="1"/>
    <col min="2" max="2" width="13.42578125" style="96" bestFit="1" customWidth="1"/>
    <col min="3" max="3" width="13.7109375" style="41" customWidth="1"/>
    <col min="4" max="4" width="28.5703125" bestFit="1" customWidth="1"/>
    <col min="5" max="5" width="12" bestFit="1" customWidth="1"/>
    <col min="6" max="6" width="14.140625" style="3" bestFit="1" customWidth="1"/>
    <col min="7" max="7" width="15.7109375" customWidth="1"/>
    <col min="11" max="11" width="11.42578125" style="3"/>
    <col min="13" max="13" width="11.42578125" style="3"/>
  </cols>
  <sheetData>
    <row r="1" spans="2:11" ht="19.5" thickBot="1" x14ac:dyDescent="0.35">
      <c r="B1" s="257">
        <v>42943</v>
      </c>
      <c r="C1" s="257"/>
      <c r="D1" s="178" t="s">
        <v>0</v>
      </c>
      <c r="E1" s="2" t="s">
        <v>1</v>
      </c>
      <c r="K1"/>
    </row>
    <row r="2" spans="2:11" ht="19.5" thickBot="1" x14ac:dyDescent="0.35">
      <c r="B2" s="95" t="s">
        <v>2</v>
      </c>
      <c r="C2" s="5" t="s">
        <v>3</v>
      </c>
      <c r="D2" s="5" t="s">
        <v>4</v>
      </c>
      <c r="E2" s="6" t="s">
        <v>5</v>
      </c>
      <c r="F2" s="139" t="s">
        <v>637</v>
      </c>
      <c r="G2" s="8"/>
      <c r="K2"/>
    </row>
    <row r="3" spans="2:11" ht="15.75" x14ac:dyDescent="0.25">
      <c r="B3" s="83">
        <v>42921</v>
      </c>
      <c r="C3" s="69" t="s">
        <v>638</v>
      </c>
      <c r="D3" s="70" t="s">
        <v>295</v>
      </c>
      <c r="E3" s="76">
        <f>23.2+5.9</f>
        <v>29.1</v>
      </c>
      <c r="F3" s="71">
        <v>1514.4</v>
      </c>
      <c r="K3"/>
    </row>
    <row r="4" spans="2:11" ht="15.75" x14ac:dyDescent="0.25">
      <c r="B4" s="118">
        <v>42926</v>
      </c>
      <c r="C4" s="15">
        <v>19375</v>
      </c>
      <c r="D4" s="119" t="s">
        <v>0</v>
      </c>
      <c r="E4" s="120">
        <v>83.7</v>
      </c>
      <c r="F4" s="121">
        <v>3515.4</v>
      </c>
      <c r="K4"/>
    </row>
    <row r="5" spans="2:11" ht="15.75" x14ac:dyDescent="0.25">
      <c r="B5" s="118">
        <v>42928</v>
      </c>
      <c r="C5" s="15">
        <v>19630</v>
      </c>
      <c r="D5" s="119" t="s">
        <v>295</v>
      </c>
      <c r="E5" s="120">
        <f>7+1</f>
        <v>8</v>
      </c>
      <c r="F5" s="121">
        <v>671</v>
      </c>
      <c r="K5"/>
    </row>
    <row r="6" spans="2:11" ht="15.75" x14ac:dyDescent="0.25">
      <c r="B6" s="118">
        <v>42929</v>
      </c>
      <c r="C6" s="15">
        <v>19772</v>
      </c>
      <c r="D6" s="119" t="s">
        <v>11</v>
      </c>
      <c r="E6" s="120">
        <v>115.3</v>
      </c>
      <c r="F6" s="121">
        <v>4842.6000000000004</v>
      </c>
      <c r="G6" t="s">
        <v>9</v>
      </c>
      <c r="K6" s="3">
        <f t="shared" ref="K6:K16" si="0">J6*I6</f>
        <v>0</v>
      </c>
    </row>
    <row r="7" spans="2:11" ht="15.75" x14ac:dyDescent="0.25">
      <c r="B7" s="118">
        <v>42931</v>
      </c>
      <c r="C7" s="15">
        <v>20080</v>
      </c>
      <c r="D7" s="119" t="s">
        <v>24</v>
      </c>
      <c r="E7" s="120">
        <f>907.6+53.7</f>
        <v>961.30000000000007</v>
      </c>
      <c r="F7" s="121">
        <v>38500.400000000001</v>
      </c>
      <c r="K7" s="3">
        <f t="shared" si="0"/>
        <v>0</v>
      </c>
    </row>
    <row r="8" spans="2:11" ht="15.75" x14ac:dyDescent="0.25">
      <c r="B8" s="118">
        <v>42931</v>
      </c>
      <c r="C8" s="15">
        <v>20084</v>
      </c>
      <c r="D8" s="119" t="s">
        <v>11</v>
      </c>
      <c r="E8" s="120">
        <f>220.8+14</f>
        <v>234.8</v>
      </c>
      <c r="F8" s="121">
        <v>9749.6</v>
      </c>
      <c r="K8" s="3">
        <f t="shared" si="0"/>
        <v>0</v>
      </c>
    </row>
    <row r="9" spans="2:11" ht="15.75" x14ac:dyDescent="0.25">
      <c r="B9" s="118">
        <v>42931</v>
      </c>
      <c r="C9" s="15">
        <v>20089</v>
      </c>
      <c r="D9" s="119" t="s">
        <v>466</v>
      </c>
      <c r="E9" s="120">
        <f>9.2+91.9</f>
        <v>101.10000000000001</v>
      </c>
      <c r="F9" s="121">
        <v>5367.3</v>
      </c>
      <c r="K9" s="3">
        <f t="shared" si="0"/>
        <v>0</v>
      </c>
    </row>
    <row r="10" spans="2:11" ht="15.75" x14ac:dyDescent="0.25">
      <c r="B10" s="118">
        <v>42933</v>
      </c>
      <c r="C10" s="15">
        <v>20258</v>
      </c>
      <c r="D10" s="119" t="s">
        <v>34</v>
      </c>
      <c r="E10" s="120">
        <f>305.7+56.8</f>
        <v>362.5</v>
      </c>
      <c r="F10" s="121">
        <v>15530.7</v>
      </c>
      <c r="K10" s="3">
        <f t="shared" si="0"/>
        <v>0</v>
      </c>
    </row>
    <row r="11" spans="2:11" ht="15.75" x14ac:dyDescent="0.25">
      <c r="B11" s="118">
        <v>42933</v>
      </c>
      <c r="C11" s="15">
        <v>20259</v>
      </c>
      <c r="D11" s="119" t="s">
        <v>14</v>
      </c>
      <c r="E11" s="120">
        <v>216.9</v>
      </c>
      <c r="F11" s="121">
        <v>9326.7000000000007</v>
      </c>
      <c r="K11" s="3">
        <f t="shared" si="0"/>
        <v>0</v>
      </c>
    </row>
    <row r="12" spans="2:11" ht="15.75" x14ac:dyDescent="0.25">
      <c r="B12" s="118">
        <v>42933</v>
      </c>
      <c r="C12" s="15">
        <v>20260</v>
      </c>
      <c r="D12" s="119" t="s">
        <v>295</v>
      </c>
      <c r="E12" s="120">
        <f>168.7+20.2</f>
        <v>188.89999999999998</v>
      </c>
      <c r="F12" s="121">
        <v>8499.4</v>
      </c>
      <c r="K12" s="3">
        <f t="shared" si="0"/>
        <v>0</v>
      </c>
    </row>
    <row r="13" spans="2:11" ht="15.75" x14ac:dyDescent="0.25">
      <c r="B13" s="118">
        <v>42933</v>
      </c>
      <c r="C13" s="15">
        <v>20262</v>
      </c>
      <c r="D13" s="119" t="s">
        <v>10</v>
      </c>
      <c r="E13" s="120">
        <f>32.8+12.9</f>
        <v>45.699999999999996</v>
      </c>
      <c r="F13" s="121">
        <v>2733.9</v>
      </c>
      <c r="K13" s="3">
        <f t="shared" si="0"/>
        <v>0</v>
      </c>
    </row>
    <row r="14" spans="2:11" ht="15.75" x14ac:dyDescent="0.25">
      <c r="B14" s="118">
        <v>42933</v>
      </c>
      <c r="C14" s="15">
        <v>20264</v>
      </c>
      <c r="D14" s="119" t="s">
        <v>24</v>
      </c>
      <c r="E14" s="120">
        <f>43.1+51.6</f>
        <v>94.7</v>
      </c>
      <c r="F14" s="121">
        <v>2359</v>
      </c>
      <c r="K14" s="3">
        <f t="shared" si="0"/>
        <v>0</v>
      </c>
    </row>
    <row r="15" spans="2:11" ht="15.75" x14ac:dyDescent="0.25">
      <c r="B15" s="118">
        <v>42933</v>
      </c>
      <c r="C15" s="15">
        <v>20266</v>
      </c>
      <c r="D15" s="119" t="s">
        <v>10</v>
      </c>
      <c r="E15" s="120">
        <v>8.1999999999999993</v>
      </c>
      <c r="F15" s="121">
        <v>467.4</v>
      </c>
      <c r="K15" s="3">
        <f t="shared" si="0"/>
        <v>0</v>
      </c>
    </row>
    <row r="16" spans="2:11" ht="15.75" x14ac:dyDescent="0.25">
      <c r="B16" s="118">
        <v>42934</v>
      </c>
      <c r="C16" s="15">
        <v>20408</v>
      </c>
      <c r="D16" s="119" t="s">
        <v>34</v>
      </c>
      <c r="E16" s="120">
        <v>437.3</v>
      </c>
      <c r="F16" s="121">
        <v>18803.900000000001</v>
      </c>
      <c r="K16" s="3">
        <f t="shared" si="0"/>
        <v>0</v>
      </c>
    </row>
    <row r="17" spans="2:11" ht="15.75" x14ac:dyDescent="0.25">
      <c r="B17" s="118">
        <v>42934</v>
      </c>
      <c r="C17" s="15">
        <v>20409</v>
      </c>
      <c r="D17" s="119" t="s">
        <v>14</v>
      </c>
      <c r="E17" s="120">
        <v>403.2</v>
      </c>
      <c r="F17" s="121">
        <v>17337.599999999999</v>
      </c>
    </row>
    <row r="18" spans="2:11" ht="15.75" x14ac:dyDescent="0.25">
      <c r="B18" s="118">
        <v>42934</v>
      </c>
      <c r="C18" s="15">
        <v>20411</v>
      </c>
      <c r="D18" s="119" t="s">
        <v>24</v>
      </c>
      <c r="E18" s="120">
        <f>32.4+12.4</f>
        <v>44.8</v>
      </c>
      <c r="F18" s="121">
        <v>843.6</v>
      </c>
    </row>
    <row r="19" spans="2:11" ht="15.75" x14ac:dyDescent="0.25">
      <c r="B19" s="118">
        <v>42934</v>
      </c>
      <c r="C19" s="15">
        <v>20413</v>
      </c>
      <c r="D19" s="119" t="s">
        <v>295</v>
      </c>
      <c r="E19" s="120">
        <v>36.700000000000003</v>
      </c>
      <c r="F19" s="121">
        <v>2091.9</v>
      </c>
    </row>
    <row r="20" spans="2:11" ht="15.75" x14ac:dyDescent="0.25">
      <c r="B20" s="118">
        <v>42935</v>
      </c>
      <c r="C20" s="15">
        <v>20506</v>
      </c>
      <c r="D20" s="119" t="s">
        <v>295</v>
      </c>
      <c r="E20" s="120">
        <v>151</v>
      </c>
      <c r="F20" s="121">
        <v>6342</v>
      </c>
    </row>
    <row r="21" spans="2:11" ht="15.75" x14ac:dyDescent="0.25">
      <c r="B21" s="118">
        <v>42935</v>
      </c>
      <c r="C21" s="15">
        <v>20514</v>
      </c>
      <c r="D21" s="119" t="s">
        <v>295</v>
      </c>
      <c r="E21" s="120">
        <v>85.2</v>
      </c>
      <c r="F21" s="121">
        <v>3748.8</v>
      </c>
    </row>
    <row r="22" spans="2:11" ht="15.75" x14ac:dyDescent="0.25">
      <c r="B22" s="118">
        <v>42935</v>
      </c>
      <c r="C22" s="15">
        <v>20515</v>
      </c>
      <c r="D22" s="119" t="s">
        <v>14</v>
      </c>
      <c r="E22" s="120">
        <v>449.2</v>
      </c>
      <c r="F22" s="121">
        <v>19315.599999999999</v>
      </c>
      <c r="I22" s="3">
        <f t="shared" ref="I22" si="1">SUM(I6:I16)</f>
        <v>0</v>
      </c>
      <c r="J22" s="3"/>
      <c r="K22" s="3">
        <f>SUM(K6:K16)</f>
        <v>0</v>
      </c>
    </row>
    <row r="23" spans="2:11" ht="15.75" x14ac:dyDescent="0.25">
      <c r="B23" s="118">
        <v>42935</v>
      </c>
      <c r="C23" s="15">
        <v>20517</v>
      </c>
      <c r="D23" s="119" t="s">
        <v>34</v>
      </c>
      <c r="E23" s="120">
        <f>445.4+66.4</f>
        <v>511.79999999999995</v>
      </c>
      <c r="F23" s="121">
        <v>20347.400000000001</v>
      </c>
      <c r="I23" s="3"/>
      <c r="J23" s="3"/>
    </row>
    <row r="24" spans="2:11" ht="15.75" x14ac:dyDescent="0.25">
      <c r="B24" s="118">
        <v>42935</v>
      </c>
      <c r="C24" s="15">
        <v>20519</v>
      </c>
      <c r="D24" s="119" t="s">
        <v>295</v>
      </c>
      <c r="E24" s="120">
        <f>7.5+56.4</f>
        <v>63.9</v>
      </c>
      <c r="F24" s="121">
        <v>3668.4</v>
      </c>
      <c r="I24" s="3"/>
      <c r="J24" s="3"/>
    </row>
    <row r="25" spans="2:11" ht="15.75" x14ac:dyDescent="0.25">
      <c r="B25" s="118">
        <v>42935</v>
      </c>
      <c r="C25" s="15">
        <v>20520</v>
      </c>
      <c r="D25" s="119" t="s">
        <v>295</v>
      </c>
      <c r="E25" s="120">
        <v>21.6</v>
      </c>
      <c r="F25" s="121">
        <v>928.8</v>
      </c>
      <c r="I25" s="3"/>
      <c r="J25" s="3"/>
    </row>
    <row r="26" spans="2:11" ht="15.75" x14ac:dyDescent="0.25">
      <c r="B26" s="118">
        <v>42936</v>
      </c>
      <c r="C26" s="15">
        <v>20617</v>
      </c>
      <c r="D26" s="119" t="s">
        <v>633</v>
      </c>
      <c r="E26" s="120">
        <f>11.8+13+47.2</f>
        <v>72</v>
      </c>
      <c r="F26" s="121">
        <v>3695.2</v>
      </c>
      <c r="I26" s="3"/>
      <c r="J26" s="3"/>
    </row>
    <row r="27" spans="2:11" ht="15.75" x14ac:dyDescent="0.25">
      <c r="B27" s="118">
        <v>42936</v>
      </c>
      <c r="C27" s="15">
        <v>20620</v>
      </c>
      <c r="D27" s="119" t="s">
        <v>34</v>
      </c>
      <c r="E27" s="120">
        <f>419.6+73.7+98.6</f>
        <v>591.9</v>
      </c>
      <c r="F27" s="121">
        <v>27244.400000000001</v>
      </c>
      <c r="I27" s="3"/>
      <c r="J27" s="3"/>
    </row>
    <row r="28" spans="2:11" ht="15.75" x14ac:dyDescent="0.25">
      <c r="B28" s="118">
        <v>42936</v>
      </c>
      <c r="C28" s="15">
        <v>20624</v>
      </c>
      <c r="D28" s="119" t="s">
        <v>14</v>
      </c>
      <c r="E28" s="120">
        <f>432.8+31.7+127.8</f>
        <v>592.29999999999995</v>
      </c>
      <c r="F28" s="121">
        <v>21735</v>
      </c>
      <c r="I28" s="3"/>
      <c r="J28" s="3"/>
    </row>
    <row r="29" spans="2:11" ht="15.75" x14ac:dyDescent="0.25">
      <c r="B29" s="118">
        <v>42936</v>
      </c>
      <c r="C29" s="15">
        <v>20625</v>
      </c>
      <c r="D29" s="119" t="s">
        <v>24</v>
      </c>
      <c r="E29" s="120">
        <f>935.3+90.8+13.61</f>
        <v>1039.7099999999998</v>
      </c>
      <c r="F29" s="121">
        <v>40507.74</v>
      </c>
      <c r="I29" s="3"/>
      <c r="J29" s="3"/>
    </row>
    <row r="30" spans="2:11" ht="15.75" x14ac:dyDescent="0.25">
      <c r="B30" s="118">
        <v>42936</v>
      </c>
      <c r="C30" s="15">
        <v>20626</v>
      </c>
      <c r="D30" s="119" t="s">
        <v>295</v>
      </c>
      <c r="E30" s="120">
        <f>59.6+12.3</f>
        <v>71.900000000000006</v>
      </c>
      <c r="F30" s="121">
        <v>5120.8999999999996</v>
      </c>
      <c r="I30" s="3"/>
      <c r="J30" s="3"/>
    </row>
    <row r="31" spans="2:11" ht="15.75" x14ac:dyDescent="0.25">
      <c r="B31" s="118">
        <v>42936</v>
      </c>
      <c r="C31" s="15">
        <v>20627</v>
      </c>
      <c r="D31" s="119" t="s">
        <v>295</v>
      </c>
      <c r="E31" s="120">
        <v>67.2</v>
      </c>
      <c r="F31" s="121">
        <v>3561.6</v>
      </c>
      <c r="I31" s="3"/>
      <c r="J31" s="3"/>
    </row>
    <row r="32" spans="2:11" ht="15.75" x14ac:dyDescent="0.25">
      <c r="B32" s="118">
        <v>42937</v>
      </c>
      <c r="C32" s="15">
        <v>20743</v>
      </c>
      <c r="D32" s="119" t="s">
        <v>295</v>
      </c>
      <c r="E32" s="120">
        <f>932.58+18.5</f>
        <v>951.08</v>
      </c>
      <c r="F32" s="121">
        <v>37747.199999999997</v>
      </c>
      <c r="I32" s="3"/>
      <c r="J32" s="3"/>
    </row>
    <row r="33" spans="2:13" ht="15.75" x14ac:dyDescent="0.25">
      <c r="B33" s="118">
        <v>42937</v>
      </c>
      <c r="C33" s="15">
        <v>20751</v>
      </c>
      <c r="D33" s="119" t="s">
        <v>14</v>
      </c>
      <c r="E33" s="120">
        <v>330.6</v>
      </c>
      <c r="F33" s="121">
        <v>14215.8</v>
      </c>
      <c r="I33" s="3"/>
      <c r="J33" s="3"/>
    </row>
    <row r="34" spans="2:13" ht="15.75" x14ac:dyDescent="0.25">
      <c r="B34" s="118">
        <v>42937</v>
      </c>
      <c r="C34" s="15">
        <v>20756</v>
      </c>
      <c r="D34" s="119" t="s">
        <v>295</v>
      </c>
      <c r="E34" s="120">
        <f>114.6+102.1</f>
        <v>216.7</v>
      </c>
      <c r="F34" s="121">
        <v>7149</v>
      </c>
      <c r="I34" s="3"/>
      <c r="J34" s="3"/>
    </row>
    <row r="35" spans="2:13" ht="15.75" x14ac:dyDescent="0.25">
      <c r="B35" s="118">
        <v>42937</v>
      </c>
      <c r="C35" s="15">
        <v>20774</v>
      </c>
      <c r="D35" s="119" t="s">
        <v>295</v>
      </c>
      <c r="E35" s="120">
        <f>30.2+50.1+5.8</f>
        <v>86.1</v>
      </c>
      <c r="F35" s="121">
        <v>4822.5</v>
      </c>
      <c r="I35" s="3"/>
      <c r="J35" s="3"/>
    </row>
    <row r="36" spans="2:13" ht="15.75" x14ac:dyDescent="0.25">
      <c r="B36" s="118">
        <v>42938</v>
      </c>
      <c r="C36" s="15">
        <v>20933</v>
      </c>
      <c r="D36" s="119" t="s">
        <v>12</v>
      </c>
      <c r="E36" s="120">
        <f>182.9+13.61+22.9</f>
        <v>219.41</v>
      </c>
      <c r="F36" s="121">
        <v>11697.73</v>
      </c>
      <c r="I36" s="3"/>
      <c r="J36" s="3"/>
    </row>
    <row r="37" spans="2:13" ht="15.75" x14ac:dyDescent="0.25">
      <c r="B37" s="118">
        <v>42938</v>
      </c>
      <c r="C37" s="15">
        <v>20934</v>
      </c>
      <c r="D37" s="119" t="s">
        <v>10</v>
      </c>
      <c r="E37" s="120">
        <f>15+12.5</f>
        <v>27.5</v>
      </c>
      <c r="F37" s="121">
        <v>1165</v>
      </c>
      <c r="I37" s="3"/>
      <c r="J37" s="3"/>
    </row>
    <row r="38" spans="2:13" ht="15.75" x14ac:dyDescent="0.25">
      <c r="B38" s="118">
        <v>42938</v>
      </c>
      <c r="C38" s="15">
        <v>20937</v>
      </c>
      <c r="D38" s="119" t="s">
        <v>24</v>
      </c>
      <c r="E38" s="120">
        <f>83.5+13.4</f>
        <v>96.9</v>
      </c>
      <c r="F38" s="121">
        <v>3992.5</v>
      </c>
      <c r="I38" s="3"/>
      <c r="J38" s="3"/>
    </row>
    <row r="39" spans="2:13" ht="15.75" x14ac:dyDescent="0.25">
      <c r="B39" s="118"/>
      <c r="C39" s="15"/>
      <c r="D39" s="119"/>
      <c r="E39" s="120"/>
      <c r="F39" s="121"/>
      <c r="I39" s="3"/>
      <c r="J39" s="3"/>
    </row>
    <row r="40" spans="2:13" ht="16.5" thickBot="1" x14ac:dyDescent="0.3">
      <c r="B40" s="118"/>
      <c r="C40" s="15"/>
      <c r="D40" s="119"/>
      <c r="E40" s="120"/>
      <c r="F40" s="121"/>
      <c r="I40" s="3"/>
      <c r="J40" s="3"/>
    </row>
    <row r="41" spans="2:13" ht="15.75" thickBot="1" x14ac:dyDescent="0.3">
      <c r="B41" s="29" t="s">
        <v>9</v>
      </c>
      <c r="C41" s="66"/>
      <c r="D41" s="31"/>
      <c r="E41" s="32">
        <v>0</v>
      </c>
      <c r="F41" s="33">
        <f>SUM(F3:F40)</f>
        <v>379160.36999999994</v>
      </c>
      <c r="K41" s="3">
        <f t="shared" ref="K41:K48" si="2">J41*I41</f>
        <v>0</v>
      </c>
    </row>
    <row r="42" spans="2:13" ht="19.5" thickBot="1" x14ac:dyDescent="0.35">
      <c r="B42" s="34"/>
      <c r="C42" s="67"/>
      <c r="D42" s="36" t="s">
        <v>5</v>
      </c>
      <c r="E42" s="37">
        <f>SUM(E3:E41)</f>
        <v>9018.1999999999989</v>
      </c>
      <c r="K42" s="3">
        <f t="shared" si="2"/>
        <v>0</v>
      </c>
    </row>
    <row r="43" spans="2:13" x14ac:dyDescent="0.25">
      <c r="B43" s="34"/>
      <c r="C43" s="67"/>
      <c r="D43" s="26"/>
      <c r="E43" s="39"/>
      <c r="K43" s="3">
        <f t="shared" si="2"/>
        <v>0</v>
      </c>
    </row>
    <row r="44" spans="2:13" ht="19.5" thickBot="1" x14ac:dyDescent="0.35">
      <c r="B44" s="40"/>
      <c r="C44" s="41" t="s">
        <v>15</v>
      </c>
      <c r="D44" s="149">
        <f>E42*0.3</f>
        <v>2705.4599999999996</v>
      </c>
      <c r="F44"/>
      <c r="K44" s="3">
        <f t="shared" si="2"/>
        <v>0</v>
      </c>
    </row>
    <row r="45" spans="2:13" ht="21.75" thickBot="1" x14ac:dyDescent="0.4">
      <c r="C45" s="41" t="s">
        <v>16</v>
      </c>
      <c r="D45" s="44">
        <v>4000</v>
      </c>
      <c r="E45" s="45"/>
      <c r="F45" s="258">
        <f>D44+D45</f>
        <v>6705.4599999999991</v>
      </c>
      <c r="G45" s="259"/>
      <c r="K45" s="3">
        <f t="shared" si="2"/>
        <v>0</v>
      </c>
      <c r="L45" s="46"/>
      <c r="M45" s="13"/>
    </row>
    <row r="46" spans="2:13" ht="22.5" thickTop="1" thickBot="1" x14ac:dyDescent="0.4">
      <c r="D46" s="146"/>
      <c r="E46" s="47" t="s">
        <v>258</v>
      </c>
      <c r="G46" s="147">
        <v>-4000</v>
      </c>
      <c r="L46" s="46"/>
      <c r="M46" s="13"/>
    </row>
    <row r="47" spans="2:13" ht="19.5" thickBot="1" x14ac:dyDescent="0.35">
      <c r="B47" s="269"/>
      <c r="C47" s="270"/>
      <c r="D47" s="172" t="s">
        <v>634</v>
      </c>
      <c r="E47" s="47" t="s">
        <v>258</v>
      </c>
      <c r="F47" s="142"/>
      <c r="G47" s="160">
        <v>-1854</v>
      </c>
      <c r="K47" s="3">
        <f t="shared" si="2"/>
        <v>0</v>
      </c>
      <c r="L47" s="49"/>
      <c r="M47" s="49"/>
    </row>
    <row r="48" spans="2:13" ht="19.5" thickBot="1" x14ac:dyDescent="0.35">
      <c r="B48" s="271"/>
      <c r="C48" s="272"/>
      <c r="D48" s="131" t="s">
        <v>639</v>
      </c>
      <c r="E48" s="47" t="s">
        <v>258</v>
      </c>
      <c r="F48" s="125"/>
      <c r="G48" s="169">
        <v>-851.5</v>
      </c>
      <c r="K48" s="3">
        <f t="shared" si="2"/>
        <v>0</v>
      </c>
      <c r="L48" s="49"/>
      <c r="M48" s="49"/>
    </row>
    <row r="49" spans="2:13" ht="19.5" thickBot="1" x14ac:dyDescent="0.35">
      <c r="B49" s="173"/>
      <c r="C49" s="174"/>
      <c r="D49" s="131" t="s">
        <v>640</v>
      </c>
      <c r="E49" s="47" t="s">
        <v>307</v>
      </c>
      <c r="F49" s="124"/>
      <c r="G49" s="170">
        <v>0</v>
      </c>
      <c r="L49" s="49"/>
      <c r="M49" s="49"/>
    </row>
    <row r="50" spans="2:13" ht="17.25" customHeight="1" thickBot="1" x14ac:dyDescent="0.4">
      <c r="C50" s="168"/>
      <c r="D50" s="172"/>
      <c r="E50" s="4" t="s">
        <v>258</v>
      </c>
      <c r="F50" s="263">
        <f>SUM(F45:G49)</f>
        <v>-4.0000000000873115E-2</v>
      </c>
      <c r="G50" s="264"/>
      <c r="L50" s="49"/>
      <c r="M50" s="49"/>
    </row>
    <row r="51" spans="2:13" ht="19.5" customHeight="1" x14ac:dyDescent="0.35">
      <c r="C51" s="109"/>
      <c r="D51" s="171" t="s">
        <v>626</v>
      </c>
      <c r="F51" s="148"/>
      <c r="G51" s="148"/>
    </row>
    <row r="52" spans="2:13" x14ac:dyDescent="0.25">
      <c r="F52" s="27"/>
      <c r="G52" s="26"/>
    </row>
    <row r="54" spans="2:13" x14ac:dyDescent="0.25">
      <c r="I54" s="3">
        <f>SUM(I41:I48)</f>
        <v>0</v>
      </c>
      <c r="J54" s="3"/>
      <c r="K54" s="3">
        <f>SUM(K41:K48)</f>
        <v>0</v>
      </c>
    </row>
  </sheetData>
  <mergeCells count="4">
    <mergeCell ref="B1:C1"/>
    <mergeCell ref="F45:G45"/>
    <mergeCell ref="B47:C48"/>
    <mergeCell ref="F50:G50"/>
  </mergeCells>
  <pageMargins left="0.70866141732283472" right="0.11811023622047245" top="0.35433070866141736" bottom="0.15748031496062992" header="0.31496062992125984" footer="0.31496062992125984"/>
  <pageSetup scale="9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2"/>
  <sheetViews>
    <sheetView workbookViewId="0">
      <selection activeCell="F3" sqref="F3"/>
    </sheetView>
  </sheetViews>
  <sheetFormatPr baseColWidth="10" defaultRowHeight="15" x14ac:dyDescent="0.25"/>
  <cols>
    <col min="1" max="1" width="3.42578125" customWidth="1"/>
    <col min="2" max="2" width="13.42578125" bestFit="1" customWidth="1"/>
    <col min="3" max="3" width="13.7109375" style="41" customWidth="1"/>
    <col min="4" max="4" width="33.5703125" customWidth="1"/>
    <col min="5" max="5" width="12" bestFit="1" customWidth="1"/>
    <col min="6" max="6" width="14.140625" style="3" bestFit="1" customWidth="1"/>
    <col min="7" max="7" width="15.7109375" customWidth="1"/>
    <col min="11" max="11" width="11.42578125" style="3"/>
  </cols>
  <sheetData>
    <row r="1" spans="2:11" ht="19.5" thickBot="1" x14ac:dyDescent="0.35">
      <c r="B1" s="257">
        <v>42761</v>
      </c>
      <c r="C1" s="257"/>
      <c r="D1" s="1" t="s">
        <v>0</v>
      </c>
      <c r="E1" s="2" t="s">
        <v>1</v>
      </c>
      <c r="K1"/>
    </row>
    <row r="2" spans="2:11" ht="19.5" thickBot="1" x14ac:dyDescent="0.35">
      <c r="B2" s="4" t="s">
        <v>2</v>
      </c>
      <c r="C2" s="5" t="s">
        <v>3</v>
      </c>
      <c r="D2" s="5" t="s">
        <v>4</v>
      </c>
      <c r="E2" s="6" t="s">
        <v>5</v>
      </c>
      <c r="F2" s="7" t="s">
        <v>103</v>
      </c>
      <c r="G2" s="8"/>
      <c r="K2"/>
    </row>
    <row r="3" spans="2:11" ht="15.75" x14ac:dyDescent="0.25">
      <c r="B3" s="68">
        <v>42751</v>
      </c>
      <c r="C3" s="69">
        <v>22322</v>
      </c>
      <c r="D3" s="70" t="s">
        <v>8</v>
      </c>
      <c r="E3" s="76">
        <v>297</v>
      </c>
      <c r="F3" s="71">
        <v>13068</v>
      </c>
      <c r="K3"/>
    </row>
    <row r="4" spans="2:11" ht="15.75" x14ac:dyDescent="0.25">
      <c r="B4" s="75">
        <v>42751</v>
      </c>
      <c r="C4" s="73">
        <v>22323</v>
      </c>
      <c r="D4" s="72" t="s">
        <v>14</v>
      </c>
      <c r="E4" s="77">
        <v>311</v>
      </c>
      <c r="F4" s="74">
        <v>13684</v>
      </c>
      <c r="K4"/>
    </row>
    <row r="5" spans="2:11" ht="15.75" x14ac:dyDescent="0.25">
      <c r="B5" s="75">
        <v>42751</v>
      </c>
      <c r="C5" s="73">
        <v>22328</v>
      </c>
      <c r="D5" s="72" t="s">
        <v>10</v>
      </c>
      <c r="E5" s="77">
        <f>76.3+33.1</f>
        <v>109.4</v>
      </c>
      <c r="F5" s="74">
        <v>4722.7</v>
      </c>
      <c r="K5"/>
    </row>
    <row r="6" spans="2:11" ht="15.75" x14ac:dyDescent="0.25">
      <c r="B6" s="75">
        <v>42751</v>
      </c>
      <c r="C6" s="73">
        <v>22329</v>
      </c>
      <c r="D6" s="72" t="s">
        <v>11</v>
      </c>
      <c r="E6" s="77">
        <v>29.6</v>
      </c>
      <c r="F6" s="74">
        <v>1835.2</v>
      </c>
      <c r="G6" t="s">
        <v>9</v>
      </c>
      <c r="K6" s="3">
        <f t="shared" ref="K6:K16" si="0">J6*I6</f>
        <v>0</v>
      </c>
    </row>
    <row r="7" spans="2:11" ht="15.75" x14ac:dyDescent="0.25">
      <c r="B7" s="75">
        <v>42751</v>
      </c>
      <c r="C7" s="73">
        <v>22332</v>
      </c>
      <c r="D7" s="72" t="s">
        <v>91</v>
      </c>
      <c r="E7" s="77">
        <f>42.1+459.4+13+49.2</f>
        <v>563.70000000000005</v>
      </c>
      <c r="F7" s="74">
        <v>18564.2</v>
      </c>
      <c r="K7" s="3">
        <f t="shared" si="0"/>
        <v>0</v>
      </c>
    </row>
    <row r="8" spans="2:11" ht="15.75" x14ac:dyDescent="0.25">
      <c r="B8" s="75">
        <v>42751</v>
      </c>
      <c r="C8" s="73">
        <v>22333</v>
      </c>
      <c r="D8" s="72" t="s">
        <v>10</v>
      </c>
      <c r="E8" s="77">
        <v>32.4</v>
      </c>
      <c r="F8" s="74">
        <v>2008.8</v>
      </c>
      <c r="K8" s="3">
        <f t="shared" si="0"/>
        <v>0</v>
      </c>
    </row>
    <row r="9" spans="2:11" ht="15.75" x14ac:dyDescent="0.25">
      <c r="B9" s="75">
        <v>42751</v>
      </c>
      <c r="C9" s="73">
        <v>22334</v>
      </c>
      <c r="D9" s="72" t="s">
        <v>12</v>
      </c>
      <c r="E9" s="77">
        <f>164.2+12</f>
        <v>176.2</v>
      </c>
      <c r="F9" s="74">
        <v>8076.8</v>
      </c>
      <c r="K9" s="3">
        <f t="shared" si="0"/>
        <v>0</v>
      </c>
    </row>
    <row r="10" spans="2:11" ht="15.75" x14ac:dyDescent="0.25">
      <c r="B10" s="75">
        <v>42753</v>
      </c>
      <c r="C10" s="73">
        <v>22542</v>
      </c>
      <c r="D10" s="72" t="s">
        <v>14</v>
      </c>
      <c r="E10" s="77">
        <v>420.6</v>
      </c>
      <c r="F10" s="74">
        <v>18506.400000000001</v>
      </c>
      <c r="K10" s="3">
        <f t="shared" si="0"/>
        <v>0</v>
      </c>
    </row>
    <row r="11" spans="2:11" ht="15.75" x14ac:dyDescent="0.25">
      <c r="B11" s="75">
        <v>42753</v>
      </c>
      <c r="C11" s="73">
        <v>22543</v>
      </c>
      <c r="D11" s="72" t="s">
        <v>8</v>
      </c>
      <c r="E11" s="77">
        <v>441.2</v>
      </c>
      <c r="F11" s="74">
        <v>18971.599999999999</v>
      </c>
      <c r="K11" s="3">
        <f t="shared" si="0"/>
        <v>0</v>
      </c>
    </row>
    <row r="12" spans="2:11" ht="15.75" x14ac:dyDescent="0.25">
      <c r="B12" s="75">
        <v>42753</v>
      </c>
      <c r="C12" s="73">
        <v>22544</v>
      </c>
      <c r="D12" s="72" t="s">
        <v>7</v>
      </c>
      <c r="E12" s="77">
        <v>427.5</v>
      </c>
      <c r="F12" s="74">
        <v>18810</v>
      </c>
      <c r="K12" s="3">
        <f t="shared" si="0"/>
        <v>0</v>
      </c>
    </row>
    <row r="13" spans="2:11" ht="15.75" x14ac:dyDescent="0.25">
      <c r="B13" s="75">
        <v>42753</v>
      </c>
      <c r="C13" s="73">
        <v>22545</v>
      </c>
      <c r="D13" s="72" t="s">
        <v>12</v>
      </c>
      <c r="E13" s="77">
        <v>268.10000000000002</v>
      </c>
      <c r="F13" s="74">
        <v>11528.3</v>
      </c>
      <c r="K13" s="3">
        <f t="shared" si="0"/>
        <v>0</v>
      </c>
    </row>
    <row r="14" spans="2:11" ht="15.75" x14ac:dyDescent="0.25">
      <c r="B14" s="75">
        <v>42753</v>
      </c>
      <c r="C14" s="73">
        <v>22547</v>
      </c>
      <c r="D14" s="72" t="s">
        <v>10</v>
      </c>
      <c r="E14" s="77">
        <v>86.9</v>
      </c>
      <c r="F14" s="74">
        <v>3736.7</v>
      </c>
      <c r="K14" s="3">
        <f t="shared" si="0"/>
        <v>0</v>
      </c>
    </row>
    <row r="15" spans="2:11" ht="15.75" x14ac:dyDescent="0.25">
      <c r="B15" s="75">
        <v>42753</v>
      </c>
      <c r="C15" s="73">
        <v>22561</v>
      </c>
      <c r="D15" s="72" t="s">
        <v>91</v>
      </c>
      <c r="E15" s="77">
        <f>932.1+62.8+89.8</f>
        <v>1084.7</v>
      </c>
      <c r="F15" s="74">
        <v>36316.300000000003</v>
      </c>
      <c r="K15" s="3">
        <f t="shared" si="0"/>
        <v>0</v>
      </c>
    </row>
    <row r="16" spans="2:11" ht="15.75" x14ac:dyDescent="0.25">
      <c r="B16" s="75">
        <v>42753</v>
      </c>
      <c r="C16" s="73">
        <v>22566</v>
      </c>
      <c r="D16" s="72" t="s">
        <v>11</v>
      </c>
      <c r="E16" s="77">
        <f>36.8+9.9</f>
        <v>46.699999999999996</v>
      </c>
      <c r="F16" s="74">
        <v>2539</v>
      </c>
      <c r="K16" s="3">
        <f t="shared" si="0"/>
        <v>0</v>
      </c>
    </row>
    <row r="17" spans="2:11" ht="15.75" x14ac:dyDescent="0.25">
      <c r="B17" s="75">
        <v>42753</v>
      </c>
      <c r="C17" s="73">
        <v>22567</v>
      </c>
      <c r="D17" s="72" t="s">
        <v>6</v>
      </c>
      <c r="E17" s="77">
        <f>81.6+80.2</f>
        <v>161.80000000000001</v>
      </c>
      <c r="F17" s="74">
        <v>8561.4</v>
      </c>
      <c r="I17" s="3">
        <f t="shared" ref="I17" si="1">SUM(I6:I16)</f>
        <v>0</v>
      </c>
      <c r="J17" s="3"/>
      <c r="K17" s="3">
        <f>SUM(K6:K16)</f>
        <v>0</v>
      </c>
    </row>
    <row r="18" spans="2:11" ht="15.75" x14ac:dyDescent="0.25">
      <c r="B18" s="75">
        <v>42753</v>
      </c>
      <c r="C18" s="73">
        <v>22568</v>
      </c>
      <c r="D18" s="72" t="s">
        <v>8</v>
      </c>
      <c r="E18" s="77">
        <v>27.6</v>
      </c>
      <c r="F18" s="74">
        <v>745.2</v>
      </c>
      <c r="I18" s="3"/>
      <c r="J18" s="3"/>
    </row>
    <row r="19" spans="2:11" ht="15.75" x14ac:dyDescent="0.25">
      <c r="B19" s="75">
        <v>42753</v>
      </c>
      <c r="C19" s="73">
        <v>22569</v>
      </c>
      <c r="D19" s="72" t="s">
        <v>11</v>
      </c>
      <c r="E19" s="77">
        <v>52.98</v>
      </c>
      <c r="F19" s="74">
        <v>1854.3</v>
      </c>
      <c r="I19" s="3"/>
      <c r="J19" s="3"/>
    </row>
    <row r="20" spans="2:11" ht="15.75" x14ac:dyDescent="0.25">
      <c r="B20" s="75">
        <v>42754</v>
      </c>
      <c r="C20" s="73">
        <v>22701</v>
      </c>
      <c r="D20" s="72" t="s">
        <v>8</v>
      </c>
      <c r="E20" s="77">
        <v>425.3</v>
      </c>
      <c r="F20" s="74">
        <v>18287.900000000001</v>
      </c>
      <c r="I20" s="3"/>
      <c r="J20" s="3"/>
    </row>
    <row r="21" spans="2:11" ht="15.75" x14ac:dyDescent="0.25">
      <c r="B21" s="75">
        <v>42754</v>
      </c>
      <c r="C21" s="73">
        <v>22702</v>
      </c>
      <c r="D21" s="72" t="s">
        <v>14</v>
      </c>
      <c r="E21" s="77">
        <v>423</v>
      </c>
      <c r="F21" s="74">
        <v>18189</v>
      </c>
      <c r="I21" s="3"/>
      <c r="J21" s="3"/>
    </row>
    <row r="22" spans="2:11" ht="15.75" x14ac:dyDescent="0.25">
      <c r="B22" s="75">
        <v>42754</v>
      </c>
      <c r="C22" s="73">
        <v>22705</v>
      </c>
      <c r="D22" s="72" t="s">
        <v>13</v>
      </c>
      <c r="E22" s="77">
        <f>22.2+19.8</f>
        <v>42</v>
      </c>
      <c r="F22" s="74">
        <v>1291.8</v>
      </c>
      <c r="I22" s="3"/>
      <c r="J22" s="3"/>
    </row>
    <row r="23" spans="2:11" ht="15.75" x14ac:dyDescent="0.25">
      <c r="B23" s="75">
        <v>42754</v>
      </c>
      <c r="C23" s="73">
        <v>22706</v>
      </c>
      <c r="D23" s="72" t="s">
        <v>10</v>
      </c>
      <c r="E23" s="77">
        <v>28.4</v>
      </c>
      <c r="F23" s="74">
        <v>994</v>
      </c>
      <c r="I23" s="3"/>
      <c r="J23" s="3"/>
    </row>
    <row r="24" spans="2:11" ht="15.75" x14ac:dyDescent="0.25">
      <c r="B24" s="75">
        <v>42754</v>
      </c>
      <c r="C24" s="73">
        <v>22708</v>
      </c>
      <c r="D24" s="72" t="s">
        <v>91</v>
      </c>
      <c r="E24" s="77">
        <f>85.1+32.7+68.6</f>
        <v>186.39999999999998</v>
      </c>
      <c r="F24" s="74">
        <v>6669.1</v>
      </c>
      <c r="I24" s="3"/>
      <c r="J24" s="3"/>
    </row>
    <row r="25" spans="2:11" ht="15.75" x14ac:dyDescent="0.25">
      <c r="B25" s="75">
        <v>42754</v>
      </c>
      <c r="C25" s="73">
        <v>22709</v>
      </c>
      <c r="D25" s="72" t="s">
        <v>11</v>
      </c>
      <c r="E25" s="77">
        <f>57.7+2</f>
        <v>59.7</v>
      </c>
      <c r="F25" s="74">
        <v>2389.5</v>
      </c>
      <c r="I25" s="3"/>
      <c r="J25" s="3"/>
    </row>
    <row r="26" spans="2:11" ht="15.75" x14ac:dyDescent="0.25">
      <c r="B26" s="75">
        <v>42755</v>
      </c>
      <c r="C26" s="73">
        <v>22868</v>
      </c>
      <c r="D26" s="72" t="s">
        <v>14</v>
      </c>
      <c r="E26" s="77">
        <v>425.4</v>
      </c>
      <c r="F26" s="74">
        <v>18717.599999999999</v>
      </c>
      <c r="I26" s="3"/>
      <c r="J26" s="3"/>
    </row>
    <row r="27" spans="2:11" ht="15.75" x14ac:dyDescent="0.25">
      <c r="B27" s="75">
        <v>42755</v>
      </c>
      <c r="C27" s="73">
        <v>22869</v>
      </c>
      <c r="D27" s="72" t="s">
        <v>7</v>
      </c>
      <c r="E27" s="77">
        <v>440.1</v>
      </c>
      <c r="F27" s="74">
        <v>19364.400000000001</v>
      </c>
      <c r="I27" s="3"/>
      <c r="J27" s="3"/>
    </row>
    <row r="28" spans="2:11" ht="15.75" x14ac:dyDescent="0.25">
      <c r="B28" s="75">
        <v>42755</v>
      </c>
      <c r="C28" s="73">
        <v>22871</v>
      </c>
      <c r="D28" s="72" t="s">
        <v>0</v>
      </c>
      <c r="E28" s="77">
        <v>101.5</v>
      </c>
      <c r="F28" s="74">
        <v>4364.5</v>
      </c>
      <c r="I28" s="3"/>
      <c r="J28" s="3"/>
    </row>
    <row r="29" spans="2:11" ht="15.75" x14ac:dyDescent="0.25">
      <c r="B29" s="75">
        <v>42755</v>
      </c>
      <c r="C29" s="73">
        <v>22877</v>
      </c>
      <c r="D29" s="72" t="s">
        <v>11</v>
      </c>
      <c r="E29" s="77">
        <f>101.9+69.6</f>
        <v>171.5</v>
      </c>
      <c r="F29" s="74">
        <v>7881.7</v>
      </c>
      <c r="I29" s="3"/>
      <c r="J29" s="3"/>
    </row>
    <row r="30" spans="2:11" ht="15.75" x14ac:dyDescent="0.25">
      <c r="B30" s="75">
        <v>42755</v>
      </c>
      <c r="C30" s="73">
        <v>22878</v>
      </c>
      <c r="D30" s="72" t="s">
        <v>0</v>
      </c>
      <c r="E30" s="77">
        <v>10.199999999999999</v>
      </c>
      <c r="F30" s="74">
        <v>663</v>
      </c>
      <c r="I30" s="3"/>
      <c r="J30" s="3"/>
    </row>
    <row r="31" spans="2:11" ht="15.75" x14ac:dyDescent="0.25">
      <c r="B31" s="75">
        <v>42755</v>
      </c>
      <c r="C31" s="73">
        <v>22879</v>
      </c>
      <c r="D31" s="72" t="s">
        <v>6</v>
      </c>
      <c r="E31" s="77">
        <f>19+7.1+283.6+10+7.2+81</f>
        <v>407.90000000000003</v>
      </c>
      <c r="F31" s="74">
        <v>19703.900000000001</v>
      </c>
      <c r="I31" s="3"/>
      <c r="J31" s="3"/>
    </row>
    <row r="32" spans="2:11" ht="15.75" x14ac:dyDescent="0.25">
      <c r="B32" s="75">
        <v>42755</v>
      </c>
      <c r="C32" s="73">
        <v>22880</v>
      </c>
      <c r="D32" s="72" t="s">
        <v>8</v>
      </c>
      <c r="E32" s="77">
        <f>80.2+450.3</f>
        <v>530.5</v>
      </c>
      <c r="F32" s="74">
        <v>24415.5</v>
      </c>
      <c r="I32" s="3"/>
      <c r="J32" s="3"/>
    </row>
    <row r="33" spans="2:13" ht="15.75" x14ac:dyDescent="0.25">
      <c r="B33" s="75">
        <v>42755</v>
      </c>
      <c r="C33" s="73">
        <v>22881</v>
      </c>
      <c r="D33" s="72" t="s">
        <v>11</v>
      </c>
      <c r="E33" s="77">
        <f>296.2+150.2</f>
        <v>446.4</v>
      </c>
      <c r="F33" s="74">
        <v>17993.599999999999</v>
      </c>
      <c r="I33" s="3"/>
      <c r="J33" s="3"/>
    </row>
    <row r="34" spans="2:13" ht="15.75" x14ac:dyDescent="0.25">
      <c r="B34" s="75">
        <v>42755</v>
      </c>
      <c r="C34" s="73">
        <v>22882</v>
      </c>
      <c r="D34" s="72" t="s">
        <v>12</v>
      </c>
      <c r="E34" s="77">
        <f>302.4+27</f>
        <v>329.4</v>
      </c>
      <c r="F34" s="74">
        <v>14920.2</v>
      </c>
      <c r="I34" s="3"/>
      <c r="J34" s="3"/>
    </row>
    <row r="35" spans="2:13" ht="15.75" x14ac:dyDescent="0.25">
      <c r="B35" s="75">
        <v>42756</v>
      </c>
      <c r="C35" s="73">
        <v>22998</v>
      </c>
      <c r="D35" s="72" t="s">
        <v>8</v>
      </c>
      <c r="E35" s="77">
        <v>319.3</v>
      </c>
      <c r="F35" s="74">
        <v>13410.6</v>
      </c>
      <c r="I35" s="3"/>
      <c r="J35" s="3"/>
    </row>
    <row r="36" spans="2:13" ht="15.75" x14ac:dyDescent="0.25">
      <c r="B36" s="75">
        <v>42756</v>
      </c>
      <c r="C36" s="73">
        <v>23002</v>
      </c>
      <c r="D36" s="72" t="s">
        <v>14</v>
      </c>
      <c r="E36" s="77">
        <v>336.7</v>
      </c>
      <c r="F36" s="74">
        <v>14141.4</v>
      </c>
      <c r="I36" s="3"/>
      <c r="J36" s="3"/>
    </row>
    <row r="37" spans="2:13" ht="15.75" x14ac:dyDescent="0.25">
      <c r="B37" s="75">
        <v>42756</v>
      </c>
      <c r="C37" s="73">
        <v>23013</v>
      </c>
      <c r="D37" s="72" t="s">
        <v>91</v>
      </c>
      <c r="E37" s="77">
        <f>884.81+55.5+57.5</f>
        <v>997.81</v>
      </c>
      <c r="F37" s="74">
        <v>33963.85</v>
      </c>
      <c r="I37" s="3"/>
      <c r="J37" s="3"/>
    </row>
    <row r="38" spans="2:13" ht="15.75" x14ac:dyDescent="0.25">
      <c r="B38" s="75">
        <v>42756</v>
      </c>
      <c r="C38" s="73">
        <v>23015</v>
      </c>
      <c r="D38" s="72" t="s">
        <v>10</v>
      </c>
      <c r="E38" s="77">
        <v>87.1</v>
      </c>
      <c r="F38" s="74">
        <v>3658.2</v>
      </c>
      <c r="I38" s="3"/>
      <c r="J38" s="3"/>
    </row>
    <row r="39" spans="2:13" ht="15.75" x14ac:dyDescent="0.25">
      <c r="B39" s="75">
        <v>42756</v>
      </c>
      <c r="C39" s="73">
        <v>23016</v>
      </c>
      <c r="D39" s="72" t="s">
        <v>11</v>
      </c>
      <c r="E39" s="77">
        <f>95+32.8</f>
        <v>127.8</v>
      </c>
      <c r="F39" s="74">
        <v>5453.6</v>
      </c>
      <c r="I39" s="3"/>
      <c r="J39" s="3"/>
    </row>
    <row r="40" spans="2:13" ht="15.75" x14ac:dyDescent="0.25">
      <c r="B40" s="75">
        <v>42756</v>
      </c>
      <c r="C40" s="73">
        <v>23017</v>
      </c>
      <c r="D40" s="72" t="s">
        <v>11</v>
      </c>
      <c r="E40" s="77">
        <f>95.4+70.4</f>
        <v>165.8</v>
      </c>
      <c r="F40" s="74">
        <v>7799.2</v>
      </c>
      <c r="I40" s="3"/>
      <c r="J40" s="3"/>
    </row>
    <row r="41" spans="2:13" ht="15.75" x14ac:dyDescent="0.25">
      <c r="B41" s="75">
        <v>42756</v>
      </c>
      <c r="C41" s="73">
        <v>23013</v>
      </c>
      <c r="D41" s="72" t="s">
        <v>13</v>
      </c>
      <c r="E41" s="77">
        <f>35.7+35.4</f>
        <v>71.099999999999994</v>
      </c>
      <c r="F41" s="74">
        <v>3232.2</v>
      </c>
      <c r="I41" s="3"/>
      <c r="J41" s="3"/>
    </row>
    <row r="42" spans="2:13" ht="15.75" x14ac:dyDescent="0.25">
      <c r="B42" s="75">
        <v>42756</v>
      </c>
      <c r="C42" s="73">
        <v>23020</v>
      </c>
      <c r="D42" s="72" t="s">
        <v>12</v>
      </c>
      <c r="E42" s="77">
        <v>105.4</v>
      </c>
      <c r="F42" s="74">
        <v>4426.8</v>
      </c>
      <c r="I42" s="3"/>
      <c r="J42" s="3"/>
    </row>
    <row r="43" spans="2:13" ht="16.5" thickBot="1" x14ac:dyDescent="0.3">
      <c r="B43" s="75">
        <v>42756</v>
      </c>
      <c r="C43" s="73">
        <v>23021</v>
      </c>
      <c r="D43" s="72" t="s">
        <v>0</v>
      </c>
      <c r="E43" s="77">
        <v>22</v>
      </c>
      <c r="F43" s="74">
        <v>484</v>
      </c>
      <c r="I43" s="3"/>
      <c r="J43" s="3"/>
    </row>
    <row r="44" spans="2:13" ht="15.75" thickBot="1" x14ac:dyDescent="0.3">
      <c r="B44" s="29" t="s">
        <v>9</v>
      </c>
      <c r="C44" s="66"/>
      <c r="D44" s="31"/>
      <c r="E44" s="32">
        <v>0</v>
      </c>
      <c r="F44" s="33">
        <f>SUM(F3:F43)</f>
        <v>445944.45</v>
      </c>
      <c r="K44" s="3">
        <f t="shared" ref="K44:K45" si="2">J44*I44</f>
        <v>0</v>
      </c>
    </row>
    <row r="45" spans="2:13" ht="19.5" thickBot="1" x14ac:dyDescent="0.35">
      <c r="B45" s="34"/>
      <c r="C45" s="67"/>
      <c r="D45" s="36" t="s">
        <v>5</v>
      </c>
      <c r="E45" s="37">
        <f>SUM(E3:E44)</f>
        <v>10798.089999999997</v>
      </c>
      <c r="I45" s="38"/>
      <c r="J45" s="38"/>
      <c r="K45" s="3">
        <f t="shared" si="2"/>
        <v>0</v>
      </c>
    </row>
    <row r="46" spans="2:13" x14ac:dyDescent="0.25">
      <c r="B46" s="34"/>
      <c r="C46" s="67"/>
      <c r="D46" s="26"/>
      <c r="E46" s="39"/>
      <c r="I46" s="38">
        <f>SUM(I44:I45)</f>
        <v>0</v>
      </c>
      <c r="J46" s="38"/>
      <c r="K46" s="38">
        <f>SUM(K44:K45)</f>
        <v>0</v>
      </c>
    </row>
    <row r="47" spans="2:13" ht="21.75" thickBot="1" x14ac:dyDescent="0.4">
      <c r="B47" s="40"/>
      <c r="C47" s="41" t="s">
        <v>15</v>
      </c>
      <c r="D47" s="42">
        <f>E45*0.2</f>
        <v>2159.6179999999995</v>
      </c>
      <c r="F47"/>
      <c r="K47"/>
    </row>
    <row r="48" spans="2:13" ht="21.75" thickBot="1" x14ac:dyDescent="0.4">
      <c r="C48" s="41" t="s">
        <v>16</v>
      </c>
      <c r="D48" s="44">
        <v>3400</v>
      </c>
      <c r="E48" s="45"/>
      <c r="F48" s="258">
        <f>D47+D48</f>
        <v>5559.6179999999995</v>
      </c>
      <c r="G48" s="259"/>
      <c r="I48" s="46"/>
      <c r="J48" s="46"/>
      <c r="K48" s="46"/>
      <c r="L48" s="46"/>
      <c r="M48" s="46"/>
    </row>
    <row r="49" spans="3:13" ht="17.25" thickTop="1" thickBot="1" x14ac:dyDescent="0.3">
      <c r="E49" s="47" t="s">
        <v>17</v>
      </c>
      <c r="G49" s="48">
        <v>0</v>
      </c>
      <c r="I49" s="46"/>
      <c r="J49" s="46"/>
      <c r="K49" s="49"/>
      <c r="L49" s="49"/>
      <c r="M49" s="49"/>
    </row>
    <row r="50" spans="3:13" ht="19.5" thickBot="1" x14ac:dyDescent="0.35">
      <c r="C50" s="50" t="s">
        <v>18</v>
      </c>
      <c r="D50" s="51" t="s">
        <v>92</v>
      </c>
      <c r="E50" s="47" t="s">
        <v>17</v>
      </c>
      <c r="F50" s="260">
        <v>0</v>
      </c>
      <c r="G50" s="260"/>
      <c r="I50" s="46"/>
      <c r="J50" s="46"/>
      <c r="K50" s="49"/>
      <c r="L50" s="49"/>
      <c r="M50" s="49"/>
    </row>
    <row r="51" spans="3:13" ht="20.25" thickTop="1" thickBot="1" x14ac:dyDescent="0.35">
      <c r="C51" s="52" t="s">
        <v>18</v>
      </c>
      <c r="D51" s="53" t="s">
        <v>93</v>
      </c>
      <c r="F51" s="261">
        <f>F48+F50+G49</f>
        <v>5559.6179999999995</v>
      </c>
      <c r="G51" s="261"/>
      <c r="I51" s="46"/>
      <c r="J51" s="46"/>
      <c r="K51" s="49"/>
      <c r="L51" s="49"/>
      <c r="M51" s="49"/>
    </row>
    <row r="52" spans="3:13" ht="19.5" thickBot="1" x14ac:dyDescent="0.35">
      <c r="E52" s="2" t="s">
        <v>19</v>
      </c>
      <c r="F52" s="262"/>
      <c r="G52" s="262"/>
      <c r="K52"/>
    </row>
  </sheetData>
  <mergeCells count="4">
    <mergeCell ref="B1:C1"/>
    <mergeCell ref="F48:G48"/>
    <mergeCell ref="F50:G50"/>
    <mergeCell ref="F51:G52"/>
  </mergeCells>
  <pageMargins left="0.70866141732283472" right="0.70866141732283472" top="0.74803149606299213" bottom="0.15748031496062992" header="0.31496062992125984" footer="0.31496062992125984"/>
  <pageSetup scale="85"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69"/>
  <sheetViews>
    <sheetView topLeftCell="A34" workbookViewId="0">
      <selection activeCell="D69" sqref="D69"/>
    </sheetView>
  </sheetViews>
  <sheetFormatPr baseColWidth="10" defaultRowHeight="15" x14ac:dyDescent="0.25"/>
  <cols>
    <col min="1" max="1" width="3.42578125" customWidth="1"/>
    <col min="2" max="2" width="13.42578125" style="96" bestFit="1" customWidth="1"/>
    <col min="3" max="3" width="13.7109375" style="41" customWidth="1"/>
    <col min="4" max="4" width="28.5703125" bestFit="1" customWidth="1"/>
    <col min="5" max="5" width="12" bestFit="1" customWidth="1"/>
    <col min="6" max="6" width="14.140625" style="3" bestFit="1" customWidth="1"/>
    <col min="7" max="7" width="15.7109375" customWidth="1"/>
    <col min="11" max="11" width="11.42578125" style="3"/>
    <col min="13" max="13" width="11.42578125" style="3"/>
  </cols>
  <sheetData>
    <row r="1" spans="2:11" ht="19.5" thickBot="1" x14ac:dyDescent="0.35">
      <c r="B1" s="257">
        <v>42951</v>
      </c>
      <c r="C1" s="257"/>
      <c r="D1" s="179" t="s">
        <v>0</v>
      </c>
      <c r="E1" s="2" t="s">
        <v>1</v>
      </c>
      <c r="K1"/>
    </row>
    <row r="2" spans="2:11" ht="19.5" thickBot="1" x14ac:dyDescent="0.35">
      <c r="B2" s="95" t="s">
        <v>2</v>
      </c>
      <c r="C2" s="5" t="s">
        <v>3</v>
      </c>
      <c r="D2" s="5" t="s">
        <v>4</v>
      </c>
      <c r="E2" s="6" t="s">
        <v>5</v>
      </c>
      <c r="F2" s="139" t="s">
        <v>641</v>
      </c>
      <c r="G2" s="8"/>
      <c r="K2"/>
    </row>
    <row r="3" spans="2:11" ht="15.75" x14ac:dyDescent="0.25">
      <c r="B3" s="83">
        <v>42916</v>
      </c>
      <c r="C3" s="69" t="s">
        <v>642</v>
      </c>
      <c r="D3" s="70" t="s">
        <v>6</v>
      </c>
      <c r="E3" s="76">
        <f>12.1+9.1+13.8+366.2+163.7</f>
        <v>564.9</v>
      </c>
      <c r="F3" s="71">
        <v>29003.4</v>
      </c>
      <c r="K3"/>
    </row>
    <row r="4" spans="2:11" ht="15.75" x14ac:dyDescent="0.25">
      <c r="B4" s="118">
        <v>42930</v>
      </c>
      <c r="C4" s="15">
        <v>19912</v>
      </c>
      <c r="D4" s="119" t="s">
        <v>466</v>
      </c>
      <c r="E4" s="120">
        <f>153.4+53.6</f>
        <v>207</v>
      </c>
      <c r="F4" s="121">
        <v>11078.2</v>
      </c>
      <c r="K4"/>
    </row>
    <row r="5" spans="2:11" ht="15.75" x14ac:dyDescent="0.25">
      <c r="B5" s="118">
        <v>42930</v>
      </c>
      <c r="C5" s="15">
        <v>19774</v>
      </c>
      <c r="D5" s="119" t="s">
        <v>0</v>
      </c>
      <c r="E5" s="120">
        <f>85.8+100.2</f>
        <v>186</v>
      </c>
      <c r="F5" s="121">
        <v>11001</v>
      </c>
      <c r="K5"/>
    </row>
    <row r="6" spans="2:11" ht="15.75" x14ac:dyDescent="0.25">
      <c r="B6" s="118">
        <v>42930</v>
      </c>
      <c r="C6" s="15">
        <v>19904</v>
      </c>
      <c r="D6" s="119" t="s">
        <v>6</v>
      </c>
      <c r="E6" s="120">
        <f>391.9+70+8.1+17.6+11.6</f>
        <v>499.20000000000005</v>
      </c>
      <c r="F6" s="121">
        <v>24562.7</v>
      </c>
      <c r="G6" t="s">
        <v>9</v>
      </c>
      <c r="K6" s="3">
        <f t="shared" ref="K6:K16" si="0">J6*I6</f>
        <v>0</v>
      </c>
    </row>
    <row r="7" spans="2:11" ht="15.75" x14ac:dyDescent="0.25">
      <c r="B7" s="118">
        <v>42931</v>
      </c>
      <c r="C7" s="15">
        <v>20086</v>
      </c>
      <c r="D7" s="119" t="s">
        <v>0</v>
      </c>
      <c r="E7" s="120">
        <f>79+7.9</f>
        <v>86.9</v>
      </c>
      <c r="F7" s="121">
        <v>3586.6</v>
      </c>
      <c r="K7" s="3">
        <f t="shared" si="0"/>
        <v>0</v>
      </c>
    </row>
    <row r="8" spans="2:11" ht="15.75" x14ac:dyDescent="0.25">
      <c r="B8" s="118">
        <v>42933</v>
      </c>
      <c r="C8" s="15">
        <v>20261</v>
      </c>
      <c r="D8" s="119" t="s">
        <v>248</v>
      </c>
      <c r="E8" s="120">
        <v>77.7</v>
      </c>
      <c r="F8" s="121">
        <v>3341.1</v>
      </c>
      <c r="K8" s="3">
        <f t="shared" si="0"/>
        <v>0</v>
      </c>
    </row>
    <row r="9" spans="2:11" ht="15.75" x14ac:dyDescent="0.25">
      <c r="B9" s="118">
        <v>42933</v>
      </c>
      <c r="C9" s="15">
        <v>20263</v>
      </c>
      <c r="D9" s="119" t="s">
        <v>248</v>
      </c>
      <c r="E9" s="120">
        <v>228.1</v>
      </c>
      <c r="F9" s="121">
        <v>9808.2999999999993</v>
      </c>
      <c r="K9" s="3">
        <f t="shared" si="0"/>
        <v>0</v>
      </c>
    </row>
    <row r="10" spans="2:11" ht="15.75" x14ac:dyDescent="0.25">
      <c r="B10" s="118">
        <v>42933</v>
      </c>
      <c r="C10" s="15">
        <v>20265</v>
      </c>
      <c r="D10" s="119" t="s">
        <v>12</v>
      </c>
      <c r="E10" s="120">
        <f>163.7+20.3</f>
        <v>184</v>
      </c>
      <c r="F10" s="121">
        <v>8399.2000000000007</v>
      </c>
      <c r="K10" s="3">
        <f t="shared" si="0"/>
        <v>0</v>
      </c>
    </row>
    <row r="11" spans="2:11" ht="15.75" x14ac:dyDescent="0.25">
      <c r="B11" s="118">
        <v>42934</v>
      </c>
      <c r="C11" s="15">
        <v>20414</v>
      </c>
      <c r="D11" s="119" t="s">
        <v>248</v>
      </c>
      <c r="E11" s="120">
        <v>39.1</v>
      </c>
      <c r="F11" s="121">
        <v>1603.1</v>
      </c>
      <c r="K11" s="3">
        <f t="shared" si="0"/>
        <v>0</v>
      </c>
    </row>
    <row r="12" spans="2:11" ht="15.75" x14ac:dyDescent="0.25">
      <c r="B12" s="118">
        <v>42935</v>
      </c>
      <c r="C12" s="15">
        <v>20505</v>
      </c>
      <c r="D12" s="119" t="s">
        <v>24</v>
      </c>
      <c r="E12" s="120">
        <f>50.6+52.5+37.3</f>
        <v>140.39999999999998</v>
      </c>
      <c r="F12" s="121">
        <v>3171</v>
      </c>
      <c r="K12" s="3">
        <f t="shared" si="0"/>
        <v>0</v>
      </c>
    </row>
    <row r="13" spans="2:11" ht="15.75" x14ac:dyDescent="0.25">
      <c r="B13" s="118">
        <v>42935</v>
      </c>
      <c r="C13" s="15">
        <v>20518</v>
      </c>
      <c r="D13" s="119" t="s">
        <v>12</v>
      </c>
      <c r="E13" s="120">
        <f>174.2+69.7</f>
        <v>243.89999999999998</v>
      </c>
      <c r="F13" s="121">
        <v>11533.1</v>
      </c>
      <c r="K13" s="3">
        <f t="shared" si="0"/>
        <v>0</v>
      </c>
    </row>
    <row r="14" spans="2:11" ht="15.75" x14ac:dyDescent="0.25">
      <c r="B14" s="118">
        <v>42937</v>
      </c>
      <c r="C14" s="15">
        <v>20746</v>
      </c>
      <c r="D14" s="119" t="s">
        <v>24</v>
      </c>
      <c r="E14" s="120">
        <f>65.6+42.2+121.2</f>
        <v>229</v>
      </c>
      <c r="F14" s="121">
        <v>5485.2</v>
      </c>
      <c r="K14" s="3">
        <f t="shared" si="0"/>
        <v>0</v>
      </c>
    </row>
    <row r="15" spans="2:11" ht="15.75" x14ac:dyDescent="0.25">
      <c r="B15" s="118">
        <v>42937</v>
      </c>
      <c r="C15" s="15">
        <v>20752</v>
      </c>
      <c r="D15" s="119" t="s">
        <v>11</v>
      </c>
      <c r="E15" s="120">
        <v>229</v>
      </c>
      <c r="F15" s="121">
        <v>9389</v>
      </c>
      <c r="K15" s="3">
        <f t="shared" si="0"/>
        <v>0</v>
      </c>
    </row>
    <row r="16" spans="2:11" ht="15.75" x14ac:dyDescent="0.25">
      <c r="B16" s="118">
        <v>42937</v>
      </c>
      <c r="C16" s="15">
        <v>20761</v>
      </c>
      <c r="D16" s="119" t="s">
        <v>10</v>
      </c>
      <c r="E16" s="120">
        <f>84.6+1</f>
        <v>85.6</v>
      </c>
      <c r="F16" s="121">
        <v>4407.8</v>
      </c>
      <c r="K16" s="3">
        <f t="shared" si="0"/>
        <v>0</v>
      </c>
    </row>
    <row r="17" spans="2:11" ht="15.75" x14ac:dyDescent="0.25">
      <c r="B17" s="118">
        <v>42937</v>
      </c>
      <c r="C17" s="15">
        <v>20773</v>
      </c>
      <c r="D17" s="119" t="s">
        <v>8</v>
      </c>
      <c r="E17" s="120">
        <f>349.1+93.2</f>
        <v>442.3</v>
      </c>
      <c r="F17" s="121">
        <v>19950.900000000001</v>
      </c>
    </row>
    <row r="18" spans="2:11" ht="15.75" x14ac:dyDescent="0.25">
      <c r="B18" s="118">
        <v>42938</v>
      </c>
      <c r="C18" s="15">
        <v>20930</v>
      </c>
      <c r="D18" s="119" t="s">
        <v>8</v>
      </c>
      <c r="E18" s="120">
        <f>356.6+78.8+242.6</f>
        <v>678</v>
      </c>
      <c r="F18" s="121">
        <v>30560</v>
      </c>
    </row>
    <row r="19" spans="2:11" ht="15.75" x14ac:dyDescent="0.25">
      <c r="B19" s="118">
        <v>42938</v>
      </c>
      <c r="C19" s="15">
        <v>20931</v>
      </c>
      <c r="D19" s="119" t="s">
        <v>14</v>
      </c>
      <c r="E19" s="120">
        <v>340.3</v>
      </c>
      <c r="F19" s="121">
        <v>14632.9</v>
      </c>
    </row>
    <row r="20" spans="2:11" ht="15.75" x14ac:dyDescent="0.25">
      <c r="B20" s="118">
        <v>42938</v>
      </c>
      <c r="C20" s="15">
        <v>20932</v>
      </c>
      <c r="D20" s="119" t="s">
        <v>248</v>
      </c>
      <c r="E20" s="120">
        <v>348.4</v>
      </c>
      <c r="F20" s="121">
        <v>14981.2</v>
      </c>
    </row>
    <row r="21" spans="2:11" ht="15.75" x14ac:dyDescent="0.25">
      <c r="B21" s="118">
        <v>42938</v>
      </c>
      <c r="C21" s="15">
        <v>20935</v>
      </c>
      <c r="D21" s="119" t="s">
        <v>248</v>
      </c>
      <c r="E21" s="120">
        <f>175.6+16.1</f>
        <v>191.7</v>
      </c>
      <c r="F21" s="121">
        <v>10688.4</v>
      </c>
    </row>
    <row r="22" spans="2:11" ht="15.75" x14ac:dyDescent="0.25">
      <c r="B22" s="118">
        <v>42938</v>
      </c>
      <c r="C22" s="15">
        <v>20938</v>
      </c>
      <c r="D22" s="119" t="s">
        <v>248</v>
      </c>
      <c r="E22" s="120">
        <v>82.3</v>
      </c>
      <c r="F22" s="121">
        <v>3538.9</v>
      </c>
      <c r="I22" s="3">
        <f t="shared" ref="I22" si="1">SUM(I6:I16)</f>
        <v>0</v>
      </c>
      <c r="J22" s="3"/>
      <c r="K22" s="3">
        <f>SUM(K6:K16)</f>
        <v>0</v>
      </c>
    </row>
    <row r="23" spans="2:11" ht="15.75" x14ac:dyDescent="0.25">
      <c r="B23" s="118">
        <v>42940</v>
      </c>
      <c r="C23" s="15">
        <v>21081</v>
      </c>
      <c r="D23" s="119" t="s">
        <v>8</v>
      </c>
      <c r="E23" s="120">
        <v>420.3</v>
      </c>
      <c r="F23" s="121">
        <v>18072.900000000001</v>
      </c>
      <c r="I23" s="3"/>
      <c r="J23" s="3"/>
    </row>
    <row r="24" spans="2:11" ht="15.75" x14ac:dyDescent="0.25">
      <c r="B24" s="118">
        <v>42940</v>
      </c>
      <c r="C24" s="15">
        <v>21082</v>
      </c>
      <c r="D24" s="119" t="s">
        <v>14</v>
      </c>
      <c r="E24" s="120">
        <v>423.4</v>
      </c>
      <c r="F24" s="121">
        <v>17782.8</v>
      </c>
      <c r="I24" s="3"/>
      <c r="J24" s="3"/>
    </row>
    <row r="25" spans="2:11" ht="15.75" x14ac:dyDescent="0.25">
      <c r="B25" s="118">
        <v>42940</v>
      </c>
      <c r="C25" s="15">
        <v>21083</v>
      </c>
      <c r="D25" s="119" t="s">
        <v>24</v>
      </c>
      <c r="E25" s="120">
        <f>908.5+39.3</f>
        <v>947.8</v>
      </c>
      <c r="F25" s="121">
        <v>37047.4</v>
      </c>
      <c r="I25" s="3"/>
      <c r="J25" s="3"/>
    </row>
    <row r="26" spans="2:11" ht="15.75" x14ac:dyDescent="0.25">
      <c r="B26" s="118">
        <v>42940</v>
      </c>
      <c r="C26" s="15">
        <v>21084</v>
      </c>
      <c r="D26" s="119" t="s">
        <v>248</v>
      </c>
      <c r="E26" s="120">
        <v>77.900000000000006</v>
      </c>
      <c r="F26" s="121">
        <v>3271.8</v>
      </c>
      <c r="I26" s="3"/>
      <c r="J26" s="3"/>
    </row>
    <row r="27" spans="2:11" ht="15.75" x14ac:dyDescent="0.25">
      <c r="B27" s="118">
        <v>42941</v>
      </c>
      <c r="C27" s="15">
        <v>21211</v>
      </c>
      <c r="D27" s="119" t="s">
        <v>8</v>
      </c>
      <c r="E27" s="120">
        <f>410.3+55.7</f>
        <v>466</v>
      </c>
      <c r="F27" s="121">
        <v>19516.3</v>
      </c>
      <c r="I27" s="3"/>
      <c r="J27" s="3"/>
    </row>
    <row r="28" spans="2:11" ht="15.75" x14ac:dyDescent="0.25">
      <c r="B28" s="118">
        <v>42941</v>
      </c>
      <c r="C28" s="15">
        <v>21216</v>
      </c>
      <c r="D28" s="119" t="s">
        <v>248</v>
      </c>
      <c r="E28" s="120">
        <f>252.6+1</f>
        <v>253.6</v>
      </c>
      <c r="F28" s="121">
        <v>10804.2</v>
      </c>
      <c r="I28" s="3"/>
      <c r="J28" s="3"/>
    </row>
    <row r="29" spans="2:11" ht="15.75" x14ac:dyDescent="0.25">
      <c r="B29" s="118">
        <v>42941</v>
      </c>
      <c r="C29" s="15">
        <v>21218</v>
      </c>
      <c r="D29" s="119" t="s">
        <v>24</v>
      </c>
      <c r="E29" s="120">
        <v>43.6</v>
      </c>
      <c r="F29" s="121">
        <v>1133.5999999999999</v>
      </c>
      <c r="I29" s="3"/>
      <c r="J29" s="3"/>
    </row>
    <row r="30" spans="2:11" ht="15.75" x14ac:dyDescent="0.25">
      <c r="B30" s="118">
        <v>42941</v>
      </c>
      <c r="C30" s="15">
        <v>21219</v>
      </c>
      <c r="D30" s="119" t="s">
        <v>248</v>
      </c>
      <c r="E30" s="120">
        <v>81</v>
      </c>
      <c r="F30" s="121">
        <v>3483</v>
      </c>
      <c r="I30" s="3"/>
      <c r="J30" s="3"/>
    </row>
    <row r="31" spans="2:11" ht="15.75" x14ac:dyDescent="0.25">
      <c r="B31" s="118">
        <v>42941</v>
      </c>
      <c r="C31" s="15">
        <v>21221</v>
      </c>
      <c r="D31" s="119" t="s">
        <v>248</v>
      </c>
      <c r="E31" s="120">
        <f>61.4+12.7</f>
        <v>74.099999999999994</v>
      </c>
      <c r="F31" s="121">
        <v>4240.6000000000004</v>
      </c>
      <c r="I31" s="3"/>
      <c r="J31" s="3"/>
    </row>
    <row r="32" spans="2:11" ht="15.75" x14ac:dyDescent="0.25">
      <c r="B32" s="118">
        <v>42942</v>
      </c>
      <c r="C32" s="15">
        <v>21337</v>
      </c>
      <c r="D32" s="119" t="s">
        <v>8</v>
      </c>
      <c r="E32" s="120">
        <v>378.5</v>
      </c>
      <c r="F32" s="121">
        <v>15897</v>
      </c>
      <c r="I32" s="3"/>
      <c r="J32" s="3"/>
    </row>
    <row r="33" spans="2:10" ht="15.75" x14ac:dyDescent="0.25">
      <c r="B33" s="118">
        <v>42942</v>
      </c>
      <c r="C33" s="15">
        <v>21338</v>
      </c>
      <c r="D33" s="119" t="s">
        <v>248</v>
      </c>
      <c r="E33" s="120">
        <v>160</v>
      </c>
      <c r="F33" s="121">
        <v>6560</v>
      </c>
      <c r="I33" s="3"/>
      <c r="J33" s="3"/>
    </row>
    <row r="34" spans="2:10" ht="15.75" x14ac:dyDescent="0.25">
      <c r="B34" s="118">
        <v>42942</v>
      </c>
      <c r="C34" s="15">
        <v>21339</v>
      </c>
      <c r="D34" s="119" t="s">
        <v>10</v>
      </c>
      <c r="E34" s="120">
        <v>73.099999999999994</v>
      </c>
      <c r="F34" s="121">
        <v>3070.2</v>
      </c>
      <c r="I34" s="3"/>
      <c r="J34" s="3"/>
    </row>
    <row r="35" spans="2:10" ht="15.75" x14ac:dyDescent="0.25">
      <c r="B35" s="118">
        <v>42942</v>
      </c>
      <c r="C35" s="15">
        <v>21345</v>
      </c>
      <c r="D35" s="119" t="s">
        <v>248</v>
      </c>
      <c r="E35" s="120">
        <v>61.6</v>
      </c>
      <c r="F35" s="121">
        <v>3388</v>
      </c>
      <c r="I35" s="3"/>
      <c r="J35" s="3"/>
    </row>
    <row r="36" spans="2:10" ht="15.75" x14ac:dyDescent="0.25">
      <c r="B36" s="118">
        <v>42934</v>
      </c>
      <c r="C36" s="15">
        <v>20412</v>
      </c>
      <c r="D36" s="119" t="s">
        <v>248</v>
      </c>
      <c r="E36" s="120">
        <v>93.9</v>
      </c>
      <c r="F36" s="121">
        <v>3849.9</v>
      </c>
      <c r="I36" s="3"/>
      <c r="J36" s="3"/>
    </row>
    <row r="37" spans="2:10" ht="15.75" x14ac:dyDescent="0.25">
      <c r="B37" s="118">
        <v>42943</v>
      </c>
      <c r="C37" s="15">
        <v>20468</v>
      </c>
      <c r="D37" s="119" t="s">
        <v>24</v>
      </c>
      <c r="E37" s="120">
        <f>123.1+43.7+37.2</f>
        <v>204</v>
      </c>
      <c r="F37" s="121">
        <v>4426.6000000000004</v>
      </c>
      <c r="I37" s="3"/>
      <c r="J37" s="3"/>
    </row>
    <row r="38" spans="2:10" ht="15.75" x14ac:dyDescent="0.25">
      <c r="B38" s="118">
        <v>42943</v>
      </c>
      <c r="C38" s="15">
        <v>21471</v>
      </c>
      <c r="D38" s="119" t="s">
        <v>248</v>
      </c>
      <c r="E38" s="120">
        <f>43.8+4.4+6.3</f>
        <v>54.499999999999993</v>
      </c>
      <c r="F38" s="121">
        <v>3026.8</v>
      </c>
      <c r="I38" s="3"/>
      <c r="J38" s="3"/>
    </row>
    <row r="39" spans="2:10" ht="15.75" x14ac:dyDescent="0.25">
      <c r="B39" s="118">
        <v>42943</v>
      </c>
      <c r="C39" s="15">
        <v>21472</v>
      </c>
      <c r="D39" s="119" t="s">
        <v>248</v>
      </c>
      <c r="E39" s="120">
        <v>3.4</v>
      </c>
      <c r="F39" s="121">
        <v>258.39999999999998</v>
      </c>
      <c r="I39" s="3"/>
      <c r="J39" s="3"/>
    </row>
    <row r="40" spans="2:10" ht="15.75" x14ac:dyDescent="0.25">
      <c r="B40" s="118">
        <v>42944</v>
      </c>
      <c r="C40" s="15">
        <v>21585</v>
      </c>
      <c r="D40" s="119" t="s">
        <v>248</v>
      </c>
      <c r="E40" s="120">
        <f>905.4+90.9</f>
        <v>996.3</v>
      </c>
      <c r="F40" s="121">
        <v>36586.800000000003</v>
      </c>
      <c r="I40" s="3"/>
      <c r="J40" s="3"/>
    </row>
    <row r="41" spans="2:10" ht="15.75" x14ac:dyDescent="0.25">
      <c r="B41" s="118">
        <v>42944</v>
      </c>
      <c r="C41" s="15">
        <v>21587</v>
      </c>
      <c r="D41" s="119" t="s">
        <v>14</v>
      </c>
      <c r="E41" s="120">
        <v>160</v>
      </c>
      <c r="F41" s="121">
        <v>3840</v>
      </c>
      <c r="I41" s="3"/>
      <c r="J41" s="3"/>
    </row>
    <row r="42" spans="2:10" ht="15.75" x14ac:dyDescent="0.25">
      <c r="B42" s="118">
        <v>42944</v>
      </c>
      <c r="C42" s="15">
        <v>21591</v>
      </c>
      <c r="D42" s="119" t="s">
        <v>10</v>
      </c>
      <c r="E42" s="120">
        <f>70.5+46.3</f>
        <v>116.8</v>
      </c>
      <c r="F42" s="121">
        <v>6109.4</v>
      </c>
      <c r="I42" s="3"/>
      <c r="J42" s="3"/>
    </row>
    <row r="43" spans="2:10" ht="15.75" x14ac:dyDescent="0.25">
      <c r="B43" s="118">
        <v>42944</v>
      </c>
      <c r="C43" s="15">
        <v>21592</v>
      </c>
      <c r="D43" s="119" t="s">
        <v>466</v>
      </c>
      <c r="E43" s="120">
        <v>127.6</v>
      </c>
      <c r="F43" s="121">
        <v>5359.2</v>
      </c>
      <c r="I43" s="3"/>
      <c r="J43" s="3"/>
    </row>
    <row r="44" spans="2:10" ht="15.75" x14ac:dyDescent="0.25">
      <c r="B44" s="118">
        <v>42944</v>
      </c>
      <c r="C44" s="15">
        <v>21593</v>
      </c>
      <c r="D44" s="119" t="s">
        <v>248</v>
      </c>
      <c r="E44" s="120">
        <v>152.80000000000001</v>
      </c>
      <c r="F44" s="121">
        <v>6417.6</v>
      </c>
      <c r="I44" s="3"/>
      <c r="J44" s="3"/>
    </row>
    <row r="45" spans="2:10" ht="15.75" x14ac:dyDescent="0.25">
      <c r="B45" s="118">
        <v>42944</v>
      </c>
      <c r="C45" s="15">
        <v>21599</v>
      </c>
      <c r="D45" s="119" t="s">
        <v>8</v>
      </c>
      <c r="E45" s="120">
        <f>410.3+65+19.6+50.5</f>
        <v>545.40000000000009</v>
      </c>
      <c r="F45" s="121">
        <v>25234.400000000001</v>
      </c>
      <c r="I45" s="3"/>
      <c r="J45" s="3"/>
    </row>
    <row r="46" spans="2:10" ht="15.75" x14ac:dyDescent="0.25">
      <c r="B46" s="118">
        <v>42945</v>
      </c>
      <c r="C46" s="15">
        <v>21708</v>
      </c>
      <c r="D46" s="119" t="s">
        <v>248</v>
      </c>
      <c r="E46" s="120">
        <v>395.9</v>
      </c>
      <c r="F46" s="121">
        <v>16231.9</v>
      </c>
      <c r="I46" s="3"/>
      <c r="J46" s="3"/>
    </row>
    <row r="47" spans="2:10" ht="15.75" x14ac:dyDescent="0.25">
      <c r="B47" s="118">
        <v>42945</v>
      </c>
      <c r="C47" s="15">
        <v>21710</v>
      </c>
      <c r="D47" s="119" t="s">
        <v>24</v>
      </c>
      <c r="E47" s="120">
        <f>29.9+36</f>
        <v>65.900000000000006</v>
      </c>
      <c r="F47" s="121">
        <v>2442</v>
      </c>
      <c r="I47" s="3"/>
      <c r="J47" s="3"/>
    </row>
    <row r="48" spans="2:10" ht="15.75" x14ac:dyDescent="0.25">
      <c r="B48" s="118">
        <v>42945</v>
      </c>
      <c r="C48" s="15">
        <v>21713</v>
      </c>
      <c r="D48" s="119" t="s">
        <v>12</v>
      </c>
      <c r="E48" s="120">
        <f>235.7+22+1</f>
        <v>258.7</v>
      </c>
      <c r="F48" s="121">
        <v>10961.7</v>
      </c>
      <c r="I48" s="3"/>
      <c r="J48" s="3"/>
    </row>
    <row r="49" spans="2:13" ht="15.75" x14ac:dyDescent="0.25">
      <c r="B49" s="118">
        <v>42945</v>
      </c>
      <c r="C49" s="15">
        <v>21715</v>
      </c>
      <c r="D49" s="119" t="s">
        <v>14</v>
      </c>
      <c r="E49" s="120">
        <f>414.7+106.4+104.2+30.1</f>
        <v>655.40000000000009</v>
      </c>
      <c r="F49" s="121">
        <v>21987.7</v>
      </c>
      <c r="I49" s="3"/>
      <c r="J49" s="3"/>
    </row>
    <row r="50" spans="2:13" ht="15.75" x14ac:dyDescent="0.25">
      <c r="B50" s="118">
        <v>42945</v>
      </c>
      <c r="C50" s="15">
        <v>21716</v>
      </c>
      <c r="D50" s="119" t="s">
        <v>10</v>
      </c>
      <c r="E50" s="120">
        <f>20.7+10.5</f>
        <v>31.2</v>
      </c>
      <c r="F50" s="121">
        <v>1307.4000000000001</v>
      </c>
      <c r="I50" s="3"/>
      <c r="J50" s="3"/>
    </row>
    <row r="51" spans="2:13" ht="15.75" x14ac:dyDescent="0.25">
      <c r="B51" s="118">
        <v>42945</v>
      </c>
      <c r="C51" s="15">
        <v>21723</v>
      </c>
      <c r="D51" s="119" t="s">
        <v>511</v>
      </c>
      <c r="E51" s="120">
        <f>145.1+10.8+44.5+27.24</f>
        <v>227.64000000000001</v>
      </c>
      <c r="F51" s="121">
        <v>10876.82</v>
      </c>
      <c r="I51" s="3"/>
      <c r="J51" s="3"/>
    </row>
    <row r="52" spans="2:13" ht="15.75" x14ac:dyDescent="0.25">
      <c r="B52" s="118">
        <v>42945</v>
      </c>
      <c r="C52" s="15">
        <v>21724</v>
      </c>
      <c r="D52" s="119" t="s">
        <v>10</v>
      </c>
      <c r="E52" s="120">
        <f>8.5+52.8</f>
        <v>61.3</v>
      </c>
      <c r="F52" s="121">
        <v>4533.6000000000004</v>
      </c>
      <c r="I52" s="3"/>
      <c r="J52" s="3"/>
    </row>
    <row r="53" spans="2:13" ht="15.75" x14ac:dyDescent="0.25">
      <c r="B53" s="118">
        <v>42945</v>
      </c>
      <c r="C53" s="15">
        <v>21725</v>
      </c>
      <c r="D53" s="119" t="s">
        <v>248</v>
      </c>
      <c r="E53" s="120">
        <f>68+24.1</f>
        <v>92.1</v>
      </c>
      <c r="F53" s="121">
        <v>1826.5</v>
      </c>
      <c r="I53" s="3"/>
      <c r="J53" s="3"/>
    </row>
    <row r="54" spans="2:13" ht="15.75" x14ac:dyDescent="0.25">
      <c r="B54" s="118"/>
      <c r="C54" s="15"/>
      <c r="D54" s="119"/>
      <c r="E54" s="120"/>
      <c r="F54" s="121"/>
      <c r="I54" s="3"/>
      <c r="J54" s="3"/>
    </row>
    <row r="55" spans="2:13" ht="16.5" thickBot="1" x14ac:dyDescent="0.3">
      <c r="B55" s="118"/>
      <c r="C55" s="15"/>
      <c r="D55" s="119"/>
      <c r="E55" s="120"/>
      <c r="F55" s="121"/>
      <c r="I55" s="3"/>
      <c r="J55" s="3"/>
    </row>
    <row r="56" spans="2:13" ht="15.75" thickBot="1" x14ac:dyDescent="0.3">
      <c r="B56" s="29"/>
      <c r="C56" s="66"/>
      <c r="D56" s="31"/>
      <c r="E56" s="32">
        <v>0</v>
      </c>
      <c r="F56" s="33">
        <f>SUM(F3:F55)</f>
        <v>540266.52</v>
      </c>
      <c r="K56" s="3">
        <f t="shared" ref="K56:K63" si="2">J56*I56</f>
        <v>0</v>
      </c>
    </row>
    <row r="57" spans="2:13" ht="19.5" thickBot="1" x14ac:dyDescent="0.35">
      <c r="B57" s="34"/>
      <c r="C57" s="67"/>
      <c r="D57" s="36" t="s">
        <v>5</v>
      </c>
      <c r="E57" s="37">
        <f>SUM(E3:E56)</f>
        <v>12787.539999999997</v>
      </c>
      <c r="K57" s="3">
        <f t="shared" si="2"/>
        <v>0</v>
      </c>
    </row>
    <row r="58" spans="2:13" x14ac:dyDescent="0.25">
      <c r="B58" s="34"/>
      <c r="C58" s="67"/>
      <c r="D58" s="26"/>
      <c r="E58" s="39"/>
      <c r="K58" s="3">
        <f t="shared" si="2"/>
        <v>0</v>
      </c>
    </row>
    <row r="59" spans="2:13" ht="19.5" thickBot="1" x14ac:dyDescent="0.35">
      <c r="B59" s="40"/>
      <c r="C59" s="41" t="s">
        <v>15</v>
      </c>
      <c r="D59" s="149">
        <f>E57*0.3</f>
        <v>3836.2619999999988</v>
      </c>
      <c r="F59"/>
      <c r="K59" s="3">
        <f t="shared" si="2"/>
        <v>0</v>
      </c>
    </row>
    <row r="60" spans="2:13" ht="21.75" thickBot="1" x14ac:dyDescent="0.4">
      <c r="C60" s="41" t="s">
        <v>16</v>
      </c>
      <c r="D60" s="44">
        <v>4000</v>
      </c>
      <c r="E60" s="45"/>
      <c r="F60" s="258">
        <f>D59+D60</f>
        <v>7836.2619999999988</v>
      </c>
      <c r="G60" s="259"/>
      <c r="K60" s="3">
        <f t="shared" si="2"/>
        <v>0</v>
      </c>
      <c r="L60" s="46"/>
      <c r="M60" s="13"/>
    </row>
    <row r="61" spans="2:13" ht="22.5" thickTop="1" thickBot="1" x14ac:dyDescent="0.4">
      <c r="D61" s="146"/>
      <c r="E61" s="47" t="s">
        <v>258</v>
      </c>
      <c r="G61" s="147">
        <v>-4000</v>
      </c>
      <c r="L61" s="46"/>
      <c r="M61" s="13"/>
    </row>
    <row r="62" spans="2:13" ht="19.5" thickBot="1" x14ac:dyDescent="0.35">
      <c r="B62" s="181"/>
      <c r="C62" s="182"/>
      <c r="D62" s="180" t="s">
        <v>643</v>
      </c>
      <c r="E62" s="47" t="s">
        <v>258</v>
      </c>
      <c r="F62" s="142"/>
      <c r="G62" s="160">
        <v>-361</v>
      </c>
      <c r="K62" s="3">
        <f t="shared" si="2"/>
        <v>0</v>
      </c>
      <c r="L62" s="49"/>
      <c r="M62" s="49"/>
    </row>
    <row r="63" spans="2:13" ht="19.5" thickBot="1" x14ac:dyDescent="0.35">
      <c r="B63" s="271" t="s">
        <v>645</v>
      </c>
      <c r="C63" s="272"/>
      <c r="D63" s="131" t="s">
        <v>644</v>
      </c>
      <c r="E63" s="47" t="s">
        <v>258</v>
      </c>
      <c r="F63" s="125"/>
      <c r="G63" s="169">
        <v>-1500</v>
      </c>
      <c r="K63" s="3">
        <f t="shared" si="2"/>
        <v>0</v>
      </c>
      <c r="L63" s="49"/>
      <c r="M63" s="49"/>
    </row>
    <row r="64" spans="2:13" ht="19.5" thickBot="1" x14ac:dyDescent="0.35">
      <c r="B64" s="173"/>
      <c r="C64" s="174" t="s">
        <v>648</v>
      </c>
      <c r="D64" s="131" t="s">
        <v>646</v>
      </c>
      <c r="E64" s="47" t="s">
        <v>307</v>
      </c>
      <c r="F64" s="124"/>
      <c r="G64" s="170">
        <v>-1975</v>
      </c>
      <c r="L64" s="49"/>
      <c r="M64" s="49"/>
    </row>
    <row r="65" spans="3:13" ht="17.25" customHeight="1" thickBot="1" x14ac:dyDescent="0.4">
      <c r="C65" s="168"/>
      <c r="D65" s="131" t="s">
        <v>647</v>
      </c>
      <c r="E65" s="4" t="s">
        <v>258</v>
      </c>
      <c r="F65" s="263">
        <f>SUM(F60:G64)</f>
        <v>0.26199999999880674</v>
      </c>
      <c r="G65" s="264"/>
      <c r="L65" s="49"/>
      <c r="M65" s="49"/>
    </row>
    <row r="66" spans="3:13" ht="19.5" customHeight="1" x14ac:dyDescent="0.35">
      <c r="C66" s="109"/>
      <c r="D66" s="171"/>
      <c r="F66" s="148"/>
      <c r="G66" s="148"/>
    </row>
    <row r="67" spans="3:13" x14ac:dyDescent="0.25">
      <c r="F67" s="27"/>
      <c r="G67" s="26"/>
    </row>
    <row r="68" spans="3:13" x14ac:dyDescent="0.25">
      <c r="D68" t="s">
        <v>9</v>
      </c>
    </row>
    <row r="69" spans="3:13" x14ac:dyDescent="0.25">
      <c r="I69" s="3">
        <f>SUM(I56:I63)</f>
        <v>0</v>
      </c>
      <c r="J69" s="3"/>
      <c r="K69" s="3">
        <f>SUM(K56:K63)</f>
        <v>0</v>
      </c>
    </row>
  </sheetData>
  <mergeCells count="4">
    <mergeCell ref="B1:C1"/>
    <mergeCell ref="F60:G60"/>
    <mergeCell ref="F65:G65"/>
    <mergeCell ref="B63:C63"/>
  </mergeCells>
  <pageMargins left="0.70866141732283472" right="0.11811023622047245" top="0.74803149606299213" bottom="0.59055118110236227" header="0.31496062992125984" footer="0.31496062992125984"/>
  <pageSetup scale="90"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69"/>
  <sheetViews>
    <sheetView topLeftCell="A34" workbookViewId="0">
      <selection activeCell="C8" sqref="C8"/>
    </sheetView>
  </sheetViews>
  <sheetFormatPr baseColWidth="10" defaultRowHeight="15" x14ac:dyDescent="0.25"/>
  <cols>
    <col min="1" max="1" width="3.42578125" customWidth="1"/>
    <col min="2" max="2" width="13.42578125" style="96" bestFit="1" customWidth="1"/>
    <col min="3" max="3" width="13.7109375" style="41" customWidth="1"/>
    <col min="4" max="4" width="28.5703125" bestFit="1" customWidth="1"/>
    <col min="5" max="5" width="12" bestFit="1" customWidth="1"/>
    <col min="6" max="6" width="14.140625" style="3" bestFit="1" customWidth="1"/>
    <col min="7" max="7" width="15.7109375" customWidth="1"/>
    <col min="11" max="11" width="11.42578125" style="3"/>
    <col min="13" max="13" width="11.42578125" style="3"/>
  </cols>
  <sheetData>
    <row r="1" spans="2:11" ht="19.5" thickBot="1" x14ac:dyDescent="0.35">
      <c r="B1" s="257">
        <v>42958</v>
      </c>
      <c r="C1" s="257"/>
      <c r="D1" s="183" t="s">
        <v>0</v>
      </c>
      <c r="E1" s="2" t="s">
        <v>1</v>
      </c>
      <c r="K1"/>
    </row>
    <row r="2" spans="2:11" ht="19.5" thickBot="1" x14ac:dyDescent="0.35">
      <c r="B2" s="95" t="s">
        <v>2</v>
      </c>
      <c r="C2" s="5" t="s">
        <v>3</v>
      </c>
      <c r="D2" s="5" t="s">
        <v>4</v>
      </c>
      <c r="E2" s="6" t="s">
        <v>5</v>
      </c>
      <c r="F2" s="139" t="s">
        <v>649</v>
      </c>
      <c r="G2" s="8"/>
      <c r="K2"/>
    </row>
    <row r="3" spans="2:11" ht="15.75" x14ac:dyDescent="0.25">
      <c r="B3" s="185">
        <v>42937</v>
      </c>
      <c r="C3" s="186" t="s">
        <v>650</v>
      </c>
      <c r="D3" s="187" t="s">
        <v>6</v>
      </c>
      <c r="E3" s="188">
        <f>369.8+153+11.2+9.6+1</f>
        <v>544.6</v>
      </c>
      <c r="F3" s="89">
        <v>28010.2</v>
      </c>
      <c r="K3"/>
    </row>
    <row r="4" spans="2:11" ht="15.75" x14ac:dyDescent="0.25">
      <c r="B4" s="118">
        <v>42941</v>
      </c>
      <c r="C4" s="15">
        <v>21220</v>
      </c>
      <c r="D4" s="119" t="s">
        <v>12</v>
      </c>
      <c r="E4" s="120">
        <v>14.4</v>
      </c>
      <c r="F4" s="121">
        <v>921.6</v>
      </c>
      <c r="K4"/>
    </row>
    <row r="5" spans="2:11" ht="15.75" x14ac:dyDescent="0.25">
      <c r="B5" s="118">
        <v>42943</v>
      </c>
      <c r="C5" s="15">
        <v>21470</v>
      </c>
      <c r="D5" s="119" t="s">
        <v>8</v>
      </c>
      <c r="E5" s="120">
        <v>378.1</v>
      </c>
      <c r="F5" s="121">
        <v>15880.2</v>
      </c>
      <c r="K5"/>
    </row>
    <row r="6" spans="2:11" ht="15.75" x14ac:dyDescent="0.25">
      <c r="B6" s="118">
        <v>42944</v>
      </c>
      <c r="C6" s="15">
        <v>21581</v>
      </c>
      <c r="D6" s="119" t="s">
        <v>24</v>
      </c>
      <c r="E6" s="120">
        <f>896.7+71.6+69.9+13.61+11.4</f>
        <v>1063.21</v>
      </c>
      <c r="F6" s="121">
        <v>38322.33</v>
      </c>
      <c r="G6" t="s">
        <v>9</v>
      </c>
      <c r="K6" s="3">
        <f t="shared" ref="K6:K16" si="0">J6*I6</f>
        <v>0</v>
      </c>
    </row>
    <row r="7" spans="2:11" ht="15.75" x14ac:dyDescent="0.25">
      <c r="B7" s="118">
        <v>42944</v>
      </c>
      <c r="C7" s="15">
        <v>21602</v>
      </c>
      <c r="D7" s="119" t="s">
        <v>11</v>
      </c>
      <c r="E7" s="120">
        <v>393</v>
      </c>
      <c r="F7" s="121">
        <v>15720</v>
      </c>
      <c r="K7" s="3">
        <f t="shared" si="0"/>
        <v>0</v>
      </c>
    </row>
    <row r="8" spans="2:11" ht="15.75" x14ac:dyDescent="0.25">
      <c r="B8" s="118">
        <v>42944</v>
      </c>
      <c r="C8" s="189">
        <v>21603</v>
      </c>
      <c r="D8" s="119" t="s">
        <v>6</v>
      </c>
      <c r="E8" s="120">
        <f>373.9+130.2+13.1</f>
        <v>517.19999999999993</v>
      </c>
      <c r="F8" s="121">
        <v>26013.4</v>
      </c>
      <c r="K8" s="3">
        <f t="shared" si="0"/>
        <v>0</v>
      </c>
    </row>
    <row r="9" spans="2:11" ht="15.75" x14ac:dyDescent="0.25">
      <c r="B9" s="118">
        <v>42945</v>
      </c>
      <c r="C9" s="15">
        <v>21707</v>
      </c>
      <c r="D9" s="119" t="s">
        <v>295</v>
      </c>
      <c r="E9" s="120">
        <v>185.8</v>
      </c>
      <c r="F9" s="121">
        <v>10219</v>
      </c>
      <c r="K9" s="3">
        <f t="shared" si="0"/>
        <v>0</v>
      </c>
    </row>
    <row r="10" spans="2:11" ht="15.75" x14ac:dyDescent="0.25">
      <c r="B10" s="118">
        <v>42945</v>
      </c>
      <c r="C10" s="15">
        <v>21722</v>
      </c>
      <c r="D10" s="119" t="s">
        <v>8</v>
      </c>
      <c r="E10" s="120">
        <f>363.3+191.2</f>
        <v>554.5</v>
      </c>
      <c r="F10" s="121">
        <v>22543.3</v>
      </c>
      <c r="K10" s="3">
        <f t="shared" si="0"/>
        <v>0</v>
      </c>
    </row>
    <row r="11" spans="2:11" ht="15.75" x14ac:dyDescent="0.25">
      <c r="B11" s="118">
        <v>42945</v>
      </c>
      <c r="C11" s="15">
        <v>21764</v>
      </c>
      <c r="D11" s="119" t="s">
        <v>8</v>
      </c>
      <c r="E11" s="120">
        <v>179</v>
      </c>
      <c r="F11" s="121">
        <v>12530</v>
      </c>
      <c r="K11" s="3">
        <f t="shared" si="0"/>
        <v>0</v>
      </c>
    </row>
    <row r="12" spans="2:11" ht="15.75" x14ac:dyDescent="0.25">
      <c r="B12" s="118">
        <v>42947</v>
      </c>
      <c r="C12" s="15">
        <v>21921</v>
      </c>
      <c r="D12" s="119" t="s">
        <v>295</v>
      </c>
      <c r="E12" s="120">
        <v>88.1</v>
      </c>
      <c r="F12" s="121">
        <v>3700.2</v>
      </c>
      <c r="K12" s="3">
        <f t="shared" si="0"/>
        <v>0</v>
      </c>
    </row>
    <row r="13" spans="2:11" ht="15.75" x14ac:dyDescent="0.25">
      <c r="B13" s="118">
        <v>42947</v>
      </c>
      <c r="C13" s="15">
        <v>21922</v>
      </c>
      <c r="D13" s="119" t="s">
        <v>12</v>
      </c>
      <c r="E13" s="120">
        <v>69.3</v>
      </c>
      <c r="F13" s="121">
        <v>2841.3</v>
      </c>
      <c r="K13" s="3">
        <f t="shared" si="0"/>
        <v>0</v>
      </c>
    </row>
    <row r="14" spans="2:11" ht="15.75" x14ac:dyDescent="0.25">
      <c r="B14" s="118">
        <v>42947</v>
      </c>
      <c r="C14" s="15">
        <v>21923</v>
      </c>
      <c r="D14" s="119" t="s">
        <v>295</v>
      </c>
      <c r="E14" s="120">
        <v>115</v>
      </c>
      <c r="F14" s="121">
        <v>7590</v>
      </c>
      <c r="K14" s="3">
        <f t="shared" si="0"/>
        <v>0</v>
      </c>
    </row>
    <row r="15" spans="2:11" ht="15.75" x14ac:dyDescent="0.25">
      <c r="B15" s="118">
        <v>42947</v>
      </c>
      <c r="C15" s="15">
        <v>21924</v>
      </c>
      <c r="D15" s="119" t="s">
        <v>10</v>
      </c>
      <c r="E15" s="120">
        <f>12.5+49.6</f>
        <v>62.1</v>
      </c>
      <c r="F15" s="121">
        <v>3379.2</v>
      </c>
      <c r="K15" s="3">
        <f t="shared" si="0"/>
        <v>0</v>
      </c>
    </row>
    <row r="16" spans="2:11" ht="15.75" x14ac:dyDescent="0.25">
      <c r="B16" s="118">
        <v>42947</v>
      </c>
      <c r="C16" s="15">
        <v>21925</v>
      </c>
      <c r="D16" s="119" t="s">
        <v>24</v>
      </c>
      <c r="E16" s="120">
        <v>36</v>
      </c>
      <c r="F16" s="121">
        <v>648</v>
      </c>
      <c r="K16" s="3">
        <f t="shared" si="0"/>
        <v>0</v>
      </c>
    </row>
    <row r="17" spans="2:11" ht="15.75" x14ac:dyDescent="0.25">
      <c r="B17" s="118">
        <v>42947</v>
      </c>
      <c r="C17" s="15">
        <v>21926</v>
      </c>
      <c r="D17" s="119" t="s">
        <v>24</v>
      </c>
      <c r="E17" s="120">
        <v>27.8</v>
      </c>
      <c r="F17" s="121">
        <v>667.2</v>
      </c>
    </row>
    <row r="18" spans="2:11" ht="15.75" x14ac:dyDescent="0.25">
      <c r="B18" s="118">
        <v>42948</v>
      </c>
      <c r="C18" s="15">
        <v>22032</v>
      </c>
      <c r="D18" s="119" t="s">
        <v>10</v>
      </c>
      <c r="E18" s="120">
        <v>72.900000000000006</v>
      </c>
      <c r="F18" s="121">
        <v>2988.9</v>
      </c>
    </row>
    <row r="19" spans="2:11" ht="15.75" x14ac:dyDescent="0.25">
      <c r="B19" s="118">
        <v>42948</v>
      </c>
      <c r="C19" s="15">
        <v>22033</v>
      </c>
      <c r="D19" s="119" t="s">
        <v>14</v>
      </c>
      <c r="E19" s="120">
        <v>400.7</v>
      </c>
      <c r="F19" s="121">
        <v>16428.7</v>
      </c>
    </row>
    <row r="20" spans="2:11" ht="15.75" x14ac:dyDescent="0.25">
      <c r="B20" s="118">
        <v>42948</v>
      </c>
      <c r="C20" s="15">
        <v>22034</v>
      </c>
      <c r="D20" s="119" t="s">
        <v>8</v>
      </c>
      <c r="E20" s="120">
        <v>395.4</v>
      </c>
      <c r="F20" s="121">
        <v>16211.4</v>
      </c>
    </row>
    <row r="21" spans="2:11" ht="15.75" x14ac:dyDescent="0.25">
      <c r="B21" s="118">
        <v>42948</v>
      </c>
      <c r="C21" s="15">
        <v>22036</v>
      </c>
      <c r="D21" s="119" t="s">
        <v>295</v>
      </c>
      <c r="E21" s="120">
        <f>100.2+27.8</f>
        <v>128</v>
      </c>
      <c r="F21" s="121">
        <v>6499.6</v>
      </c>
    </row>
    <row r="22" spans="2:11" ht="15.75" x14ac:dyDescent="0.25">
      <c r="B22" s="118">
        <v>42948</v>
      </c>
      <c r="C22" s="15">
        <v>22037</v>
      </c>
      <c r="D22" s="119" t="s">
        <v>466</v>
      </c>
      <c r="E22" s="120">
        <v>40.1</v>
      </c>
      <c r="F22" s="121">
        <v>2205.5</v>
      </c>
      <c r="I22" s="3">
        <f t="shared" ref="I22" si="1">SUM(I6:I16)</f>
        <v>0</v>
      </c>
      <c r="J22" s="3"/>
      <c r="K22" s="3">
        <f>SUM(K6:K16)</f>
        <v>0</v>
      </c>
    </row>
    <row r="23" spans="2:11" ht="15.75" x14ac:dyDescent="0.25">
      <c r="B23" s="118">
        <v>42948</v>
      </c>
      <c r="C23" s="15">
        <v>22040</v>
      </c>
      <c r="D23" s="119" t="s">
        <v>295</v>
      </c>
      <c r="E23" s="120">
        <v>55.5</v>
      </c>
      <c r="F23" s="121">
        <v>3052.5</v>
      </c>
      <c r="I23" s="3"/>
      <c r="J23" s="3"/>
    </row>
    <row r="24" spans="2:11" ht="15.75" x14ac:dyDescent="0.25">
      <c r="B24" s="118">
        <v>42949</v>
      </c>
      <c r="C24" s="15">
        <v>22172</v>
      </c>
      <c r="D24" s="119" t="s">
        <v>10</v>
      </c>
      <c r="E24" s="120">
        <v>85.8</v>
      </c>
      <c r="F24" s="121">
        <v>3517.8</v>
      </c>
      <c r="I24" s="3"/>
      <c r="J24" s="3"/>
    </row>
    <row r="25" spans="2:11" ht="15.75" x14ac:dyDescent="0.25">
      <c r="B25" s="118">
        <v>42949</v>
      </c>
      <c r="C25" s="15">
        <v>22173</v>
      </c>
      <c r="D25" s="119" t="s">
        <v>295</v>
      </c>
      <c r="E25" s="120">
        <v>68.599999999999994</v>
      </c>
      <c r="F25" s="121">
        <v>2881.2</v>
      </c>
      <c r="I25" s="3"/>
      <c r="J25" s="3"/>
    </row>
    <row r="26" spans="2:11" ht="15.75" x14ac:dyDescent="0.25">
      <c r="B26" s="118">
        <v>42949</v>
      </c>
      <c r="C26" s="15">
        <v>22176</v>
      </c>
      <c r="D26" s="119" t="s">
        <v>633</v>
      </c>
      <c r="E26" s="120">
        <f>54.5+1</f>
        <v>55.5</v>
      </c>
      <c r="F26" s="121">
        <v>2920</v>
      </c>
      <c r="I26" s="3"/>
      <c r="J26" s="3"/>
    </row>
    <row r="27" spans="2:11" ht="15.75" x14ac:dyDescent="0.25">
      <c r="B27" s="118">
        <v>42949</v>
      </c>
      <c r="C27" s="15">
        <v>22177</v>
      </c>
      <c r="D27" s="119" t="s">
        <v>295</v>
      </c>
      <c r="E27" s="120">
        <f>23.8+39+10.8</f>
        <v>73.599999999999994</v>
      </c>
      <c r="F27" s="121">
        <v>2886</v>
      </c>
      <c r="I27" s="3"/>
      <c r="J27" s="3"/>
    </row>
    <row r="28" spans="2:11" ht="15.75" x14ac:dyDescent="0.25">
      <c r="B28" s="118">
        <v>42949</v>
      </c>
      <c r="C28" s="15">
        <v>22179</v>
      </c>
      <c r="D28" s="119" t="s">
        <v>8</v>
      </c>
      <c r="E28" s="120">
        <v>379.2</v>
      </c>
      <c r="F28" s="121">
        <v>15547.2</v>
      </c>
      <c r="I28" s="3"/>
      <c r="J28" s="3"/>
    </row>
    <row r="29" spans="2:11" ht="15.75" x14ac:dyDescent="0.25">
      <c r="B29" s="118">
        <v>42949</v>
      </c>
      <c r="C29" s="15">
        <v>22180</v>
      </c>
      <c r="D29" s="119" t="s">
        <v>14</v>
      </c>
      <c r="E29" s="120">
        <v>346.6</v>
      </c>
      <c r="F29" s="121">
        <v>14210.6</v>
      </c>
      <c r="I29" s="3"/>
      <c r="J29" s="3"/>
    </row>
    <row r="30" spans="2:11" ht="15.75" x14ac:dyDescent="0.25">
      <c r="B30" s="118">
        <v>42949</v>
      </c>
      <c r="C30" s="15">
        <v>22181</v>
      </c>
      <c r="D30" s="119" t="s">
        <v>12</v>
      </c>
      <c r="E30" s="120">
        <v>262.2</v>
      </c>
      <c r="F30" s="121">
        <v>10750.2</v>
      </c>
      <c r="I30" s="3"/>
      <c r="J30" s="3"/>
    </row>
    <row r="31" spans="2:11" ht="15.75" x14ac:dyDescent="0.25">
      <c r="B31" s="118">
        <v>42949</v>
      </c>
      <c r="C31" s="15">
        <v>22182</v>
      </c>
      <c r="D31" s="119" t="s">
        <v>295</v>
      </c>
      <c r="E31" s="120">
        <f>51.5+15.2</f>
        <v>66.7</v>
      </c>
      <c r="F31" s="121">
        <v>3866.1</v>
      </c>
      <c r="I31" s="3"/>
      <c r="J31" s="3"/>
    </row>
    <row r="32" spans="2:11" ht="15.75" x14ac:dyDescent="0.25">
      <c r="B32" s="118">
        <v>42950</v>
      </c>
      <c r="C32" s="15">
        <v>22238</v>
      </c>
      <c r="D32" s="119" t="s">
        <v>14</v>
      </c>
      <c r="E32" s="120">
        <v>396.8</v>
      </c>
      <c r="F32" s="121">
        <v>16467.2</v>
      </c>
      <c r="I32" s="3"/>
      <c r="J32" s="3"/>
    </row>
    <row r="33" spans="2:10" ht="15.75" x14ac:dyDescent="0.25">
      <c r="B33" s="118">
        <v>42950</v>
      </c>
      <c r="C33" s="15">
        <v>22240</v>
      </c>
      <c r="D33" s="119" t="s">
        <v>24</v>
      </c>
      <c r="E33" s="120">
        <f>884.35+69+59</f>
        <v>1012.35</v>
      </c>
      <c r="F33" s="121">
        <v>35792.949999999997</v>
      </c>
      <c r="I33" s="3"/>
      <c r="J33" s="3"/>
    </row>
    <row r="34" spans="2:10" ht="15.75" x14ac:dyDescent="0.25">
      <c r="B34" s="118">
        <v>42950</v>
      </c>
      <c r="C34" s="15">
        <v>22253</v>
      </c>
      <c r="D34" s="119" t="s">
        <v>8</v>
      </c>
      <c r="E34" s="120">
        <f>401.4+75.5+63.95</f>
        <v>540.85</v>
      </c>
      <c r="F34" s="121">
        <v>24146.7</v>
      </c>
      <c r="I34" s="3"/>
      <c r="J34" s="3"/>
    </row>
    <row r="35" spans="2:10" ht="15.75" x14ac:dyDescent="0.25">
      <c r="B35" s="118">
        <v>42950</v>
      </c>
      <c r="C35" s="15">
        <v>22317</v>
      </c>
      <c r="D35" s="119" t="s">
        <v>0</v>
      </c>
      <c r="E35" s="120">
        <f>31.6+1</f>
        <v>32.6</v>
      </c>
      <c r="F35" s="121">
        <v>2918.8</v>
      </c>
      <c r="I35" s="3"/>
      <c r="J35" s="3"/>
    </row>
    <row r="36" spans="2:10" ht="15.75" x14ac:dyDescent="0.25">
      <c r="B36" s="118">
        <v>42950</v>
      </c>
      <c r="C36" s="15">
        <v>22318</v>
      </c>
      <c r="D36" s="119" t="s">
        <v>0</v>
      </c>
      <c r="E36" s="120">
        <v>53.2</v>
      </c>
      <c r="F36" s="121">
        <v>2713.2</v>
      </c>
      <c r="I36" s="3"/>
      <c r="J36" s="3"/>
    </row>
    <row r="37" spans="2:10" ht="15.75" x14ac:dyDescent="0.25">
      <c r="B37" s="118">
        <v>42951</v>
      </c>
      <c r="C37" s="15">
        <v>22422</v>
      </c>
      <c r="D37" s="119" t="s">
        <v>295</v>
      </c>
      <c r="E37" s="120">
        <v>916.25</v>
      </c>
      <c r="F37" s="121">
        <v>33901.25</v>
      </c>
      <c r="I37" s="3"/>
      <c r="J37" s="3"/>
    </row>
    <row r="38" spans="2:10" ht="15.75" x14ac:dyDescent="0.25">
      <c r="B38" s="118">
        <v>42951</v>
      </c>
      <c r="C38" s="15">
        <v>22437</v>
      </c>
      <c r="D38" s="119" t="s">
        <v>12</v>
      </c>
      <c r="E38" s="120">
        <v>30.3</v>
      </c>
      <c r="F38" s="121">
        <v>1605.9</v>
      </c>
      <c r="I38" s="3"/>
      <c r="J38" s="3"/>
    </row>
    <row r="39" spans="2:10" ht="15.75" x14ac:dyDescent="0.25">
      <c r="B39" s="118">
        <v>42951</v>
      </c>
      <c r="C39" s="15">
        <v>22438</v>
      </c>
      <c r="D39" s="119" t="s">
        <v>14</v>
      </c>
      <c r="E39" s="120">
        <v>402</v>
      </c>
      <c r="F39" s="121">
        <v>16683</v>
      </c>
      <c r="I39" s="3"/>
      <c r="J39" s="3"/>
    </row>
    <row r="40" spans="2:10" ht="15.75" x14ac:dyDescent="0.25">
      <c r="B40" s="118">
        <v>42951</v>
      </c>
      <c r="C40" s="15">
        <v>22441</v>
      </c>
      <c r="D40" s="119" t="s">
        <v>8</v>
      </c>
      <c r="E40" s="120">
        <f>149.7+136.8</f>
        <v>286.5</v>
      </c>
      <c r="F40" s="121">
        <v>15677.4</v>
      </c>
      <c r="I40" s="3"/>
      <c r="J40" s="3"/>
    </row>
    <row r="41" spans="2:10" ht="15.75" x14ac:dyDescent="0.25">
      <c r="B41" s="118">
        <v>42951</v>
      </c>
      <c r="C41" s="15">
        <v>22442</v>
      </c>
      <c r="D41" s="119" t="s">
        <v>295</v>
      </c>
      <c r="E41" s="120">
        <f>77+11.2</f>
        <v>88.2</v>
      </c>
      <c r="F41" s="121">
        <v>4996.6000000000004</v>
      </c>
      <c r="I41" s="3"/>
      <c r="J41" s="3"/>
    </row>
    <row r="42" spans="2:10" ht="15.75" x14ac:dyDescent="0.25">
      <c r="B42" s="118">
        <v>42951</v>
      </c>
      <c r="C42" s="15">
        <v>22443</v>
      </c>
      <c r="D42" s="119" t="s">
        <v>10</v>
      </c>
      <c r="E42" s="120">
        <f>12.6+31.6+1</f>
        <v>45.2</v>
      </c>
      <c r="F42" s="121">
        <v>2172.1999999999998</v>
      </c>
      <c r="I42" s="3"/>
      <c r="J42" s="3"/>
    </row>
    <row r="43" spans="2:10" ht="15.75" x14ac:dyDescent="0.25">
      <c r="B43" s="118">
        <v>42951</v>
      </c>
      <c r="C43" s="15">
        <v>22448</v>
      </c>
      <c r="D43" s="119" t="s">
        <v>295</v>
      </c>
      <c r="E43" s="120">
        <f>94.2+26.8</f>
        <v>121</v>
      </c>
      <c r="F43" s="121">
        <v>6155.6</v>
      </c>
      <c r="I43" s="3"/>
      <c r="J43" s="3"/>
    </row>
    <row r="44" spans="2:10" ht="15.75" x14ac:dyDescent="0.25">
      <c r="B44" s="118">
        <v>42951</v>
      </c>
      <c r="C44" s="15">
        <v>22449</v>
      </c>
      <c r="D44" s="119" t="s">
        <v>295</v>
      </c>
      <c r="E44" s="120">
        <v>83.6</v>
      </c>
      <c r="F44" s="121">
        <v>3469.4</v>
      </c>
      <c r="I44" s="3"/>
      <c r="J44" s="3"/>
    </row>
    <row r="45" spans="2:10" ht="15.75" x14ac:dyDescent="0.25">
      <c r="B45" s="118">
        <v>42952</v>
      </c>
      <c r="C45" s="15">
        <v>22588</v>
      </c>
      <c r="D45" s="119" t="s">
        <v>11</v>
      </c>
      <c r="E45" s="120">
        <f>224.2+81+21.4</f>
        <v>326.59999999999997</v>
      </c>
      <c r="F45" s="121">
        <v>13893.2</v>
      </c>
      <c r="I45" s="3"/>
      <c r="J45" s="3"/>
    </row>
    <row r="46" spans="2:10" ht="15.75" x14ac:dyDescent="0.25">
      <c r="B46" s="118">
        <v>42952</v>
      </c>
      <c r="C46" s="15">
        <v>22595</v>
      </c>
      <c r="D46" s="119" t="s">
        <v>8</v>
      </c>
      <c r="E46" s="120">
        <v>393</v>
      </c>
      <c r="F46" s="121">
        <v>16309.5</v>
      </c>
      <c r="I46" s="3"/>
      <c r="J46" s="3"/>
    </row>
    <row r="47" spans="2:10" ht="15.75" x14ac:dyDescent="0.25">
      <c r="B47" s="118">
        <v>42952</v>
      </c>
      <c r="C47" s="15">
        <v>22597</v>
      </c>
      <c r="D47" s="119" t="s">
        <v>295</v>
      </c>
      <c r="E47" s="120">
        <f>164.2+11.8</f>
        <v>176</v>
      </c>
      <c r="F47" s="121">
        <v>9645.6</v>
      </c>
      <c r="I47" s="3"/>
      <c r="J47" s="3"/>
    </row>
    <row r="48" spans="2:10" ht="15.75" x14ac:dyDescent="0.25">
      <c r="B48" s="118">
        <v>42952</v>
      </c>
      <c r="C48" s="15">
        <v>22598</v>
      </c>
      <c r="D48" s="119" t="s">
        <v>14</v>
      </c>
      <c r="E48" s="120">
        <f>152.7+220.8+53.1+30.2</f>
        <v>456.8</v>
      </c>
      <c r="F48" s="121">
        <v>16726.650000000001</v>
      </c>
      <c r="I48" s="3"/>
      <c r="J48" s="3"/>
    </row>
    <row r="49" spans="2:13" ht="15.75" x14ac:dyDescent="0.25">
      <c r="B49" s="118">
        <v>42952</v>
      </c>
      <c r="C49" s="15">
        <v>22599</v>
      </c>
      <c r="D49" s="119" t="s">
        <v>12</v>
      </c>
      <c r="E49" s="120">
        <v>301.5</v>
      </c>
      <c r="F49" s="121">
        <v>12813.75</v>
      </c>
      <c r="I49" s="3"/>
      <c r="J49" s="3"/>
    </row>
    <row r="50" spans="2:13" ht="15.75" x14ac:dyDescent="0.25">
      <c r="B50" s="118">
        <v>42952</v>
      </c>
      <c r="C50" s="189">
        <v>22603</v>
      </c>
      <c r="D50" s="119" t="s">
        <v>10</v>
      </c>
      <c r="E50" s="120">
        <f>158+3</f>
        <v>161</v>
      </c>
      <c r="F50" s="121">
        <v>8252</v>
      </c>
      <c r="I50" s="3"/>
      <c r="J50" s="3"/>
    </row>
    <row r="51" spans="2:13" ht="15.75" x14ac:dyDescent="0.25">
      <c r="B51" s="118">
        <v>42952</v>
      </c>
      <c r="C51" s="15">
        <v>22604</v>
      </c>
      <c r="D51" s="119" t="s">
        <v>295</v>
      </c>
      <c r="E51" s="120">
        <f>62.2+71.7+13.1</f>
        <v>147</v>
      </c>
      <c r="F51" s="121">
        <v>4556.55</v>
      </c>
      <c r="I51" s="3"/>
      <c r="J51" s="3"/>
    </row>
    <row r="52" spans="2:13" ht="15.75" x14ac:dyDescent="0.25">
      <c r="B52" s="118">
        <v>42952</v>
      </c>
      <c r="C52" s="15">
        <v>22802</v>
      </c>
      <c r="D52" s="119" t="s">
        <v>24</v>
      </c>
      <c r="E52" s="120">
        <f>94.9+17.9+51.1</f>
        <v>163.9</v>
      </c>
      <c r="F52" s="121">
        <v>3627</v>
      </c>
      <c r="I52" s="3"/>
      <c r="J52" s="3"/>
    </row>
    <row r="53" spans="2:13" ht="15.75" x14ac:dyDescent="0.25">
      <c r="B53" s="118"/>
      <c r="C53" s="15"/>
      <c r="D53" s="119"/>
      <c r="E53" s="120"/>
      <c r="F53" s="121"/>
      <c r="I53" s="3"/>
      <c r="J53" s="3"/>
    </row>
    <row r="54" spans="2:13" ht="15.75" x14ac:dyDescent="0.25">
      <c r="B54" s="118"/>
      <c r="C54" s="15"/>
      <c r="D54" s="119"/>
      <c r="E54" s="120"/>
      <c r="F54" s="121"/>
      <c r="I54" s="3"/>
      <c r="J54" s="3"/>
    </row>
    <row r="55" spans="2:13" ht="16.5" thickBot="1" x14ac:dyDescent="0.3">
      <c r="B55" s="118"/>
      <c r="C55" s="15"/>
      <c r="D55" s="119"/>
      <c r="E55" s="120"/>
      <c r="F55" s="121"/>
      <c r="I55" s="3"/>
      <c r="J55" s="3"/>
    </row>
    <row r="56" spans="2:13" ht="15.75" thickBot="1" x14ac:dyDescent="0.3">
      <c r="B56" s="29"/>
      <c r="C56" s="66"/>
      <c r="D56" s="31"/>
      <c r="E56" s="32">
        <v>0</v>
      </c>
      <c r="F56" s="33">
        <f>SUM(F3:F55)</f>
        <v>545476.08000000007</v>
      </c>
      <c r="K56" s="3">
        <f t="shared" ref="K56:K63" si="2">J56*I56</f>
        <v>0</v>
      </c>
    </row>
    <row r="57" spans="2:13" ht="19.5" thickBot="1" x14ac:dyDescent="0.35">
      <c r="B57" s="34"/>
      <c r="C57" s="67"/>
      <c r="D57" s="36" t="s">
        <v>5</v>
      </c>
      <c r="E57" s="37">
        <f>SUM(E3:E56)</f>
        <v>12793.560000000003</v>
      </c>
      <c r="K57" s="3">
        <f t="shared" si="2"/>
        <v>0</v>
      </c>
    </row>
    <row r="58" spans="2:13" x14ac:dyDescent="0.25">
      <c r="B58" s="34"/>
      <c r="C58" s="67"/>
      <c r="D58" s="26"/>
      <c r="E58" s="39"/>
      <c r="K58" s="3">
        <f t="shared" si="2"/>
        <v>0</v>
      </c>
    </row>
    <row r="59" spans="2:13" ht="19.5" thickBot="1" x14ac:dyDescent="0.35">
      <c r="B59" s="40"/>
      <c r="C59" s="41" t="s">
        <v>15</v>
      </c>
      <c r="D59" s="149">
        <f>E57*0.3</f>
        <v>3838.0680000000007</v>
      </c>
      <c r="F59"/>
      <c r="K59" s="3">
        <f t="shared" si="2"/>
        <v>0</v>
      </c>
    </row>
    <row r="60" spans="2:13" ht="21.75" thickBot="1" x14ac:dyDescent="0.4">
      <c r="C60" s="41" t="s">
        <v>16</v>
      </c>
      <c r="D60" s="44">
        <v>4000</v>
      </c>
      <c r="E60" s="45"/>
      <c r="F60" s="258">
        <f>D59+D60</f>
        <v>7838.0680000000011</v>
      </c>
      <c r="G60" s="259"/>
      <c r="K60" s="3">
        <f t="shared" si="2"/>
        <v>0</v>
      </c>
      <c r="L60" s="46"/>
      <c r="M60" s="13"/>
    </row>
    <row r="61" spans="2:13" ht="22.5" thickTop="1" thickBot="1" x14ac:dyDescent="0.4">
      <c r="D61" s="146"/>
      <c r="E61" s="47" t="s">
        <v>258</v>
      </c>
      <c r="G61" s="147">
        <v>-4000</v>
      </c>
      <c r="L61" s="46"/>
      <c r="M61" s="13"/>
    </row>
    <row r="62" spans="2:13" ht="19.5" thickBot="1" x14ac:dyDescent="0.35">
      <c r="B62" s="181"/>
      <c r="C62" s="182"/>
      <c r="D62" s="180" t="s">
        <v>651</v>
      </c>
      <c r="E62" s="47" t="s">
        <v>258</v>
      </c>
      <c r="F62" s="142"/>
      <c r="G62" s="160">
        <v>-1500</v>
      </c>
      <c r="K62" s="3">
        <f t="shared" si="2"/>
        <v>0</v>
      </c>
      <c r="L62" s="49"/>
      <c r="M62" s="49"/>
    </row>
    <row r="63" spans="2:13" ht="19.5" thickBot="1" x14ac:dyDescent="0.35">
      <c r="B63" s="271" t="s">
        <v>652</v>
      </c>
      <c r="C63" s="272"/>
      <c r="D63" s="131" t="s">
        <v>653</v>
      </c>
      <c r="E63" s="47" t="s">
        <v>258</v>
      </c>
      <c r="F63" s="125"/>
      <c r="G63" s="169">
        <v>-2338</v>
      </c>
      <c r="K63" s="3">
        <f t="shared" si="2"/>
        <v>0</v>
      </c>
      <c r="L63" s="49"/>
      <c r="M63" s="49"/>
    </row>
    <row r="64" spans="2:13" ht="19.5" thickBot="1" x14ac:dyDescent="0.35">
      <c r="B64" s="173"/>
      <c r="C64" s="174"/>
      <c r="D64" s="131" t="s">
        <v>654</v>
      </c>
      <c r="E64" s="47" t="s">
        <v>307</v>
      </c>
      <c r="F64" s="124"/>
      <c r="G64" s="170">
        <v>0</v>
      </c>
      <c r="L64" s="49"/>
      <c r="M64" s="49"/>
    </row>
    <row r="65" spans="3:13" ht="17.25" customHeight="1" thickBot="1" x14ac:dyDescent="0.4">
      <c r="C65" s="168"/>
      <c r="D65" s="131"/>
      <c r="E65" s="4" t="s">
        <v>258</v>
      </c>
      <c r="F65" s="263">
        <f>SUM(F60:G64)</f>
        <v>6.8000000001120497E-2</v>
      </c>
      <c r="G65" s="264"/>
      <c r="L65" s="49"/>
      <c r="M65" s="49"/>
    </row>
    <row r="66" spans="3:13" ht="19.5" customHeight="1" x14ac:dyDescent="0.35">
      <c r="C66" s="109"/>
      <c r="D66" s="171"/>
      <c r="F66" s="148"/>
      <c r="G66" s="148"/>
    </row>
    <row r="67" spans="3:13" x14ac:dyDescent="0.25">
      <c r="F67" s="27"/>
      <c r="G67" s="26"/>
    </row>
    <row r="68" spans="3:13" x14ac:dyDescent="0.25">
      <c r="D68" t="s">
        <v>9</v>
      </c>
    </row>
    <row r="69" spans="3:13" x14ac:dyDescent="0.25">
      <c r="I69" s="3">
        <f>SUM(I56:I63)</f>
        <v>0</v>
      </c>
      <c r="J69" s="3"/>
      <c r="K69" s="3">
        <f>SUM(K56:K63)</f>
        <v>0</v>
      </c>
    </row>
  </sheetData>
  <sortState ref="B4:F52">
    <sortCondition ref="C4:C52"/>
  </sortState>
  <mergeCells count="4">
    <mergeCell ref="B1:C1"/>
    <mergeCell ref="F60:G60"/>
    <mergeCell ref="B63:C63"/>
    <mergeCell ref="F65:G65"/>
  </mergeCells>
  <pageMargins left="0.31496062992125984" right="0.11811023622047245" top="0.74803149606299213" bottom="0.74803149606299213" header="0.31496062992125984" footer="0.31496062992125984"/>
  <pageSetup scale="90"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6"/>
  <sheetViews>
    <sheetView topLeftCell="A25" workbookViewId="0">
      <selection activeCell="G51" sqref="G51"/>
    </sheetView>
  </sheetViews>
  <sheetFormatPr baseColWidth="10" defaultRowHeight="15" x14ac:dyDescent="0.25"/>
  <cols>
    <col min="1" max="1" width="3.42578125" customWidth="1"/>
    <col min="2" max="2" width="13.42578125" style="96" bestFit="1" customWidth="1"/>
    <col min="3" max="3" width="13.7109375" style="41" customWidth="1"/>
    <col min="4" max="4" width="28.5703125" bestFit="1" customWidth="1"/>
    <col min="5" max="5" width="12" bestFit="1" customWidth="1"/>
    <col min="6" max="6" width="14.140625" style="3" bestFit="1" customWidth="1"/>
    <col min="7" max="7" width="15.7109375" customWidth="1"/>
    <col min="11" max="11" width="11.42578125" style="3"/>
    <col min="13" max="13" width="11.42578125" style="3"/>
  </cols>
  <sheetData>
    <row r="1" spans="2:11" ht="19.5" thickBot="1" x14ac:dyDescent="0.35">
      <c r="B1" s="257">
        <v>42965</v>
      </c>
      <c r="C1" s="257"/>
      <c r="D1" s="184" t="s">
        <v>0</v>
      </c>
      <c r="E1" s="2" t="s">
        <v>1</v>
      </c>
      <c r="K1"/>
    </row>
    <row r="2" spans="2:11" ht="19.5" thickBot="1" x14ac:dyDescent="0.35">
      <c r="B2" s="95" t="s">
        <v>2</v>
      </c>
      <c r="C2" s="5" t="s">
        <v>3</v>
      </c>
      <c r="D2" s="5" t="s">
        <v>4</v>
      </c>
      <c r="E2" s="6" t="s">
        <v>5</v>
      </c>
      <c r="F2" s="139" t="s">
        <v>655</v>
      </c>
      <c r="G2" s="8"/>
      <c r="K2"/>
    </row>
    <row r="3" spans="2:11" ht="15.75" x14ac:dyDescent="0.25">
      <c r="B3" s="185">
        <v>42937</v>
      </c>
      <c r="C3" s="186" t="s">
        <v>657</v>
      </c>
      <c r="D3" s="187" t="s">
        <v>0</v>
      </c>
      <c r="E3" s="188">
        <f>92.5+80.7</f>
        <v>173.2</v>
      </c>
      <c r="F3" s="89">
        <v>10272.1</v>
      </c>
      <c r="K3"/>
    </row>
    <row r="4" spans="2:11" ht="15.75" x14ac:dyDescent="0.25">
      <c r="B4" s="118">
        <v>42942</v>
      </c>
      <c r="C4" s="15">
        <v>21342</v>
      </c>
      <c r="D4" s="119" t="s">
        <v>0</v>
      </c>
      <c r="E4" s="120">
        <v>83.4</v>
      </c>
      <c r="F4" s="121">
        <v>3502.8</v>
      </c>
      <c r="K4"/>
    </row>
    <row r="5" spans="2:11" ht="15.75" x14ac:dyDescent="0.25">
      <c r="B5" s="118">
        <v>42949</v>
      </c>
      <c r="C5" s="15">
        <v>22183</v>
      </c>
      <c r="D5" s="119" t="s">
        <v>91</v>
      </c>
      <c r="E5" s="120">
        <f>61.9+71.7+13.61</f>
        <v>147.20999999999998</v>
      </c>
      <c r="F5" s="121">
        <v>3556.33</v>
      </c>
      <c r="K5"/>
    </row>
    <row r="6" spans="2:11" ht="15.75" x14ac:dyDescent="0.25">
      <c r="B6" s="118">
        <v>42950</v>
      </c>
      <c r="C6" s="15">
        <v>22326</v>
      </c>
      <c r="D6" s="119" t="s">
        <v>0</v>
      </c>
      <c r="E6" s="120">
        <v>4.7</v>
      </c>
      <c r="F6" s="121">
        <v>300.8</v>
      </c>
      <c r="G6" t="s">
        <v>9</v>
      </c>
      <c r="K6" s="3">
        <f t="shared" ref="K6:K16" si="0">J6*I6</f>
        <v>0</v>
      </c>
    </row>
    <row r="7" spans="2:11" ht="15.75" x14ac:dyDescent="0.25">
      <c r="B7" s="118">
        <v>42954</v>
      </c>
      <c r="C7" s="15">
        <v>22797</v>
      </c>
      <c r="D7" s="119" t="s">
        <v>91</v>
      </c>
      <c r="E7" s="120">
        <f>911.3+50.7+51.6</f>
        <v>1013.6</v>
      </c>
      <c r="F7" s="121">
        <v>36173.300000000003</v>
      </c>
      <c r="K7" s="3">
        <f t="shared" si="0"/>
        <v>0</v>
      </c>
    </row>
    <row r="8" spans="2:11" ht="15.75" x14ac:dyDescent="0.25">
      <c r="B8" s="118">
        <v>42954</v>
      </c>
      <c r="C8" s="15">
        <v>22798</v>
      </c>
      <c r="D8" s="119" t="s">
        <v>34</v>
      </c>
      <c r="E8" s="120">
        <v>386.8</v>
      </c>
      <c r="F8" s="121">
        <v>16052.2</v>
      </c>
      <c r="K8" s="3">
        <f t="shared" si="0"/>
        <v>0</v>
      </c>
    </row>
    <row r="9" spans="2:11" ht="15.75" x14ac:dyDescent="0.25">
      <c r="B9" s="118">
        <v>42954</v>
      </c>
      <c r="C9" s="15">
        <v>22799</v>
      </c>
      <c r="D9" s="119" t="s">
        <v>14</v>
      </c>
      <c r="E9" s="120">
        <v>395.1</v>
      </c>
      <c r="F9" s="121">
        <v>16396.650000000001</v>
      </c>
      <c r="K9" s="3">
        <f t="shared" si="0"/>
        <v>0</v>
      </c>
    </row>
    <row r="10" spans="2:11" ht="15.75" x14ac:dyDescent="0.25">
      <c r="B10" s="118">
        <v>42954</v>
      </c>
      <c r="C10" s="15">
        <v>22800</v>
      </c>
      <c r="D10" s="119" t="s">
        <v>248</v>
      </c>
      <c r="E10" s="120">
        <f>6.8+44.6</f>
        <v>51.4</v>
      </c>
      <c r="F10" s="121">
        <v>2709.8</v>
      </c>
      <c r="K10" s="3">
        <f t="shared" si="0"/>
        <v>0</v>
      </c>
    </row>
    <row r="11" spans="2:11" ht="15.75" x14ac:dyDescent="0.25">
      <c r="B11" s="118">
        <v>42954</v>
      </c>
      <c r="C11" s="15">
        <v>22801</v>
      </c>
      <c r="D11" s="119" t="s">
        <v>10</v>
      </c>
      <c r="E11" s="120">
        <v>5.3</v>
      </c>
      <c r="F11" s="121">
        <v>339.2</v>
      </c>
      <c r="K11" s="3">
        <f t="shared" si="0"/>
        <v>0</v>
      </c>
    </row>
    <row r="12" spans="2:11" ht="15.75" x14ac:dyDescent="0.25">
      <c r="B12" s="118">
        <v>42955</v>
      </c>
      <c r="C12" s="15">
        <v>22892</v>
      </c>
      <c r="D12" s="119" t="s">
        <v>34</v>
      </c>
      <c r="E12" s="120">
        <v>379.3</v>
      </c>
      <c r="F12" s="121">
        <v>15740.95</v>
      </c>
      <c r="K12" s="3">
        <f t="shared" si="0"/>
        <v>0</v>
      </c>
    </row>
    <row r="13" spans="2:11" ht="15.75" x14ac:dyDescent="0.25">
      <c r="B13" s="118">
        <v>42955</v>
      </c>
      <c r="C13" s="15">
        <v>22894</v>
      </c>
      <c r="D13" s="119" t="s">
        <v>12</v>
      </c>
      <c r="E13" s="120">
        <v>259.39999999999998</v>
      </c>
      <c r="F13" s="121">
        <v>10765.1</v>
      </c>
      <c r="K13" s="3">
        <f t="shared" si="0"/>
        <v>0</v>
      </c>
    </row>
    <row r="14" spans="2:11" ht="15.75" x14ac:dyDescent="0.25">
      <c r="B14" s="118">
        <v>42955</v>
      </c>
      <c r="C14" s="15">
        <v>22893</v>
      </c>
      <c r="D14" s="119" t="s">
        <v>14</v>
      </c>
      <c r="E14" s="120">
        <v>402.9</v>
      </c>
      <c r="F14" s="121">
        <v>16720.349999999999</v>
      </c>
      <c r="K14" s="3">
        <f t="shared" si="0"/>
        <v>0</v>
      </c>
    </row>
    <row r="15" spans="2:11" ht="15.75" x14ac:dyDescent="0.25">
      <c r="B15" s="118">
        <v>42955</v>
      </c>
      <c r="C15" s="15">
        <v>22895</v>
      </c>
      <c r="D15" s="119" t="s">
        <v>248</v>
      </c>
      <c r="E15" s="120">
        <v>241.9</v>
      </c>
      <c r="F15" s="121">
        <v>10038.85</v>
      </c>
      <c r="K15" s="3">
        <f t="shared" si="0"/>
        <v>0</v>
      </c>
    </row>
    <row r="16" spans="2:11" ht="15.75" x14ac:dyDescent="0.25">
      <c r="B16" s="118">
        <v>42955</v>
      </c>
      <c r="C16" s="15">
        <v>22896</v>
      </c>
      <c r="D16" s="119" t="s">
        <v>248</v>
      </c>
      <c r="E16" s="120">
        <v>82.2</v>
      </c>
      <c r="F16" s="121">
        <v>3493.5</v>
      </c>
      <c r="K16" s="3">
        <f t="shared" si="0"/>
        <v>0</v>
      </c>
    </row>
    <row r="17" spans="2:11" ht="15.75" x14ac:dyDescent="0.25">
      <c r="B17" s="118">
        <v>42955</v>
      </c>
      <c r="C17" s="15">
        <v>22911</v>
      </c>
      <c r="D17" s="119" t="s">
        <v>248</v>
      </c>
      <c r="E17" s="120">
        <v>245.6</v>
      </c>
      <c r="F17" s="121">
        <v>9087.2000000000007</v>
      </c>
    </row>
    <row r="18" spans="2:11" ht="15.75" x14ac:dyDescent="0.25">
      <c r="B18" s="118">
        <v>42955</v>
      </c>
      <c r="C18" s="15">
        <v>22917</v>
      </c>
      <c r="D18" s="119" t="s">
        <v>248</v>
      </c>
      <c r="E18" s="120">
        <v>69.599999999999994</v>
      </c>
      <c r="F18" s="121">
        <v>3619.2</v>
      </c>
    </row>
    <row r="19" spans="2:11" ht="15.75" x14ac:dyDescent="0.25">
      <c r="B19" s="118">
        <v>42955</v>
      </c>
      <c r="C19" s="15">
        <v>22918</v>
      </c>
      <c r="D19" s="119" t="s">
        <v>248</v>
      </c>
      <c r="E19" s="120">
        <f>114.4+28.2+20</f>
        <v>162.6</v>
      </c>
      <c r="F19" s="121">
        <v>6867.4</v>
      </c>
    </row>
    <row r="20" spans="2:11" ht="15.75" x14ac:dyDescent="0.25">
      <c r="B20" s="118">
        <v>42956</v>
      </c>
      <c r="C20" s="15">
        <v>22996</v>
      </c>
      <c r="D20" s="119" t="s">
        <v>34</v>
      </c>
      <c r="E20" s="120">
        <f>433.8+74.3</f>
        <v>508.1</v>
      </c>
      <c r="F20" s="121">
        <v>22980.799999999999</v>
      </c>
    </row>
    <row r="21" spans="2:11" ht="15.75" x14ac:dyDescent="0.25">
      <c r="B21" s="118">
        <v>42956</v>
      </c>
      <c r="C21" s="15">
        <v>22997</v>
      </c>
      <c r="D21" s="119" t="s">
        <v>14</v>
      </c>
      <c r="E21" s="120">
        <f>436.7+66.2+112.7</f>
        <v>615.6</v>
      </c>
      <c r="F21" s="121">
        <v>21674.25</v>
      </c>
    </row>
    <row r="22" spans="2:11" ht="15.75" x14ac:dyDescent="0.25">
      <c r="B22" s="118">
        <v>42956</v>
      </c>
      <c r="C22" s="15">
        <v>23000</v>
      </c>
      <c r="D22" s="119" t="s">
        <v>10</v>
      </c>
      <c r="E22" s="120">
        <v>79.8</v>
      </c>
      <c r="F22" s="121">
        <v>3311.7</v>
      </c>
      <c r="I22" s="3">
        <f t="shared" ref="I22" si="1">SUM(I6:I16)</f>
        <v>0</v>
      </c>
      <c r="J22" s="3"/>
      <c r="K22" s="3">
        <f>SUM(K6:K16)</f>
        <v>0</v>
      </c>
    </row>
    <row r="23" spans="2:11" ht="15.75" x14ac:dyDescent="0.25">
      <c r="B23" s="118">
        <v>42956</v>
      </c>
      <c r="C23" s="15">
        <v>23011</v>
      </c>
      <c r="D23" s="119" t="s">
        <v>91</v>
      </c>
      <c r="E23" s="120">
        <f>2+42.7</f>
        <v>44.7</v>
      </c>
      <c r="F23" s="121">
        <v>1188.5999999999999</v>
      </c>
      <c r="I23" s="3"/>
      <c r="J23" s="3"/>
    </row>
    <row r="24" spans="2:11" ht="15.75" x14ac:dyDescent="0.25">
      <c r="B24" s="118">
        <v>42956</v>
      </c>
      <c r="C24" s="15">
        <v>23013</v>
      </c>
      <c r="D24" s="119" t="s">
        <v>248</v>
      </c>
      <c r="E24" s="120">
        <v>60.1</v>
      </c>
      <c r="F24" s="121">
        <v>3005</v>
      </c>
      <c r="I24" s="3"/>
      <c r="J24" s="3"/>
    </row>
    <row r="25" spans="2:11" ht="15.75" x14ac:dyDescent="0.25">
      <c r="B25" s="118">
        <v>42956</v>
      </c>
      <c r="C25" s="15">
        <v>23014</v>
      </c>
      <c r="D25" s="119" t="s">
        <v>248</v>
      </c>
      <c r="E25" s="120">
        <v>5.0999999999999996</v>
      </c>
      <c r="F25" s="121">
        <v>326.39999999999998</v>
      </c>
      <c r="I25" s="3"/>
      <c r="J25" s="3"/>
    </row>
    <row r="26" spans="2:11" ht="15.75" x14ac:dyDescent="0.25">
      <c r="B26" s="118">
        <v>42956</v>
      </c>
      <c r="C26" s="15">
        <v>23015</v>
      </c>
      <c r="D26" s="119" t="s">
        <v>248</v>
      </c>
      <c r="E26" s="120">
        <f>2+88.9+39.2</f>
        <v>130.10000000000002</v>
      </c>
      <c r="F26" s="121">
        <v>6030.15</v>
      </c>
      <c r="I26" s="3"/>
      <c r="J26" s="3"/>
    </row>
    <row r="27" spans="2:11" ht="15.75" x14ac:dyDescent="0.25">
      <c r="B27" s="118">
        <v>42958</v>
      </c>
      <c r="C27" s="15">
        <v>23271</v>
      </c>
      <c r="D27" s="119" t="s">
        <v>34</v>
      </c>
      <c r="E27" s="120">
        <v>389.7</v>
      </c>
      <c r="F27" s="121">
        <v>16172.55</v>
      </c>
      <c r="I27" s="3"/>
      <c r="J27" s="3"/>
    </row>
    <row r="28" spans="2:11" ht="15.75" x14ac:dyDescent="0.25">
      <c r="B28" s="118">
        <v>42958</v>
      </c>
      <c r="C28" s="15">
        <v>23272</v>
      </c>
      <c r="D28" s="119" t="s">
        <v>14</v>
      </c>
      <c r="E28" s="120">
        <v>406.2</v>
      </c>
      <c r="F28" s="121">
        <v>16857.3</v>
      </c>
      <c r="I28" s="3"/>
      <c r="J28" s="3"/>
    </row>
    <row r="29" spans="2:11" ht="15.75" x14ac:dyDescent="0.25">
      <c r="B29" s="118">
        <v>42958</v>
      </c>
      <c r="C29" s="15">
        <v>23273</v>
      </c>
      <c r="D29" s="119" t="s">
        <v>248</v>
      </c>
      <c r="E29" s="120">
        <f>948+160.9</f>
        <v>1108.9000000000001</v>
      </c>
      <c r="F29" s="121">
        <v>38909.35</v>
      </c>
      <c r="I29" s="3"/>
      <c r="J29" s="3"/>
    </row>
    <row r="30" spans="2:11" ht="15.75" x14ac:dyDescent="0.25">
      <c r="B30" s="118">
        <v>42958</v>
      </c>
      <c r="C30" s="15">
        <v>23274</v>
      </c>
      <c r="D30" s="119" t="s">
        <v>10</v>
      </c>
      <c r="E30" s="120">
        <f>84.3+2</f>
        <v>86.3</v>
      </c>
      <c r="F30" s="121">
        <v>3918.45</v>
      </c>
      <c r="I30" s="3"/>
      <c r="J30" s="3"/>
    </row>
    <row r="31" spans="2:11" ht="15.75" x14ac:dyDescent="0.25">
      <c r="B31" s="118">
        <v>42958</v>
      </c>
      <c r="C31" s="15">
        <v>23275</v>
      </c>
      <c r="D31" s="119" t="s">
        <v>11</v>
      </c>
      <c r="E31" s="120">
        <v>331.6</v>
      </c>
      <c r="F31" s="121">
        <v>11606</v>
      </c>
      <c r="I31" s="3"/>
      <c r="J31" s="3"/>
    </row>
    <row r="32" spans="2:11" ht="15.75" x14ac:dyDescent="0.25">
      <c r="B32" s="118">
        <v>42958</v>
      </c>
      <c r="C32" s="15">
        <v>23280</v>
      </c>
      <c r="D32" s="119" t="s">
        <v>248</v>
      </c>
      <c r="E32" s="120">
        <f>78.8+220.2</f>
        <v>299</v>
      </c>
      <c r="F32" s="121">
        <v>9677</v>
      </c>
      <c r="I32" s="3"/>
      <c r="J32" s="3"/>
    </row>
    <row r="33" spans="2:13" ht="15.75" x14ac:dyDescent="0.25">
      <c r="B33" s="118">
        <v>42958</v>
      </c>
      <c r="C33" s="15">
        <v>23285</v>
      </c>
      <c r="D33" s="119" t="s">
        <v>248</v>
      </c>
      <c r="E33" s="120">
        <f>151+41.6</f>
        <v>192.6</v>
      </c>
      <c r="F33" s="121">
        <v>9774.7999999999993</v>
      </c>
      <c r="I33" s="3"/>
      <c r="J33" s="3"/>
    </row>
    <row r="34" spans="2:13" ht="15.75" x14ac:dyDescent="0.25">
      <c r="B34" s="118">
        <v>42958</v>
      </c>
      <c r="C34" s="15">
        <v>23286</v>
      </c>
      <c r="D34" s="119" t="s">
        <v>248</v>
      </c>
      <c r="E34" s="120">
        <v>51.5</v>
      </c>
      <c r="F34" s="121">
        <v>927</v>
      </c>
      <c r="I34" s="3"/>
      <c r="J34" s="3"/>
    </row>
    <row r="35" spans="2:13" ht="15.75" x14ac:dyDescent="0.25">
      <c r="B35" s="118">
        <v>42958</v>
      </c>
      <c r="C35" s="15">
        <v>23295</v>
      </c>
      <c r="D35" s="119" t="s">
        <v>248</v>
      </c>
      <c r="E35" s="120">
        <f>109.2+17.2</f>
        <v>126.4</v>
      </c>
      <c r="F35" s="121">
        <v>6520.4</v>
      </c>
      <c r="I35" s="3"/>
      <c r="J35" s="3"/>
    </row>
    <row r="36" spans="2:13" ht="15.75" x14ac:dyDescent="0.25">
      <c r="B36" s="118">
        <v>42959</v>
      </c>
      <c r="C36" s="15">
        <v>23378</v>
      </c>
      <c r="D36" s="119" t="s">
        <v>14</v>
      </c>
      <c r="E36" s="120">
        <v>376.8</v>
      </c>
      <c r="F36" s="121">
        <v>15637.2</v>
      </c>
      <c r="I36" s="3"/>
      <c r="J36" s="3"/>
    </row>
    <row r="37" spans="2:13" ht="15.75" x14ac:dyDescent="0.25">
      <c r="B37" s="118">
        <v>42959</v>
      </c>
      <c r="C37" s="15">
        <v>23384</v>
      </c>
      <c r="D37" s="119" t="s">
        <v>248</v>
      </c>
      <c r="E37" s="120">
        <f>78.1</f>
        <v>78.099999999999994</v>
      </c>
      <c r="F37" s="121">
        <v>3319.25</v>
      </c>
      <c r="I37" s="3"/>
      <c r="J37" s="3"/>
    </row>
    <row r="38" spans="2:13" ht="15.75" x14ac:dyDescent="0.25">
      <c r="B38" s="118">
        <v>42959</v>
      </c>
      <c r="C38" s="15">
        <v>23390</v>
      </c>
      <c r="D38" s="119" t="s">
        <v>12</v>
      </c>
      <c r="E38" s="120">
        <f>354+13.61+12.1</f>
        <v>379.71000000000004</v>
      </c>
      <c r="F38" s="121">
        <v>16186.73</v>
      </c>
      <c r="I38" s="3"/>
      <c r="J38" s="3"/>
    </row>
    <row r="39" spans="2:13" ht="15.75" x14ac:dyDescent="0.25">
      <c r="B39" s="118">
        <v>42959</v>
      </c>
      <c r="C39" s="15">
        <v>23403</v>
      </c>
      <c r="D39" s="119" t="s">
        <v>248</v>
      </c>
      <c r="E39" s="120">
        <v>463.5</v>
      </c>
      <c r="F39" s="121">
        <v>19235.25</v>
      </c>
      <c r="I39" s="3"/>
      <c r="J39" s="3"/>
    </row>
    <row r="40" spans="2:13" ht="15.75" x14ac:dyDescent="0.25">
      <c r="B40" s="118">
        <v>42959</v>
      </c>
      <c r="C40" s="15">
        <v>23406</v>
      </c>
      <c r="D40" s="119" t="s">
        <v>248</v>
      </c>
      <c r="E40" s="120">
        <v>81.900000000000006</v>
      </c>
      <c r="F40" s="121">
        <v>1965.6</v>
      </c>
      <c r="I40" s="3"/>
      <c r="J40" s="3"/>
    </row>
    <row r="41" spans="2:13" ht="15.75" x14ac:dyDescent="0.25">
      <c r="B41" s="118">
        <v>42959</v>
      </c>
      <c r="C41" s="15">
        <v>23411</v>
      </c>
      <c r="D41" s="119" t="s">
        <v>248</v>
      </c>
      <c r="E41" s="120">
        <v>42.8</v>
      </c>
      <c r="F41" s="121">
        <v>2311.1999999999998</v>
      </c>
      <c r="I41" s="3"/>
      <c r="J41" s="3"/>
    </row>
    <row r="42" spans="2:13" ht="16.5" thickBot="1" x14ac:dyDescent="0.3">
      <c r="B42" s="118"/>
      <c r="C42" s="15"/>
      <c r="D42" s="119"/>
      <c r="E42" s="120">
        <v>0</v>
      </c>
      <c r="F42" s="121">
        <v>0</v>
      </c>
      <c r="I42" s="3"/>
      <c r="J42" s="3"/>
    </row>
    <row r="43" spans="2:13" ht="15.75" thickBot="1" x14ac:dyDescent="0.3">
      <c r="B43" s="29"/>
      <c r="C43" s="66"/>
      <c r="D43" s="31"/>
      <c r="E43" s="32">
        <v>0</v>
      </c>
      <c r="F43" s="33">
        <f>SUM(F3:F42)</f>
        <v>397170.70999999996</v>
      </c>
      <c r="K43" s="3">
        <f t="shared" ref="K43:K50" si="2">J43*I43</f>
        <v>0</v>
      </c>
    </row>
    <row r="44" spans="2:13" ht="19.5" thickBot="1" x14ac:dyDescent="0.35">
      <c r="B44" s="34"/>
      <c r="C44" s="67"/>
      <c r="D44" s="36" t="s">
        <v>5</v>
      </c>
      <c r="E44" s="37">
        <f>SUM(E3:E43)</f>
        <v>9962.7199999999993</v>
      </c>
      <c r="K44" s="3">
        <f t="shared" si="2"/>
        <v>0</v>
      </c>
    </row>
    <row r="45" spans="2:13" x14ac:dyDescent="0.25">
      <c r="B45" s="34"/>
      <c r="C45" s="67"/>
      <c r="D45" s="26"/>
      <c r="E45" s="39"/>
      <c r="K45" s="3">
        <f t="shared" si="2"/>
        <v>0</v>
      </c>
    </row>
    <row r="46" spans="2:13" ht="19.5" thickBot="1" x14ac:dyDescent="0.35">
      <c r="B46" s="40"/>
      <c r="C46" s="41" t="s">
        <v>15</v>
      </c>
      <c r="D46" s="149">
        <f>E44*0.3</f>
        <v>2988.8159999999998</v>
      </c>
      <c r="F46"/>
      <c r="K46" s="3">
        <f t="shared" si="2"/>
        <v>0</v>
      </c>
    </row>
    <row r="47" spans="2:13" ht="21.75" thickBot="1" x14ac:dyDescent="0.4">
      <c r="C47" s="41" t="s">
        <v>16</v>
      </c>
      <c r="D47" s="44">
        <v>4000</v>
      </c>
      <c r="E47" s="45"/>
      <c r="F47" s="258">
        <f>D46+D47</f>
        <v>6988.8159999999998</v>
      </c>
      <c r="G47" s="259"/>
      <c r="K47" s="3">
        <f t="shared" si="2"/>
        <v>0</v>
      </c>
      <c r="L47" s="46"/>
      <c r="M47" s="13"/>
    </row>
    <row r="48" spans="2:13" ht="22.5" thickTop="1" thickBot="1" x14ac:dyDescent="0.4">
      <c r="D48" s="146"/>
      <c r="E48" s="47" t="s">
        <v>258</v>
      </c>
      <c r="G48" s="147">
        <v>-4000</v>
      </c>
      <c r="L48" s="46"/>
      <c r="M48" s="13"/>
    </row>
    <row r="49" spans="2:13" ht="19.5" thickBot="1" x14ac:dyDescent="0.35">
      <c r="B49" s="181"/>
      <c r="C49" s="182"/>
      <c r="D49" s="180" t="s">
        <v>656</v>
      </c>
      <c r="E49" s="47" t="s">
        <v>258</v>
      </c>
      <c r="F49" s="142"/>
      <c r="G49" s="160">
        <v>-1500</v>
      </c>
      <c r="K49" s="3">
        <f t="shared" si="2"/>
        <v>0</v>
      </c>
      <c r="L49" s="49"/>
      <c r="M49" s="49"/>
    </row>
    <row r="50" spans="2:13" ht="19.5" thickBot="1" x14ac:dyDescent="0.35">
      <c r="B50" s="271"/>
      <c r="C50" s="272"/>
      <c r="D50" s="131" t="s">
        <v>660</v>
      </c>
      <c r="E50" s="47" t="s">
        <v>258</v>
      </c>
      <c r="F50" s="125"/>
      <c r="G50" s="169">
        <v>-1489</v>
      </c>
      <c r="K50" s="3">
        <f t="shared" si="2"/>
        <v>0</v>
      </c>
      <c r="L50" s="49"/>
      <c r="M50" s="49"/>
    </row>
    <row r="51" spans="2:13" ht="19.5" thickBot="1" x14ac:dyDescent="0.35">
      <c r="B51" s="173"/>
      <c r="C51" s="174"/>
      <c r="D51" s="131" t="s">
        <v>661</v>
      </c>
      <c r="E51" s="47" t="s">
        <v>307</v>
      </c>
      <c r="F51" s="124"/>
      <c r="G51" s="170">
        <v>0</v>
      </c>
      <c r="L51" s="49"/>
      <c r="M51" s="49"/>
    </row>
    <row r="52" spans="2:13" ht="17.25" customHeight="1" thickBot="1" x14ac:dyDescent="0.4">
      <c r="C52" s="168"/>
      <c r="D52" s="131"/>
      <c r="E52" s="4" t="s">
        <v>258</v>
      </c>
      <c r="F52" s="263">
        <f>SUM(F47:G51)</f>
        <v>-0.18400000000019645</v>
      </c>
      <c r="G52" s="264"/>
      <c r="L52" s="49"/>
      <c r="M52" s="49"/>
    </row>
    <row r="53" spans="2:13" ht="19.5" customHeight="1" x14ac:dyDescent="0.35">
      <c r="C53" s="109"/>
      <c r="D53" s="171"/>
      <c r="F53" s="148"/>
      <c r="G53" s="148"/>
    </row>
    <row r="54" spans="2:13" x14ac:dyDescent="0.25">
      <c r="F54" s="27"/>
      <c r="G54" s="26"/>
    </row>
    <row r="55" spans="2:13" x14ac:dyDescent="0.25">
      <c r="D55" t="s">
        <v>9</v>
      </c>
    </row>
    <row r="56" spans="2:13" x14ac:dyDescent="0.25">
      <c r="I56" s="3">
        <f>SUM(I43:I50)</f>
        <v>0</v>
      </c>
      <c r="J56" s="3"/>
      <c r="K56" s="3">
        <f>SUM(K43:K50)</f>
        <v>0</v>
      </c>
    </row>
  </sheetData>
  <mergeCells count="4">
    <mergeCell ref="B1:C1"/>
    <mergeCell ref="F47:G47"/>
    <mergeCell ref="B50:C50"/>
    <mergeCell ref="F52:G52"/>
  </mergeCells>
  <pageMargins left="0.31496062992125984" right="0.11811023622047245" top="0.15748031496062992" bottom="0" header="0.31496062992125984" footer="0.31496062992125984"/>
  <pageSetup scale="90"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1"/>
  <sheetViews>
    <sheetView topLeftCell="A16" workbookViewId="0">
      <selection activeCell="G49" sqref="G49"/>
    </sheetView>
  </sheetViews>
  <sheetFormatPr baseColWidth="10" defaultRowHeight="15" x14ac:dyDescent="0.25"/>
  <cols>
    <col min="1" max="1" width="3.42578125" customWidth="1"/>
    <col min="2" max="2" width="13.42578125" style="96" bestFit="1" customWidth="1"/>
    <col min="3" max="3" width="13.7109375" style="41" customWidth="1"/>
    <col min="4" max="4" width="28.5703125" bestFit="1" customWidth="1"/>
    <col min="5" max="5" width="12" bestFit="1" customWidth="1"/>
    <col min="6" max="6" width="14.140625" style="3" bestFit="1" customWidth="1"/>
    <col min="7" max="7" width="15.7109375" customWidth="1"/>
    <col min="11" max="11" width="11.42578125" style="3"/>
    <col min="13" max="13" width="11.42578125" style="3"/>
  </cols>
  <sheetData>
    <row r="1" spans="2:11" ht="19.5" thickBot="1" x14ac:dyDescent="0.35">
      <c r="B1" s="257">
        <v>42972</v>
      </c>
      <c r="C1" s="257"/>
      <c r="D1" s="190" t="s">
        <v>0</v>
      </c>
      <c r="E1" s="2" t="s">
        <v>1</v>
      </c>
      <c r="K1"/>
    </row>
    <row r="2" spans="2:11" ht="19.5" thickBot="1" x14ac:dyDescent="0.35">
      <c r="B2" s="95" t="s">
        <v>2</v>
      </c>
      <c r="C2" s="5" t="s">
        <v>3</v>
      </c>
      <c r="D2" s="5" t="s">
        <v>4</v>
      </c>
      <c r="E2" s="6" t="s">
        <v>5</v>
      </c>
      <c r="F2" s="139" t="s">
        <v>658</v>
      </c>
      <c r="G2" s="8"/>
      <c r="K2"/>
    </row>
    <row r="3" spans="2:11" ht="15.75" x14ac:dyDescent="0.25">
      <c r="B3" s="185">
        <v>42948</v>
      </c>
      <c r="C3" s="186">
        <v>22031</v>
      </c>
      <c r="D3" s="187" t="s">
        <v>0</v>
      </c>
      <c r="E3" s="188">
        <v>76.599999999999994</v>
      </c>
      <c r="F3" s="89">
        <v>3140.6</v>
      </c>
      <c r="K3"/>
    </row>
    <row r="4" spans="2:11" ht="15.75" x14ac:dyDescent="0.25">
      <c r="B4" s="118">
        <v>42948</v>
      </c>
      <c r="C4" s="15">
        <v>22035</v>
      </c>
      <c r="D4" s="119" t="s">
        <v>91</v>
      </c>
      <c r="E4" s="120">
        <f>34+42.4+34</f>
        <v>110.4</v>
      </c>
      <c r="F4" s="121">
        <v>2395.1999999999998</v>
      </c>
      <c r="K4"/>
    </row>
    <row r="5" spans="2:11" ht="15.75" x14ac:dyDescent="0.25">
      <c r="B5" s="118">
        <v>42950</v>
      </c>
      <c r="C5" s="15">
        <v>22252</v>
      </c>
      <c r="D5" s="119" t="s">
        <v>0</v>
      </c>
      <c r="E5" s="120">
        <f>6.2+8.3</f>
        <v>14.5</v>
      </c>
      <c r="F5" s="121">
        <v>778.6</v>
      </c>
      <c r="K5"/>
    </row>
    <row r="6" spans="2:11" ht="15.75" x14ac:dyDescent="0.25">
      <c r="B6" s="118">
        <v>42959</v>
      </c>
      <c r="C6" s="15">
        <v>23388</v>
      </c>
      <c r="D6" s="119" t="s">
        <v>91</v>
      </c>
      <c r="E6" s="120">
        <f>907.03+39.2+13.61</f>
        <v>959.84</v>
      </c>
      <c r="F6" s="121">
        <v>32501.15</v>
      </c>
      <c r="G6" t="s">
        <v>9</v>
      </c>
      <c r="K6" s="3">
        <f t="shared" ref="K6:K16" si="0">J6*I6</f>
        <v>0</v>
      </c>
    </row>
    <row r="7" spans="2:11" ht="15.75" x14ac:dyDescent="0.25">
      <c r="B7" s="118">
        <v>42959</v>
      </c>
      <c r="C7" s="15">
        <v>23392</v>
      </c>
      <c r="D7" s="119" t="s">
        <v>8</v>
      </c>
      <c r="E7" s="120">
        <f>375+83.8</f>
        <v>458.8</v>
      </c>
      <c r="F7" s="121">
        <v>21177.1</v>
      </c>
      <c r="K7" s="3">
        <f t="shared" si="0"/>
        <v>0</v>
      </c>
    </row>
    <row r="8" spans="2:11" ht="15.75" x14ac:dyDescent="0.25">
      <c r="B8" s="118">
        <v>42961</v>
      </c>
      <c r="C8" s="15">
        <v>23642</v>
      </c>
      <c r="D8" s="119" t="s">
        <v>14</v>
      </c>
      <c r="E8" s="120">
        <v>378.1</v>
      </c>
      <c r="F8" s="121">
        <v>15691.15</v>
      </c>
      <c r="K8" s="3">
        <f t="shared" si="0"/>
        <v>0</v>
      </c>
    </row>
    <row r="9" spans="2:11" ht="15.75" x14ac:dyDescent="0.25">
      <c r="B9" s="118">
        <v>42961</v>
      </c>
      <c r="C9" s="15">
        <v>23653</v>
      </c>
      <c r="D9" s="119" t="s">
        <v>8</v>
      </c>
      <c r="E9" s="120">
        <f>402+55.8+52.6</f>
        <v>510.40000000000003</v>
      </c>
      <c r="F9" s="121">
        <v>19582.8</v>
      </c>
      <c r="K9" s="3">
        <f t="shared" si="0"/>
        <v>0</v>
      </c>
    </row>
    <row r="10" spans="2:11" ht="15.75" x14ac:dyDescent="0.25">
      <c r="B10" s="118">
        <v>42961</v>
      </c>
      <c r="C10" s="15">
        <v>23654</v>
      </c>
      <c r="D10" s="119" t="s">
        <v>12</v>
      </c>
      <c r="E10" s="120">
        <f>17.9+79.4</f>
        <v>97.300000000000011</v>
      </c>
      <c r="F10" s="121">
        <v>4440.7</v>
      </c>
      <c r="K10" s="3">
        <f t="shared" si="0"/>
        <v>0</v>
      </c>
    </row>
    <row r="11" spans="2:11" ht="15.75" x14ac:dyDescent="0.25">
      <c r="B11" s="118">
        <v>42961</v>
      </c>
      <c r="C11" s="15">
        <v>23655</v>
      </c>
      <c r="D11" s="119" t="s">
        <v>91</v>
      </c>
      <c r="E11" s="120">
        <f>33.1+54.9</f>
        <v>88</v>
      </c>
      <c r="F11" s="121">
        <v>2112</v>
      </c>
      <c r="K11" s="3">
        <f t="shared" si="0"/>
        <v>0</v>
      </c>
    </row>
    <row r="12" spans="2:11" ht="15.75" x14ac:dyDescent="0.25">
      <c r="B12" s="118">
        <v>42962</v>
      </c>
      <c r="C12" s="15">
        <v>23768</v>
      </c>
      <c r="D12" s="119" t="s">
        <v>659</v>
      </c>
      <c r="E12" s="120">
        <v>908.5</v>
      </c>
      <c r="F12" s="121">
        <v>30889</v>
      </c>
      <c r="K12" s="3">
        <f t="shared" si="0"/>
        <v>0</v>
      </c>
    </row>
    <row r="13" spans="2:11" ht="15.75" x14ac:dyDescent="0.25">
      <c r="B13" s="118">
        <v>42962</v>
      </c>
      <c r="C13" s="15">
        <v>23769</v>
      </c>
      <c r="D13" s="119" t="s">
        <v>8</v>
      </c>
      <c r="E13" s="120">
        <v>428.6</v>
      </c>
      <c r="F13" s="121">
        <v>17786.900000000001</v>
      </c>
      <c r="K13" s="3">
        <f t="shared" si="0"/>
        <v>0</v>
      </c>
    </row>
    <row r="14" spans="2:11" ht="15.75" x14ac:dyDescent="0.25">
      <c r="B14" s="118">
        <v>42962</v>
      </c>
      <c r="C14" s="15">
        <v>23770</v>
      </c>
      <c r="D14" s="119" t="s">
        <v>14</v>
      </c>
      <c r="E14" s="120">
        <v>381.4</v>
      </c>
      <c r="F14" s="121">
        <v>15828.1</v>
      </c>
      <c r="K14" s="3">
        <f t="shared" si="0"/>
        <v>0</v>
      </c>
    </row>
    <row r="15" spans="2:11" ht="15.75" x14ac:dyDescent="0.25">
      <c r="B15" s="118">
        <v>42962</v>
      </c>
      <c r="C15" s="15">
        <v>23775</v>
      </c>
      <c r="D15" s="119" t="s">
        <v>248</v>
      </c>
      <c r="E15" s="120">
        <v>163.80000000000001</v>
      </c>
      <c r="F15" s="121">
        <v>5733</v>
      </c>
      <c r="K15" s="3">
        <f t="shared" si="0"/>
        <v>0</v>
      </c>
    </row>
    <row r="16" spans="2:11" ht="15.75" x14ac:dyDescent="0.25">
      <c r="B16" s="118">
        <v>42962</v>
      </c>
      <c r="C16" s="15">
        <v>23789</v>
      </c>
      <c r="D16" s="119" t="s">
        <v>10</v>
      </c>
      <c r="E16" s="120">
        <v>6.3</v>
      </c>
      <c r="F16" s="121">
        <v>466.2</v>
      </c>
      <c r="K16" s="3">
        <f t="shared" si="0"/>
        <v>0</v>
      </c>
    </row>
    <row r="17" spans="2:11" ht="15.75" x14ac:dyDescent="0.25">
      <c r="B17" s="118">
        <v>42962</v>
      </c>
      <c r="C17" s="15">
        <v>23790</v>
      </c>
      <c r="D17" s="119" t="s">
        <v>248</v>
      </c>
      <c r="E17" s="120">
        <f>46.2+10.4</f>
        <v>56.6</v>
      </c>
      <c r="F17" s="121">
        <v>1081.2</v>
      </c>
    </row>
    <row r="18" spans="2:11" ht="15.75" x14ac:dyDescent="0.25">
      <c r="B18" s="118">
        <v>42962</v>
      </c>
      <c r="C18" s="15">
        <v>23791</v>
      </c>
      <c r="D18" s="119" t="s">
        <v>248</v>
      </c>
      <c r="E18" s="120">
        <f>95.4+26.1</f>
        <v>121.5</v>
      </c>
      <c r="F18" s="121">
        <v>6163.2</v>
      </c>
    </row>
    <row r="19" spans="2:11" ht="15.75" x14ac:dyDescent="0.25">
      <c r="B19" s="118">
        <v>42963</v>
      </c>
      <c r="C19" s="15">
        <v>23886</v>
      </c>
      <c r="D19" s="119" t="s">
        <v>14</v>
      </c>
      <c r="E19" s="120">
        <v>414.1</v>
      </c>
      <c r="F19" s="121">
        <v>17185.150000000001</v>
      </c>
    </row>
    <row r="20" spans="2:11" ht="15.75" x14ac:dyDescent="0.25">
      <c r="B20" s="118">
        <v>42963</v>
      </c>
      <c r="C20" s="15">
        <v>23888</v>
      </c>
      <c r="D20" s="119" t="s">
        <v>8</v>
      </c>
      <c r="E20" s="120">
        <v>417.4</v>
      </c>
      <c r="F20" s="121">
        <v>17322.099999999999</v>
      </c>
    </row>
    <row r="21" spans="2:11" ht="15.75" x14ac:dyDescent="0.25">
      <c r="B21" s="118">
        <v>42963</v>
      </c>
      <c r="C21" s="15">
        <v>23889</v>
      </c>
      <c r="D21" s="119" t="s">
        <v>10</v>
      </c>
      <c r="E21" s="120">
        <v>87.5</v>
      </c>
      <c r="F21" s="121">
        <v>3631.25</v>
      </c>
    </row>
    <row r="22" spans="2:11" ht="15.75" x14ac:dyDescent="0.25">
      <c r="B22" s="118">
        <v>42963</v>
      </c>
      <c r="C22" s="15">
        <v>23890</v>
      </c>
      <c r="D22" s="119" t="s">
        <v>248</v>
      </c>
      <c r="E22" s="120">
        <v>91.3</v>
      </c>
      <c r="F22" s="121">
        <v>3789.95</v>
      </c>
      <c r="I22" s="3">
        <f t="shared" ref="I22" si="1">SUM(I6:I16)</f>
        <v>0</v>
      </c>
      <c r="J22" s="3"/>
      <c r="K22" s="3">
        <f>SUM(K6:K16)</f>
        <v>0</v>
      </c>
    </row>
    <row r="23" spans="2:11" ht="15.75" x14ac:dyDescent="0.25">
      <c r="B23" s="118">
        <v>42963</v>
      </c>
      <c r="C23" s="15">
        <v>23895</v>
      </c>
      <c r="D23" s="119" t="s">
        <v>248</v>
      </c>
      <c r="E23" s="120">
        <v>13.8</v>
      </c>
      <c r="F23" s="121">
        <v>1021.2</v>
      </c>
      <c r="I23" s="3"/>
      <c r="J23" s="3"/>
    </row>
    <row r="24" spans="2:11" ht="15.75" x14ac:dyDescent="0.25">
      <c r="B24" s="118">
        <v>42964</v>
      </c>
      <c r="C24" s="15">
        <v>23974</v>
      </c>
      <c r="D24" s="119" t="s">
        <v>248</v>
      </c>
      <c r="E24" s="120">
        <f>32+91.6</f>
        <v>123.6</v>
      </c>
      <c r="F24" s="121">
        <v>5977.4</v>
      </c>
      <c r="I24" s="3"/>
      <c r="J24" s="3"/>
    </row>
    <row r="25" spans="2:11" ht="15.75" x14ac:dyDescent="0.25">
      <c r="B25" s="118">
        <v>42964</v>
      </c>
      <c r="C25" s="15">
        <v>23981</v>
      </c>
      <c r="D25" s="119" t="s">
        <v>248</v>
      </c>
      <c r="E25" s="120">
        <f>363.4+10+5</f>
        <v>378.4</v>
      </c>
      <c r="F25" s="121">
        <v>17311.099999999999</v>
      </c>
      <c r="I25" s="3"/>
      <c r="J25" s="3"/>
    </row>
    <row r="26" spans="2:11" ht="15.75" x14ac:dyDescent="0.25">
      <c r="B26" s="118">
        <v>42964</v>
      </c>
      <c r="C26" s="15">
        <v>24000</v>
      </c>
      <c r="D26" s="119" t="s">
        <v>12</v>
      </c>
      <c r="E26" s="120">
        <f>173.9+24.6</f>
        <v>198.5</v>
      </c>
      <c r="F26" s="121">
        <v>8791.25</v>
      </c>
      <c r="I26" s="3"/>
      <c r="J26" s="3"/>
    </row>
    <row r="27" spans="2:11" ht="15.75" x14ac:dyDescent="0.25">
      <c r="B27" s="118">
        <v>42964</v>
      </c>
      <c r="C27" s="15">
        <v>24002</v>
      </c>
      <c r="D27" s="119" t="s">
        <v>248</v>
      </c>
      <c r="E27" s="120">
        <v>52.8</v>
      </c>
      <c r="F27" s="121">
        <v>2534.4</v>
      </c>
      <c r="I27" s="3"/>
      <c r="J27" s="3"/>
    </row>
    <row r="28" spans="2:11" ht="15.75" x14ac:dyDescent="0.25">
      <c r="B28" s="118">
        <v>42965</v>
      </c>
      <c r="C28" s="15">
        <v>24149</v>
      </c>
      <c r="D28" s="119" t="s">
        <v>10</v>
      </c>
      <c r="E28" s="120">
        <v>91.3</v>
      </c>
      <c r="F28" s="121">
        <v>3788.95</v>
      </c>
      <c r="I28" s="3"/>
      <c r="J28" s="3"/>
    </row>
    <row r="29" spans="2:11" ht="15.75" x14ac:dyDescent="0.25">
      <c r="B29" s="118">
        <v>42965</v>
      </c>
      <c r="C29" s="15">
        <v>24150</v>
      </c>
      <c r="D29" s="119" t="s">
        <v>248</v>
      </c>
      <c r="E29" s="120">
        <v>399.7</v>
      </c>
      <c r="F29" s="121">
        <v>16387.7</v>
      </c>
      <c r="I29" s="3"/>
      <c r="J29" s="3"/>
    </row>
    <row r="30" spans="2:11" ht="15.75" x14ac:dyDescent="0.25">
      <c r="B30" s="118">
        <v>42965</v>
      </c>
      <c r="C30" s="15">
        <v>24159</v>
      </c>
      <c r="D30" s="119" t="s">
        <v>8</v>
      </c>
      <c r="E30" s="120">
        <f>103.2+93.1</f>
        <v>196.3</v>
      </c>
      <c r="F30" s="121">
        <v>5184.6000000000004</v>
      </c>
      <c r="I30" s="3"/>
      <c r="J30" s="3"/>
    </row>
    <row r="31" spans="2:11" ht="15.75" x14ac:dyDescent="0.25">
      <c r="B31" s="118">
        <v>42965</v>
      </c>
      <c r="C31" s="15">
        <v>24160</v>
      </c>
      <c r="D31" s="119" t="s">
        <v>248</v>
      </c>
      <c r="E31" s="120">
        <f>84.4+885.4</f>
        <v>969.8</v>
      </c>
      <c r="F31" s="121">
        <v>32720.799999999999</v>
      </c>
      <c r="I31" s="3"/>
      <c r="J31" s="3"/>
    </row>
    <row r="32" spans="2:11" ht="15.75" x14ac:dyDescent="0.25">
      <c r="B32" s="118">
        <v>42965</v>
      </c>
      <c r="C32" s="15">
        <v>24161</v>
      </c>
      <c r="D32" s="119" t="s">
        <v>248</v>
      </c>
      <c r="E32" s="120">
        <f>160.2+43.4+42.4</f>
        <v>246</v>
      </c>
      <c r="F32" s="121">
        <v>13034</v>
      </c>
      <c r="I32" s="3"/>
      <c r="J32" s="3"/>
    </row>
    <row r="33" spans="2:13" ht="15.75" x14ac:dyDescent="0.25">
      <c r="B33" s="118">
        <v>42965</v>
      </c>
      <c r="C33" s="15">
        <v>24167</v>
      </c>
      <c r="D33" s="119" t="s">
        <v>10</v>
      </c>
      <c r="E33" s="120">
        <v>1</v>
      </c>
      <c r="F33" s="121">
        <v>770</v>
      </c>
      <c r="I33" s="3"/>
      <c r="J33" s="3"/>
    </row>
    <row r="34" spans="2:13" ht="15.75" x14ac:dyDescent="0.25">
      <c r="B34" s="118">
        <v>42965</v>
      </c>
      <c r="C34" s="15">
        <v>24170</v>
      </c>
      <c r="D34" s="119" t="s">
        <v>466</v>
      </c>
      <c r="E34" s="120">
        <f>1+65.2</f>
        <v>66.2</v>
      </c>
      <c r="F34" s="121">
        <v>2334.8000000000002</v>
      </c>
      <c r="I34" s="3"/>
      <c r="J34" s="3"/>
    </row>
    <row r="35" spans="2:13" ht="15.75" x14ac:dyDescent="0.25">
      <c r="B35" s="118">
        <v>42966</v>
      </c>
      <c r="C35" s="15">
        <v>24303</v>
      </c>
      <c r="D35" s="119" t="s">
        <v>248</v>
      </c>
      <c r="E35" s="120">
        <f>10.8+274.4</f>
        <v>285.2</v>
      </c>
      <c r="F35" s="121">
        <v>11542</v>
      </c>
      <c r="I35" s="3"/>
      <c r="J35" s="3"/>
    </row>
    <row r="36" spans="2:13" ht="15.75" x14ac:dyDescent="0.25">
      <c r="B36" s="118">
        <v>42966</v>
      </c>
      <c r="C36" s="15">
        <v>24330</v>
      </c>
      <c r="D36" s="119" t="s">
        <v>12</v>
      </c>
      <c r="E36" s="120">
        <f>346.8+15.7</f>
        <v>362.5</v>
      </c>
      <c r="F36" s="121">
        <v>14595.6</v>
      </c>
      <c r="I36" s="3"/>
      <c r="J36" s="3"/>
    </row>
    <row r="37" spans="2:13" ht="16.5" thickBot="1" x14ac:dyDescent="0.3">
      <c r="B37" s="118"/>
      <c r="C37" s="15"/>
      <c r="D37" s="119"/>
      <c r="E37" s="120">
        <v>0</v>
      </c>
      <c r="F37" s="121">
        <v>0</v>
      </c>
      <c r="I37" s="3"/>
      <c r="J37" s="3"/>
    </row>
    <row r="38" spans="2:13" ht="15.75" thickBot="1" x14ac:dyDescent="0.3">
      <c r="B38" s="29"/>
      <c r="C38" s="66"/>
      <c r="D38" s="31"/>
      <c r="E38" s="32">
        <v>0</v>
      </c>
      <c r="F38" s="33">
        <f>SUM(F3:F37)</f>
        <v>357689.14999999997</v>
      </c>
      <c r="K38" s="3">
        <f t="shared" ref="K38:K45" si="2">J38*I38</f>
        <v>0</v>
      </c>
    </row>
    <row r="39" spans="2:13" ht="19.5" thickBot="1" x14ac:dyDescent="0.35">
      <c r="B39" s="34"/>
      <c r="C39" s="67"/>
      <c r="D39" s="36" t="s">
        <v>5</v>
      </c>
      <c r="E39" s="37">
        <f>SUM(E3:E38)</f>
        <v>9156.0400000000027</v>
      </c>
      <c r="K39" s="3">
        <f t="shared" si="2"/>
        <v>0</v>
      </c>
    </row>
    <row r="40" spans="2:13" x14ac:dyDescent="0.25">
      <c r="B40" s="34"/>
      <c r="C40" s="67"/>
      <c r="D40" s="26"/>
      <c r="E40" s="39"/>
      <c r="K40" s="3">
        <f t="shared" si="2"/>
        <v>0</v>
      </c>
    </row>
    <row r="41" spans="2:13" ht="19.5" thickBot="1" x14ac:dyDescent="0.35">
      <c r="B41" s="40"/>
      <c r="C41" s="41" t="s">
        <v>15</v>
      </c>
      <c r="D41" s="149">
        <f>E39*0.3</f>
        <v>2746.8120000000008</v>
      </c>
      <c r="F41"/>
      <c r="K41" s="3">
        <f t="shared" si="2"/>
        <v>0</v>
      </c>
    </row>
    <row r="42" spans="2:13" ht="21.75" thickBot="1" x14ac:dyDescent="0.4">
      <c r="C42" s="41" t="s">
        <v>16</v>
      </c>
      <c r="D42" s="44">
        <v>4000</v>
      </c>
      <c r="E42" s="45"/>
      <c r="F42" s="258">
        <f>D41+D42</f>
        <v>6746.8120000000008</v>
      </c>
      <c r="G42" s="259"/>
      <c r="K42" s="3">
        <f t="shared" si="2"/>
        <v>0</v>
      </c>
      <c r="L42" s="46"/>
      <c r="M42" s="13"/>
    </row>
    <row r="43" spans="2:13" ht="22.5" thickTop="1" thickBot="1" x14ac:dyDescent="0.4">
      <c r="D43" s="146"/>
      <c r="E43" s="47" t="s">
        <v>258</v>
      </c>
      <c r="G43" s="147">
        <v>-4000</v>
      </c>
      <c r="L43" s="46"/>
      <c r="M43" s="13"/>
    </row>
    <row r="44" spans="2:13" ht="19.5" thickBot="1" x14ac:dyDescent="0.35">
      <c r="B44" s="181"/>
      <c r="C44" s="182"/>
      <c r="D44" s="180" t="s">
        <v>656</v>
      </c>
      <c r="E44" s="47" t="s">
        <v>258</v>
      </c>
      <c r="F44" s="142"/>
      <c r="G44" s="160">
        <v>-1500</v>
      </c>
      <c r="K44" s="3">
        <f t="shared" si="2"/>
        <v>0</v>
      </c>
      <c r="L44" s="49"/>
      <c r="M44" s="49"/>
    </row>
    <row r="45" spans="2:13" ht="19.5" thickBot="1" x14ac:dyDescent="0.35">
      <c r="B45" s="271"/>
      <c r="C45" s="272"/>
      <c r="D45" s="131" t="s">
        <v>660</v>
      </c>
      <c r="E45" s="47" t="s">
        <v>258</v>
      </c>
      <c r="F45" s="125"/>
      <c r="G45" s="169">
        <v>-1489</v>
      </c>
      <c r="K45" s="3">
        <f t="shared" si="2"/>
        <v>0</v>
      </c>
      <c r="L45" s="49"/>
      <c r="M45" s="49"/>
    </row>
    <row r="46" spans="2:13" ht="19.5" thickBot="1" x14ac:dyDescent="0.35">
      <c r="B46" s="173"/>
      <c r="C46" s="174"/>
      <c r="D46" s="131" t="s">
        <v>661</v>
      </c>
      <c r="E46" s="47" t="s">
        <v>307</v>
      </c>
      <c r="F46" s="124"/>
      <c r="G46" s="170">
        <v>0</v>
      </c>
      <c r="L46" s="49"/>
      <c r="M46" s="49"/>
    </row>
    <row r="47" spans="2:13" ht="17.25" customHeight="1" thickBot="1" x14ac:dyDescent="0.4">
      <c r="C47" s="168"/>
      <c r="D47" s="131"/>
      <c r="E47" s="4" t="s">
        <v>258</v>
      </c>
      <c r="F47" s="273">
        <f>SUM(F42:G46)</f>
        <v>-242.18799999999919</v>
      </c>
      <c r="G47" s="274"/>
      <c r="L47" s="49"/>
      <c r="M47" s="49"/>
    </row>
    <row r="48" spans="2:13" ht="19.5" customHeight="1" x14ac:dyDescent="0.35">
      <c r="C48" s="109"/>
      <c r="D48" s="171"/>
      <c r="F48" s="148"/>
      <c r="G48" s="148"/>
    </row>
    <row r="49" spans="4:11" x14ac:dyDescent="0.25">
      <c r="F49" s="27"/>
      <c r="G49" s="26"/>
    </row>
    <row r="50" spans="4:11" x14ac:dyDescent="0.25">
      <c r="D50" t="s">
        <v>9</v>
      </c>
    </row>
    <row r="51" spans="4:11" x14ac:dyDescent="0.25">
      <c r="I51" s="3">
        <f>SUM(I38:I45)</f>
        <v>0</v>
      </c>
      <c r="J51" s="3"/>
      <c r="K51" s="3">
        <f>SUM(K38:K45)</f>
        <v>0</v>
      </c>
    </row>
  </sheetData>
  <mergeCells count="4">
    <mergeCell ref="B1:C1"/>
    <mergeCell ref="F42:G42"/>
    <mergeCell ref="B45:C45"/>
    <mergeCell ref="F47:G47"/>
  </mergeCells>
  <pageMargins left="0.70866141732283472" right="0.70866141732283472" top="0.74803149606299213" bottom="0.74803149606299213" header="0.31496062992125984" footer="0.31496062992125984"/>
  <pageSetup scale="85"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8"/>
  <sheetViews>
    <sheetView topLeftCell="A37" workbookViewId="0">
      <selection activeCell="C35" sqref="C35"/>
    </sheetView>
  </sheetViews>
  <sheetFormatPr baseColWidth="10" defaultRowHeight="15" x14ac:dyDescent="0.25"/>
  <cols>
    <col min="1" max="1" width="3.42578125" customWidth="1"/>
    <col min="2" max="2" width="13.42578125" style="96" bestFit="1" customWidth="1"/>
    <col min="3" max="3" width="13.7109375" style="41" customWidth="1"/>
    <col min="4" max="4" width="28.5703125" bestFit="1" customWidth="1"/>
    <col min="5" max="5" width="12" bestFit="1" customWidth="1"/>
    <col min="6" max="6" width="14.140625" style="3" bestFit="1" customWidth="1"/>
    <col min="7" max="7" width="15.7109375" customWidth="1"/>
    <col min="11" max="11" width="11.42578125" style="3"/>
    <col min="13" max="13" width="11.42578125" style="3"/>
  </cols>
  <sheetData>
    <row r="1" spans="2:11" ht="19.5" thickBot="1" x14ac:dyDescent="0.35">
      <c r="B1" s="257">
        <v>42979</v>
      </c>
      <c r="C1" s="257"/>
      <c r="D1" s="191" t="s">
        <v>0</v>
      </c>
      <c r="E1" s="2" t="s">
        <v>1</v>
      </c>
      <c r="K1"/>
    </row>
    <row r="2" spans="2:11" ht="19.5" thickBot="1" x14ac:dyDescent="0.35">
      <c r="B2" s="95" t="s">
        <v>2</v>
      </c>
      <c r="C2" s="5" t="s">
        <v>3</v>
      </c>
      <c r="D2" s="5" t="s">
        <v>4</v>
      </c>
      <c r="E2" s="6" t="s">
        <v>5</v>
      </c>
      <c r="F2" s="139" t="s">
        <v>662</v>
      </c>
      <c r="G2" s="8"/>
      <c r="K2"/>
    </row>
    <row r="3" spans="2:11" ht="15.75" x14ac:dyDescent="0.25">
      <c r="B3" s="185">
        <v>42945</v>
      </c>
      <c r="C3" s="186" t="s">
        <v>663</v>
      </c>
      <c r="D3" s="187" t="s">
        <v>248</v>
      </c>
      <c r="E3" s="188">
        <f>88.3+68.8</f>
        <v>157.1</v>
      </c>
      <c r="F3" s="89">
        <v>9075</v>
      </c>
      <c r="K3"/>
    </row>
    <row r="4" spans="2:11" ht="15.75" x14ac:dyDescent="0.25">
      <c r="B4" s="118">
        <v>42952</v>
      </c>
      <c r="C4" s="15">
        <v>22605</v>
      </c>
      <c r="D4" s="119" t="s">
        <v>248</v>
      </c>
      <c r="E4" s="120">
        <v>31.1</v>
      </c>
      <c r="F4" s="121">
        <v>1928.2</v>
      </c>
      <c r="K4"/>
    </row>
    <row r="5" spans="2:11" ht="15.75" x14ac:dyDescent="0.25">
      <c r="B5" s="118">
        <v>42956</v>
      </c>
      <c r="C5" s="15">
        <v>23012</v>
      </c>
      <c r="D5" s="119" t="s">
        <v>248</v>
      </c>
      <c r="E5" s="120">
        <v>86</v>
      </c>
      <c r="F5" s="121">
        <v>3569</v>
      </c>
      <c r="K5"/>
    </row>
    <row r="6" spans="2:11" ht="15.75" x14ac:dyDescent="0.25">
      <c r="B6" s="118">
        <v>42956</v>
      </c>
      <c r="C6" s="15">
        <v>23016</v>
      </c>
      <c r="D6" s="119" t="s">
        <v>248</v>
      </c>
      <c r="E6" s="120">
        <v>83.7</v>
      </c>
      <c r="F6" s="121">
        <v>3473.55</v>
      </c>
      <c r="G6" t="s">
        <v>9</v>
      </c>
      <c r="K6" s="3">
        <f t="shared" ref="K6:K16" si="0">J6*I6</f>
        <v>0</v>
      </c>
    </row>
    <row r="7" spans="2:11" ht="15.75" x14ac:dyDescent="0.25">
      <c r="B7" s="118">
        <v>42958</v>
      </c>
      <c r="C7" s="15">
        <v>23276</v>
      </c>
      <c r="D7" s="119" t="s">
        <v>24</v>
      </c>
      <c r="E7" s="120">
        <f>100.2+81.4+18+27.4</f>
        <v>227.00000000000003</v>
      </c>
      <c r="F7" s="121">
        <v>5265.6</v>
      </c>
      <c r="K7" s="3">
        <f t="shared" si="0"/>
        <v>0</v>
      </c>
    </row>
    <row r="8" spans="2:11" ht="15.75" x14ac:dyDescent="0.25">
      <c r="B8" s="118">
        <v>42958</v>
      </c>
      <c r="C8" s="15">
        <v>23291</v>
      </c>
      <c r="D8" s="119" t="s">
        <v>6</v>
      </c>
      <c r="E8" s="120">
        <f>405.4+26.5+12.6+9.2+144.4</f>
        <v>598.1</v>
      </c>
      <c r="F8" s="121">
        <v>28684.5</v>
      </c>
      <c r="K8" s="3">
        <f t="shared" si="0"/>
        <v>0</v>
      </c>
    </row>
    <row r="9" spans="2:11" ht="15.75" x14ac:dyDescent="0.25">
      <c r="B9" s="118">
        <v>42959</v>
      </c>
      <c r="C9" s="15">
        <v>23398</v>
      </c>
      <c r="D9" s="119" t="s">
        <v>248</v>
      </c>
      <c r="E9" s="120">
        <f>107.2+98</f>
        <v>205.2</v>
      </c>
      <c r="F9" s="121">
        <v>12428.6</v>
      </c>
      <c r="K9" s="3">
        <f t="shared" si="0"/>
        <v>0</v>
      </c>
    </row>
    <row r="10" spans="2:11" ht="15.75" x14ac:dyDescent="0.25">
      <c r="B10" s="118">
        <v>42959</v>
      </c>
      <c r="C10" s="15">
        <v>23482</v>
      </c>
      <c r="D10" s="119" t="s">
        <v>248</v>
      </c>
      <c r="E10" s="120">
        <f>131.4+11.9</f>
        <v>143.30000000000001</v>
      </c>
      <c r="F10" s="121">
        <v>7725.8</v>
      </c>
      <c r="K10" s="3">
        <f t="shared" si="0"/>
        <v>0</v>
      </c>
    </row>
    <row r="11" spans="2:11" ht="15.75" x14ac:dyDescent="0.25">
      <c r="B11" s="118">
        <v>42962</v>
      </c>
      <c r="C11" s="15">
        <v>23776</v>
      </c>
      <c r="D11" s="119" t="s">
        <v>248</v>
      </c>
      <c r="E11" s="120">
        <v>73.599999999999994</v>
      </c>
      <c r="F11" s="121">
        <v>3606.4</v>
      </c>
      <c r="K11" s="3">
        <f t="shared" si="0"/>
        <v>0</v>
      </c>
    </row>
    <row r="12" spans="2:11" ht="15.75" x14ac:dyDescent="0.25">
      <c r="B12" s="118">
        <v>42962</v>
      </c>
      <c r="C12" s="15">
        <v>23779</v>
      </c>
      <c r="D12" s="119" t="s">
        <v>0</v>
      </c>
      <c r="E12" s="120">
        <f>98.5+9.6+7.2</f>
        <v>115.3</v>
      </c>
      <c r="F12" s="121">
        <v>4990.1499999999996</v>
      </c>
      <c r="K12" s="3">
        <f t="shared" si="0"/>
        <v>0</v>
      </c>
    </row>
    <row r="13" spans="2:11" ht="15.75" x14ac:dyDescent="0.25">
      <c r="B13" s="118">
        <v>42963</v>
      </c>
      <c r="C13" s="15">
        <v>23896</v>
      </c>
      <c r="D13" s="192" t="s">
        <v>24</v>
      </c>
      <c r="E13" s="119">
        <f>75.8+78.8+43.1+5.6+18.4</f>
        <v>221.7</v>
      </c>
      <c r="F13" s="121">
        <v>5073.3999999999996</v>
      </c>
      <c r="K13" s="3">
        <f t="shared" si="0"/>
        <v>0</v>
      </c>
    </row>
    <row r="14" spans="2:11" ht="15.75" x14ac:dyDescent="0.25">
      <c r="B14" s="118">
        <v>42964</v>
      </c>
      <c r="C14" s="15">
        <v>23985</v>
      </c>
      <c r="D14" s="119" t="s">
        <v>8</v>
      </c>
      <c r="E14" s="120">
        <f>342.4+75.2</f>
        <v>417.59999999999997</v>
      </c>
      <c r="F14" s="121">
        <v>19248</v>
      </c>
      <c r="K14" s="3">
        <f t="shared" si="0"/>
        <v>0</v>
      </c>
    </row>
    <row r="15" spans="2:11" ht="15.75" x14ac:dyDescent="0.25">
      <c r="B15" s="118">
        <v>42964</v>
      </c>
      <c r="C15" s="15">
        <v>23998</v>
      </c>
      <c r="D15" s="119" t="s">
        <v>24</v>
      </c>
      <c r="E15" s="120">
        <v>937.12</v>
      </c>
      <c r="F15" s="121">
        <v>30924.959999999999</v>
      </c>
      <c r="K15" s="3">
        <f t="shared" si="0"/>
        <v>0</v>
      </c>
    </row>
    <row r="16" spans="2:11" ht="15.75" x14ac:dyDescent="0.25">
      <c r="B16" s="118">
        <v>42964</v>
      </c>
      <c r="C16" s="15">
        <v>24001</v>
      </c>
      <c r="D16" s="119" t="s">
        <v>248</v>
      </c>
      <c r="E16" s="120">
        <v>8.6</v>
      </c>
      <c r="F16" s="121">
        <v>550.4</v>
      </c>
      <c r="K16" s="3">
        <f t="shared" si="0"/>
        <v>0</v>
      </c>
    </row>
    <row r="17" spans="2:11" ht="15.75" x14ac:dyDescent="0.25">
      <c r="B17" s="118">
        <v>42964</v>
      </c>
      <c r="C17" s="15">
        <v>24030</v>
      </c>
      <c r="D17" s="119" t="s">
        <v>8</v>
      </c>
      <c r="E17" s="120">
        <f>21.1+8.8</f>
        <v>29.900000000000002</v>
      </c>
      <c r="F17" s="121">
        <v>735.2</v>
      </c>
    </row>
    <row r="18" spans="2:11" ht="15.75" x14ac:dyDescent="0.25">
      <c r="B18" s="118">
        <v>42965</v>
      </c>
      <c r="C18" s="15">
        <v>24153</v>
      </c>
      <c r="D18" s="119" t="s">
        <v>24</v>
      </c>
      <c r="E18" s="120">
        <f>27.24+12.4+13.61+26</f>
        <v>79.25</v>
      </c>
      <c r="F18" s="121">
        <v>2683.05</v>
      </c>
    </row>
    <row r="19" spans="2:11" ht="15.75" x14ac:dyDescent="0.25">
      <c r="B19" s="118">
        <v>42965</v>
      </c>
      <c r="C19" s="15">
        <v>24178</v>
      </c>
      <c r="D19" s="119" t="s">
        <v>466</v>
      </c>
      <c r="E19" s="120">
        <v>49</v>
      </c>
      <c r="F19" s="121">
        <v>2401</v>
      </c>
    </row>
    <row r="20" spans="2:11" ht="15.75" x14ac:dyDescent="0.25">
      <c r="B20" s="118">
        <v>42966</v>
      </c>
      <c r="C20" s="15">
        <v>24322</v>
      </c>
      <c r="D20" s="119" t="s">
        <v>14</v>
      </c>
      <c r="E20" s="120">
        <v>419.3</v>
      </c>
      <c r="F20" s="121">
        <v>17191.3</v>
      </c>
    </row>
    <row r="21" spans="2:11" ht="15.75" x14ac:dyDescent="0.25">
      <c r="B21" s="118">
        <v>42966</v>
      </c>
      <c r="C21" s="15">
        <v>24325</v>
      </c>
      <c r="D21" s="119" t="s">
        <v>8</v>
      </c>
      <c r="E21" s="120">
        <f>429.9+116</f>
        <v>545.9</v>
      </c>
      <c r="F21" s="121">
        <v>20293.900000000001</v>
      </c>
    </row>
    <row r="22" spans="2:11" ht="15.75" x14ac:dyDescent="0.25">
      <c r="B22" s="118">
        <v>42966</v>
      </c>
      <c r="C22" s="15">
        <v>24327</v>
      </c>
      <c r="D22" s="119" t="s">
        <v>24</v>
      </c>
      <c r="E22" s="120">
        <f>110+87.4</f>
        <v>197.4</v>
      </c>
      <c r="F22" s="121">
        <v>4737.6000000000004</v>
      </c>
      <c r="I22" s="3">
        <f t="shared" ref="I22" si="1">SUM(I6:I16)</f>
        <v>0</v>
      </c>
      <c r="J22" s="3"/>
      <c r="K22" s="3">
        <f>SUM(K6:K16)</f>
        <v>0</v>
      </c>
    </row>
    <row r="23" spans="2:11" ht="15.75" x14ac:dyDescent="0.25">
      <c r="B23" s="118">
        <v>42968</v>
      </c>
      <c r="C23" s="15">
        <v>24567</v>
      </c>
      <c r="D23" s="119" t="s">
        <v>248</v>
      </c>
      <c r="E23" s="120">
        <v>929.9</v>
      </c>
      <c r="F23" s="121">
        <v>31616.6</v>
      </c>
      <c r="I23" s="3"/>
      <c r="J23" s="3"/>
    </row>
    <row r="24" spans="2:11" ht="15.75" x14ac:dyDescent="0.25">
      <c r="B24" s="118">
        <v>42968</v>
      </c>
      <c r="C24" s="15">
        <v>24569</v>
      </c>
      <c r="D24" s="119" t="s">
        <v>14</v>
      </c>
      <c r="E24" s="120">
        <v>422</v>
      </c>
      <c r="F24" s="121">
        <v>17302</v>
      </c>
      <c r="I24" s="3"/>
      <c r="J24" s="3"/>
    </row>
    <row r="25" spans="2:11" ht="15.75" x14ac:dyDescent="0.25">
      <c r="B25" s="118">
        <v>42968</v>
      </c>
      <c r="C25" s="15">
        <v>24570</v>
      </c>
      <c r="D25" s="119" t="s">
        <v>8</v>
      </c>
      <c r="E25" s="120">
        <f>411.2+237.8</f>
        <v>649</v>
      </c>
      <c r="F25" s="121">
        <v>25182.2</v>
      </c>
      <c r="I25" s="3"/>
      <c r="J25" s="3"/>
    </row>
    <row r="26" spans="2:11" ht="15.75" x14ac:dyDescent="0.25">
      <c r="B26" s="118">
        <v>42969</v>
      </c>
      <c r="C26" s="15">
        <v>24674</v>
      </c>
      <c r="D26" s="119" t="s">
        <v>7</v>
      </c>
      <c r="E26" s="120">
        <f>103.4+22.5</f>
        <v>125.9</v>
      </c>
      <c r="F26" s="121">
        <v>6286.4</v>
      </c>
      <c r="I26" s="3"/>
      <c r="J26" s="3"/>
    </row>
    <row r="27" spans="2:11" ht="15.75" x14ac:dyDescent="0.25">
      <c r="B27" s="118">
        <v>42969</v>
      </c>
      <c r="C27" s="15">
        <v>24676</v>
      </c>
      <c r="D27" s="119" t="s">
        <v>8</v>
      </c>
      <c r="E27" s="120">
        <v>439.2</v>
      </c>
      <c r="F27" s="121">
        <v>18007.2</v>
      </c>
      <c r="I27" s="3"/>
      <c r="J27" s="3"/>
    </row>
    <row r="28" spans="2:11" ht="15.75" x14ac:dyDescent="0.25">
      <c r="B28" s="118">
        <v>42969</v>
      </c>
      <c r="C28" s="15">
        <v>24677</v>
      </c>
      <c r="D28" s="119" t="s">
        <v>248</v>
      </c>
      <c r="E28" s="120">
        <v>85.5</v>
      </c>
      <c r="F28" s="121">
        <v>3505.5</v>
      </c>
      <c r="I28" s="3"/>
      <c r="J28" s="3"/>
    </row>
    <row r="29" spans="2:11" ht="15.75" x14ac:dyDescent="0.25">
      <c r="B29" s="118">
        <v>42970</v>
      </c>
      <c r="C29" s="15">
        <v>24819</v>
      </c>
      <c r="D29" s="119" t="s">
        <v>0</v>
      </c>
      <c r="E29" s="120">
        <v>88.6</v>
      </c>
      <c r="F29" s="121">
        <v>3632.6</v>
      </c>
      <c r="I29" s="3"/>
      <c r="J29" s="3"/>
    </row>
    <row r="30" spans="2:11" ht="15.75" x14ac:dyDescent="0.25">
      <c r="B30" s="118">
        <v>42970</v>
      </c>
      <c r="C30" s="15">
        <v>24821</v>
      </c>
      <c r="D30" s="119" t="s">
        <v>12</v>
      </c>
      <c r="E30" s="120">
        <f>176.8+21.9</f>
        <v>198.70000000000002</v>
      </c>
      <c r="F30" s="121">
        <v>8650.4</v>
      </c>
      <c r="I30" s="3"/>
      <c r="J30" s="3"/>
    </row>
    <row r="31" spans="2:11" ht="15.75" x14ac:dyDescent="0.25">
      <c r="B31" s="118">
        <v>42970</v>
      </c>
      <c r="C31" s="15">
        <v>24823</v>
      </c>
      <c r="D31" s="119" t="s">
        <v>8</v>
      </c>
      <c r="E31" s="120">
        <v>383.6</v>
      </c>
      <c r="F31" s="121">
        <v>15727.6</v>
      </c>
      <c r="I31" s="3"/>
      <c r="J31" s="3"/>
    </row>
    <row r="32" spans="2:11" ht="15.75" x14ac:dyDescent="0.25">
      <c r="B32" s="118">
        <v>42971</v>
      </c>
      <c r="C32" s="15">
        <v>24875</v>
      </c>
      <c r="D32" s="119" t="s">
        <v>248</v>
      </c>
      <c r="E32" s="120">
        <f>15+252.4</f>
        <v>267.39999999999998</v>
      </c>
      <c r="F32" s="121">
        <v>11848.4</v>
      </c>
      <c r="I32" s="3"/>
      <c r="J32" s="3"/>
    </row>
    <row r="33" spans="2:11" ht="15.75" x14ac:dyDescent="0.25">
      <c r="B33" s="118">
        <v>42971</v>
      </c>
      <c r="C33" s="15">
        <v>24942</v>
      </c>
      <c r="D33" s="119" t="s">
        <v>8</v>
      </c>
      <c r="E33" s="120">
        <v>342.3</v>
      </c>
      <c r="F33" s="121">
        <v>14034.3</v>
      </c>
      <c r="I33" s="3"/>
      <c r="J33" s="3"/>
    </row>
    <row r="34" spans="2:11" ht="15.75" x14ac:dyDescent="0.25">
      <c r="B34" s="118">
        <v>42971</v>
      </c>
      <c r="C34" s="15">
        <v>24943</v>
      </c>
      <c r="D34" s="119" t="s">
        <v>14</v>
      </c>
      <c r="E34" s="120">
        <f>236+101</f>
        <v>337</v>
      </c>
      <c r="F34" s="121">
        <v>11494</v>
      </c>
      <c r="I34" s="3"/>
      <c r="J34" s="3"/>
    </row>
    <row r="35" spans="2:11" ht="15.75" x14ac:dyDescent="0.25">
      <c r="B35" s="118">
        <v>42972</v>
      </c>
      <c r="C35" s="15" t="s">
        <v>664</v>
      </c>
      <c r="D35" s="119" t="s">
        <v>659</v>
      </c>
      <c r="E35" s="120">
        <v>971.59</v>
      </c>
      <c r="F35" s="121">
        <v>34005.65</v>
      </c>
      <c r="I35" s="3"/>
      <c r="J35" s="3"/>
    </row>
    <row r="36" spans="2:11" ht="15.75" x14ac:dyDescent="0.25">
      <c r="B36" s="118">
        <v>42972</v>
      </c>
      <c r="C36" s="15" t="s">
        <v>665</v>
      </c>
      <c r="D36" s="119" t="s">
        <v>10</v>
      </c>
      <c r="E36" s="120">
        <v>168.5</v>
      </c>
      <c r="F36" s="121">
        <v>6908.5</v>
      </c>
      <c r="I36" s="3"/>
      <c r="J36" s="3"/>
    </row>
    <row r="37" spans="2:11" ht="15.75" x14ac:dyDescent="0.25">
      <c r="B37" s="118">
        <v>42972</v>
      </c>
      <c r="C37" s="15" t="s">
        <v>666</v>
      </c>
      <c r="D37" s="119" t="s">
        <v>248</v>
      </c>
      <c r="E37" s="120">
        <v>85.8</v>
      </c>
      <c r="F37" s="121">
        <v>3517.8</v>
      </c>
      <c r="I37" s="3"/>
      <c r="J37" s="3"/>
    </row>
    <row r="38" spans="2:11" ht="15.75" x14ac:dyDescent="0.25">
      <c r="B38" s="118">
        <v>42972</v>
      </c>
      <c r="C38" s="15" t="s">
        <v>667</v>
      </c>
      <c r="D38" s="119" t="s">
        <v>466</v>
      </c>
      <c r="E38" s="120">
        <f>19.1+19.1+60.9+10.5</f>
        <v>109.6</v>
      </c>
      <c r="F38" s="121">
        <v>3979.8</v>
      </c>
      <c r="I38" s="3"/>
      <c r="J38" s="3"/>
    </row>
    <row r="39" spans="2:11" ht="15.75" x14ac:dyDescent="0.25">
      <c r="B39" s="118">
        <v>42972</v>
      </c>
      <c r="C39" s="15" t="s">
        <v>668</v>
      </c>
      <c r="D39" s="119" t="s">
        <v>14</v>
      </c>
      <c r="E39" s="120">
        <v>56.8</v>
      </c>
      <c r="F39" s="121">
        <v>1022.4</v>
      </c>
      <c r="I39" s="3"/>
      <c r="J39" s="3"/>
    </row>
    <row r="40" spans="2:11" ht="15.75" x14ac:dyDescent="0.25">
      <c r="B40" s="118">
        <v>42973</v>
      </c>
      <c r="C40" s="15" t="s">
        <v>669</v>
      </c>
      <c r="D40" s="119" t="s">
        <v>248</v>
      </c>
      <c r="E40" s="120">
        <f>171.4+64.1+19.5</f>
        <v>255</v>
      </c>
      <c r="F40" s="121">
        <v>9092.2999999999993</v>
      </c>
      <c r="I40" s="3"/>
      <c r="J40" s="3"/>
    </row>
    <row r="41" spans="2:11" ht="15.75" x14ac:dyDescent="0.25">
      <c r="B41" s="118">
        <v>42914</v>
      </c>
      <c r="C41" s="15" t="s">
        <v>670</v>
      </c>
      <c r="D41" s="119" t="s">
        <v>12</v>
      </c>
      <c r="E41" s="120">
        <f>84+13.61+1+25.4</f>
        <v>124.00999999999999</v>
      </c>
      <c r="F41" s="121">
        <v>9668.93</v>
      </c>
      <c r="I41" s="3"/>
      <c r="J41" s="3"/>
    </row>
    <row r="42" spans="2:11" ht="15.75" x14ac:dyDescent="0.25">
      <c r="B42" s="118">
        <v>42973</v>
      </c>
      <c r="C42" s="15" t="s">
        <v>671</v>
      </c>
      <c r="D42" s="119" t="s">
        <v>10</v>
      </c>
      <c r="E42" s="120">
        <f>88+52.4</f>
        <v>140.4</v>
      </c>
      <c r="F42" s="121">
        <v>5494.4</v>
      </c>
      <c r="I42" s="3"/>
      <c r="J42" s="3"/>
    </row>
    <row r="43" spans="2:11" ht="15.75" x14ac:dyDescent="0.25">
      <c r="B43" s="118"/>
      <c r="C43" s="15"/>
      <c r="D43" s="119"/>
      <c r="E43" s="120"/>
      <c r="F43" s="121"/>
      <c r="I43" s="3"/>
      <c r="J43" s="3"/>
    </row>
    <row r="44" spans="2:11" ht="16.5" thickBot="1" x14ac:dyDescent="0.3">
      <c r="B44" s="118"/>
      <c r="C44" s="15"/>
      <c r="D44" s="119"/>
      <c r="E44" s="120">
        <v>0</v>
      </c>
      <c r="F44" s="121">
        <v>0</v>
      </c>
      <c r="I44" s="3"/>
      <c r="J44" s="3"/>
    </row>
    <row r="45" spans="2:11" ht="15.75" thickBot="1" x14ac:dyDescent="0.3">
      <c r="B45" s="29"/>
      <c r="C45" s="66"/>
      <c r="D45" s="31"/>
      <c r="E45" s="32">
        <v>0</v>
      </c>
      <c r="F45" s="33">
        <f>SUM(F3:F44)</f>
        <v>425562.59</v>
      </c>
      <c r="K45" s="3">
        <f t="shared" ref="K45:K52" si="2">J45*I45</f>
        <v>0</v>
      </c>
    </row>
    <row r="46" spans="2:11" ht="19.5" thickBot="1" x14ac:dyDescent="0.35">
      <c r="B46" s="34"/>
      <c r="C46" s="67"/>
      <c r="D46" s="36" t="s">
        <v>5</v>
      </c>
      <c r="E46" s="37">
        <f>SUM(E3:E45)</f>
        <v>10806.969999999998</v>
      </c>
      <c r="K46" s="3">
        <f t="shared" si="2"/>
        <v>0</v>
      </c>
    </row>
    <row r="47" spans="2:11" x14ac:dyDescent="0.25">
      <c r="B47" s="34"/>
      <c r="C47" s="67"/>
      <c r="D47" s="26"/>
      <c r="E47" s="39"/>
      <c r="K47" s="3">
        <f t="shared" si="2"/>
        <v>0</v>
      </c>
    </row>
    <row r="48" spans="2:11" ht="19.5" thickBot="1" x14ac:dyDescent="0.35">
      <c r="B48" s="40"/>
      <c r="C48" s="41" t="s">
        <v>15</v>
      </c>
      <c r="D48" s="149">
        <f>E46*0.3</f>
        <v>3242.090999999999</v>
      </c>
      <c r="F48"/>
      <c r="K48" s="3">
        <f t="shared" si="2"/>
        <v>0</v>
      </c>
    </row>
    <row r="49" spans="2:13" ht="21.75" thickBot="1" x14ac:dyDescent="0.4">
      <c r="C49" s="41" t="s">
        <v>16</v>
      </c>
      <c r="D49" s="44">
        <v>4000</v>
      </c>
      <c r="E49" s="45"/>
      <c r="F49" s="258">
        <f>D48+D49</f>
        <v>7242.0909999999985</v>
      </c>
      <c r="G49" s="259"/>
      <c r="K49" s="3">
        <f t="shared" si="2"/>
        <v>0</v>
      </c>
      <c r="L49" s="46"/>
      <c r="M49" s="13"/>
    </row>
    <row r="50" spans="2:13" ht="22.5" thickTop="1" thickBot="1" x14ac:dyDescent="0.4">
      <c r="D50" s="146"/>
      <c r="E50" s="47" t="s">
        <v>258</v>
      </c>
      <c r="G50" s="147">
        <v>-4000</v>
      </c>
      <c r="L50" s="46"/>
      <c r="M50" s="13"/>
    </row>
    <row r="51" spans="2:13" ht="19.5" thickBot="1" x14ac:dyDescent="0.35">
      <c r="B51" s="181"/>
      <c r="C51" s="182"/>
      <c r="D51" s="180" t="s">
        <v>672</v>
      </c>
      <c r="E51" s="47" t="s">
        <v>258</v>
      </c>
      <c r="F51" s="142"/>
      <c r="G51" s="160">
        <v>-1181</v>
      </c>
      <c r="K51" s="3">
        <f t="shared" si="2"/>
        <v>0</v>
      </c>
      <c r="L51" s="49"/>
      <c r="M51" s="49"/>
    </row>
    <row r="52" spans="2:13" ht="19.5" thickBot="1" x14ac:dyDescent="0.35">
      <c r="B52" s="271"/>
      <c r="C52" s="272"/>
      <c r="D52" s="180" t="s">
        <v>673</v>
      </c>
      <c r="E52" s="47" t="s">
        <v>258</v>
      </c>
      <c r="F52" s="125"/>
      <c r="G52" s="169">
        <v>-2061</v>
      </c>
      <c r="K52" s="3">
        <f t="shared" si="2"/>
        <v>0</v>
      </c>
      <c r="L52" s="49"/>
      <c r="M52" s="49"/>
    </row>
    <row r="53" spans="2:13" ht="19.5" thickBot="1" x14ac:dyDescent="0.35">
      <c r="B53" s="173"/>
      <c r="C53" s="174"/>
      <c r="D53" s="180" t="s">
        <v>674</v>
      </c>
      <c r="E53" s="47" t="s">
        <v>307</v>
      </c>
      <c r="F53" s="124"/>
      <c r="G53" s="170">
        <v>0</v>
      </c>
      <c r="L53" s="49"/>
      <c r="M53" s="49"/>
    </row>
    <row r="54" spans="2:13" ht="17.25" customHeight="1" thickBot="1" x14ac:dyDescent="0.4">
      <c r="C54" s="168"/>
      <c r="D54" s="131"/>
      <c r="E54" s="4" t="s">
        <v>258</v>
      </c>
      <c r="F54" s="263">
        <f>SUM(F49:G53)</f>
        <v>9.0999999998530257E-2</v>
      </c>
      <c r="G54" s="264"/>
      <c r="L54" s="49"/>
      <c r="M54" s="49"/>
    </row>
    <row r="55" spans="2:13" ht="19.5" customHeight="1" x14ac:dyDescent="0.35">
      <c r="C55" s="109"/>
      <c r="D55" s="171"/>
      <c r="F55" s="148"/>
      <c r="G55" s="148"/>
    </row>
    <row r="56" spans="2:13" x14ac:dyDescent="0.25">
      <c r="F56" s="27"/>
      <c r="G56" s="26"/>
    </row>
    <row r="57" spans="2:13" x14ac:dyDescent="0.25">
      <c r="D57" t="s">
        <v>9</v>
      </c>
    </row>
    <row r="58" spans="2:13" x14ac:dyDescent="0.25">
      <c r="I58" s="3">
        <f>SUM(I45:I52)</f>
        <v>0</v>
      </c>
      <c r="J58" s="3"/>
      <c r="K58" s="3">
        <f>SUM(K45:K52)</f>
        <v>0</v>
      </c>
    </row>
  </sheetData>
  <mergeCells count="4">
    <mergeCell ref="B1:C1"/>
    <mergeCell ref="F49:G49"/>
    <mergeCell ref="B52:C52"/>
    <mergeCell ref="F54:G54"/>
  </mergeCells>
  <pageMargins left="0.31496062992125984" right="0.11811023622047245" top="0" bottom="0" header="0.31496062992125984" footer="0.31496062992125984"/>
  <pageSetup scale="90"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8"/>
  <sheetViews>
    <sheetView topLeftCell="A28" workbookViewId="0">
      <selection activeCell="D44" sqref="D44"/>
    </sheetView>
  </sheetViews>
  <sheetFormatPr baseColWidth="10" defaultRowHeight="15" x14ac:dyDescent="0.25"/>
  <cols>
    <col min="1" max="1" width="3.42578125" customWidth="1"/>
    <col min="2" max="2" width="13.42578125" style="96" bestFit="1" customWidth="1"/>
    <col min="3" max="3" width="13.7109375" style="41" customWidth="1"/>
    <col min="4" max="4" width="28.5703125" bestFit="1" customWidth="1"/>
    <col min="5" max="5" width="12" bestFit="1" customWidth="1"/>
    <col min="6" max="6" width="14.140625" style="3" bestFit="1" customWidth="1"/>
    <col min="7" max="7" width="15.7109375" customWidth="1"/>
    <col min="11" max="11" width="11.42578125" style="3"/>
    <col min="13" max="13" width="11.42578125" style="3"/>
  </cols>
  <sheetData>
    <row r="1" spans="2:11" ht="19.5" thickBot="1" x14ac:dyDescent="0.35">
      <c r="B1" s="257">
        <v>42987</v>
      </c>
      <c r="C1" s="257"/>
      <c r="D1" s="193" t="s">
        <v>0</v>
      </c>
      <c r="E1" s="2" t="s">
        <v>1</v>
      </c>
      <c r="K1"/>
    </row>
    <row r="2" spans="2:11" ht="19.5" thickBot="1" x14ac:dyDescent="0.35">
      <c r="B2" s="95" t="s">
        <v>2</v>
      </c>
      <c r="C2" s="5" t="s">
        <v>3</v>
      </c>
      <c r="D2" s="5" t="s">
        <v>4</v>
      </c>
      <c r="E2" s="6" t="s">
        <v>5</v>
      </c>
      <c r="F2" s="139" t="s">
        <v>675</v>
      </c>
      <c r="G2" s="8"/>
      <c r="K2"/>
    </row>
    <row r="3" spans="2:11" ht="15.75" x14ac:dyDescent="0.25">
      <c r="B3" s="197">
        <v>42951</v>
      </c>
      <c r="C3" s="22">
        <v>22453</v>
      </c>
      <c r="D3" s="198" t="s">
        <v>6</v>
      </c>
      <c r="E3" s="199">
        <f>376.6+12.5+8.2+74.6+63.2</f>
        <v>535.1</v>
      </c>
      <c r="F3" s="200">
        <v>26480.9</v>
      </c>
      <c r="K3"/>
    </row>
    <row r="4" spans="2:11" ht="15.75" x14ac:dyDescent="0.25">
      <c r="B4" s="84">
        <v>42965</v>
      </c>
      <c r="C4" s="73">
        <v>24164</v>
      </c>
      <c r="D4" s="72" t="s">
        <v>6</v>
      </c>
      <c r="E4" s="77">
        <f>424.5+16.1+11.7+136</f>
        <v>588.29999999999995</v>
      </c>
      <c r="F4" s="74">
        <v>28815.45</v>
      </c>
      <c r="K4"/>
    </row>
    <row r="5" spans="2:11" ht="15.75" x14ac:dyDescent="0.25">
      <c r="B5" s="118">
        <v>42966</v>
      </c>
      <c r="C5" s="15">
        <v>24324</v>
      </c>
      <c r="D5" s="119" t="s">
        <v>248</v>
      </c>
      <c r="E5" s="120">
        <v>87.4</v>
      </c>
      <c r="F5" s="121">
        <v>3670.8</v>
      </c>
      <c r="K5"/>
    </row>
    <row r="6" spans="2:11" ht="15.75" x14ac:dyDescent="0.25">
      <c r="B6" s="118">
        <v>42968</v>
      </c>
      <c r="C6" s="15">
        <v>24568</v>
      </c>
      <c r="D6" s="119" t="s">
        <v>24</v>
      </c>
      <c r="E6" s="120">
        <v>958</v>
      </c>
      <c r="F6" s="121">
        <v>32572</v>
      </c>
      <c r="G6" t="s">
        <v>9</v>
      </c>
      <c r="K6" s="3">
        <f t="shared" ref="K6:K16" si="0">J6*I6</f>
        <v>0</v>
      </c>
    </row>
    <row r="7" spans="2:11" ht="15.75" x14ac:dyDescent="0.25">
      <c r="B7" s="118">
        <v>42972</v>
      </c>
      <c r="C7" s="15" t="s">
        <v>676</v>
      </c>
      <c r="D7" s="119" t="s">
        <v>8</v>
      </c>
      <c r="E7" s="120">
        <f>635.9+227.6</f>
        <v>863.5</v>
      </c>
      <c r="F7" s="121">
        <v>34265.5</v>
      </c>
      <c r="K7" s="3">
        <f t="shared" si="0"/>
        <v>0</v>
      </c>
    </row>
    <row r="8" spans="2:11" ht="15.75" x14ac:dyDescent="0.25">
      <c r="B8" s="118">
        <v>42973</v>
      </c>
      <c r="C8" s="15" t="s">
        <v>677</v>
      </c>
      <c r="D8" s="119" t="s">
        <v>8</v>
      </c>
      <c r="E8" s="120">
        <v>404</v>
      </c>
      <c r="F8" s="121">
        <v>16564</v>
      </c>
      <c r="K8" s="3">
        <f t="shared" si="0"/>
        <v>0</v>
      </c>
    </row>
    <row r="9" spans="2:11" ht="15.75" x14ac:dyDescent="0.25">
      <c r="B9" s="118">
        <v>42973</v>
      </c>
      <c r="C9" s="15" t="s">
        <v>678</v>
      </c>
      <c r="D9" s="119" t="s">
        <v>14</v>
      </c>
      <c r="E9" s="120">
        <v>404.8</v>
      </c>
      <c r="F9" s="121">
        <v>16596.8</v>
      </c>
      <c r="K9" s="3">
        <f t="shared" si="0"/>
        <v>0</v>
      </c>
    </row>
    <row r="10" spans="2:11" ht="15.75" x14ac:dyDescent="0.25">
      <c r="B10" s="118">
        <v>42973</v>
      </c>
      <c r="C10" s="15" t="s">
        <v>680</v>
      </c>
      <c r="D10" s="119" t="s">
        <v>8</v>
      </c>
      <c r="E10" s="120">
        <v>109</v>
      </c>
      <c r="F10" s="121">
        <v>2507</v>
      </c>
      <c r="K10" s="3">
        <f t="shared" si="0"/>
        <v>0</v>
      </c>
    </row>
    <row r="11" spans="2:11" ht="15.75" x14ac:dyDescent="0.25">
      <c r="B11" s="118">
        <v>42973</v>
      </c>
      <c r="C11" s="15" t="s">
        <v>679</v>
      </c>
      <c r="D11" s="119" t="s">
        <v>0</v>
      </c>
      <c r="E11" s="120">
        <f>80.6+8.9</f>
        <v>89.5</v>
      </c>
      <c r="F11" s="121">
        <v>3883.1</v>
      </c>
      <c r="K11" s="3">
        <f t="shared" si="0"/>
        <v>0</v>
      </c>
    </row>
    <row r="12" spans="2:11" ht="15.75" x14ac:dyDescent="0.25">
      <c r="B12" s="118">
        <v>42975</v>
      </c>
      <c r="C12" s="15" t="s">
        <v>681</v>
      </c>
      <c r="D12" s="119" t="s">
        <v>8</v>
      </c>
      <c r="E12" s="120">
        <v>411.1</v>
      </c>
      <c r="F12" s="121">
        <v>16855.099999999999</v>
      </c>
      <c r="K12" s="3">
        <f t="shared" si="0"/>
        <v>0</v>
      </c>
    </row>
    <row r="13" spans="2:11" ht="15.75" x14ac:dyDescent="0.25">
      <c r="B13" s="118">
        <v>42975</v>
      </c>
      <c r="C13" s="15" t="s">
        <v>682</v>
      </c>
      <c r="D13" s="192" t="s">
        <v>14</v>
      </c>
      <c r="E13" s="120">
        <v>423.5</v>
      </c>
      <c r="F13" s="121">
        <v>17363.5</v>
      </c>
      <c r="K13" s="3">
        <f t="shared" si="0"/>
        <v>0</v>
      </c>
    </row>
    <row r="14" spans="2:11" ht="15.75" x14ac:dyDescent="0.25">
      <c r="B14" s="118">
        <v>42976</v>
      </c>
      <c r="C14" s="15" t="s">
        <v>683</v>
      </c>
      <c r="D14" s="119" t="s">
        <v>248</v>
      </c>
      <c r="E14" s="120">
        <f>188+32+9.1</f>
        <v>229.1</v>
      </c>
      <c r="F14" s="121">
        <v>9179.4</v>
      </c>
      <c r="K14" s="3">
        <f t="shared" si="0"/>
        <v>0</v>
      </c>
    </row>
    <row r="15" spans="2:11" ht="15.75" x14ac:dyDescent="0.25">
      <c r="B15" s="118">
        <v>42976</v>
      </c>
      <c r="C15" s="15" t="s">
        <v>684</v>
      </c>
      <c r="D15" s="119" t="s">
        <v>10</v>
      </c>
      <c r="E15" s="120">
        <v>27.7</v>
      </c>
      <c r="F15" s="121">
        <v>1662</v>
      </c>
      <c r="K15" s="3">
        <f t="shared" si="0"/>
        <v>0</v>
      </c>
    </row>
    <row r="16" spans="2:11" ht="15.75" x14ac:dyDescent="0.25">
      <c r="B16" s="118">
        <v>42976</v>
      </c>
      <c r="C16" s="15" t="s">
        <v>685</v>
      </c>
      <c r="D16" s="119" t="s">
        <v>8</v>
      </c>
      <c r="E16" s="120">
        <f>429+48.2</f>
        <v>477.2</v>
      </c>
      <c r="F16" s="121">
        <v>19377.2</v>
      </c>
      <c r="K16" s="3">
        <f t="shared" si="0"/>
        <v>0</v>
      </c>
    </row>
    <row r="17" spans="2:11" ht="15.75" x14ac:dyDescent="0.25">
      <c r="B17" s="118">
        <v>42976</v>
      </c>
      <c r="C17" s="15" t="s">
        <v>686</v>
      </c>
      <c r="D17" s="119" t="s">
        <v>24</v>
      </c>
      <c r="E17" s="120">
        <f>132.9+34</f>
        <v>166.9</v>
      </c>
      <c r="F17" s="121">
        <v>3835.6</v>
      </c>
    </row>
    <row r="18" spans="2:11" ht="15.75" x14ac:dyDescent="0.25">
      <c r="B18" s="118">
        <v>42976</v>
      </c>
      <c r="C18" s="15" t="s">
        <v>687</v>
      </c>
      <c r="D18" s="119" t="s">
        <v>14</v>
      </c>
      <c r="E18" s="120">
        <v>403.5</v>
      </c>
      <c r="F18" s="121">
        <v>16140</v>
      </c>
    </row>
    <row r="19" spans="2:11" ht="15.75" x14ac:dyDescent="0.25">
      <c r="B19" s="118">
        <v>42976</v>
      </c>
      <c r="C19" s="15" t="s">
        <v>688</v>
      </c>
      <c r="D19" s="119" t="s">
        <v>12</v>
      </c>
      <c r="E19" s="120">
        <v>252.3</v>
      </c>
      <c r="F19" s="121">
        <v>10092</v>
      </c>
    </row>
    <row r="20" spans="2:11" ht="15.75" x14ac:dyDescent="0.25">
      <c r="B20" s="118">
        <v>42976</v>
      </c>
      <c r="C20" s="15" t="s">
        <v>689</v>
      </c>
      <c r="D20" s="119" t="s">
        <v>248</v>
      </c>
      <c r="E20" s="120">
        <f>125.2+23.6</f>
        <v>148.80000000000001</v>
      </c>
      <c r="F20" s="121">
        <v>7364</v>
      </c>
    </row>
    <row r="21" spans="2:11" ht="15.75" x14ac:dyDescent="0.25">
      <c r="B21" s="118">
        <v>42978</v>
      </c>
      <c r="C21" s="15" t="s">
        <v>690</v>
      </c>
      <c r="D21" s="119" t="s">
        <v>10</v>
      </c>
      <c r="E21" s="120">
        <v>90.4</v>
      </c>
      <c r="F21" s="121">
        <v>3618</v>
      </c>
    </row>
    <row r="22" spans="2:11" ht="15.75" x14ac:dyDescent="0.25">
      <c r="B22" s="118">
        <v>42978</v>
      </c>
      <c r="C22" s="15" t="s">
        <v>691</v>
      </c>
      <c r="D22" s="119" t="s">
        <v>8</v>
      </c>
      <c r="E22" s="120">
        <v>312.10000000000002</v>
      </c>
      <c r="F22" s="121">
        <v>12484</v>
      </c>
      <c r="I22" s="3">
        <f t="shared" ref="I22" si="1">SUM(I6:I16)</f>
        <v>0</v>
      </c>
      <c r="J22" s="3"/>
      <c r="K22" s="3">
        <f>SUM(K6:K16)</f>
        <v>0</v>
      </c>
    </row>
    <row r="23" spans="2:11" ht="15.75" x14ac:dyDescent="0.25">
      <c r="B23" s="118">
        <v>42978</v>
      </c>
      <c r="C23" s="15" t="s">
        <v>692</v>
      </c>
      <c r="D23" s="119" t="s">
        <v>14</v>
      </c>
      <c r="E23" s="120">
        <f>238.4+49.1</f>
        <v>287.5</v>
      </c>
      <c r="F23" s="121">
        <v>11303.6</v>
      </c>
      <c r="I23" s="3"/>
      <c r="J23" s="3"/>
    </row>
    <row r="24" spans="2:11" ht="15.75" x14ac:dyDescent="0.25">
      <c r="B24" s="118">
        <v>42978</v>
      </c>
      <c r="C24" s="15" t="s">
        <v>693</v>
      </c>
      <c r="D24" s="119" t="s">
        <v>248</v>
      </c>
      <c r="E24" s="120">
        <f>81.9+1+7</f>
        <v>89.9</v>
      </c>
      <c r="F24" s="121">
        <v>4214</v>
      </c>
      <c r="I24" s="3"/>
      <c r="J24" s="3"/>
    </row>
    <row r="25" spans="2:11" ht="15.75" x14ac:dyDescent="0.25">
      <c r="B25" s="118">
        <v>42978</v>
      </c>
      <c r="C25" s="15" t="s">
        <v>694</v>
      </c>
      <c r="D25" s="119" t="s">
        <v>24</v>
      </c>
      <c r="E25" s="120">
        <f>94.8+27.8+13.61+10.3</f>
        <v>146.51</v>
      </c>
      <c r="F25" s="121">
        <v>4419.1499999999996</v>
      </c>
      <c r="I25" s="3"/>
      <c r="J25" s="3"/>
    </row>
    <row r="26" spans="2:11" ht="15.75" x14ac:dyDescent="0.25">
      <c r="B26" s="118">
        <v>42978</v>
      </c>
      <c r="C26" s="15" t="s">
        <v>695</v>
      </c>
      <c r="D26" s="119" t="s">
        <v>248</v>
      </c>
      <c r="E26" s="120">
        <f>147.8+46.4</f>
        <v>194.20000000000002</v>
      </c>
      <c r="F26" s="121">
        <v>6675</v>
      </c>
      <c r="I26" s="3"/>
      <c r="J26" s="3"/>
    </row>
    <row r="27" spans="2:11" ht="15.75" x14ac:dyDescent="0.25">
      <c r="B27" s="118">
        <v>42979</v>
      </c>
      <c r="C27" s="15" t="s">
        <v>696</v>
      </c>
      <c r="D27" s="119" t="s">
        <v>12</v>
      </c>
      <c r="E27" s="120">
        <f>19.6+242.7</f>
        <v>262.3</v>
      </c>
      <c r="F27" s="121">
        <v>11126.7</v>
      </c>
      <c r="I27" s="3"/>
      <c r="J27" s="3"/>
    </row>
    <row r="28" spans="2:11" ht="15.75" x14ac:dyDescent="0.25">
      <c r="B28" s="118">
        <v>42979</v>
      </c>
      <c r="C28" s="15" t="s">
        <v>697</v>
      </c>
      <c r="D28" s="119" t="s">
        <v>248</v>
      </c>
      <c r="E28" s="120">
        <v>21.2</v>
      </c>
      <c r="F28" s="121">
        <v>1272</v>
      </c>
      <c r="I28" s="3"/>
      <c r="J28" s="3"/>
    </row>
    <row r="29" spans="2:11" ht="15.75" x14ac:dyDescent="0.25">
      <c r="B29" s="118">
        <v>42979</v>
      </c>
      <c r="C29" s="15" t="s">
        <v>698</v>
      </c>
      <c r="D29" s="119" t="s">
        <v>248</v>
      </c>
      <c r="E29" s="120">
        <f>2+7.9+907.03</f>
        <v>916.93</v>
      </c>
      <c r="F29" s="121">
        <v>32600.55</v>
      </c>
      <c r="I29" s="3"/>
      <c r="J29" s="3"/>
    </row>
    <row r="30" spans="2:11" ht="15.75" x14ac:dyDescent="0.25">
      <c r="B30" s="118">
        <v>42979</v>
      </c>
      <c r="C30" s="15" t="s">
        <v>699</v>
      </c>
      <c r="D30" s="119" t="s">
        <v>248</v>
      </c>
      <c r="E30" s="120">
        <f>136.8+59.4+10.8</f>
        <v>207.00000000000003</v>
      </c>
      <c r="F30" s="121">
        <v>4316.3999999999996</v>
      </c>
      <c r="I30" s="3"/>
      <c r="J30" s="3"/>
    </row>
    <row r="31" spans="2:11" ht="15.75" x14ac:dyDescent="0.25">
      <c r="B31" s="118">
        <v>42979</v>
      </c>
      <c r="C31" s="15" t="s">
        <v>700</v>
      </c>
      <c r="D31" s="119" t="s">
        <v>248</v>
      </c>
      <c r="E31" s="120">
        <v>80.8</v>
      </c>
      <c r="F31" s="121">
        <v>3474.4</v>
      </c>
      <c r="I31" s="3"/>
      <c r="J31" s="3"/>
    </row>
    <row r="32" spans="2:11" ht="15.75" x14ac:dyDescent="0.25">
      <c r="B32" s="118">
        <v>42980</v>
      </c>
      <c r="C32" s="15" t="s">
        <v>701</v>
      </c>
      <c r="D32" s="119" t="s">
        <v>24</v>
      </c>
      <c r="E32" s="120">
        <f>76.2+32.5</f>
        <v>108.7</v>
      </c>
      <c r="F32" s="121">
        <v>2446.3000000000002</v>
      </c>
      <c r="I32" s="3"/>
      <c r="J32" s="3"/>
    </row>
    <row r="33" spans="2:13" ht="15.75" x14ac:dyDescent="0.25">
      <c r="B33" s="118">
        <v>42980</v>
      </c>
      <c r="C33" s="15" t="s">
        <v>702</v>
      </c>
      <c r="D33" s="119" t="s">
        <v>248</v>
      </c>
      <c r="E33" s="120">
        <f>91.6+12.5+49.9</f>
        <v>154</v>
      </c>
      <c r="F33" s="121">
        <v>5803</v>
      </c>
      <c r="I33" s="3"/>
      <c r="J33" s="3"/>
    </row>
    <row r="34" spans="2:13" ht="16.5" thickBot="1" x14ac:dyDescent="0.3">
      <c r="B34" s="118"/>
      <c r="C34" s="15"/>
      <c r="D34" s="119"/>
      <c r="E34" s="120">
        <v>0</v>
      </c>
      <c r="F34" s="121">
        <v>0</v>
      </c>
      <c r="I34" s="3"/>
      <c r="J34" s="3"/>
    </row>
    <row r="35" spans="2:13" ht="15.75" thickBot="1" x14ac:dyDescent="0.3">
      <c r="B35" s="29"/>
      <c r="C35" s="66"/>
      <c r="D35" s="31"/>
      <c r="E35" s="32">
        <v>0</v>
      </c>
      <c r="F35" s="33">
        <f>SUM(F3:F34)</f>
        <v>370977.45000000007</v>
      </c>
      <c r="K35" s="3">
        <f t="shared" ref="K35:K42" si="2">J35*I35</f>
        <v>0</v>
      </c>
    </row>
    <row r="36" spans="2:13" ht="19.5" thickBot="1" x14ac:dyDescent="0.35">
      <c r="B36" s="34"/>
      <c r="C36" s="67"/>
      <c r="D36" s="36" t="s">
        <v>5</v>
      </c>
      <c r="E36" s="37">
        <f>SUM(E3:E35)</f>
        <v>9451.24</v>
      </c>
      <c r="K36" s="3">
        <f t="shared" si="2"/>
        <v>0</v>
      </c>
    </row>
    <row r="37" spans="2:13" x14ac:dyDescent="0.25">
      <c r="B37" s="34"/>
      <c r="C37" s="67"/>
      <c r="D37" s="26"/>
      <c r="E37" s="39"/>
      <c r="K37" s="3">
        <f t="shared" si="2"/>
        <v>0</v>
      </c>
    </row>
    <row r="38" spans="2:13" ht="19.5" thickBot="1" x14ac:dyDescent="0.35">
      <c r="B38" s="40"/>
      <c r="C38" s="41" t="s">
        <v>15</v>
      </c>
      <c r="D38" s="149">
        <f>E36*0.3</f>
        <v>2835.3719999999998</v>
      </c>
      <c r="F38"/>
      <c r="K38" s="3">
        <f t="shared" si="2"/>
        <v>0</v>
      </c>
    </row>
    <row r="39" spans="2:13" ht="21.75" thickBot="1" x14ac:dyDescent="0.4">
      <c r="C39" s="41" t="s">
        <v>16</v>
      </c>
      <c r="D39" s="44">
        <v>4000</v>
      </c>
      <c r="E39" s="45"/>
      <c r="F39" s="258">
        <f>D38+D39</f>
        <v>6835.3719999999994</v>
      </c>
      <c r="G39" s="259"/>
      <c r="K39" s="3">
        <f t="shared" si="2"/>
        <v>0</v>
      </c>
      <c r="L39" s="46"/>
      <c r="M39" s="13"/>
    </row>
    <row r="40" spans="2:13" ht="22.5" thickTop="1" thickBot="1" x14ac:dyDescent="0.4">
      <c r="D40" s="146"/>
      <c r="E40" s="47" t="s">
        <v>258</v>
      </c>
      <c r="G40" s="194">
        <v>-242</v>
      </c>
      <c r="H40" s="195">
        <v>42973</v>
      </c>
      <c r="L40" s="46"/>
      <c r="M40" s="13"/>
    </row>
    <row r="41" spans="2:13" ht="19.5" thickBot="1" x14ac:dyDescent="0.35">
      <c r="B41" s="181"/>
      <c r="C41" s="182"/>
      <c r="D41" s="180" t="s">
        <v>705</v>
      </c>
      <c r="E41" s="47" t="s">
        <v>258</v>
      </c>
      <c r="F41" s="142"/>
      <c r="G41" s="160">
        <v>-4000</v>
      </c>
      <c r="K41" s="3">
        <f t="shared" si="2"/>
        <v>0</v>
      </c>
      <c r="L41" s="49"/>
      <c r="M41" s="49"/>
    </row>
    <row r="42" spans="2:13" ht="19.5" thickBot="1" x14ac:dyDescent="0.35">
      <c r="B42" s="271"/>
      <c r="C42" s="272"/>
      <c r="D42" s="180" t="s">
        <v>706</v>
      </c>
      <c r="E42" s="47" t="s">
        <v>258</v>
      </c>
      <c r="F42" s="125"/>
      <c r="G42" s="169">
        <v>-1500</v>
      </c>
      <c r="K42" s="3">
        <f t="shared" si="2"/>
        <v>0</v>
      </c>
      <c r="L42" s="49"/>
      <c r="M42" s="49"/>
    </row>
    <row r="43" spans="2:13" ht="19.5" thickBot="1" x14ac:dyDescent="0.35">
      <c r="B43" s="173"/>
      <c r="C43" s="174"/>
      <c r="D43" s="180" t="s">
        <v>707</v>
      </c>
      <c r="E43" s="47" t="s">
        <v>307</v>
      </c>
      <c r="F43" s="124"/>
      <c r="G43" s="170">
        <v>-1093</v>
      </c>
      <c r="L43" s="49"/>
      <c r="M43" s="49"/>
    </row>
    <row r="44" spans="2:13" ht="17.25" customHeight="1" thickBot="1" x14ac:dyDescent="0.4">
      <c r="C44" s="168"/>
      <c r="D44" s="131"/>
      <c r="E44" s="4" t="s">
        <v>258</v>
      </c>
      <c r="F44" s="263">
        <f>SUM(F39:G43)</f>
        <v>0.37199999999938882</v>
      </c>
      <c r="G44" s="264"/>
      <c r="L44" s="49"/>
      <c r="M44" s="49"/>
    </row>
    <row r="45" spans="2:13" ht="19.5" customHeight="1" x14ac:dyDescent="0.35">
      <c r="C45" s="109"/>
      <c r="D45" s="171"/>
      <c r="F45" s="148"/>
      <c r="G45" s="148"/>
    </row>
    <row r="46" spans="2:13" x14ac:dyDescent="0.25">
      <c r="F46" s="27"/>
      <c r="G46" s="26"/>
    </row>
    <row r="47" spans="2:13" x14ac:dyDescent="0.25">
      <c r="D47" t="s">
        <v>9</v>
      </c>
    </row>
    <row r="48" spans="2:13" x14ac:dyDescent="0.25">
      <c r="I48" s="3">
        <f>SUM(I35:I42)</f>
        <v>0</v>
      </c>
      <c r="J48" s="3"/>
      <c r="K48" s="3">
        <f>SUM(K35:K42)</f>
        <v>0</v>
      </c>
    </row>
  </sheetData>
  <sortState ref="B3:F5">
    <sortCondition ref="C3:C5"/>
  </sortState>
  <mergeCells count="4">
    <mergeCell ref="B1:C1"/>
    <mergeCell ref="F39:G39"/>
    <mergeCell ref="B42:C42"/>
    <mergeCell ref="F44:G44"/>
  </mergeCells>
  <pageMargins left="0.31496062992125984" right="0.11811023622047245" top="0.74803149606299213" bottom="0.74803149606299213" header="0.31496062992125984" footer="0.31496062992125984"/>
  <pageSetup scale="85"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8"/>
  <sheetViews>
    <sheetView topLeftCell="A7" workbookViewId="0">
      <selection activeCell="C25" sqref="C25"/>
    </sheetView>
  </sheetViews>
  <sheetFormatPr baseColWidth="10" defaultRowHeight="15" x14ac:dyDescent="0.25"/>
  <cols>
    <col min="1" max="1" width="3.42578125" customWidth="1"/>
    <col min="2" max="2" width="13.42578125" style="96" bestFit="1" customWidth="1"/>
    <col min="3" max="3" width="13.7109375" style="41" customWidth="1"/>
    <col min="4" max="4" width="28.5703125" bestFit="1" customWidth="1"/>
    <col min="5" max="5" width="12" bestFit="1" customWidth="1"/>
    <col min="6" max="6" width="14.140625" style="3" bestFit="1" customWidth="1"/>
    <col min="7" max="7" width="15.7109375" customWidth="1"/>
    <col min="11" max="11" width="11.42578125" style="3"/>
    <col min="13" max="13" width="11.42578125" style="3"/>
  </cols>
  <sheetData>
    <row r="1" spans="2:11" ht="19.5" thickBot="1" x14ac:dyDescent="0.35">
      <c r="B1" s="257">
        <v>42997</v>
      </c>
      <c r="C1" s="257"/>
      <c r="D1" s="196" t="s">
        <v>0</v>
      </c>
      <c r="E1" s="2" t="s">
        <v>1</v>
      </c>
      <c r="K1"/>
    </row>
    <row r="2" spans="2:11" ht="19.5" thickBot="1" x14ac:dyDescent="0.35">
      <c r="B2" s="95" t="s">
        <v>2</v>
      </c>
      <c r="C2" s="5" t="s">
        <v>3</v>
      </c>
      <c r="D2" s="5" t="s">
        <v>4</v>
      </c>
      <c r="E2" s="6" t="s">
        <v>5</v>
      </c>
      <c r="F2" s="139" t="s">
        <v>703</v>
      </c>
      <c r="G2" s="8"/>
      <c r="K2"/>
    </row>
    <row r="3" spans="2:11" ht="15.75" x14ac:dyDescent="0.25">
      <c r="B3" s="197">
        <v>42970</v>
      </c>
      <c r="C3" s="22">
        <v>24824</v>
      </c>
      <c r="D3" s="198" t="s">
        <v>24</v>
      </c>
      <c r="E3" s="199">
        <f>87.6+48+33.5+19.5</f>
        <v>188.6</v>
      </c>
      <c r="F3" s="200">
        <v>4325.3999999999996</v>
      </c>
      <c r="K3"/>
    </row>
    <row r="4" spans="2:11" ht="15.75" x14ac:dyDescent="0.25">
      <c r="B4" s="84">
        <v>42971</v>
      </c>
      <c r="C4" s="73">
        <v>24944</v>
      </c>
      <c r="D4" s="72" t="s">
        <v>248</v>
      </c>
      <c r="E4" s="77">
        <v>84.7</v>
      </c>
      <c r="F4" s="74">
        <v>3472.7</v>
      </c>
      <c r="K4"/>
    </row>
    <row r="5" spans="2:11" ht="15.75" x14ac:dyDescent="0.25">
      <c r="B5" s="118">
        <v>42972</v>
      </c>
      <c r="C5" s="15" t="s">
        <v>710</v>
      </c>
      <c r="D5" s="119" t="s">
        <v>24</v>
      </c>
      <c r="E5" s="120">
        <f>117.2+47.6+13.5+13.61</f>
        <v>191.91000000000003</v>
      </c>
      <c r="F5" s="121">
        <v>5000.53</v>
      </c>
      <c r="K5"/>
    </row>
    <row r="6" spans="2:11" ht="15.75" x14ac:dyDescent="0.25">
      <c r="B6" s="118">
        <v>42972</v>
      </c>
      <c r="C6" s="15" t="s">
        <v>711</v>
      </c>
      <c r="D6" s="119" t="s">
        <v>6</v>
      </c>
      <c r="E6" s="120">
        <f>410.3+104.1+26.9+27.5</f>
        <v>568.79999999999995</v>
      </c>
      <c r="F6" s="121">
        <v>26325.9</v>
      </c>
      <c r="G6" t="s">
        <v>9</v>
      </c>
      <c r="K6" s="3">
        <f t="shared" ref="K6:K16" si="0">J6*I6</f>
        <v>0</v>
      </c>
    </row>
    <row r="7" spans="2:11" ht="15.75" x14ac:dyDescent="0.25">
      <c r="B7" s="118">
        <v>42973</v>
      </c>
      <c r="C7" s="15" t="s">
        <v>712</v>
      </c>
      <c r="D7" s="119" t="s">
        <v>24</v>
      </c>
      <c r="E7" s="120">
        <v>889.5</v>
      </c>
      <c r="F7" s="121">
        <v>31132.5</v>
      </c>
      <c r="K7" s="3">
        <f t="shared" si="0"/>
        <v>0</v>
      </c>
    </row>
    <row r="8" spans="2:11" ht="15.75" x14ac:dyDescent="0.25">
      <c r="B8" s="118">
        <v>42977</v>
      </c>
      <c r="C8" s="15" t="s">
        <v>713</v>
      </c>
      <c r="D8" s="119" t="s">
        <v>0</v>
      </c>
      <c r="E8" s="120">
        <f>14.1+83.5</f>
        <v>97.6</v>
      </c>
      <c r="F8" s="121">
        <v>4016.8</v>
      </c>
      <c r="K8" s="3">
        <f t="shared" si="0"/>
        <v>0</v>
      </c>
    </row>
    <row r="9" spans="2:11" ht="15.75" x14ac:dyDescent="0.25">
      <c r="B9" s="118">
        <v>42979</v>
      </c>
      <c r="C9" s="15" t="s">
        <v>714</v>
      </c>
      <c r="D9" s="119" t="s">
        <v>24</v>
      </c>
      <c r="E9" s="120">
        <f>884.81+98.2</f>
        <v>983.01</v>
      </c>
      <c r="F9" s="121">
        <v>33325.15</v>
      </c>
      <c r="K9" s="3">
        <f t="shared" si="0"/>
        <v>0</v>
      </c>
    </row>
    <row r="10" spans="2:11" ht="15.75" x14ac:dyDescent="0.25">
      <c r="B10" s="118">
        <v>42980</v>
      </c>
      <c r="C10" s="15" t="s">
        <v>715</v>
      </c>
      <c r="D10" s="119" t="s">
        <v>8</v>
      </c>
      <c r="E10" s="120">
        <v>351.6</v>
      </c>
      <c r="F10" s="121">
        <v>14064</v>
      </c>
      <c r="K10" s="3">
        <f t="shared" si="0"/>
        <v>0</v>
      </c>
    </row>
    <row r="11" spans="2:11" ht="15.75" x14ac:dyDescent="0.25">
      <c r="B11" s="118">
        <v>42980</v>
      </c>
      <c r="C11" s="15" t="s">
        <v>716</v>
      </c>
      <c r="D11" s="119" t="s">
        <v>14</v>
      </c>
      <c r="E11" s="120">
        <f>280.8+254.6</f>
        <v>535.4</v>
      </c>
      <c r="F11" s="121">
        <v>20573.599999999999</v>
      </c>
      <c r="K11" s="3">
        <f t="shared" si="0"/>
        <v>0</v>
      </c>
    </row>
    <row r="12" spans="2:11" ht="15.75" x14ac:dyDescent="0.25">
      <c r="B12" s="118">
        <v>42982</v>
      </c>
      <c r="C12" s="15" t="s">
        <v>717</v>
      </c>
      <c r="D12" s="119" t="s">
        <v>13</v>
      </c>
      <c r="E12" s="120">
        <f>7.1+37.4+23.1</f>
        <v>67.599999999999994</v>
      </c>
      <c r="F12" s="121">
        <v>3271.7</v>
      </c>
      <c r="K12" s="3">
        <f t="shared" si="0"/>
        <v>0</v>
      </c>
    </row>
    <row r="13" spans="2:11" ht="15.75" x14ac:dyDescent="0.25">
      <c r="B13" s="118">
        <v>42982</v>
      </c>
      <c r="C13" s="15" t="s">
        <v>718</v>
      </c>
      <c r="D13" s="192" t="s">
        <v>8</v>
      </c>
      <c r="E13" s="120">
        <f>338.7+57.4</f>
        <v>396.09999999999997</v>
      </c>
      <c r="F13" s="121">
        <v>14638.6</v>
      </c>
      <c r="K13" s="3">
        <f t="shared" si="0"/>
        <v>0</v>
      </c>
    </row>
    <row r="14" spans="2:11" ht="15.75" x14ac:dyDescent="0.25">
      <c r="B14" s="118">
        <v>42982</v>
      </c>
      <c r="C14" s="15" t="s">
        <v>719</v>
      </c>
      <c r="D14" s="119" t="s">
        <v>14</v>
      </c>
      <c r="E14" s="120">
        <v>332.6</v>
      </c>
      <c r="F14" s="121">
        <v>13304</v>
      </c>
      <c r="K14" s="3">
        <f t="shared" si="0"/>
        <v>0</v>
      </c>
    </row>
    <row r="15" spans="2:11" ht="15.75" x14ac:dyDescent="0.25">
      <c r="B15" s="118">
        <v>42982</v>
      </c>
      <c r="C15" s="15" t="s">
        <v>720</v>
      </c>
      <c r="D15" s="119" t="s">
        <v>24</v>
      </c>
      <c r="E15" s="120">
        <v>51.4</v>
      </c>
      <c r="F15" s="121">
        <v>976.6</v>
      </c>
      <c r="K15" s="3">
        <f t="shared" si="0"/>
        <v>0</v>
      </c>
    </row>
    <row r="16" spans="2:11" ht="15.75" x14ac:dyDescent="0.25">
      <c r="B16" s="118">
        <v>42983</v>
      </c>
      <c r="C16" s="15" t="s">
        <v>721</v>
      </c>
      <c r="D16" s="119" t="s">
        <v>659</v>
      </c>
      <c r="E16" s="120">
        <v>991.84</v>
      </c>
      <c r="F16" s="121">
        <v>34714.400000000001</v>
      </c>
      <c r="K16" s="3">
        <f t="shared" si="0"/>
        <v>0</v>
      </c>
    </row>
    <row r="17" spans="2:11" ht="15.75" x14ac:dyDescent="0.25">
      <c r="B17" s="118">
        <v>42983</v>
      </c>
      <c r="C17" s="15" t="s">
        <v>723</v>
      </c>
      <c r="D17" s="119" t="s">
        <v>12</v>
      </c>
      <c r="E17" s="120">
        <v>292.89999999999998</v>
      </c>
      <c r="F17" s="121">
        <v>11569.55</v>
      </c>
    </row>
    <row r="18" spans="2:11" ht="15.75" x14ac:dyDescent="0.25">
      <c r="B18" s="118">
        <v>42983</v>
      </c>
      <c r="C18" s="15" t="s">
        <v>722</v>
      </c>
      <c r="D18" s="119" t="s">
        <v>8</v>
      </c>
      <c r="E18" s="120">
        <f>427.5+85.5</f>
        <v>513</v>
      </c>
      <c r="F18" s="121">
        <v>22700.25</v>
      </c>
    </row>
    <row r="19" spans="2:11" ht="15.75" x14ac:dyDescent="0.25">
      <c r="B19" s="118">
        <v>42983</v>
      </c>
      <c r="C19" s="15" t="s">
        <v>724</v>
      </c>
      <c r="D19" s="119" t="s">
        <v>14</v>
      </c>
      <c r="E19" s="120">
        <v>435.2</v>
      </c>
      <c r="F19" s="121">
        <v>17190.400000000001</v>
      </c>
    </row>
    <row r="20" spans="2:11" ht="15.75" x14ac:dyDescent="0.25">
      <c r="B20" s="118">
        <v>42983</v>
      </c>
      <c r="C20" s="15" t="s">
        <v>725</v>
      </c>
      <c r="D20" s="119" t="s">
        <v>248</v>
      </c>
      <c r="E20" s="120">
        <f>4.6+80.7</f>
        <v>85.3</v>
      </c>
      <c r="F20" s="121">
        <v>3528.05</v>
      </c>
    </row>
    <row r="21" spans="2:11" ht="15.75" x14ac:dyDescent="0.25">
      <c r="B21" s="118">
        <v>42983</v>
      </c>
      <c r="C21" s="15" t="s">
        <v>726</v>
      </c>
      <c r="D21" s="119" t="s">
        <v>248</v>
      </c>
      <c r="E21" s="120">
        <v>7.9</v>
      </c>
      <c r="F21" s="121">
        <v>426.6</v>
      </c>
    </row>
    <row r="22" spans="2:11" ht="15.75" x14ac:dyDescent="0.25">
      <c r="B22" s="118">
        <v>42983</v>
      </c>
      <c r="C22" s="15" t="s">
        <v>727</v>
      </c>
      <c r="D22" s="119" t="s">
        <v>24</v>
      </c>
      <c r="E22" s="120">
        <v>58.2</v>
      </c>
      <c r="F22" s="121">
        <v>1396.8</v>
      </c>
      <c r="I22" s="3">
        <f t="shared" ref="I22" si="1">SUM(I6:I16)</f>
        <v>0</v>
      </c>
      <c r="J22" s="3"/>
      <c r="K22" s="3">
        <f>SUM(K6:K16)</f>
        <v>0</v>
      </c>
    </row>
    <row r="23" spans="2:11" ht="15.75" x14ac:dyDescent="0.25">
      <c r="B23" s="118">
        <v>42983</v>
      </c>
      <c r="C23" s="15" t="s">
        <v>728</v>
      </c>
      <c r="D23" s="119" t="s">
        <v>24</v>
      </c>
      <c r="E23" s="120">
        <v>42.5</v>
      </c>
      <c r="F23" s="121">
        <v>1020</v>
      </c>
      <c r="I23" s="3"/>
      <c r="J23" s="3"/>
    </row>
    <row r="24" spans="2:11" ht="15.75" x14ac:dyDescent="0.25">
      <c r="B24" s="118">
        <v>42983</v>
      </c>
      <c r="C24" s="15" t="s">
        <v>729</v>
      </c>
      <c r="D24" s="119" t="s">
        <v>248</v>
      </c>
      <c r="E24" s="120">
        <f>24.8+99.2</f>
        <v>124</v>
      </c>
      <c r="F24" s="121">
        <v>6324</v>
      </c>
      <c r="I24" s="3"/>
      <c r="J24" s="3"/>
    </row>
    <row r="25" spans="2:11" ht="15.75" x14ac:dyDescent="0.25">
      <c r="B25" s="118">
        <v>42984</v>
      </c>
      <c r="C25" s="15" t="s">
        <v>730</v>
      </c>
      <c r="D25" s="119" t="s">
        <v>8</v>
      </c>
      <c r="E25" s="120">
        <v>459.5</v>
      </c>
      <c r="F25" s="121">
        <v>18150.25</v>
      </c>
      <c r="I25" s="3"/>
      <c r="J25" s="3"/>
    </row>
    <row r="26" spans="2:11" ht="15.75" x14ac:dyDescent="0.25">
      <c r="B26" s="118">
        <v>42984</v>
      </c>
      <c r="C26" s="15" t="s">
        <v>731</v>
      </c>
      <c r="D26" s="119" t="s">
        <v>14</v>
      </c>
      <c r="E26" s="120">
        <v>427.6</v>
      </c>
      <c r="F26" s="121">
        <v>16890.2</v>
      </c>
      <c r="I26" s="3"/>
      <c r="J26" s="3"/>
    </row>
    <row r="27" spans="2:11" ht="15.75" x14ac:dyDescent="0.25">
      <c r="B27" s="118">
        <v>42984</v>
      </c>
      <c r="C27" s="15" t="s">
        <v>732</v>
      </c>
      <c r="D27" s="119" t="s">
        <v>24</v>
      </c>
      <c r="E27" s="120">
        <v>2</v>
      </c>
      <c r="F27" s="121">
        <v>420</v>
      </c>
      <c r="I27" s="3"/>
      <c r="J27" s="3"/>
    </row>
    <row r="28" spans="2:11" ht="15.75" x14ac:dyDescent="0.25">
      <c r="B28" s="118">
        <v>42986</v>
      </c>
      <c r="C28" s="15" t="s">
        <v>733</v>
      </c>
      <c r="D28" s="119" t="s">
        <v>0</v>
      </c>
      <c r="E28" s="120">
        <f>965.08+62.8+79.2+1</f>
        <v>1108.0800000000002</v>
      </c>
      <c r="F28" s="121">
        <v>38623.4</v>
      </c>
      <c r="I28" s="3"/>
      <c r="J28" s="3"/>
    </row>
    <row r="29" spans="2:11" ht="15.75" x14ac:dyDescent="0.25">
      <c r="B29" s="118">
        <v>42986</v>
      </c>
      <c r="C29" s="15" t="s">
        <v>734</v>
      </c>
      <c r="D29" s="119" t="s">
        <v>13</v>
      </c>
      <c r="E29" s="120">
        <v>79.900000000000006</v>
      </c>
      <c r="F29" s="121">
        <v>3156.05</v>
      </c>
      <c r="I29" s="3"/>
      <c r="J29" s="3"/>
    </row>
    <row r="30" spans="2:11" ht="15.75" x14ac:dyDescent="0.25">
      <c r="B30" s="118">
        <v>42987</v>
      </c>
      <c r="C30" s="15" t="s">
        <v>735</v>
      </c>
      <c r="D30" s="119" t="s">
        <v>0</v>
      </c>
      <c r="E30" s="120">
        <v>316.60000000000002</v>
      </c>
      <c r="F30" s="121">
        <v>12505.7</v>
      </c>
      <c r="I30" s="3"/>
      <c r="J30" s="3"/>
    </row>
    <row r="31" spans="2:11" ht="15.75" x14ac:dyDescent="0.25">
      <c r="B31" s="118">
        <v>42987</v>
      </c>
      <c r="C31" s="15" t="s">
        <v>736</v>
      </c>
      <c r="D31" s="119" t="s">
        <v>24</v>
      </c>
      <c r="E31" s="120">
        <f>38.9+59.9</f>
        <v>98.8</v>
      </c>
      <c r="F31" s="121">
        <v>2071.6999999999998</v>
      </c>
      <c r="I31" s="3"/>
      <c r="J31" s="3"/>
    </row>
    <row r="32" spans="2:11" ht="15.75" x14ac:dyDescent="0.25">
      <c r="B32" s="118">
        <v>42987</v>
      </c>
      <c r="C32" s="15" t="s">
        <v>737</v>
      </c>
      <c r="D32" s="119" t="s">
        <v>12</v>
      </c>
      <c r="E32" s="120">
        <f>180.9+1+27.24+19.5</f>
        <v>228.64000000000001</v>
      </c>
      <c r="F32" s="121">
        <v>9554.8700000000008</v>
      </c>
      <c r="I32" s="3"/>
      <c r="J32" s="3"/>
    </row>
    <row r="33" spans="2:13" ht="15.75" x14ac:dyDescent="0.25">
      <c r="B33" s="118">
        <v>42987</v>
      </c>
      <c r="C33" s="15" t="s">
        <v>738</v>
      </c>
      <c r="D33" s="119" t="s">
        <v>13</v>
      </c>
      <c r="E33" s="120">
        <v>85.4</v>
      </c>
      <c r="F33" s="121">
        <v>3373.3</v>
      </c>
      <c r="I33" s="3"/>
      <c r="J33" s="3"/>
    </row>
    <row r="34" spans="2:13" ht="16.5" thickBot="1" x14ac:dyDescent="0.3">
      <c r="B34" s="118"/>
      <c r="C34" s="15"/>
      <c r="D34" s="119"/>
      <c r="E34" s="120">
        <v>0</v>
      </c>
      <c r="F34" s="121">
        <v>0</v>
      </c>
      <c r="I34" s="3"/>
      <c r="J34" s="3"/>
    </row>
    <row r="35" spans="2:13" ht="15.75" thickBot="1" x14ac:dyDescent="0.3">
      <c r="B35" s="29"/>
      <c r="C35" s="66"/>
      <c r="D35" s="31"/>
      <c r="E35" s="32">
        <v>0</v>
      </c>
      <c r="F35" s="33">
        <f>SUM(F3:F34)</f>
        <v>378043</v>
      </c>
      <c r="K35" s="3">
        <f t="shared" ref="K35:K42" si="2">J35*I35</f>
        <v>0</v>
      </c>
    </row>
    <row r="36" spans="2:13" ht="19.5" thickBot="1" x14ac:dyDescent="0.35">
      <c r="B36" s="34"/>
      <c r="C36" s="67"/>
      <c r="D36" s="36" t="s">
        <v>5</v>
      </c>
      <c r="E36" s="37">
        <f>SUM(E3:E35)</f>
        <v>10096.179999999998</v>
      </c>
      <c r="K36" s="3">
        <f t="shared" si="2"/>
        <v>0</v>
      </c>
    </row>
    <row r="37" spans="2:13" x14ac:dyDescent="0.25">
      <c r="B37" s="34"/>
      <c r="C37" s="67"/>
      <c r="D37" s="26"/>
      <c r="E37" s="39"/>
      <c r="K37" s="3">
        <f t="shared" si="2"/>
        <v>0</v>
      </c>
    </row>
    <row r="38" spans="2:13" ht="19.5" thickBot="1" x14ac:dyDescent="0.35">
      <c r="B38" s="40"/>
      <c r="C38" s="41" t="s">
        <v>15</v>
      </c>
      <c r="D38" s="149">
        <f>E36*0.3</f>
        <v>3028.8539999999994</v>
      </c>
      <c r="F38"/>
      <c r="K38" s="3">
        <f t="shared" si="2"/>
        <v>0</v>
      </c>
    </row>
    <row r="39" spans="2:13" ht="21.75" thickBot="1" x14ac:dyDescent="0.4">
      <c r="C39" s="41" t="s">
        <v>16</v>
      </c>
      <c r="D39" s="44">
        <v>4000</v>
      </c>
      <c r="E39" s="45"/>
      <c r="F39" s="258">
        <f>D38+D39</f>
        <v>7028.8539999999994</v>
      </c>
      <c r="G39" s="259"/>
      <c r="K39" s="3">
        <f t="shared" si="2"/>
        <v>0</v>
      </c>
      <c r="L39" s="46"/>
      <c r="M39" s="13"/>
    </row>
    <row r="40" spans="2:13" ht="22.5" thickTop="1" thickBot="1" x14ac:dyDescent="0.4">
      <c r="D40" s="146"/>
      <c r="E40" s="47" t="s">
        <v>258</v>
      </c>
      <c r="F40" s="203"/>
      <c r="G40" s="201">
        <v>-4000</v>
      </c>
      <c r="H40" s="202"/>
      <c r="L40" s="46"/>
      <c r="M40" s="13"/>
    </row>
    <row r="41" spans="2:13" ht="19.5" thickBot="1" x14ac:dyDescent="0.35">
      <c r="B41" s="181"/>
      <c r="C41" s="182"/>
      <c r="D41" s="180" t="s">
        <v>704</v>
      </c>
      <c r="E41" s="47" t="s">
        <v>258</v>
      </c>
      <c r="F41" s="142"/>
      <c r="G41" s="160">
        <v>-1500</v>
      </c>
      <c r="K41" s="3">
        <f t="shared" si="2"/>
        <v>0</v>
      </c>
      <c r="L41" s="49"/>
      <c r="M41" s="49"/>
    </row>
    <row r="42" spans="2:13" ht="19.5" thickBot="1" x14ac:dyDescent="0.35">
      <c r="B42" s="271"/>
      <c r="C42" s="272"/>
      <c r="D42" s="180" t="s">
        <v>758</v>
      </c>
      <c r="E42" s="47" t="s">
        <v>258</v>
      </c>
      <c r="F42" s="125"/>
      <c r="G42" s="169">
        <v>-1528</v>
      </c>
      <c r="K42" s="3">
        <f t="shared" si="2"/>
        <v>0</v>
      </c>
      <c r="L42" s="49"/>
      <c r="M42" s="49"/>
    </row>
    <row r="43" spans="2:13" ht="19.5" thickBot="1" x14ac:dyDescent="0.35">
      <c r="B43" s="173"/>
      <c r="C43" s="174"/>
      <c r="D43" s="180" t="s">
        <v>759</v>
      </c>
      <c r="E43" s="47" t="s">
        <v>307</v>
      </c>
      <c r="F43" s="124"/>
      <c r="G43" s="170">
        <v>0</v>
      </c>
      <c r="L43" s="49"/>
      <c r="M43" s="49"/>
    </row>
    <row r="44" spans="2:13" ht="17.25" customHeight="1" thickBot="1" x14ac:dyDescent="0.4">
      <c r="C44" s="168"/>
      <c r="D44" s="131"/>
      <c r="E44" s="4" t="s">
        <v>258</v>
      </c>
      <c r="F44" s="263">
        <f>SUM(F39:G43)</f>
        <v>0.85399999999935972</v>
      </c>
      <c r="G44" s="264"/>
      <c r="L44" s="49"/>
      <c r="M44" s="49"/>
    </row>
    <row r="45" spans="2:13" ht="19.5" customHeight="1" x14ac:dyDescent="0.35">
      <c r="C45" s="109"/>
      <c r="D45" s="171"/>
      <c r="F45" s="148"/>
      <c r="G45" s="148"/>
    </row>
    <row r="46" spans="2:13" x14ac:dyDescent="0.25">
      <c r="F46" s="27"/>
      <c r="G46" s="26"/>
    </row>
    <row r="47" spans="2:13" x14ac:dyDescent="0.25">
      <c r="D47" t="s">
        <v>9</v>
      </c>
    </row>
    <row r="48" spans="2:13" x14ac:dyDescent="0.25">
      <c r="I48" s="3">
        <f>SUM(I35:I42)</f>
        <v>0</v>
      </c>
      <c r="J48" s="3"/>
      <c r="K48" s="3">
        <f>SUM(K35:K42)</f>
        <v>0</v>
      </c>
    </row>
  </sheetData>
  <mergeCells count="4">
    <mergeCell ref="B1:C1"/>
    <mergeCell ref="F39:G39"/>
    <mergeCell ref="B42:C42"/>
    <mergeCell ref="F44:G44"/>
  </mergeCells>
  <pageMargins left="0.70866141732283472" right="0.11811023622047245" top="0.74803149606299213" bottom="0.74803149606299213" header="0.31496062992125984" footer="0.31496062992125984"/>
  <pageSetup scale="90"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8"/>
  <sheetViews>
    <sheetView topLeftCell="A13" workbookViewId="0">
      <selection activeCell="D51" sqref="D51"/>
    </sheetView>
  </sheetViews>
  <sheetFormatPr baseColWidth="10" defaultRowHeight="15" x14ac:dyDescent="0.25"/>
  <cols>
    <col min="1" max="1" width="3.42578125" customWidth="1"/>
    <col min="2" max="2" width="13.42578125" style="96" bestFit="1" customWidth="1"/>
    <col min="3" max="3" width="13.7109375" style="41" customWidth="1"/>
    <col min="4" max="4" width="28.5703125" bestFit="1" customWidth="1"/>
    <col min="5" max="5" width="12" bestFit="1" customWidth="1"/>
    <col min="6" max="6" width="14.140625" style="3" bestFit="1" customWidth="1"/>
    <col min="7" max="7" width="15.7109375" customWidth="1"/>
    <col min="11" max="11" width="11.42578125" style="3"/>
    <col min="13" max="13" width="11.42578125" style="3"/>
  </cols>
  <sheetData>
    <row r="1" spans="2:11" ht="19.5" thickBot="1" x14ac:dyDescent="0.35">
      <c r="B1" s="257">
        <v>42997</v>
      </c>
      <c r="C1" s="257"/>
      <c r="D1" s="204" t="s">
        <v>0</v>
      </c>
      <c r="E1" s="2" t="s">
        <v>1</v>
      </c>
      <c r="K1"/>
    </row>
    <row r="2" spans="2:11" ht="19.5" thickBot="1" x14ac:dyDescent="0.35">
      <c r="B2" s="95" t="s">
        <v>2</v>
      </c>
      <c r="C2" s="5" t="s">
        <v>3</v>
      </c>
      <c r="D2" s="5" t="s">
        <v>4</v>
      </c>
      <c r="E2" s="6" t="s">
        <v>5</v>
      </c>
      <c r="F2" s="139" t="s">
        <v>739</v>
      </c>
      <c r="G2" s="8"/>
      <c r="K2"/>
    </row>
    <row r="3" spans="2:11" ht="15.75" x14ac:dyDescent="0.25">
      <c r="B3" s="197">
        <v>42989</v>
      </c>
      <c r="C3" s="22" t="s">
        <v>740</v>
      </c>
      <c r="D3" s="198" t="s">
        <v>741</v>
      </c>
      <c r="E3" s="199">
        <v>0</v>
      </c>
      <c r="F3" s="200">
        <v>0</v>
      </c>
      <c r="K3"/>
    </row>
    <row r="4" spans="2:11" ht="15.75" x14ac:dyDescent="0.25">
      <c r="B4" s="84">
        <v>42992</v>
      </c>
      <c r="C4" s="73" t="s">
        <v>742</v>
      </c>
      <c r="D4" s="72" t="s">
        <v>8</v>
      </c>
      <c r="E4" s="77">
        <f>336.8+114</f>
        <v>450.8</v>
      </c>
      <c r="F4" s="74">
        <v>17521.599999999999</v>
      </c>
      <c r="K4"/>
    </row>
    <row r="5" spans="2:11" ht="15.75" x14ac:dyDescent="0.25">
      <c r="B5" s="118">
        <v>42992</v>
      </c>
      <c r="C5" s="15" t="s">
        <v>743</v>
      </c>
      <c r="D5" s="119" t="s">
        <v>14</v>
      </c>
      <c r="E5" s="120">
        <v>331.7</v>
      </c>
      <c r="F5" s="121">
        <v>13102.15</v>
      </c>
      <c r="K5"/>
    </row>
    <row r="6" spans="2:11" ht="15.75" x14ac:dyDescent="0.25">
      <c r="B6" s="118">
        <v>42992</v>
      </c>
      <c r="C6" s="15" t="s">
        <v>744</v>
      </c>
      <c r="D6" s="119" t="s">
        <v>10</v>
      </c>
      <c r="E6" s="120">
        <f>1+38.8+1</f>
        <v>40.799999999999997</v>
      </c>
      <c r="F6" s="121">
        <v>2881.2</v>
      </c>
      <c r="G6" t="s">
        <v>9</v>
      </c>
      <c r="K6" s="3">
        <f t="shared" ref="K6:K16" si="0">J6*I6</f>
        <v>0</v>
      </c>
    </row>
    <row r="7" spans="2:11" ht="15.75" x14ac:dyDescent="0.25">
      <c r="B7" s="118">
        <v>42992</v>
      </c>
      <c r="C7" s="15" t="s">
        <v>745</v>
      </c>
      <c r="D7" s="119" t="s">
        <v>0</v>
      </c>
      <c r="E7" s="120">
        <f>11.6+15.3</f>
        <v>26.9</v>
      </c>
      <c r="F7" s="121">
        <v>1421</v>
      </c>
      <c r="K7" s="3">
        <f t="shared" si="0"/>
        <v>0</v>
      </c>
    </row>
    <row r="8" spans="2:11" ht="15.75" x14ac:dyDescent="0.25">
      <c r="B8" s="118">
        <v>42992</v>
      </c>
      <c r="C8" s="15" t="s">
        <v>746</v>
      </c>
      <c r="D8" s="119" t="s">
        <v>91</v>
      </c>
      <c r="E8" s="120">
        <f>12.2+970.68+72.3+86.8+39.7+11.6</f>
        <v>1193.28</v>
      </c>
      <c r="F8" s="121">
        <v>40800.199999999997</v>
      </c>
      <c r="K8" s="3">
        <f t="shared" si="0"/>
        <v>0</v>
      </c>
    </row>
    <row r="9" spans="2:11" ht="15.75" x14ac:dyDescent="0.25">
      <c r="B9" s="118">
        <v>42992</v>
      </c>
      <c r="C9" s="15" t="s">
        <v>747</v>
      </c>
      <c r="D9" s="119" t="s">
        <v>0</v>
      </c>
      <c r="E9" s="120">
        <f>1+8.5+62.8</f>
        <v>72.3</v>
      </c>
      <c r="F9" s="121">
        <v>6123.6</v>
      </c>
      <c r="K9" s="3">
        <f t="shared" si="0"/>
        <v>0</v>
      </c>
    </row>
    <row r="10" spans="2:11" ht="15.75" x14ac:dyDescent="0.25">
      <c r="B10" s="118">
        <v>42989</v>
      </c>
      <c r="C10" s="15" t="s">
        <v>748</v>
      </c>
      <c r="D10" s="119" t="s">
        <v>6</v>
      </c>
      <c r="E10" s="120">
        <f>194.3+13.2+5.2</f>
        <v>212.7</v>
      </c>
      <c r="F10" s="121">
        <v>8158.45</v>
      </c>
      <c r="K10" s="3">
        <f t="shared" si="0"/>
        <v>0</v>
      </c>
    </row>
    <row r="11" spans="2:11" ht="15.75" x14ac:dyDescent="0.25">
      <c r="B11" s="118">
        <v>42993</v>
      </c>
      <c r="C11" s="15" t="s">
        <v>749</v>
      </c>
      <c r="D11" s="119" t="s">
        <v>0</v>
      </c>
      <c r="E11" s="120">
        <v>918.07</v>
      </c>
      <c r="F11" s="121">
        <v>32132.45</v>
      </c>
      <c r="K11" s="3">
        <f t="shared" si="0"/>
        <v>0</v>
      </c>
    </row>
    <row r="12" spans="2:11" ht="15.75" x14ac:dyDescent="0.25">
      <c r="B12" s="118">
        <v>42993</v>
      </c>
      <c r="C12" s="15" t="s">
        <v>750</v>
      </c>
      <c r="D12" s="119" t="s">
        <v>12</v>
      </c>
      <c r="E12" s="120">
        <f>248.4+13.61+25.2</f>
        <v>287.20999999999998</v>
      </c>
      <c r="F12" s="121">
        <v>12146.15</v>
      </c>
      <c r="K12" s="3">
        <f t="shared" si="0"/>
        <v>0</v>
      </c>
    </row>
    <row r="13" spans="2:11" ht="15.75" x14ac:dyDescent="0.25">
      <c r="B13" s="118">
        <v>42993</v>
      </c>
      <c r="C13" s="15" t="s">
        <v>751</v>
      </c>
      <c r="D13" s="192" t="s">
        <v>91</v>
      </c>
      <c r="E13" s="120">
        <f>82.7+13.61+51</f>
        <v>147.31</v>
      </c>
      <c r="F13" s="121">
        <v>4942.8500000000004</v>
      </c>
      <c r="K13" s="3">
        <f t="shared" si="0"/>
        <v>0</v>
      </c>
    </row>
    <row r="14" spans="2:11" ht="15.75" x14ac:dyDescent="0.25">
      <c r="B14" s="118">
        <v>42993</v>
      </c>
      <c r="C14" s="15" t="s">
        <v>752</v>
      </c>
      <c r="D14" s="119" t="s">
        <v>14</v>
      </c>
      <c r="E14" s="120">
        <f>229+397.8</f>
        <v>626.79999999999995</v>
      </c>
      <c r="F14" s="121">
        <v>24385</v>
      </c>
      <c r="K14" s="3">
        <f t="shared" si="0"/>
        <v>0</v>
      </c>
    </row>
    <row r="15" spans="2:11" ht="15.75" x14ac:dyDescent="0.25">
      <c r="B15" s="118">
        <v>42993</v>
      </c>
      <c r="C15" s="15" t="s">
        <v>753</v>
      </c>
      <c r="D15" s="119" t="s">
        <v>0</v>
      </c>
      <c r="E15" s="120">
        <f>931.67-25.4</f>
        <v>906.27</v>
      </c>
      <c r="F15" s="121">
        <v>33218.050000000003</v>
      </c>
      <c r="K15" s="3">
        <f t="shared" si="0"/>
        <v>0</v>
      </c>
    </row>
    <row r="16" spans="2:11" ht="15.75" x14ac:dyDescent="0.25">
      <c r="B16" s="118">
        <v>42993</v>
      </c>
      <c r="C16" s="15" t="s">
        <v>754</v>
      </c>
      <c r="D16" s="119" t="s">
        <v>0</v>
      </c>
      <c r="E16" s="120">
        <v>97.4</v>
      </c>
      <c r="F16" s="121">
        <v>3896</v>
      </c>
      <c r="K16" s="3">
        <f t="shared" si="0"/>
        <v>0</v>
      </c>
    </row>
    <row r="17" spans="2:11" ht="15.75" x14ac:dyDescent="0.25">
      <c r="B17" s="118">
        <v>42993</v>
      </c>
      <c r="C17" s="15" t="s">
        <v>755</v>
      </c>
      <c r="D17" s="119" t="s">
        <v>8</v>
      </c>
      <c r="E17" s="120">
        <f>424.2+125.4+35.4+19.3</f>
        <v>604.29999999999995</v>
      </c>
      <c r="F17" s="121">
        <v>27766.5</v>
      </c>
    </row>
    <row r="18" spans="2:11" ht="15.75" x14ac:dyDescent="0.25">
      <c r="B18" s="118">
        <v>42993</v>
      </c>
      <c r="C18" s="15" t="s">
        <v>756</v>
      </c>
      <c r="D18" s="119" t="s">
        <v>6</v>
      </c>
      <c r="E18" s="120">
        <f>2340+84.3+78.4</f>
        <v>2502.7000000000003</v>
      </c>
      <c r="F18" s="121">
        <v>9147.7999999999993</v>
      </c>
    </row>
    <row r="19" spans="2:11" ht="15.75" x14ac:dyDescent="0.25">
      <c r="B19" s="118">
        <v>42993</v>
      </c>
      <c r="C19" s="15" t="s">
        <v>757</v>
      </c>
      <c r="D19" s="119" t="s">
        <v>0</v>
      </c>
      <c r="E19" s="120">
        <v>6.8</v>
      </c>
      <c r="F19" s="121">
        <v>326.39999999999998</v>
      </c>
    </row>
    <row r="20" spans="2:11" ht="15.75" hidden="1" x14ac:dyDescent="0.25">
      <c r="B20" s="118"/>
      <c r="C20" s="15"/>
      <c r="D20" s="119"/>
      <c r="E20" s="120"/>
      <c r="F20" s="121"/>
    </row>
    <row r="21" spans="2:11" ht="15.75" hidden="1" x14ac:dyDescent="0.25">
      <c r="B21" s="118"/>
      <c r="C21" s="15"/>
      <c r="D21" s="119"/>
      <c r="E21" s="120"/>
      <c r="F21" s="121"/>
    </row>
    <row r="22" spans="2:11" ht="15.75" hidden="1" x14ac:dyDescent="0.25">
      <c r="B22" s="118"/>
      <c r="C22" s="15"/>
      <c r="D22" s="119"/>
      <c r="E22" s="120"/>
      <c r="F22" s="121"/>
      <c r="I22" s="3">
        <f t="shared" ref="I22" si="1">SUM(I6:I16)</f>
        <v>0</v>
      </c>
      <c r="J22" s="3"/>
      <c r="K22" s="3">
        <f>SUM(K6:K16)</f>
        <v>0</v>
      </c>
    </row>
    <row r="23" spans="2:11" ht="15.75" hidden="1" x14ac:dyDescent="0.25">
      <c r="B23" s="118"/>
      <c r="C23" s="15"/>
      <c r="D23" s="119"/>
      <c r="E23" s="120"/>
      <c r="F23" s="121"/>
      <c r="I23" s="3"/>
      <c r="J23" s="3"/>
    </row>
    <row r="24" spans="2:11" ht="15.75" hidden="1" x14ac:dyDescent="0.25">
      <c r="B24" s="118"/>
      <c r="C24" s="15"/>
      <c r="D24" s="119"/>
      <c r="E24" s="120"/>
      <c r="F24" s="121"/>
      <c r="I24" s="3"/>
      <c r="J24" s="3"/>
    </row>
    <row r="25" spans="2:11" ht="15.75" hidden="1" x14ac:dyDescent="0.25">
      <c r="B25" s="118"/>
      <c r="C25" s="15"/>
      <c r="D25" s="119"/>
      <c r="E25" s="120"/>
      <c r="F25" s="121"/>
      <c r="I25" s="3"/>
      <c r="J25" s="3"/>
    </row>
    <row r="26" spans="2:11" ht="15.75" hidden="1" x14ac:dyDescent="0.25">
      <c r="B26" s="118"/>
      <c r="C26" s="15"/>
      <c r="D26" s="119"/>
      <c r="E26" s="120"/>
      <c r="F26" s="121"/>
      <c r="I26" s="3"/>
      <c r="J26" s="3"/>
    </row>
    <row r="27" spans="2:11" ht="15.75" hidden="1" x14ac:dyDescent="0.25">
      <c r="B27" s="118"/>
      <c r="C27" s="15"/>
      <c r="D27" s="119"/>
      <c r="E27" s="120"/>
      <c r="F27" s="121"/>
      <c r="I27" s="3"/>
      <c r="J27" s="3"/>
    </row>
    <row r="28" spans="2:11" ht="15.75" hidden="1" x14ac:dyDescent="0.25">
      <c r="B28" s="118"/>
      <c r="C28" s="15"/>
      <c r="D28" s="119"/>
      <c r="E28" s="120"/>
      <c r="F28" s="121"/>
      <c r="I28" s="3"/>
      <c r="J28" s="3"/>
    </row>
    <row r="29" spans="2:11" ht="15.75" hidden="1" x14ac:dyDescent="0.25">
      <c r="B29" s="118"/>
      <c r="C29" s="15"/>
      <c r="D29" s="119"/>
      <c r="E29" s="120"/>
      <c r="F29" s="121"/>
      <c r="I29" s="3"/>
      <c r="J29" s="3"/>
    </row>
    <row r="30" spans="2:11" ht="15.75" hidden="1" x14ac:dyDescent="0.25">
      <c r="B30" s="118"/>
      <c r="C30" s="15"/>
      <c r="D30" s="119"/>
      <c r="E30" s="120"/>
      <c r="F30" s="121"/>
      <c r="I30" s="3"/>
      <c r="J30" s="3"/>
    </row>
    <row r="31" spans="2:11" ht="15.75" hidden="1" x14ac:dyDescent="0.25">
      <c r="B31" s="118"/>
      <c r="C31" s="15"/>
      <c r="D31" s="119"/>
      <c r="E31" s="120"/>
      <c r="F31" s="121"/>
      <c r="I31" s="3"/>
      <c r="J31" s="3"/>
    </row>
    <row r="32" spans="2:11" ht="15.75" hidden="1" x14ac:dyDescent="0.25">
      <c r="B32" s="118"/>
      <c r="C32" s="15"/>
      <c r="D32" s="119"/>
      <c r="E32" s="120"/>
      <c r="F32" s="121"/>
      <c r="I32" s="3"/>
      <c r="J32" s="3"/>
    </row>
    <row r="33" spans="2:13" ht="15.75" hidden="1" x14ac:dyDescent="0.25">
      <c r="B33" s="118"/>
      <c r="C33" s="15"/>
      <c r="D33" s="119"/>
      <c r="E33" s="120"/>
      <c r="F33" s="121"/>
      <c r="I33" s="3"/>
      <c r="J33" s="3"/>
    </row>
    <row r="34" spans="2:13" ht="16.5" thickBot="1" x14ac:dyDescent="0.3">
      <c r="B34" s="118"/>
      <c r="C34" s="15"/>
      <c r="D34" s="119"/>
      <c r="E34" s="120">
        <v>0</v>
      </c>
      <c r="F34" s="121">
        <v>0</v>
      </c>
      <c r="I34" s="3"/>
      <c r="J34" s="3"/>
    </row>
    <row r="35" spans="2:13" ht="15.75" thickBot="1" x14ac:dyDescent="0.3">
      <c r="B35" s="29"/>
      <c r="C35" s="66"/>
      <c r="D35" s="31"/>
      <c r="E35" s="32">
        <v>0</v>
      </c>
      <c r="F35" s="33">
        <f>SUM(F3:F34)</f>
        <v>237969.4</v>
      </c>
      <c r="K35" s="3">
        <f t="shared" ref="K35:K42" si="2">J35*I35</f>
        <v>0</v>
      </c>
    </row>
    <row r="36" spans="2:13" ht="19.5" thickBot="1" x14ac:dyDescent="0.35">
      <c r="B36" s="34"/>
      <c r="C36" s="67"/>
      <c r="D36" s="36" t="s">
        <v>5</v>
      </c>
      <c r="E36" s="37">
        <f>SUM(E3:E35)</f>
        <v>8425.3399999999983</v>
      </c>
      <c r="K36" s="3">
        <f t="shared" si="2"/>
        <v>0</v>
      </c>
    </row>
    <row r="37" spans="2:13" x14ac:dyDescent="0.25">
      <c r="B37" s="34"/>
      <c r="C37" s="67"/>
      <c r="D37" s="26"/>
      <c r="E37" s="39"/>
      <c r="K37" s="3">
        <f t="shared" si="2"/>
        <v>0</v>
      </c>
    </row>
    <row r="38" spans="2:13" ht="19.5" thickBot="1" x14ac:dyDescent="0.35">
      <c r="B38" s="40"/>
      <c r="C38" s="41" t="s">
        <v>15</v>
      </c>
      <c r="D38" s="149">
        <f>E36*0.3</f>
        <v>2527.6019999999994</v>
      </c>
      <c r="F38"/>
      <c r="K38" s="3">
        <f t="shared" si="2"/>
        <v>0</v>
      </c>
    </row>
    <row r="39" spans="2:13" ht="21.75" thickBot="1" x14ac:dyDescent="0.4">
      <c r="C39" s="41" t="s">
        <v>16</v>
      </c>
      <c r="D39" s="44">
        <v>4000</v>
      </c>
      <c r="E39" s="45"/>
      <c r="F39" s="258">
        <f>D38+D39</f>
        <v>6527.601999999999</v>
      </c>
      <c r="G39" s="259"/>
      <c r="K39" s="3">
        <f t="shared" si="2"/>
        <v>0</v>
      </c>
      <c r="L39" s="46"/>
      <c r="M39" s="13"/>
    </row>
    <row r="40" spans="2:13" ht="22.5" thickTop="1" thickBot="1" x14ac:dyDescent="0.4">
      <c r="D40" s="146"/>
      <c r="E40" s="47" t="s">
        <v>258</v>
      </c>
      <c r="F40" s="203"/>
      <c r="G40" s="201">
        <v>-6527</v>
      </c>
      <c r="H40" s="202"/>
      <c r="L40" s="46"/>
      <c r="M40" s="13"/>
    </row>
    <row r="41" spans="2:13" ht="19.5" thickBot="1" x14ac:dyDescent="0.35">
      <c r="B41" s="181"/>
      <c r="C41" s="182"/>
      <c r="D41" s="180" t="s">
        <v>760</v>
      </c>
      <c r="E41" s="47" t="s">
        <v>258</v>
      </c>
      <c r="F41" s="142"/>
      <c r="G41" s="160">
        <v>0</v>
      </c>
      <c r="K41" s="3">
        <f t="shared" si="2"/>
        <v>0</v>
      </c>
      <c r="L41" s="49"/>
      <c r="M41" s="49"/>
    </row>
    <row r="42" spans="2:13" ht="19.5" thickBot="1" x14ac:dyDescent="0.35">
      <c r="B42" s="271"/>
      <c r="C42" s="272"/>
      <c r="D42" s="180"/>
      <c r="E42" s="47" t="s">
        <v>258</v>
      </c>
      <c r="F42" s="125"/>
      <c r="G42" s="169">
        <v>0</v>
      </c>
      <c r="K42" s="3">
        <f t="shared" si="2"/>
        <v>0</v>
      </c>
      <c r="L42" s="49"/>
      <c r="M42" s="49"/>
    </row>
    <row r="43" spans="2:13" ht="19.5" thickBot="1" x14ac:dyDescent="0.35">
      <c r="B43" s="173"/>
      <c r="C43" s="174"/>
      <c r="D43" s="180"/>
      <c r="E43" s="47" t="s">
        <v>307</v>
      </c>
      <c r="F43" s="124"/>
      <c r="G43" s="170">
        <v>0</v>
      </c>
      <c r="L43" s="49"/>
      <c r="M43" s="49"/>
    </row>
    <row r="44" spans="2:13" ht="17.25" customHeight="1" thickBot="1" x14ac:dyDescent="0.4">
      <c r="C44" s="168"/>
      <c r="D44" s="131"/>
      <c r="E44" s="4" t="s">
        <v>258</v>
      </c>
      <c r="F44" s="263">
        <f>SUM(F39:G43)</f>
        <v>0.60199999999895226</v>
      </c>
      <c r="G44" s="264"/>
      <c r="L44" s="49"/>
      <c r="M44" s="49"/>
    </row>
    <row r="45" spans="2:13" ht="19.5" customHeight="1" x14ac:dyDescent="0.35">
      <c r="C45" s="109"/>
      <c r="D45" s="171"/>
      <c r="F45" s="148"/>
      <c r="G45" s="148"/>
    </row>
    <row r="46" spans="2:13" x14ac:dyDescent="0.25">
      <c r="F46" s="27"/>
      <c r="G46" s="26"/>
    </row>
    <row r="47" spans="2:13" x14ac:dyDescent="0.25">
      <c r="D47" t="s">
        <v>9</v>
      </c>
    </row>
    <row r="48" spans="2:13" x14ac:dyDescent="0.25">
      <c r="I48" s="3">
        <f>SUM(I35:I42)</f>
        <v>0</v>
      </c>
      <c r="J48" s="3"/>
      <c r="K48" s="3">
        <f>SUM(K35:K42)</f>
        <v>0</v>
      </c>
    </row>
  </sheetData>
  <mergeCells count="4">
    <mergeCell ref="B1:C1"/>
    <mergeCell ref="F39:G39"/>
    <mergeCell ref="B42:C42"/>
    <mergeCell ref="F44:G44"/>
  </mergeCells>
  <pageMargins left="0.70866141732283472" right="0.11811023622047245" top="0.74803149606299213" bottom="0.74803149606299213" header="0.31496062992125984" footer="0.31496062992125984"/>
  <pageSetup scale="90" orientation="portrait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CCFF"/>
  </sheetPr>
  <dimension ref="B1:M57"/>
  <sheetViews>
    <sheetView topLeftCell="A42" workbookViewId="0">
      <selection activeCell="B51" sqref="B51:D51"/>
    </sheetView>
  </sheetViews>
  <sheetFormatPr baseColWidth="10" defaultRowHeight="15" x14ac:dyDescent="0.25"/>
  <cols>
    <col min="1" max="1" width="3.42578125" customWidth="1"/>
    <col min="2" max="2" width="13.42578125" style="96" bestFit="1" customWidth="1"/>
    <col min="3" max="3" width="13.7109375" style="41" customWidth="1"/>
    <col min="4" max="4" width="28.5703125" bestFit="1" customWidth="1"/>
    <col min="5" max="5" width="12" bestFit="1" customWidth="1"/>
    <col min="6" max="6" width="14.140625" style="3" bestFit="1" customWidth="1"/>
    <col min="7" max="7" width="15.7109375" customWidth="1"/>
    <col min="11" max="11" width="11.42578125" style="3"/>
    <col min="13" max="13" width="11.42578125" style="3"/>
  </cols>
  <sheetData>
    <row r="1" spans="2:11" ht="19.5" thickBot="1" x14ac:dyDescent="0.35">
      <c r="B1" s="257">
        <v>43013</v>
      </c>
      <c r="C1" s="257"/>
      <c r="D1" s="205" t="s">
        <v>0</v>
      </c>
      <c r="E1" s="2" t="s">
        <v>1</v>
      </c>
      <c r="K1"/>
    </row>
    <row r="2" spans="2:11" ht="19.5" thickBot="1" x14ac:dyDescent="0.35">
      <c r="B2" s="95" t="s">
        <v>2</v>
      </c>
      <c r="C2" s="5" t="s">
        <v>3</v>
      </c>
      <c r="D2" s="5" t="s">
        <v>4</v>
      </c>
      <c r="E2" s="6" t="s">
        <v>5</v>
      </c>
      <c r="F2" s="139" t="s">
        <v>761</v>
      </c>
      <c r="G2" s="8"/>
      <c r="K2"/>
    </row>
    <row r="3" spans="2:11" ht="15.75" x14ac:dyDescent="0.25">
      <c r="B3" s="197">
        <v>42983</v>
      </c>
      <c r="C3" s="22" t="s">
        <v>762</v>
      </c>
      <c r="D3" s="198" t="s">
        <v>24</v>
      </c>
      <c r="E3" s="199">
        <v>89.1</v>
      </c>
      <c r="F3" s="200">
        <v>3519.45</v>
      </c>
      <c r="K3"/>
    </row>
    <row r="4" spans="2:11" ht="15.75" x14ac:dyDescent="0.25">
      <c r="B4" s="84">
        <v>42985</v>
      </c>
      <c r="C4" s="73" t="s">
        <v>763</v>
      </c>
      <c r="D4" s="72" t="s">
        <v>24</v>
      </c>
      <c r="E4" s="77">
        <f>132.1+42.3+12.9+12.8</f>
        <v>200.1</v>
      </c>
      <c r="F4" s="74">
        <v>5241</v>
      </c>
      <c r="K4"/>
    </row>
    <row r="5" spans="2:11" ht="15.75" x14ac:dyDescent="0.25">
      <c r="B5" s="118">
        <v>42996</v>
      </c>
      <c r="C5" s="15">
        <v>3002</v>
      </c>
      <c r="D5" s="119" t="s">
        <v>14</v>
      </c>
      <c r="E5" s="120">
        <v>385</v>
      </c>
      <c r="F5" s="121">
        <v>15015</v>
      </c>
      <c r="K5"/>
    </row>
    <row r="6" spans="2:11" ht="15.75" x14ac:dyDescent="0.25">
      <c r="B6" s="118">
        <v>42996</v>
      </c>
      <c r="C6" s="15">
        <v>3003</v>
      </c>
      <c r="D6" s="119" t="s">
        <v>34</v>
      </c>
      <c r="E6" s="120">
        <f>398.3+111.9+60.9</f>
        <v>571.1</v>
      </c>
      <c r="F6" s="121">
        <v>20831.099999999999</v>
      </c>
      <c r="G6" t="s">
        <v>9</v>
      </c>
      <c r="K6" s="3">
        <f t="shared" ref="K6:K21" si="0">J6*I6</f>
        <v>0</v>
      </c>
    </row>
    <row r="7" spans="2:11" ht="15.75" x14ac:dyDescent="0.25">
      <c r="B7" s="118">
        <v>42996</v>
      </c>
      <c r="C7" s="15">
        <v>3004</v>
      </c>
      <c r="D7" s="119" t="s">
        <v>24</v>
      </c>
      <c r="E7" s="120">
        <f>76.3+57.9+44.4+1+58.6</f>
        <v>238.2</v>
      </c>
      <c r="F7" s="121">
        <v>7502.5</v>
      </c>
      <c r="K7" s="3">
        <f t="shared" si="0"/>
        <v>0</v>
      </c>
    </row>
    <row r="8" spans="2:11" ht="15.75" x14ac:dyDescent="0.25">
      <c r="B8" s="118">
        <v>42997</v>
      </c>
      <c r="C8" s="15">
        <v>3108</v>
      </c>
      <c r="D8" s="119" t="s">
        <v>13</v>
      </c>
      <c r="E8" s="120">
        <v>77.099999999999994</v>
      </c>
      <c r="F8" s="121">
        <v>3006.9</v>
      </c>
      <c r="K8" s="3">
        <f t="shared" si="0"/>
        <v>0</v>
      </c>
    </row>
    <row r="9" spans="2:11" ht="15.75" x14ac:dyDescent="0.25">
      <c r="B9" s="118">
        <v>42997</v>
      </c>
      <c r="C9" s="15">
        <v>3110</v>
      </c>
      <c r="D9" s="119" t="s">
        <v>659</v>
      </c>
      <c r="E9" s="120">
        <v>907.03</v>
      </c>
      <c r="F9" s="121">
        <v>31746.05</v>
      </c>
      <c r="K9" s="3">
        <f t="shared" si="0"/>
        <v>0</v>
      </c>
    </row>
    <row r="10" spans="2:11" ht="15.75" x14ac:dyDescent="0.25">
      <c r="B10" s="118">
        <v>42997</v>
      </c>
      <c r="C10" s="15">
        <v>3114</v>
      </c>
      <c r="D10" s="119" t="s">
        <v>34</v>
      </c>
      <c r="E10" s="120">
        <f>396.3+121.2+55</f>
        <v>572.5</v>
      </c>
      <c r="F10" s="121">
        <v>20863.900000000001</v>
      </c>
      <c r="K10" s="3">
        <f t="shared" si="0"/>
        <v>0</v>
      </c>
    </row>
    <row r="11" spans="2:11" ht="15.75" x14ac:dyDescent="0.25">
      <c r="B11" s="118">
        <v>42997</v>
      </c>
      <c r="C11" s="15">
        <v>3115</v>
      </c>
      <c r="D11" s="119" t="s">
        <v>12</v>
      </c>
      <c r="E11" s="120">
        <f>276.1+12.8</f>
        <v>288.90000000000003</v>
      </c>
      <c r="F11" s="121">
        <v>11510.3</v>
      </c>
      <c r="K11" s="3">
        <f t="shared" si="0"/>
        <v>0</v>
      </c>
    </row>
    <row r="12" spans="2:11" ht="15.75" x14ac:dyDescent="0.25">
      <c r="B12" s="118">
        <v>42997</v>
      </c>
      <c r="C12" s="15">
        <v>3116</v>
      </c>
      <c r="D12" s="119" t="s">
        <v>24</v>
      </c>
      <c r="E12" s="120">
        <f>907.03+18.1+37.2+39.2</f>
        <v>1001.5300000000001</v>
      </c>
      <c r="F12" s="121">
        <v>34016.050000000003</v>
      </c>
      <c r="K12" s="3">
        <f t="shared" si="0"/>
        <v>0</v>
      </c>
    </row>
    <row r="13" spans="2:11" ht="15.75" x14ac:dyDescent="0.25">
      <c r="B13" s="118">
        <v>42997</v>
      </c>
      <c r="C13" s="15">
        <v>3117</v>
      </c>
      <c r="D13" s="119" t="s">
        <v>0</v>
      </c>
      <c r="E13" s="120">
        <v>16.5</v>
      </c>
      <c r="F13" s="121">
        <v>957</v>
      </c>
      <c r="K13" s="3">
        <f t="shared" si="0"/>
        <v>0</v>
      </c>
    </row>
    <row r="14" spans="2:11" ht="15.75" x14ac:dyDescent="0.25">
      <c r="B14" s="118">
        <v>42997</v>
      </c>
      <c r="C14" s="15">
        <v>3118</v>
      </c>
      <c r="D14" s="119" t="s">
        <v>0</v>
      </c>
      <c r="E14" s="120">
        <f>79.3+10.9</f>
        <v>90.2</v>
      </c>
      <c r="F14" s="121">
        <v>3387</v>
      </c>
    </row>
    <row r="15" spans="2:11" ht="15.75" x14ac:dyDescent="0.25">
      <c r="B15" s="118">
        <v>42997</v>
      </c>
      <c r="C15" s="15">
        <v>3119</v>
      </c>
      <c r="D15" s="119" t="s">
        <v>6</v>
      </c>
      <c r="E15" s="120">
        <f>147.5+11.7+25.4</f>
        <v>184.6</v>
      </c>
      <c r="F15" s="121">
        <v>8386.9</v>
      </c>
    </row>
    <row r="16" spans="2:11" ht="15.75" x14ac:dyDescent="0.25">
      <c r="B16" s="118">
        <v>42998</v>
      </c>
      <c r="C16" s="15">
        <v>3230</v>
      </c>
      <c r="D16" s="119" t="s">
        <v>34</v>
      </c>
      <c r="E16" s="120">
        <v>327.3</v>
      </c>
      <c r="F16" s="121">
        <v>12764.7</v>
      </c>
    </row>
    <row r="17" spans="2:11" ht="15.75" x14ac:dyDescent="0.25">
      <c r="B17" s="118">
        <v>42998</v>
      </c>
      <c r="C17" s="15">
        <v>3232</v>
      </c>
      <c r="D17" s="119" t="s">
        <v>14</v>
      </c>
      <c r="E17" s="120">
        <v>254.7</v>
      </c>
      <c r="F17" s="121">
        <v>9933.2999999999993</v>
      </c>
    </row>
    <row r="18" spans="2:11" ht="15.75" x14ac:dyDescent="0.25">
      <c r="B18" s="118">
        <v>42998</v>
      </c>
      <c r="C18" s="15">
        <v>3233</v>
      </c>
      <c r="D18" s="119" t="s">
        <v>6</v>
      </c>
      <c r="E18" s="120">
        <f>173.7+8.4</f>
        <v>182.1</v>
      </c>
      <c r="F18" s="121">
        <v>7482.9</v>
      </c>
    </row>
    <row r="19" spans="2:11" ht="15.75" x14ac:dyDescent="0.25">
      <c r="B19" s="118">
        <v>42998</v>
      </c>
      <c r="C19" s="15">
        <v>3234</v>
      </c>
      <c r="D19" s="119" t="s">
        <v>0</v>
      </c>
      <c r="E19" s="120">
        <v>14.9</v>
      </c>
      <c r="F19" s="121">
        <v>402.3</v>
      </c>
      <c r="K19" s="3">
        <f t="shared" si="0"/>
        <v>0</v>
      </c>
    </row>
    <row r="20" spans="2:11" ht="15.75" x14ac:dyDescent="0.25">
      <c r="B20" s="118">
        <v>42999</v>
      </c>
      <c r="C20" s="15">
        <v>3346</v>
      </c>
      <c r="D20" s="119" t="s">
        <v>0</v>
      </c>
      <c r="E20" s="120">
        <v>949.82</v>
      </c>
      <c r="F20" s="121">
        <v>32293.88</v>
      </c>
      <c r="K20" s="3">
        <f t="shared" si="0"/>
        <v>0</v>
      </c>
    </row>
    <row r="21" spans="2:11" ht="15.75" x14ac:dyDescent="0.25">
      <c r="B21" s="118">
        <v>42999</v>
      </c>
      <c r="C21" s="15">
        <v>3347</v>
      </c>
      <c r="D21" s="119" t="s">
        <v>0</v>
      </c>
      <c r="E21" s="120">
        <v>83.5</v>
      </c>
      <c r="F21" s="121">
        <v>3256.5</v>
      </c>
      <c r="K21" s="3">
        <f t="shared" si="0"/>
        <v>0</v>
      </c>
    </row>
    <row r="22" spans="2:11" ht="15.75" x14ac:dyDescent="0.25">
      <c r="B22" s="118">
        <v>43001</v>
      </c>
      <c r="C22" s="15">
        <v>3656</v>
      </c>
      <c r="D22" s="119" t="s">
        <v>6</v>
      </c>
      <c r="E22" s="120">
        <v>157.80000000000001</v>
      </c>
      <c r="F22" s="121">
        <v>6312</v>
      </c>
    </row>
    <row r="23" spans="2:11" ht="15.75" x14ac:dyDescent="0.25">
      <c r="B23" s="118">
        <v>43001</v>
      </c>
      <c r="C23" s="15">
        <v>3658</v>
      </c>
      <c r="D23" s="119" t="s">
        <v>14</v>
      </c>
      <c r="E23" s="120">
        <f>400.9+124.7</f>
        <v>525.6</v>
      </c>
      <c r="F23" s="121">
        <v>18102.3</v>
      </c>
    </row>
    <row r="24" spans="2:11" ht="15.75" x14ac:dyDescent="0.25">
      <c r="B24" s="118">
        <v>43001</v>
      </c>
      <c r="C24" s="15">
        <v>3659</v>
      </c>
      <c r="D24" s="119" t="s">
        <v>34</v>
      </c>
      <c r="E24" s="120">
        <f>443.4+70.6+223.4</f>
        <v>737.4</v>
      </c>
      <c r="F24" s="121">
        <v>29245.599999999999</v>
      </c>
    </row>
    <row r="25" spans="2:11" ht="15.75" hidden="1" x14ac:dyDescent="0.25">
      <c r="B25" s="118"/>
      <c r="C25" s="15"/>
      <c r="D25" s="119"/>
      <c r="E25" s="120"/>
      <c r="F25" s="121"/>
    </row>
    <row r="26" spans="2:11" ht="15.75" hidden="1" x14ac:dyDescent="0.25">
      <c r="B26" s="118"/>
      <c r="C26" s="15"/>
      <c r="D26" s="119"/>
      <c r="E26" s="120"/>
      <c r="F26" s="121"/>
    </row>
    <row r="27" spans="2:11" ht="15.75" hidden="1" x14ac:dyDescent="0.25">
      <c r="B27" s="118"/>
      <c r="C27" s="15"/>
      <c r="D27" s="119"/>
      <c r="E27" s="120"/>
      <c r="F27" s="121"/>
      <c r="I27" s="3">
        <f t="shared" ref="I27" si="1">SUM(I6:I21)</f>
        <v>0</v>
      </c>
      <c r="J27" s="3"/>
      <c r="K27" s="3">
        <f>SUM(K6:K21)</f>
        <v>0</v>
      </c>
    </row>
    <row r="28" spans="2:11" ht="15.75" hidden="1" x14ac:dyDescent="0.25">
      <c r="B28" s="118"/>
      <c r="C28" s="15"/>
      <c r="D28" s="119"/>
      <c r="E28" s="120"/>
      <c r="F28" s="121"/>
      <c r="I28" s="3"/>
      <c r="J28" s="3"/>
    </row>
    <row r="29" spans="2:11" ht="15.75" hidden="1" x14ac:dyDescent="0.25">
      <c r="B29" s="118"/>
      <c r="C29" s="15"/>
      <c r="D29" s="119"/>
      <c r="E29" s="120"/>
      <c r="F29" s="121"/>
      <c r="I29" s="3"/>
      <c r="J29" s="3"/>
    </row>
    <row r="30" spans="2:11" ht="15.75" hidden="1" x14ac:dyDescent="0.25">
      <c r="B30" s="118"/>
      <c r="C30" s="15"/>
      <c r="D30" s="119"/>
      <c r="E30" s="120"/>
      <c r="F30" s="121"/>
      <c r="I30" s="3"/>
      <c r="J30" s="3"/>
    </row>
    <row r="31" spans="2:11" ht="15.75" hidden="1" x14ac:dyDescent="0.25">
      <c r="B31" s="118"/>
      <c r="C31" s="15"/>
      <c r="D31" s="119"/>
      <c r="E31" s="120"/>
      <c r="F31" s="121"/>
      <c r="I31" s="3"/>
      <c r="J31" s="3"/>
    </row>
    <row r="32" spans="2:11" ht="15.75" hidden="1" x14ac:dyDescent="0.25">
      <c r="B32" s="118"/>
      <c r="C32" s="15"/>
      <c r="D32" s="119"/>
      <c r="E32" s="120"/>
      <c r="F32" s="121"/>
      <c r="I32" s="3"/>
      <c r="J32" s="3"/>
    </row>
    <row r="33" spans="2:13" ht="15.75" hidden="1" x14ac:dyDescent="0.25">
      <c r="B33" s="118"/>
      <c r="C33" s="15"/>
      <c r="D33" s="119"/>
      <c r="E33" s="120"/>
      <c r="F33" s="121"/>
      <c r="I33" s="3"/>
      <c r="J33" s="3"/>
    </row>
    <row r="34" spans="2:13" ht="15.75" hidden="1" x14ac:dyDescent="0.25">
      <c r="B34" s="118"/>
      <c r="C34" s="15"/>
      <c r="D34" s="119"/>
      <c r="E34" s="120"/>
      <c r="F34" s="121"/>
      <c r="I34" s="3"/>
      <c r="J34" s="3"/>
    </row>
    <row r="35" spans="2:13" ht="15.75" hidden="1" x14ac:dyDescent="0.25">
      <c r="B35" s="118"/>
      <c r="C35" s="15"/>
      <c r="D35" s="119"/>
      <c r="E35" s="120"/>
      <c r="F35" s="121"/>
      <c r="I35" s="3"/>
      <c r="J35" s="3"/>
    </row>
    <row r="36" spans="2:13" ht="15.75" hidden="1" x14ac:dyDescent="0.25">
      <c r="B36" s="118"/>
      <c r="C36" s="15"/>
      <c r="D36" s="119"/>
      <c r="E36" s="120"/>
      <c r="F36" s="121"/>
      <c r="I36" s="3"/>
      <c r="J36" s="3"/>
    </row>
    <row r="37" spans="2:13" ht="15.75" hidden="1" x14ac:dyDescent="0.25">
      <c r="B37" s="118"/>
      <c r="C37" s="15"/>
      <c r="D37" s="119"/>
      <c r="E37" s="120"/>
      <c r="F37" s="121"/>
      <c r="I37" s="3"/>
      <c r="J37" s="3"/>
    </row>
    <row r="38" spans="2:13" ht="15.75" hidden="1" x14ac:dyDescent="0.25">
      <c r="B38" s="118"/>
      <c r="C38" s="15"/>
      <c r="D38" s="119"/>
      <c r="E38" s="120"/>
      <c r="F38" s="121"/>
      <c r="I38" s="3"/>
      <c r="J38" s="3"/>
    </row>
    <row r="39" spans="2:13" ht="15.75" x14ac:dyDescent="0.25">
      <c r="B39" s="118">
        <v>43001</v>
      </c>
      <c r="C39" s="15">
        <v>3661</v>
      </c>
      <c r="D39" s="119" t="s">
        <v>12</v>
      </c>
      <c r="E39" s="120">
        <f>352.5+63.4+17.3</f>
        <v>433.2</v>
      </c>
      <c r="F39" s="121">
        <v>17142.5</v>
      </c>
      <c r="I39" s="3"/>
      <c r="J39" s="3"/>
    </row>
    <row r="40" spans="2:13" ht="15.75" x14ac:dyDescent="0.25">
      <c r="B40" s="118">
        <v>43001</v>
      </c>
      <c r="C40" s="15">
        <v>3668</v>
      </c>
      <c r="D40" s="119" t="s">
        <v>0</v>
      </c>
      <c r="E40" s="120">
        <f>82.8+25.5</f>
        <v>108.3</v>
      </c>
      <c r="F40" s="121">
        <v>5109.8999999999996</v>
      </c>
      <c r="I40" s="3"/>
      <c r="J40" s="3"/>
    </row>
    <row r="41" spans="2:13" ht="15.75" x14ac:dyDescent="0.25">
      <c r="B41" s="118">
        <v>43001</v>
      </c>
      <c r="C41" s="15">
        <v>3669</v>
      </c>
      <c r="D41" s="119" t="s">
        <v>24</v>
      </c>
      <c r="E41" s="120">
        <f>91.1+152.6+37.4+46.7+31.3</f>
        <v>359.09999999999997</v>
      </c>
      <c r="F41" s="121">
        <v>9457.1</v>
      </c>
      <c r="I41" s="3"/>
      <c r="J41" s="3"/>
    </row>
    <row r="42" spans="2:13" ht="15.75" x14ac:dyDescent="0.25">
      <c r="B42" s="118">
        <v>43001</v>
      </c>
      <c r="C42" s="15">
        <v>3670</v>
      </c>
      <c r="D42" s="119" t="s">
        <v>0</v>
      </c>
      <c r="E42" s="120">
        <v>14.3</v>
      </c>
      <c r="F42" s="121">
        <v>829.4</v>
      </c>
      <c r="I42" s="3"/>
      <c r="J42" s="3"/>
    </row>
    <row r="43" spans="2:13" ht="16.5" thickBot="1" x14ac:dyDescent="0.3">
      <c r="B43" s="118"/>
      <c r="C43" s="15"/>
      <c r="D43" s="119"/>
      <c r="E43" s="120">
        <v>0</v>
      </c>
      <c r="F43" s="121">
        <v>0</v>
      </c>
      <c r="I43" s="3"/>
      <c r="J43" s="3"/>
    </row>
    <row r="44" spans="2:13" ht="15.75" thickBot="1" x14ac:dyDescent="0.3">
      <c r="B44" s="29"/>
      <c r="C44" s="66"/>
      <c r="D44" s="31"/>
      <c r="E44" s="32">
        <v>0</v>
      </c>
      <c r="F44" s="33">
        <f>SUM(F3:F43)</f>
        <v>318315.52999999997</v>
      </c>
      <c r="K44" s="3">
        <f t="shared" ref="K44:K51" si="2">J44*I44</f>
        <v>0</v>
      </c>
    </row>
    <row r="45" spans="2:13" ht="19.5" thickBot="1" x14ac:dyDescent="0.35">
      <c r="B45" s="34"/>
      <c r="C45" s="67"/>
      <c r="D45" s="36" t="s">
        <v>5</v>
      </c>
      <c r="E45" s="37">
        <f>SUM(E3:E44)</f>
        <v>8769.8799999999992</v>
      </c>
      <c r="K45" s="3">
        <f t="shared" si="2"/>
        <v>0</v>
      </c>
    </row>
    <row r="46" spans="2:13" x14ac:dyDescent="0.25">
      <c r="B46" s="34"/>
      <c r="C46" s="67"/>
      <c r="D46" s="26"/>
      <c r="E46" s="39"/>
      <c r="K46" s="3">
        <f t="shared" si="2"/>
        <v>0</v>
      </c>
    </row>
    <row r="47" spans="2:13" ht="19.5" thickBot="1" x14ac:dyDescent="0.35">
      <c r="B47" s="40"/>
      <c r="C47" s="41" t="s">
        <v>15</v>
      </c>
      <c r="D47" s="149">
        <f>E45*0.3</f>
        <v>2630.9639999999995</v>
      </c>
      <c r="F47"/>
      <c r="K47" s="3">
        <f t="shared" si="2"/>
        <v>0</v>
      </c>
    </row>
    <row r="48" spans="2:13" ht="21.75" thickBot="1" x14ac:dyDescent="0.4">
      <c r="C48" s="41" t="s">
        <v>16</v>
      </c>
      <c r="D48" s="44">
        <v>4000</v>
      </c>
      <c r="E48" s="45"/>
      <c r="F48" s="258">
        <f>D47+D48</f>
        <v>6630.9639999999999</v>
      </c>
      <c r="G48" s="259"/>
      <c r="K48" s="3">
        <f t="shared" si="2"/>
        <v>0</v>
      </c>
      <c r="L48" s="46"/>
      <c r="M48" s="13"/>
    </row>
    <row r="49" spans="2:13" ht="22.5" thickTop="1" thickBot="1" x14ac:dyDescent="0.4">
      <c r="D49" s="146"/>
      <c r="E49" s="47" t="s">
        <v>258</v>
      </c>
      <c r="F49" s="203"/>
      <c r="G49" s="201">
        <v>-4000</v>
      </c>
      <c r="H49" s="202"/>
      <c r="L49" s="46"/>
      <c r="M49" s="13"/>
    </row>
    <row r="50" spans="2:13" ht="19.5" thickBot="1" x14ac:dyDescent="0.35">
      <c r="B50" s="181"/>
      <c r="C50" s="182"/>
      <c r="D50" s="180" t="s">
        <v>764</v>
      </c>
      <c r="E50" s="47" t="s">
        <v>258</v>
      </c>
      <c r="F50" s="142"/>
      <c r="G50" s="160">
        <v>-2631</v>
      </c>
      <c r="K50" s="3">
        <f t="shared" si="2"/>
        <v>0</v>
      </c>
      <c r="L50" s="49"/>
      <c r="M50" s="49"/>
    </row>
    <row r="51" spans="2:13" ht="21.75" thickBot="1" x14ac:dyDescent="0.4">
      <c r="B51" s="275" t="s">
        <v>772</v>
      </c>
      <c r="C51" s="276"/>
      <c r="D51" s="207" t="s">
        <v>771</v>
      </c>
      <c r="E51" s="47" t="s">
        <v>258</v>
      </c>
      <c r="F51" s="125"/>
      <c r="G51" s="169">
        <v>0</v>
      </c>
      <c r="K51" s="3">
        <f t="shared" si="2"/>
        <v>0</v>
      </c>
      <c r="L51" s="49"/>
      <c r="M51" s="49"/>
    </row>
    <row r="52" spans="2:13" ht="19.5" thickBot="1" x14ac:dyDescent="0.35">
      <c r="B52" s="173"/>
      <c r="C52" s="174"/>
      <c r="D52" s="180"/>
      <c r="E52" s="47" t="s">
        <v>307</v>
      </c>
      <c r="F52" s="124"/>
      <c r="G52" s="170">
        <v>0</v>
      </c>
      <c r="L52" s="49"/>
      <c r="M52" s="49"/>
    </row>
    <row r="53" spans="2:13" ht="17.25" customHeight="1" thickBot="1" x14ac:dyDescent="0.4">
      <c r="C53" s="168"/>
      <c r="D53" s="131"/>
      <c r="E53" s="4" t="s">
        <v>258</v>
      </c>
      <c r="F53" s="263">
        <f>SUM(F48:G52)</f>
        <v>-3.6000000000058208E-2</v>
      </c>
      <c r="G53" s="264"/>
      <c r="L53" s="49"/>
      <c r="M53" s="49"/>
    </row>
    <row r="54" spans="2:13" ht="19.5" customHeight="1" x14ac:dyDescent="0.35">
      <c r="C54" s="109"/>
      <c r="D54" s="171"/>
      <c r="F54" s="148"/>
      <c r="G54" s="148"/>
    </row>
    <row r="55" spans="2:13" x14ac:dyDescent="0.25">
      <c r="F55" s="27"/>
      <c r="G55" s="26"/>
    </row>
    <row r="56" spans="2:13" x14ac:dyDescent="0.25">
      <c r="D56" t="s">
        <v>9</v>
      </c>
    </row>
    <row r="57" spans="2:13" x14ac:dyDescent="0.25">
      <c r="I57" s="3">
        <f>SUM(I44:I51)</f>
        <v>0</v>
      </c>
      <c r="J57" s="3"/>
      <c r="K57" s="3">
        <f>SUM(K44:K51)</f>
        <v>0</v>
      </c>
    </row>
  </sheetData>
  <mergeCells count="4">
    <mergeCell ref="B1:C1"/>
    <mergeCell ref="F48:G48"/>
    <mergeCell ref="B51:C51"/>
    <mergeCell ref="F53:G53"/>
  </mergeCells>
  <pageMargins left="0.11811023622047245" right="0.11811023622047245" top="0.74803149606299213" bottom="0.74803149606299213" header="0.31496062992125984" footer="0.31496062992125984"/>
  <pageSetup orientation="portrait" horizontalDpi="0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64"/>
  <sheetViews>
    <sheetView topLeftCell="A39" workbookViewId="0">
      <selection activeCell="B58" sqref="B58:D58"/>
    </sheetView>
  </sheetViews>
  <sheetFormatPr baseColWidth="10" defaultRowHeight="15" x14ac:dyDescent="0.25"/>
  <cols>
    <col min="1" max="1" width="3.42578125" customWidth="1"/>
    <col min="2" max="2" width="13.42578125" style="96" bestFit="1" customWidth="1"/>
    <col min="3" max="3" width="13.7109375" style="41" customWidth="1"/>
    <col min="4" max="4" width="28.5703125" bestFit="1" customWidth="1"/>
    <col min="5" max="5" width="12" bestFit="1" customWidth="1"/>
    <col min="6" max="6" width="14.140625" style="3" bestFit="1" customWidth="1"/>
    <col min="7" max="7" width="15.7109375" customWidth="1"/>
    <col min="11" max="11" width="11.42578125" style="3"/>
    <col min="13" max="13" width="11.42578125" style="3"/>
  </cols>
  <sheetData>
    <row r="1" spans="2:11" ht="19.5" thickBot="1" x14ac:dyDescent="0.35">
      <c r="B1" s="257">
        <v>43013</v>
      </c>
      <c r="C1" s="257"/>
      <c r="D1" s="206" t="s">
        <v>0</v>
      </c>
      <c r="E1" s="2" t="s">
        <v>1</v>
      </c>
      <c r="K1"/>
    </row>
    <row r="2" spans="2:11" ht="19.5" thickBot="1" x14ac:dyDescent="0.35">
      <c r="B2" s="95" t="s">
        <v>2</v>
      </c>
      <c r="C2" s="5" t="s">
        <v>3</v>
      </c>
      <c r="D2" s="5" t="s">
        <v>4</v>
      </c>
      <c r="E2" s="6" t="s">
        <v>5</v>
      </c>
      <c r="F2" s="139" t="s">
        <v>765</v>
      </c>
      <c r="G2" s="8"/>
      <c r="K2"/>
    </row>
    <row r="3" spans="2:11" ht="15.75" x14ac:dyDescent="0.25">
      <c r="B3" s="197">
        <v>43003</v>
      </c>
      <c r="C3" s="22" t="s">
        <v>766</v>
      </c>
      <c r="D3" s="198" t="s">
        <v>24</v>
      </c>
      <c r="E3" s="199">
        <f>954.4+13.61</f>
        <v>968.01</v>
      </c>
      <c r="F3" s="200">
        <v>32243.75</v>
      </c>
      <c r="K3"/>
    </row>
    <row r="4" spans="2:11" ht="15.75" x14ac:dyDescent="0.25">
      <c r="B4" s="84">
        <v>43003</v>
      </c>
      <c r="C4" s="73" t="s">
        <v>767</v>
      </c>
      <c r="D4" s="72" t="s">
        <v>0</v>
      </c>
      <c r="E4" s="77">
        <f>89.2+2</f>
        <v>91.2</v>
      </c>
      <c r="F4" s="74">
        <v>3809.6</v>
      </c>
      <c r="K4"/>
    </row>
    <row r="5" spans="2:11" ht="15.75" x14ac:dyDescent="0.25">
      <c r="B5" s="118">
        <v>43003</v>
      </c>
      <c r="C5" s="15" t="s">
        <v>768</v>
      </c>
      <c r="D5" s="119" t="s">
        <v>34</v>
      </c>
      <c r="E5" s="120">
        <f>385.5+123.8</f>
        <v>509.3</v>
      </c>
      <c r="F5" s="121">
        <v>18858.2</v>
      </c>
      <c r="K5"/>
    </row>
    <row r="6" spans="2:11" ht="15.75" x14ac:dyDescent="0.25">
      <c r="B6" s="118">
        <v>43003</v>
      </c>
      <c r="C6" s="15" t="s">
        <v>769</v>
      </c>
      <c r="D6" s="119" t="s">
        <v>14</v>
      </c>
      <c r="E6" s="120">
        <v>405.4</v>
      </c>
      <c r="F6" s="121">
        <v>15405.2</v>
      </c>
      <c r="G6" t="s">
        <v>9</v>
      </c>
      <c r="K6" s="3">
        <f t="shared" ref="K6:K21" si="0">J6*I6</f>
        <v>0</v>
      </c>
    </row>
    <row r="7" spans="2:11" ht="15.75" x14ac:dyDescent="0.25">
      <c r="B7" s="118">
        <v>43003</v>
      </c>
      <c r="C7" s="15">
        <v>3854</v>
      </c>
      <c r="D7" s="119" t="s">
        <v>12</v>
      </c>
      <c r="E7" s="120">
        <v>18.8</v>
      </c>
      <c r="F7" s="121">
        <v>1090.4000000000001</v>
      </c>
      <c r="K7" s="3">
        <f t="shared" si="0"/>
        <v>0</v>
      </c>
    </row>
    <row r="8" spans="2:11" ht="15.75" x14ac:dyDescent="0.25">
      <c r="B8" s="118">
        <v>43003</v>
      </c>
      <c r="C8" s="15">
        <v>3855</v>
      </c>
      <c r="D8" s="119" t="s">
        <v>6</v>
      </c>
      <c r="E8" s="120">
        <f>12.6+13.3</f>
        <v>25.9</v>
      </c>
      <c r="F8" s="121">
        <v>1342.6</v>
      </c>
      <c r="K8" s="3">
        <f t="shared" si="0"/>
        <v>0</v>
      </c>
    </row>
    <row r="9" spans="2:11" ht="15.75" x14ac:dyDescent="0.25">
      <c r="B9" s="118">
        <v>43003</v>
      </c>
      <c r="C9" s="15">
        <v>3857</v>
      </c>
      <c r="D9" s="119" t="s">
        <v>0</v>
      </c>
      <c r="E9" s="120">
        <v>31.2</v>
      </c>
      <c r="F9" s="121">
        <v>2496</v>
      </c>
      <c r="K9" s="3">
        <f t="shared" si="0"/>
        <v>0</v>
      </c>
    </row>
    <row r="10" spans="2:11" ht="15.75" x14ac:dyDescent="0.25">
      <c r="B10" s="118">
        <v>43003</v>
      </c>
      <c r="C10" s="15">
        <v>3858</v>
      </c>
      <c r="D10" s="119" t="s">
        <v>0</v>
      </c>
      <c r="E10" s="120">
        <v>184.8</v>
      </c>
      <c r="F10" s="121">
        <v>6283.2</v>
      </c>
      <c r="K10" s="3">
        <f t="shared" si="0"/>
        <v>0</v>
      </c>
    </row>
    <row r="11" spans="2:11" ht="15.75" x14ac:dyDescent="0.25">
      <c r="B11" s="118">
        <v>43004</v>
      </c>
      <c r="C11" s="15">
        <v>3964</v>
      </c>
      <c r="D11" s="119" t="s">
        <v>14</v>
      </c>
      <c r="E11" s="120">
        <v>402.1</v>
      </c>
      <c r="F11" s="121">
        <v>15279.8</v>
      </c>
      <c r="K11" s="3">
        <f t="shared" si="0"/>
        <v>0</v>
      </c>
    </row>
    <row r="12" spans="2:11" ht="15.75" x14ac:dyDescent="0.25">
      <c r="B12" s="118">
        <v>43004</v>
      </c>
      <c r="C12" s="15">
        <v>3970</v>
      </c>
      <c r="D12" s="119" t="s">
        <v>0</v>
      </c>
      <c r="E12" s="120">
        <v>77.7</v>
      </c>
      <c r="F12" s="121">
        <v>2952.6</v>
      </c>
      <c r="K12" s="3">
        <f t="shared" si="0"/>
        <v>0</v>
      </c>
    </row>
    <row r="13" spans="2:11" ht="15.75" x14ac:dyDescent="0.25">
      <c r="B13" s="118">
        <v>43004</v>
      </c>
      <c r="C13" s="15">
        <v>3972</v>
      </c>
      <c r="D13" s="119" t="s">
        <v>12</v>
      </c>
      <c r="E13" s="120">
        <v>176.7</v>
      </c>
      <c r="F13" s="121">
        <v>6714.6</v>
      </c>
      <c r="K13" s="3">
        <f t="shared" si="0"/>
        <v>0</v>
      </c>
    </row>
    <row r="14" spans="2:11" ht="15.75" x14ac:dyDescent="0.25">
      <c r="B14" s="118">
        <v>43004</v>
      </c>
      <c r="C14" s="15">
        <v>3978</v>
      </c>
      <c r="D14" s="119" t="s">
        <v>0</v>
      </c>
      <c r="E14" s="120">
        <f>903.1+38.4+76.1</f>
        <v>1017.6</v>
      </c>
      <c r="F14" s="121">
        <v>32712.6</v>
      </c>
    </row>
    <row r="15" spans="2:11" ht="15.75" x14ac:dyDescent="0.25">
      <c r="B15" s="118">
        <v>43004</v>
      </c>
      <c r="C15" s="15">
        <v>3979</v>
      </c>
      <c r="D15" s="119" t="s">
        <v>34</v>
      </c>
      <c r="E15" s="120">
        <f>394.3+115</f>
        <v>509.3</v>
      </c>
      <c r="F15" s="121">
        <v>17053.400000000001</v>
      </c>
    </row>
    <row r="16" spans="2:11" ht="15.75" x14ac:dyDescent="0.25">
      <c r="B16" s="118">
        <v>43004</v>
      </c>
      <c r="C16" s="15">
        <v>3980</v>
      </c>
      <c r="D16" s="119" t="s">
        <v>24</v>
      </c>
      <c r="E16" s="120">
        <f>59.3+59.8</f>
        <v>119.1</v>
      </c>
      <c r="F16" s="121">
        <v>2858.4</v>
      </c>
    </row>
    <row r="17" spans="2:11" ht="15.75" x14ac:dyDescent="0.25">
      <c r="B17" s="118">
        <v>43004</v>
      </c>
      <c r="C17" s="15">
        <v>3981</v>
      </c>
      <c r="D17" s="119" t="s">
        <v>6</v>
      </c>
      <c r="E17" s="120">
        <f>144.6+8.8</f>
        <v>153.4</v>
      </c>
      <c r="F17" s="121">
        <v>6294.4</v>
      </c>
    </row>
    <row r="18" spans="2:11" ht="15.75" x14ac:dyDescent="0.25">
      <c r="B18" s="118">
        <v>43005</v>
      </c>
      <c r="C18" s="15">
        <v>4094</v>
      </c>
      <c r="D18" s="119" t="s">
        <v>6</v>
      </c>
      <c r="E18" s="120">
        <f>8.1+8.5</f>
        <v>16.600000000000001</v>
      </c>
      <c r="F18" s="121">
        <v>835.3</v>
      </c>
    </row>
    <row r="19" spans="2:11" ht="15.75" x14ac:dyDescent="0.25">
      <c r="B19" s="118">
        <v>43005</v>
      </c>
      <c r="C19" s="15">
        <v>4095</v>
      </c>
      <c r="D19" s="119" t="s">
        <v>34</v>
      </c>
      <c r="E19" s="120">
        <v>413.9</v>
      </c>
      <c r="F19" s="121">
        <v>15728.2</v>
      </c>
      <c r="K19" s="3">
        <f t="shared" si="0"/>
        <v>0</v>
      </c>
    </row>
    <row r="20" spans="2:11" ht="15.75" x14ac:dyDescent="0.25">
      <c r="B20" s="118">
        <v>43005</v>
      </c>
      <c r="C20" s="15">
        <v>4096</v>
      </c>
      <c r="D20" s="119" t="s">
        <v>14</v>
      </c>
      <c r="E20" s="120">
        <v>419.8</v>
      </c>
      <c r="F20" s="121">
        <v>15952.4</v>
      </c>
      <c r="K20" s="3">
        <f t="shared" si="0"/>
        <v>0</v>
      </c>
    </row>
    <row r="21" spans="2:11" ht="15.75" x14ac:dyDescent="0.25">
      <c r="B21" s="118">
        <v>43005</v>
      </c>
      <c r="C21" s="15">
        <v>4097</v>
      </c>
      <c r="D21" s="119" t="s">
        <v>0</v>
      </c>
      <c r="E21" s="120">
        <v>92.3</v>
      </c>
      <c r="F21" s="121">
        <v>3507.4</v>
      </c>
      <c r="K21" s="3">
        <f t="shared" si="0"/>
        <v>0</v>
      </c>
    </row>
    <row r="22" spans="2:11" ht="15.75" x14ac:dyDescent="0.25">
      <c r="B22" s="118">
        <v>43007</v>
      </c>
      <c r="C22" s="15">
        <v>4376</v>
      </c>
      <c r="D22" s="119" t="s">
        <v>0</v>
      </c>
      <c r="E22" s="120">
        <f>933.49+6.3+1+26.4</f>
        <v>967.18999999999994</v>
      </c>
      <c r="F22" s="121">
        <v>29188.5</v>
      </c>
    </row>
    <row r="23" spans="2:11" ht="15.75" x14ac:dyDescent="0.25">
      <c r="B23" s="118">
        <v>43007</v>
      </c>
      <c r="C23" s="15">
        <v>4384</v>
      </c>
      <c r="D23" s="119" t="s">
        <v>24</v>
      </c>
      <c r="E23" s="120">
        <f>91.5+110.1+67.5+61.2</f>
        <v>330.3</v>
      </c>
      <c r="F23" s="121">
        <v>8841</v>
      </c>
    </row>
    <row r="24" spans="2:11" ht="15.75" x14ac:dyDescent="0.25">
      <c r="B24" s="118">
        <v>43007</v>
      </c>
      <c r="C24" s="15">
        <v>4385</v>
      </c>
      <c r="D24" s="119" t="s">
        <v>0</v>
      </c>
      <c r="E24" s="120">
        <f>94.7+3.8+1</f>
        <v>99.5</v>
      </c>
      <c r="F24" s="121">
        <v>4567.3999999999996</v>
      </c>
    </row>
    <row r="25" spans="2:11" ht="15.75" hidden="1" x14ac:dyDescent="0.25">
      <c r="B25" s="118"/>
      <c r="C25" s="15"/>
      <c r="D25" s="119"/>
      <c r="E25" s="120"/>
      <c r="F25" s="121"/>
    </row>
    <row r="26" spans="2:11" ht="15.75" hidden="1" x14ac:dyDescent="0.25">
      <c r="B26" s="118"/>
      <c r="C26" s="15"/>
      <c r="D26" s="119"/>
      <c r="E26" s="120"/>
      <c r="F26" s="121"/>
    </row>
    <row r="27" spans="2:11" ht="15.75" hidden="1" x14ac:dyDescent="0.25">
      <c r="B27" s="118"/>
      <c r="C27" s="15"/>
      <c r="D27" s="119"/>
      <c r="E27" s="120"/>
      <c r="F27" s="121"/>
      <c r="I27" s="3">
        <f t="shared" ref="I27" si="1">SUM(I6:I21)</f>
        <v>0</v>
      </c>
      <c r="J27" s="3"/>
      <c r="K27" s="3">
        <f>SUM(K6:K21)</f>
        <v>0</v>
      </c>
    </row>
    <row r="28" spans="2:11" ht="15.75" hidden="1" x14ac:dyDescent="0.25">
      <c r="B28" s="118"/>
      <c r="C28" s="15"/>
      <c r="D28" s="119"/>
      <c r="E28" s="120"/>
      <c r="F28" s="121"/>
      <c r="I28" s="3"/>
      <c r="J28" s="3"/>
    </row>
    <row r="29" spans="2:11" ht="15.75" hidden="1" x14ac:dyDescent="0.25">
      <c r="B29" s="118"/>
      <c r="C29" s="15"/>
      <c r="D29" s="119"/>
      <c r="E29" s="120"/>
      <c r="F29" s="121"/>
      <c r="I29" s="3"/>
      <c r="J29" s="3"/>
    </row>
    <row r="30" spans="2:11" ht="15.75" hidden="1" x14ac:dyDescent="0.25">
      <c r="B30" s="118"/>
      <c r="C30" s="15"/>
      <c r="D30" s="119"/>
      <c r="E30" s="120"/>
      <c r="F30" s="121"/>
      <c r="I30" s="3"/>
      <c r="J30" s="3"/>
    </row>
    <row r="31" spans="2:11" ht="15.75" hidden="1" x14ac:dyDescent="0.25">
      <c r="B31" s="118"/>
      <c r="C31" s="15"/>
      <c r="D31" s="119"/>
      <c r="E31" s="120"/>
      <c r="F31" s="121"/>
      <c r="I31" s="3"/>
      <c r="J31" s="3"/>
    </row>
    <row r="32" spans="2:11" ht="15.75" hidden="1" x14ac:dyDescent="0.25">
      <c r="B32" s="118"/>
      <c r="C32" s="15"/>
      <c r="D32" s="119"/>
      <c r="E32" s="120"/>
      <c r="F32" s="121"/>
      <c r="I32" s="3"/>
      <c r="J32" s="3"/>
    </row>
    <row r="33" spans="2:10" ht="15.75" hidden="1" x14ac:dyDescent="0.25">
      <c r="B33" s="118"/>
      <c r="C33" s="15"/>
      <c r="D33" s="119"/>
      <c r="E33" s="120"/>
      <c r="F33" s="121"/>
      <c r="I33" s="3"/>
      <c r="J33" s="3"/>
    </row>
    <row r="34" spans="2:10" ht="15.75" hidden="1" x14ac:dyDescent="0.25">
      <c r="B34" s="118"/>
      <c r="C34" s="15"/>
      <c r="D34" s="119"/>
      <c r="E34" s="120"/>
      <c r="F34" s="121"/>
      <c r="I34" s="3"/>
      <c r="J34" s="3"/>
    </row>
    <row r="35" spans="2:10" ht="15.75" hidden="1" x14ac:dyDescent="0.25">
      <c r="B35" s="118"/>
      <c r="C35" s="15"/>
      <c r="D35" s="119"/>
      <c r="E35" s="120"/>
      <c r="F35" s="121"/>
      <c r="I35" s="3"/>
      <c r="J35" s="3"/>
    </row>
    <row r="36" spans="2:10" ht="15.75" hidden="1" x14ac:dyDescent="0.25">
      <c r="B36" s="118"/>
      <c r="C36" s="15"/>
      <c r="D36" s="119"/>
      <c r="E36" s="120"/>
      <c r="F36" s="121"/>
      <c r="I36" s="3"/>
      <c r="J36" s="3"/>
    </row>
    <row r="37" spans="2:10" ht="15.75" hidden="1" x14ac:dyDescent="0.25">
      <c r="B37" s="118"/>
      <c r="C37" s="15"/>
      <c r="D37" s="119"/>
      <c r="E37" s="120"/>
      <c r="F37" s="121"/>
      <c r="I37" s="3"/>
      <c r="J37" s="3"/>
    </row>
    <row r="38" spans="2:10" ht="15.75" hidden="1" x14ac:dyDescent="0.25">
      <c r="B38" s="118"/>
      <c r="C38" s="15"/>
      <c r="D38" s="119"/>
      <c r="E38" s="120"/>
      <c r="F38" s="121"/>
      <c r="I38" s="3"/>
      <c r="J38" s="3"/>
    </row>
    <row r="39" spans="2:10" ht="15.75" x14ac:dyDescent="0.25">
      <c r="B39" s="118">
        <v>43007</v>
      </c>
      <c r="C39" s="15">
        <v>4386</v>
      </c>
      <c r="D39" s="119" t="s">
        <v>14</v>
      </c>
      <c r="E39" s="120">
        <v>273.60000000000002</v>
      </c>
      <c r="F39" s="121">
        <v>10396.799999999999</v>
      </c>
      <c r="I39" s="3"/>
      <c r="J39" s="3"/>
    </row>
    <row r="40" spans="2:10" ht="15.75" x14ac:dyDescent="0.25">
      <c r="B40" s="118">
        <v>43007</v>
      </c>
      <c r="C40" s="15">
        <v>4388</v>
      </c>
      <c r="D40" s="119" t="s">
        <v>34</v>
      </c>
      <c r="E40" s="120">
        <f>360.4+30.2+109.7+73.7</f>
        <v>574</v>
      </c>
      <c r="F40" s="121">
        <v>19147.3</v>
      </c>
      <c r="I40" s="3"/>
      <c r="J40" s="3"/>
    </row>
    <row r="41" spans="2:10" ht="15.75" x14ac:dyDescent="0.25">
      <c r="B41" s="118">
        <v>43007</v>
      </c>
      <c r="C41" s="15">
        <v>4389</v>
      </c>
      <c r="D41" s="119" t="s">
        <v>6</v>
      </c>
      <c r="E41" s="120">
        <f>255.3+6.3</f>
        <v>261.60000000000002</v>
      </c>
      <c r="F41" s="121">
        <v>10577.4</v>
      </c>
      <c r="I41" s="3"/>
      <c r="J41" s="3"/>
    </row>
    <row r="42" spans="2:10" ht="15.75" x14ac:dyDescent="0.25">
      <c r="B42" s="118">
        <v>43008</v>
      </c>
      <c r="C42" s="15">
        <v>4517</v>
      </c>
      <c r="D42" s="119" t="s">
        <v>24</v>
      </c>
      <c r="E42" s="120">
        <f>919.73+13.61+79.5+27</f>
        <v>1039.8400000000001</v>
      </c>
      <c r="F42" s="121">
        <v>30761.45</v>
      </c>
      <c r="I42" s="3"/>
      <c r="J42" s="3"/>
    </row>
    <row r="43" spans="2:10" ht="15.75" x14ac:dyDescent="0.25">
      <c r="B43" s="118">
        <v>43008</v>
      </c>
      <c r="C43" s="15">
        <v>4518</v>
      </c>
      <c r="D43" s="119" t="s">
        <v>0</v>
      </c>
      <c r="E43" s="120">
        <f>48.9+17.3</f>
        <v>66.2</v>
      </c>
      <c r="F43" s="121">
        <v>1640.7</v>
      </c>
      <c r="I43" s="3"/>
      <c r="J43" s="3"/>
    </row>
    <row r="44" spans="2:10" ht="15.75" x14ac:dyDescent="0.25">
      <c r="B44" s="118">
        <v>43008</v>
      </c>
      <c r="C44" s="15">
        <v>4519</v>
      </c>
      <c r="D44" s="119" t="s">
        <v>12</v>
      </c>
      <c r="E44" s="120">
        <f>1+181.2</f>
        <v>182.2</v>
      </c>
      <c r="F44" s="121">
        <v>7565.6</v>
      </c>
      <c r="I44" s="3"/>
      <c r="J44" s="3"/>
    </row>
    <row r="45" spans="2:10" ht="15.75" x14ac:dyDescent="0.25">
      <c r="B45" s="118">
        <v>43008</v>
      </c>
      <c r="C45" s="15">
        <v>4522</v>
      </c>
      <c r="D45" s="119" t="s">
        <v>14</v>
      </c>
      <c r="E45" s="120">
        <f>48.6+325</f>
        <v>373.6</v>
      </c>
      <c r="F45" s="121">
        <v>13224.8</v>
      </c>
      <c r="I45" s="3"/>
      <c r="J45" s="3"/>
    </row>
    <row r="46" spans="2:10" ht="15.75" x14ac:dyDescent="0.25">
      <c r="B46" s="118">
        <v>43008</v>
      </c>
      <c r="C46" s="15">
        <v>4523</v>
      </c>
      <c r="D46" s="119" t="s">
        <v>0</v>
      </c>
      <c r="E46" s="120">
        <v>7.4</v>
      </c>
      <c r="F46" s="121">
        <v>547.6</v>
      </c>
      <c r="I46" s="3"/>
      <c r="J46" s="3"/>
    </row>
    <row r="47" spans="2:10" ht="15.75" x14ac:dyDescent="0.25">
      <c r="B47" s="118">
        <v>43008</v>
      </c>
      <c r="C47" s="15">
        <v>4524</v>
      </c>
      <c r="D47" s="119" t="s">
        <v>34</v>
      </c>
      <c r="E47" s="120">
        <f>324.4+197.8</f>
        <v>522.20000000000005</v>
      </c>
      <c r="F47" s="121">
        <v>18459</v>
      </c>
      <c r="I47" s="3"/>
      <c r="J47" s="3"/>
    </row>
    <row r="48" spans="2:10" ht="15.75" x14ac:dyDescent="0.25">
      <c r="B48" s="118">
        <v>43008</v>
      </c>
      <c r="C48" s="15">
        <v>4527</v>
      </c>
      <c r="D48" s="119" t="s">
        <v>0</v>
      </c>
      <c r="E48" s="120">
        <f>91.7+33.6</f>
        <v>125.30000000000001</v>
      </c>
      <c r="F48" s="121">
        <v>6163.5</v>
      </c>
      <c r="I48" s="3"/>
      <c r="J48" s="3"/>
    </row>
    <row r="49" spans="2:13" ht="15.75" x14ac:dyDescent="0.25">
      <c r="B49" s="118"/>
      <c r="C49" s="15"/>
      <c r="D49" s="119"/>
      <c r="E49" s="120"/>
      <c r="F49" s="121"/>
      <c r="I49" s="3"/>
      <c r="J49" s="3"/>
    </row>
    <row r="50" spans="2:13" ht="16.5" thickBot="1" x14ac:dyDescent="0.3">
      <c r="B50" s="118"/>
      <c r="C50" s="15"/>
      <c r="D50" s="119"/>
      <c r="E50" s="120">
        <v>0</v>
      </c>
      <c r="F50" s="121">
        <v>0</v>
      </c>
      <c r="I50" s="3"/>
      <c r="J50" s="3"/>
    </row>
    <row r="51" spans="2:13" ht="15.75" thickBot="1" x14ac:dyDescent="0.3">
      <c r="B51" s="29"/>
      <c r="C51" s="66"/>
      <c r="D51" s="31"/>
      <c r="E51" s="32">
        <v>0</v>
      </c>
      <c r="F51" s="33">
        <f>SUM(F3:F50)</f>
        <v>362499.1</v>
      </c>
      <c r="K51" s="3">
        <f t="shared" ref="K51:K58" si="2">J51*I51</f>
        <v>0</v>
      </c>
    </row>
    <row r="52" spans="2:13" ht="19.5" thickBot="1" x14ac:dyDescent="0.35">
      <c r="B52" s="34"/>
      <c r="C52" s="67"/>
      <c r="D52" s="36" t="s">
        <v>5</v>
      </c>
      <c r="E52" s="37">
        <f>SUM(E3:E51)</f>
        <v>10456.040000000001</v>
      </c>
      <c r="K52" s="3">
        <f t="shared" si="2"/>
        <v>0</v>
      </c>
    </row>
    <row r="53" spans="2:13" x14ac:dyDescent="0.25">
      <c r="B53" s="34"/>
      <c r="C53" s="67"/>
      <c r="D53" s="26"/>
      <c r="E53" s="39"/>
      <c r="K53" s="3">
        <f t="shared" si="2"/>
        <v>0</v>
      </c>
    </row>
    <row r="54" spans="2:13" ht="19.5" thickBot="1" x14ac:dyDescent="0.35">
      <c r="B54" s="40"/>
      <c r="C54" s="41" t="s">
        <v>15</v>
      </c>
      <c r="D54" s="149">
        <f>E52*0.3</f>
        <v>3136.8120000000004</v>
      </c>
      <c r="F54"/>
      <c r="K54" s="3">
        <f t="shared" si="2"/>
        <v>0</v>
      </c>
    </row>
    <row r="55" spans="2:13" ht="21.75" thickBot="1" x14ac:dyDescent="0.4">
      <c r="C55" s="41" t="s">
        <v>16</v>
      </c>
      <c r="D55" s="44">
        <v>2333</v>
      </c>
      <c r="E55" s="45"/>
      <c r="F55" s="258">
        <f>D54+D55</f>
        <v>5469.8119999999999</v>
      </c>
      <c r="G55" s="259"/>
      <c r="K55" s="3">
        <f t="shared" si="2"/>
        <v>0</v>
      </c>
      <c r="L55" s="46"/>
      <c r="M55" s="13"/>
    </row>
    <row r="56" spans="2:13" ht="22.5" thickTop="1" thickBot="1" x14ac:dyDescent="0.4">
      <c r="D56" s="146"/>
      <c r="E56" s="47" t="s">
        <v>258</v>
      </c>
      <c r="F56" s="203"/>
      <c r="G56" s="201">
        <v>-2333</v>
      </c>
      <c r="H56" s="202"/>
      <c r="L56" s="46"/>
      <c r="M56" s="13"/>
    </row>
    <row r="57" spans="2:13" ht="19.5" thickBot="1" x14ac:dyDescent="0.35">
      <c r="B57" s="181"/>
      <c r="C57" s="182"/>
      <c r="D57" s="180" t="s">
        <v>770</v>
      </c>
      <c r="E57" s="47" t="s">
        <v>258</v>
      </c>
      <c r="F57" s="142"/>
      <c r="G57" s="160">
        <v>-3136</v>
      </c>
      <c r="K57" s="3">
        <f t="shared" si="2"/>
        <v>0</v>
      </c>
      <c r="L57" s="49"/>
      <c r="M57" s="49"/>
    </row>
    <row r="58" spans="2:13" ht="21.75" customHeight="1" thickBot="1" x14ac:dyDescent="0.4">
      <c r="B58" s="275" t="s">
        <v>772</v>
      </c>
      <c r="C58" s="276"/>
      <c r="D58" s="207" t="s">
        <v>773</v>
      </c>
      <c r="E58" s="47" t="s">
        <v>258</v>
      </c>
      <c r="F58" s="125"/>
      <c r="G58" s="169">
        <v>0</v>
      </c>
      <c r="K58" s="3">
        <f t="shared" si="2"/>
        <v>0</v>
      </c>
      <c r="L58" s="49"/>
      <c r="M58" s="49"/>
    </row>
    <row r="59" spans="2:13" ht="19.5" thickBot="1" x14ac:dyDescent="0.35">
      <c r="B59" s="173"/>
      <c r="C59" s="174"/>
      <c r="D59" s="180"/>
      <c r="E59" s="47" t="s">
        <v>307</v>
      </c>
      <c r="F59" s="124"/>
      <c r="G59" s="170">
        <v>0</v>
      </c>
      <c r="L59" s="49"/>
      <c r="M59" s="49"/>
    </row>
    <row r="60" spans="2:13" ht="17.25" customHeight="1" thickBot="1" x14ac:dyDescent="0.4">
      <c r="C60" s="168"/>
      <c r="D60" s="131"/>
      <c r="E60" s="4" t="s">
        <v>258</v>
      </c>
      <c r="F60" s="263">
        <f>SUM(F55:G59)</f>
        <v>0.81199999999989814</v>
      </c>
      <c r="G60" s="264"/>
      <c r="L60" s="49"/>
      <c r="M60" s="49"/>
    </row>
    <row r="61" spans="2:13" ht="19.5" customHeight="1" x14ac:dyDescent="0.35">
      <c r="C61" s="109"/>
      <c r="D61" s="171"/>
      <c r="F61" s="148"/>
      <c r="G61" s="148"/>
    </row>
    <row r="62" spans="2:13" x14ac:dyDescent="0.25">
      <c r="F62" s="27"/>
      <c r="G62" s="26"/>
    </row>
    <row r="63" spans="2:13" x14ac:dyDescent="0.25">
      <c r="D63" t="s">
        <v>9</v>
      </c>
    </row>
    <row r="64" spans="2:13" x14ac:dyDescent="0.25">
      <c r="I64" s="3">
        <f>SUM(I51:I58)</f>
        <v>0</v>
      </c>
      <c r="J64" s="3"/>
      <c r="K64" s="3">
        <f>SUM(K51:K58)</f>
        <v>0</v>
      </c>
    </row>
  </sheetData>
  <mergeCells count="4">
    <mergeCell ref="B1:C1"/>
    <mergeCell ref="F55:G55"/>
    <mergeCell ref="B58:C58"/>
    <mergeCell ref="F60:G60"/>
  </mergeCells>
  <pageMargins left="0.31496062992125984" right="0.11811023622047245" top="0.74803149606299213" bottom="0.74803149606299213" header="0.31496062992125984" footer="0.31496062992125984"/>
  <pageSetup scale="9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7"/>
  <sheetViews>
    <sheetView workbookViewId="0">
      <selection activeCell="D57" sqref="D57"/>
    </sheetView>
  </sheetViews>
  <sheetFormatPr baseColWidth="10" defaultRowHeight="15" x14ac:dyDescent="0.25"/>
  <cols>
    <col min="1" max="1" width="3.42578125" customWidth="1"/>
    <col min="2" max="2" width="13.42578125" bestFit="1" customWidth="1"/>
    <col min="3" max="3" width="13.7109375" style="41" customWidth="1"/>
    <col min="4" max="4" width="33.5703125" customWidth="1"/>
    <col min="5" max="5" width="12" bestFit="1" customWidth="1"/>
    <col min="6" max="6" width="14.140625" style="3" bestFit="1" customWidth="1"/>
    <col min="7" max="7" width="15.7109375" customWidth="1"/>
    <col min="11" max="11" width="11.42578125" style="3"/>
  </cols>
  <sheetData>
    <row r="1" spans="2:11" ht="19.5" thickBot="1" x14ac:dyDescent="0.35">
      <c r="B1" s="257">
        <v>42768</v>
      </c>
      <c r="C1" s="257"/>
      <c r="D1" s="1" t="s">
        <v>0</v>
      </c>
      <c r="E1" s="2" t="s">
        <v>1</v>
      </c>
      <c r="K1"/>
    </row>
    <row r="2" spans="2:11" ht="19.5" thickBot="1" x14ac:dyDescent="0.35">
      <c r="B2" s="4" t="s">
        <v>2</v>
      </c>
      <c r="C2" s="5" t="s">
        <v>3</v>
      </c>
      <c r="D2" s="5" t="s">
        <v>4</v>
      </c>
      <c r="E2" s="6" t="s">
        <v>5</v>
      </c>
      <c r="F2" s="7" t="s">
        <v>106</v>
      </c>
      <c r="G2" s="8"/>
      <c r="K2"/>
    </row>
    <row r="3" spans="2:11" ht="15.75" x14ac:dyDescent="0.25">
      <c r="B3" s="68">
        <v>42758</v>
      </c>
      <c r="C3" s="69">
        <v>23232</v>
      </c>
      <c r="D3" s="70" t="s">
        <v>12</v>
      </c>
      <c r="E3" s="76">
        <v>95.5</v>
      </c>
      <c r="F3" s="71">
        <v>4011</v>
      </c>
      <c r="K3"/>
    </row>
    <row r="4" spans="2:11" ht="15.75" x14ac:dyDescent="0.25">
      <c r="B4" s="75">
        <v>42758</v>
      </c>
      <c r="C4" s="73">
        <v>23233</v>
      </c>
      <c r="D4" s="72" t="s">
        <v>8</v>
      </c>
      <c r="E4" s="77">
        <f>472+98.8</f>
        <v>570.79999999999995</v>
      </c>
      <c r="F4" s="74">
        <v>23380.799999999999</v>
      </c>
      <c r="K4"/>
    </row>
    <row r="5" spans="2:11" ht="15.75" x14ac:dyDescent="0.25">
      <c r="B5" s="75">
        <v>42758</v>
      </c>
      <c r="C5" s="73">
        <v>23234</v>
      </c>
      <c r="D5" s="72" t="s">
        <v>14</v>
      </c>
      <c r="E5" s="77">
        <f>177.9+193.4</f>
        <v>371.3</v>
      </c>
      <c r="F5" s="74">
        <v>17915.400000000001</v>
      </c>
      <c r="K5"/>
    </row>
    <row r="6" spans="2:11" ht="15.75" x14ac:dyDescent="0.25">
      <c r="B6" s="75">
        <v>42758</v>
      </c>
      <c r="C6" s="73">
        <v>23238</v>
      </c>
      <c r="D6" s="72" t="s">
        <v>10</v>
      </c>
      <c r="E6" s="77">
        <f>85.5+5.3</f>
        <v>90.8</v>
      </c>
      <c r="F6" s="74">
        <v>4015</v>
      </c>
      <c r="G6" t="s">
        <v>9</v>
      </c>
      <c r="K6" s="3">
        <f t="shared" ref="K6:K16" si="0">J6*I6</f>
        <v>0</v>
      </c>
    </row>
    <row r="7" spans="2:11" ht="15.75" x14ac:dyDescent="0.25">
      <c r="B7" s="75">
        <v>42758</v>
      </c>
      <c r="C7" s="73">
        <v>23239</v>
      </c>
      <c r="D7" s="72" t="s">
        <v>13</v>
      </c>
      <c r="E7" s="77">
        <v>30.8</v>
      </c>
      <c r="F7" s="74">
        <v>1108.8</v>
      </c>
      <c r="K7" s="3">
        <f t="shared" si="0"/>
        <v>0</v>
      </c>
    </row>
    <row r="8" spans="2:11" ht="15.75" x14ac:dyDescent="0.25">
      <c r="B8" s="75">
        <v>42758</v>
      </c>
      <c r="C8" s="73">
        <v>23241</v>
      </c>
      <c r="D8" s="72" t="s">
        <v>91</v>
      </c>
      <c r="E8" s="77">
        <v>51.9</v>
      </c>
      <c r="F8" s="74">
        <v>2802.6</v>
      </c>
      <c r="K8" s="3">
        <f t="shared" si="0"/>
        <v>0</v>
      </c>
    </row>
    <row r="9" spans="2:11" ht="15.75" x14ac:dyDescent="0.25">
      <c r="B9" s="75">
        <v>42759</v>
      </c>
      <c r="C9" s="73">
        <v>23340</v>
      </c>
      <c r="D9" s="72" t="s">
        <v>8</v>
      </c>
      <c r="E9" s="77">
        <v>416.3</v>
      </c>
      <c r="F9" s="74">
        <v>17484.599999999999</v>
      </c>
      <c r="K9" s="3">
        <f t="shared" si="0"/>
        <v>0</v>
      </c>
    </row>
    <row r="10" spans="2:11" ht="15.75" x14ac:dyDescent="0.25">
      <c r="B10" s="75">
        <v>42759</v>
      </c>
      <c r="C10" s="73">
        <v>23343</v>
      </c>
      <c r="D10" s="72" t="s">
        <v>14</v>
      </c>
      <c r="E10" s="77">
        <v>422.3</v>
      </c>
      <c r="F10" s="74">
        <v>17736.599999999999</v>
      </c>
      <c r="K10" s="3">
        <f t="shared" si="0"/>
        <v>0</v>
      </c>
    </row>
    <row r="11" spans="2:11" ht="15.75" x14ac:dyDescent="0.25">
      <c r="B11" s="75">
        <v>42759</v>
      </c>
      <c r="C11" s="73">
        <v>23344</v>
      </c>
      <c r="D11" s="72" t="s">
        <v>11</v>
      </c>
      <c r="E11" s="77">
        <v>94.8</v>
      </c>
      <c r="F11" s="74">
        <v>3981.6</v>
      </c>
      <c r="K11" s="3">
        <f t="shared" si="0"/>
        <v>0</v>
      </c>
    </row>
    <row r="12" spans="2:11" ht="15.75" x14ac:dyDescent="0.25">
      <c r="B12" s="75">
        <v>42759</v>
      </c>
      <c r="C12" s="73">
        <v>23345</v>
      </c>
      <c r="D12" s="72" t="s">
        <v>0</v>
      </c>
      <c r="E12" s="77">
        <v>98.6</v>
      </c>
      <c r="F12" s="74">
        <v>4141.2</v>
      </c>
      <c r="K12" s="3">
        <f t="shared" si="0"/>
        <v>0</v>
      </c>
    </row>
    <row r="13" spans="2:11" ht="15.75" x14ac:dyDescent="0.25">
      <c r="B13" s="75">
        <v>42759</v>
      </c>
      <c r="C13" s="73">
        <v>23348</v>
      </c>
      <c r="D13" s="72" t="s">
        <v>91</v>
      </c>
      <c r="E13" s="77">
        <f>133+64+13.61</f>
        <v>210.61</v>
      </c>
      <c r="F13" s="74">
        <v>5805.6</v>
      </c>
      <c r="K13" s="3">
        <f t="shared" si="0"/>
        <v>0</v>
      </c>
    </row>
    <row r="14" spans="2:11" ht="15.75" x14ac:dyDescent="0.25">
      <c r="B14" s="75">
        <v>42759</v>
      </c>
      <c r="C14" s="73">
        <v>23493</v>
      </c>
      <c r="D14" s="72" t="s">
        <v>95</v>
      </c>
      <c r="E14" s="77">
        <v>434.4</v>
      </c>
      <c r="F14" s="74">
        <v>18244.8</v>
      </c>
      <c r="K14" s="3">
        <f t="shared" si="0"/>
        <v>0</v>
      </c>
    </row>
    <row r="15" spans="2:11" ht="15.75" x14ac:dyDescent="0.25">
      <c r="B15" s="75">
        <v>42760</v>
      </c>
      <c r="C15" s="73">
        <v>23494</v>
      </c>
      <c r="D15" s="72" t="s">
        <v>91</v>
      </c>
      <c r="E15" s="77">
        <f>269.6+272.2+20.5</f>
        <v>562.29999999999995</v>
      </c>
      <c r="F15" s="74">
        <v>19766.900000000001</v>
      </c>
      <c r="K15" s="3">
        <f t="shared" si="0"/>
        <v>0</v>
      </c>
    </row>
    <row r="16" spans="2:11" ht="15.75" x14ac:dyDescent="0.25">
      <c r="B16" s="75">
        <v>42760</v>
      </c>
      <c r="C16" s="73">
        <v>23495</v>
      </c>
      <c r="D16" s="72" t="s">
        <v>11</v>
      </c>
      <c r="E16" s="77">
        <v>187.2</v>
      </c>
      <c r="F16" s="74">
        <v>7862.4</v>
      </c>
      <c r="K16" s="3">
        <f t="shared" si="0"/>
        <v>0</v>
      </c>
    </row>
    <row r="17" spans="2:11" ht="15.75" x14ac:dyDescent="0.25">
      <c r="B17" s="75">
        <v>42760</v>
      </c>
      <c r="C17" s="73">
        <v>23496</v>
      </c>
      <c r="D17" s="72" t="s">
        <v>12</v>
      </c>
      <c r="E17" s="77">
        <v>191</v>
      </c>
      <c r="F17" s="74">
        <v>8022</v>
      </c>
      <c r="I17" s="3">
        <f t="shared" ref="I17" si="1">SUM(I6:I16)</f>
        <v>0</v>
      </c>
      <c r="J17" s="3"/>
      <c r="K17" s="3">
        <f>SUM(K6:K16)</f>
        <v>0</v>
      </c>
    </row>
    <row r="18" spans="2:11" ht="15.75" x14ac:dyDescent="0.25">
      <c r="B18" s="75">
        <v>42760</v>
      </c>
      <c r="C18" s="73">
        <v>23497</v>
      </c>
      <c r="D18" s="72" t="s">
        <v>11</v>
      </c>
      <c r="E18" s="77">
        <f>130+32.1</f>
        <v>162.1</v>
      </c>
      <c r="F18" s="74">
        <v>6736</v>
      </c>
      <c r="I18" s="3"/>
      <c r="J18" s="3"/>
    </row>
    <row r="19" spans="2:11" ht="15.75" x14ac:dyDescent="0.25">
      <c r="B19" s="75">
        <v>42760</v>
      </c>
      <c r="C19" s="73">
        <v>23498</v>
      </c>
      <c r="D19" s="72" t="s">
        <v>10</v>
      </c>
      <c r="E19" s="77">
        <v>77.8</v>
      </c>
      <c r="F19" s="74">
        <v>2878.6</v>
      </c>
      <c r="I19" s="3"/>
      <c r="J19" s="3"/>
    </row>
    <row r="20" spans="2:11" ht="15.75" x14ac:dyDescent="0.25">
      <c r="B20" s="75">
        <v>42760</v>
      </c>
      <c r="C20" s="73">
        <v>23499</v>
      </c>
      <c r="D20" s="72" t="s">
        <v>6</v>
      </c>
      <c r="E20" s="77">
        <f>72.4+10.9+33.4</f>
        <v>116.70000000000002</v>
      </c>
      <c r="F20" s="74">
        <v>6621.5</v>
      </c>
      <c r="I20" s="3"/>
      <c r="J20" s="3"/>
    </row>
    <row r="21" spans="2:11" ht="15.75" x14ac:dyDescent="0.25">
      <c r="B21" s="75">
        <v>42761</v>
      </c>
      <c r="C21" s="73">
        <v>23630</v>
      </c>
      <c r="D21" s="72" t="s">
        <v>10</v>
      </c>
      <c r="E21" s="77">
        <v>11.4</v>
      </c>
      <c r="F21" s="74">
        <v>786.6</v>
      </c>
      <c r="I21" s="3"/>
      <c r="J21" s="3"/>
    </row>
    <row r="22" spans="2:11" ht="15.75" x14ac:dyDescent="0.25">
      <c r="B22" s="75">
        <v>42761</v>
      </c>
      <c r="C22" s="73">
        <v>23633</v>
      </c>
      <c r="D22" s="72" t="s">
        <v>8</v>
      </c>
      <c r="E22" s="77">
        <f>64.6+71.4</f>
        <v>136</v>
      </c>
      <c r="F22" s="74">
        <v>5667.8</v>
      </c>
      <c r="I22" s="3"/>
      <c r="J22" s="3"/>
    </row>
    <row r="23" spans="2:11" ht="15.75" x14ac:dyDescent="0.25">
      <c r="B23" s="75">
        <v>42761</v>
      </c>
      <c r="C23" s="73">
        <v>23634</v>
      </c>
      <c r="D23" s="72" t="s">
        <v>6</v>
      </c>
      <c r="E23" s="77">
        <f>7.6+10</f>
        <v>17.600000000000001</v>
      </c>
      <c r="F23" s="74">
        <v>1113.5999999999999</v>
      </c>
      <c r="I23" s="3"/>
      <c r="J23" s="3"/>
    </row>
    <row r="24" spans="2:11" ht="15.75" x14ac:dyDescent="0.25">
      <c r="B24" s="75">
        <v>42762</v>
      </c>
      <c r="C24" s="73">
        <v>23756</v>
      </c>
      <c r="D24" s="72" t="s">
        <v>8</v>
      </c>
      <c r="E24" s="77">
        <v>432.2</v>
      </c>
      <c r="F24" s="74">
        <v>17720.2</v>
      </c>
      <c r="I24" s="3"/>
      <c r="J24" s="3"/>
    </row>
    <row r="25" spans="2:11" ht="15.75" x14ac:dyDescent="0.25">
      <c r="B25" s="75">
        <v>42762</v>
      </c>
      <c r="C25" s="73">
        <v>23757</v>
      </c>
      <c r="D25" s="72" t="s">
        <v>96</v>
      </c>
      <c r="E25" s="77">
        <v>433.9</v>
      </c>
      <c r="F25" s="74">
        <v>17789.900000000001</v>
      </c>
      <c r="I25" s="3"/>
      <c r="J25" s="3"/>
    </row>
    <row r="26" spans="2:11" ht="15.75" x14ac:dyDescent="0.25">
      <c r="B26" s="75">
        <v>42762</v>
      </c>
      <c r="C26" s="73">
        <v>23758</v>
      </c>
      <c r="D26" s="72" t="s">
        <v>91</v>
      </c>
      <c r="E26" s="77">
        <f>935.6+111.7+25.5+61.3</f>
        <v>1134.0999999999999</v>
      </c>
      <c r="F26" s="74">
        <v>40420.6</v>
      </c>
      <c r="I26" s="3"/>
      <c r="J26" s="3"/>
    </row>
    <row r="27" spans="2:11" ht="15.75" x14ac:dyDescent="0.25">
      <c r="B27" s="75">
        <v>42762</v>
      </c>
      <c r="C27" s="73">
        <v>23761</v>
      </c>
      <c r="D27" s="72" t="s">
        <v>11</v>
      </c>
      <c r="E27" s="77">
        <f>61+152</f>
        <v>213</v>
      </c>
      <c r="F27" s="74">
        <v>9284</v>
      </c>
      <c r="I27" s="3"/>
      <c r="J27" s="3"/>
    </row>
    <row r="28" spans="2:11" ht="15.75" x14ac:dyDescent="0.25">
      <c r="B28" s="75">
        <v>42762</v>
      </c>
      <c r="C28" s="73">
        <v>23767</v>
      </c>
      <c r="D28" s="72" t="s">
        <v>11</v>
      </c>
      <c r="E28" s="77">
        <f>283.7+200.6+23.3</f>
        <v>507.59999999999997</v>
      </c>
      <c r="F28" s="74">
        <v>19659.7</v>
      </c>
      <c r="I28" s="3"/>
      <c r="J28" s="3"/>
    </row>
    <row r="29" spans="2:11" ht="15.75" x14ac:dyDescent="0.25">
      <c r="B29" s="75">
        <v>42762</v>
      </c>
      <c r="C29" s="73">
        <v>23768</v>
      </c>
      <c r="D29" s="72" t="s">
        <v>8</v>
      </c>
      <c r="E29" s="77">
        <v>72.900000000000006</v>
      </c>
      <c r="F29" s="74">
        <v>1239.3</v>
      </c>
      <c r="I29" s="3"/>
      <c r="J29" s="3"/>
    </row>
    <row r="30" spans="2:11" ht="15.75" x14ac:dyDescent="0.25">
      <c r="B30" s="75">
        <v>42762</v>
      </c>
      <c r="C30" s="73">
        <v>23770</v>
      </c>
      <c r="D30" s="72" t="s">
        <v>11</v>
      </c>
      <c r="E30" s="77">
        <f>61+142.2+11.5</f>
        <v>214.7</v>
      </c>
      <c r="F30" s="74">
        <v>9220.4</v>
      </c>
      <c r="I30" s="3"/>
      <c r="J30" s="3"/>
    </row>
    <row r="31" spans="2:11" ht="15.75" x14ac:dyDescent="0.25">
      <c r="B31" s="75">
        <v>42762</v>
      </c>
      <c r="C31" s="73">
        <v>23771</v>
      </c>
      <c r="D31" s="72" t="s">
        <v>0</v>
      </c>
      <c r="E31" s="77">
        <v>135.4</v>
      </c>
      <c r="F31" s="74">
        <v>8665.6</v>
      </c>
      <c r="I31" s="3"/>
      <c r="J31" s="3"/>
    </row>
    <row r="32" spans="2:11" ht="15.75" x14ac:dyDescent="0.25">
      <c r="B32" s="75">
        <v>42762</v>
      </c>
      <c r="C32" s="73">
        <v>23781</v>
      </c>
      <c r="D32" s="72" t="s">
        <v>10</v>
      </c>
      <c r="E32" s="77">
        <v>85.5</v>
      </c>
      <c r="F32" s="74">
        <v>3505.5</v>
      </c>
      <c r="I32" s="3"/>
      <c r="J32" s="3"/>
    </row>
    <row r="33" spans="2:13" ht="15.75" x14ac:dyDescent="0.25">
      <c r="B33" s="75">
        <v>42762</v>
      </c>
      <c r="C33" s="73">
        <v>23783</v>
      </c>
      <c r="D33" s="72" t="s">
        <v>6</v>
      </c>
      <c r="E33" s="77">
        <f>22.4+185.5+56.4+71.9+6.2+28.1</f>
        <v>370.50000000000006</v>
      </c>
      <c r="F33" s="74">
        <v>17272.8</v>
      </c>
      <c r="I33" s="3"/>
      <c r="J33" s="3"/>
    </row>
    <row r="34" spans="2:13" ht="15.75" x14ac:dyDescent="0.25">
      <c r="B34" s="75">
        <v>42762</v>
      </c>
      <c r="C34" s="73">
        <v>23787</v>
      </c>
      <c r="D34" s="72" t="s">
        <v>12</v>
      </c>
      <c r="E34" s="77">
        <f>362.8+13.61+1+18.1</f>
        <v>395.51000000000005</v>
      </c>
      <c r="F34" s="74">
        <v>16950.099999999999</v>
      </c>
      <c r="I34" s="3"/>
      <c r="J34" s="3"/>
    </row>
    <row r="35" spans="2:13" ht="15.75" x14ac:dyDescent="0.25">
      <c r="B35" s="75">
        <v>42763</v>
      </c>
      <c r="C35" s="73">
        <v>23914</v>
      </c>
      <c r="D35" s="72" t="s">
        <v>10</v>
      </c>
      <c r="E35" s="77">
        <f>17.5+7.6+27.24+1</f>
        <v>53.34</v>
      </c>
      <c r="F35" s="74">
        <v>3212.52</v>
      </c>
      <c r="I35" s="3"/>
      <c r="J35" s="3"/>
    </row>
    <row r="36" spans="2:13" ht="15.75" x14ac:dyDescent="0.25">
      <c r="B36" s="75">
        <v>42763</v>
      </c>
      <c r="C36" s="73">
        <v>23930</v>
      </c>
      <c r="D36" s="72" t="s">
        <v>8</v>
      </c>
      <c r="E36" s="77">
        <f>57.1+77+56.8+250.2+131.4+18.6</f>
        <v>591.1</v>
      </c>
      <c r="F36" s="74">
        <v>26115.7</v>
      </c>
      <c r="I36" s="3"/>
      <c r="J36" s="3"/>
    </row>
    <row r="37" spans="2:13" ht="15.75" x14ac:dyDescent="0.25">
      <c r="B37" s="75">
        <v>42763</v>
      </c>
      <c r="C37" s="73">
        <v>23987</v>
      </c>
      <c r="D37" s="72" t="s">
        <v>12</v>
      </c>
      <c r="E37" s="77">
        <f>76.8+29.3</f>
        <v>106.1</v>
      </c>
      <c r="F37" s="74">
        <v>47536.2</v>
      </c>
      <c r="I37" s="3"/>
      <c r="J37" s="3"/>
    </row>
    <row r="38" spans="2:13" ht="16.5" thickBot="1" x14ac:dyDescent="0.3">
      <c r="B38" s="75"/>
      <c r="C38" s="73"/>
      <c r="D38" s="72"/>
      <c r="E38" s="77"/>
      <c r="F38" s="74"/>
      <c r="I38" s="3"/>
      <c r="J38" s="3"/>
    </row>
    <row r="39" spans="2:13" ht="15.75" thickBot="1" x14ac:dyDescent="0.3">
      <c r="B39" s="29" t="s">
        <v>9</v>
      </c>
      <c r="C39" s="66"/>
      <c r="D39" s="31"/>
      <c r="E39" s="32">
        <v>0</v>
      </c>
      <c r="F39" s="33">
        <f>SUM(F3:F38)</f>
        <v>418675.92</v>
      </c>
      <c r="K39" s="3">
        <f t="shared" ref="K39:K40" si="2">J39*I39</f>
        <v>0</v>
      </c>
    </row>
    <row r="40" spans="2:13" ht="19.5" thickBot="1" x14ac:dyDescent="0.35">
      <c r="B40" s="34"/>
      <c r="C40" s="67"/>
      <c r="D40" s="36" t="s">
        <v>5</v>
      </c>
      <c r="E40" s="37">
        <f>SUM(E3:E39)</f>
        <v>9096.06</v>
      </c>
      <c r="I40" s="38"/>
      <c r="J40" s="38"/>
      <c r="K40" s="3">
        <f t="shared" si="2"/>
        <v>0</v>
      </c>
    </row>
    <row r="41" spans="2:13" x14ac:dyDescent="0.25">
      <c r="B41" s="34"/>
      <c r="C41" s="67"/>
      <c r="D41" s="26"/>
      <c r="E41" s="39"/>
      <c r="I41" s="38">
        <f>SUM(I39:I40)</f>
        <v>0</v>
      </c>
      <c r="J41" s="38"/>
      <c r="K41" s="38">
        <f>SUM(K39:K40)</f>
        <v>0</v>
      </c>
    </row>
    <row r="42" spans="2:13" ht="21.75" thickBot="1" x14ac:dyDescent="0.4">
      <c r="B42" s="40"/>
      <c r="C42" s="41" t="s">
        <v>15</v>
      </c>
      <c r="D42" s="42">
        <f>E40*0.2</f>
        <v>1819.212</v>
      </c>
      <c r="F42"/>
      <c r="K42"/>
    </row>
    <row r="43" spans="2:13" ht="21.75" thickBot="1" x14ac:dyDescent="0.4">
      <c r="C43" s="41" t="s">
        <v>16</v>
      </c>
      <c r="D43" s="44">
        <v>3400</v>
      </c>
      <c r="E43" s="45"/>
      <c r="F43" s="258">
        <f>D42+D43</f>
        <v>5219.2119999999995</v>
      </c>
      <c r="G43" s="259"/>
      <c r="I43" s="46"/>
      <c r="J43" s="46"/>
      <c r="K43" s="46"/>
      <c r="L43" s="46"/>
      <c r="M43" s="46"/>
    </row>
    <row r="44" spans="2:13" ht="17.25" thickTop="1" thickBot="1" x14ac:dyDescent="0.3">
      <c r="E44" s="47" t="s">
        <v>17</v>
      </c>
      <c r="G44" s="48">
        <v>0</v>
      </c>
      <c r="I44" s="46"/>
      <c r="J44" s="46"/>
      <c r="K44" s="49"/>
      <c r="L44" s="49"/>
      <c r="M44" s="49"/>
    </row>
    <row r="45" spans="2:13" ht="19.5" thickBot="1" x14ac:dyDescent="0.35">
      <c r="C45" s="50" t="s">
        <v>94</v>
      </c>
      <c r="D45" s="51" t="s">
        <v>97</v>
      </c>
      <c r="E45" s="47" t="s">
        <v>17</v>
      </c>
      <c r="F45" s="260">
        <v>0</v>
      </c>
      <c r="G45" s="260"/>
      <c r="I45" s="46"/>
      <c r="J45" s="46"/>
      <c r="K45" s="49"/>
      <c r="L45" s="49"/>
      <c r="M45" s="49"/>
    </row>
    <row r="46" spans="2:13" ht="20.25" thickTop="1" thickBot="1" x14ac:dyDescent="0.35">
      <c r="C46" s="52" t="s">
        <v>18</v>
      </c>
      <c r="D46" s="53" t="s">
        <v>98</v>
      </c>
      <c r="F46" s="261">
        <f>F43+F45+G44</f>
        <v>5219.2119999999995</v>
      </c>
      <c r="G46" s="261"/>
      <c r="I46" s="46"/>
      <c r="J46" s="46"/>
      <c r="K46" s="49"/>
      <c r="L46" s="49"/>
      <c r="M46" s="49"/>
    </row>
    <row r="47" spans="2:13" ht="19.5" thickBot="1" x14ac:dyDescent="0.35">
      <c r="E47" s="2" t="s">
        <v>19</v>
      </c>
      <c r="F47" s="262"/>
      <c r="G47" s="262"/>
      <c r="K47"/>
    </row>
  </sheetData>
  <mergeCells count="4">
    <mergeCell ref="B1:C1"/>
    <mergeCell ref="F43:G43"/>
    <mergeCell ref="F45:G45"/>
    <mergeCell ref="F46:G47"/>
  </mergeCells>
  <pageMargins left="0.31496062992125984" right="0.31496062992125984" top="0.35433070866141736" bottom="0.15748031496062992" header="0.31496062992125984" footer="0.31496062992125984"/>
  <pageSetup scale="90"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4"/>
  <sheetViews>
    <sheetView topLeftCell="A57" workbookViewId="0">
      <selection activeCell="B71" sqref="B71"/>
    </sheetView>
  </sheetViews>
  <sheetFormatPr baseColWidth="10" defaultRowHeight="15" x14ac:dyDescent="0.25"/>
  <cols>
    <col min="1" max="1" width="3.42578125" customWidth="1"/>
    <col min="2" max="2" width="13.42578125" style="96" bestFit="1" customWidth="1"/>
    <col min="3" max="3" width="13.7109375" style="41" customWidth="1"/>
    <col min="4" max="4" width="28.5703125" bestFit="1" customWidth="1"/>
    <col min="5" max="5" width="12" bestFit="1" customWidth="1"/>
    <col min="6" max="6" width="14.140625" style="3" bestFit="1" customWidth="1"/>
    <col min="7" max="7" width="15.7109375" customWidth="1"/>
    <col min="11" max="11" width="11.42578125" style="3"/>
    <col min="13" max="13" width="11.42578125" style="3"/>
  </cols>
  <sheetData>
    <row r="1" spans="2:11" ht="19.5" thickBot="1" x14ac:dyDescent="0.35">
      <c r="B1" s="257">
        <v>43027</v>
      </c>
      <c r="C1" s="257"/>
      <c r="D1" s="208" t="s">
        <v>0</v>
      </c>
      <c r="E1" s="2" t="s">
        <v>1</v>
      </c>
      <c r="K1"/>
    </row>
    <row r="2" spans="2:11" ht="19.5" thickBot="1" x14ac:dyDescent="0.35">
      <c r="B2" s="95" t="s">
        <v>2</v>
      </c>
      <c r="C2" s="5" t="s">
        <v>3</v>
      </c>
      <c r="D2" s="5" t="s">
        <v>4</v>
      </c>
      <c r="E2" s="6" t="s">
        <v>5</v>
      </c>
      <c r="F2" s="139" t="s">
        <v>774</v>
      </c>
      <c r="G2" s="8"/>
      <c r="K2"/>
    </row>
    <row r="3" spans="2:11" ht="15.75" x14ac:dyDescent="0.25">
      <c r="B3" s="210">
        <v>42961</v>
      </c>
      <c r="C3" s="211" t="s">
        <v>775</v>
      </c>
      <c r="D3" s="198" t="s">
        <v>248</v>
      </c>
      <c r="E3" s="199">
        <f>55.1+12.1</f>
        <v>67.2</v>
      </c>
      <c r="F3" s="200">
        <v>3522.7</v>
      </c>
      <c r="K3"/>
    </row>
    <row r="4" spans="2:11" ht="15.75" x14ac:dyDescent="0.25">
      <c r="B4" s="209">
        <v>42972</v>
      </c>
      <c r="C4" s="189" t="s">
        <v>776</v>
      </c>
      <c r="D4" s="72" t="s">
        <v>248</v>
      </c>
      <c r="E4" s="77">
        <f>955.71+160.3+24.6+41.4</f>
        <v>1182.01</v>
      </c>
      <c r="F4" s="74">
        <v>42503.75</v>
      </c>
      <c r="K4"/>
    </row>
    <row r="5" spans="2:11" ht="15.75" x14ac:dyDescent="0.25">
      <c r="B5" s="118">
        <v>43010</v>
      </c>
      <c r="C5" s="15" t="s">
        <v>777</v>
      </c>
      <c r="D5" s="119" t="s">
        <v>8</v>
      </c>
      <c r="E5" s="120">
        <v>227.2</v>
      </c>
      <c r="F5" s="121">
        <v>8633.6</v>
      </c>
      <c r="K5"/>
    </row>
    <row r="6" spans="2:11" ht="15.75" x14ac:dyDescent="0.25">
      <c r="B6" s="118">
        <v>43010</v>
      </c>
      <c r="C6" s="15" t="s">
        <v>778</v>
      </c>
      <c r="D6" s="119" t="s">
        <v>14</v>
      </c>
      <c r="E6" s="120">
        <v>238.1</v>
      </c>
      <c r="F6" s="121">
        <v>9047.7999999999993</v>
      </c>
      <c r="G6" t="s">
        <v>9</v>
      </c>
      <c r="K6" s="3">
        <f t="shared" ref="K6:K21" si="0">J6*I6</f>
        <v>0</v>
      </c>
    </row>
    <row r="7" spans="2:11" ht="15.75" x14ac:dyDescent="0.25">
      <c r="B7" s="118">
        <v>43010</v>
      </c>
      <c r="C7" s="15" t="s">
        <v>779</v>
      </c>
      <c r="D7" s="119" t="s">
        <v>6</v>
      </c>
      <c r="E7" s="120">
        <v>73.900000000000006</v>
      </c>
      <c r="F7" s="121">
        <v>2956</v>
      </c>
      <c r="K7" s="3">
        <f t="shared" si="0"/>
        <v>0</v>
      </c>
    </row>
    <row r="8" spans="2:11" ht="15.75" x14ac:dyDescent="0.25">
      <c r="B8" s="118">
        <v>43010</v>
      </c>
      <c r="C8" s="15" t="s">
        <v>780</v>
      </c>
      <c r="D8" s="119" t="s">
        <v>0</v>
      </c>
      <c r="E8" s="120">
        <f>73.2+20+24.7</f>
        <v>117.9</v>
      </c>
      <c r="F8" s="121">
        <v>3790.9</v>
      </c>
      <c r="I8">
        <v>963.9</v>
      </c>
      <c r="J8">
        <v>31</v>
      </c>
      <c r="K8" s="3">
        <f t="shared" si="0"/>
        <v>29880.899999999998</v>
      </c>
    </row>
    <row r="9" spans="2:11" ht="15.75" x14ac:dyDescent="0.25">
      <c r="B9" s="118">
        <v>43010</v>
      </c>
      <c r="C9" s="15" t="s">
        <v>781</v>
      </c>
      <c r="D9" s="119" t="s">
        <v>91</v>
      </c>
      <c r="E9" s="120">
        <f>37.7+46.3+66.1</f>
        <v>150.1</v>
      </c>
      <c r="F9" s="121">
        <v>3205.8</v>
      </c>
      <c r="K9" s="3">
        <f t="shared" si="0"/>
        <v>0</v>
      </c>
    </row>
    <row r="10" spans="2:11" ht="15.75" x14ac:dyDescent="0.25">
      <c r="B10" s="118">
        <v>43011</v>
      </c>
      <c r="C10" s="15" t="s">
        <v>782</v>
      </c>
      <c r="D10" s="119" t="s">
        <v>8</v>
      </c>
      <c r="E10" s="120">
        <v>340</v>
      </c>
      <c r="F10" s="121">
        <v>12580</v>
      </c>
      <c r="K10" s="3">
        <f t="shared" si="0"/>
        <v>0</v>
      </c>
    </row>
    <row r="11" spans="2:11" ht="15.75" x14ac:dyDescent="0.25">
      <c r="B11" s="118">
        <v>43011</v>
      </c>
      <c r="C11" s="15" t="s">
        <v>783</v>
      </c>
      <c r="D11" s="119" t="s">
        <v>14</v>
      </c>
      <c r="E11" s="120">
        <v>250.6</v>
      </c>
      <c r="F11" s="121">
        <v>9272.2000000000007</v>
      </c>
      <c r="K11" s="3">
        <f t="shared" si="0"/>
        <v>0</v>
      </c>
    </row>
    <row r="12" spans="2:11" ht="15.75" x14ac:dyDescent="0.25">
      <c r="B12" s="118">
        <v>43011</v>
      </c>
      <c r="C12" s="15" t="s">
        <v>784</v>
      </c>
      <c r="D12" s="119" t="s">
        <v>91</v>
      </c>
      <c r="E12" s="120">
        <v>963.9</v>
      </c>
      <c r="F12" s="121">
        <v>29880.9</v>
      </c>
      <c r="K12" s="3">
        <f t="shared" si="0"/>
        <v>0</v>
      </c>
    </row>
    <row r="13" spans="2:11" ht="15.75" x14ac:dyDescent="0.25">
      <c r="B13" s="118">
        <v>43011</v>
      </c>
      <c r="C13" s="15" t="s">
        <v>785</v>
      </c>
      <c r="D13" s="119" t="s">
        <v>12</v>
      </c>
      <c r="E13" s="120">
        <v>180.2</v>
      </c>
      <c r="F13" s="121">
        <v>6667.4</v>
      </c>
      <c r="K13" s="3">
        <f t="shared" si="0"/>
        <v>0</v>
      </c>
    </row>
    <row r="14" spans="2:11" ht="15.75" x14ac:dyDescent="0.25">
      <c r="B14" s="118">
        <v>43011</v>
      </c>
      <c r="C14" s="15" t="s">
        <v>786</v>
      </c>
      <c r="D14" s="119" t="s">
        <v>0</v>
      </c>
      <c r="E14" s="120">
        <v>79.3</v>
      </c>
      <c r="F14" s="121">
        <v>2934.1</v>
      </c>
    </row>
    <row r="15" spans="2:11" ht="15.75" x14ac:dyDescent="0.25">
      <c r="B15" s="118">
        <v>43011</v>
      </c>
      <c r="C15" s="15" t="s">
        <v>787</v>
      </c>
      <c r="D15" s="119" t="s">
        <v>0</v>
      </c>
      <c r="E15" s="120">
        <f>66.2+7.6</f>
        <v>73.8</v>
      </c>
      <c r="F15" s="121">
        <v>3743.2</v>
      </c>
    </row>
    <row r="16" spans="2:11" ht="15.75" x14ac:dyDescent="0.25">
      <c r="B16" s="118">
        <v>43011</v>
      </c>
      <c r="C16" s="15" t="s">
        <v>788</v>
      </c>
      <c r="D16" s="119" t="s">
        <v>6</v>
      </c>
      <c r="E16" s="120">
        <f>1+7.3+82</f>
        <v>90.3</v>
      </c>
      <c r="F16" s="121">
        <v>3660.1</v>
      </c>
    </row>
    <row r="17" spans="2:11" ht="15.75" x14ac:dyDescent="0.25">
      <c r="B17" s="118">
        <v>43011</v>
      </c>
      <c r="C17" s="15" t="s">
        <v>789</v>
      </c>
      <c r="D17" s="119" t="s">
        <v>0</v>
      </c>
      <c r="E17" s="120">
        <v>75.900000000000006</v>
      </c>
      <c r="F17" s="121">
        <v>2808.3</v>
      </c>
    </row>
    <row r="18" spans="2:11" ht="15.75" x14ac:dyDescent="0.25">
      <c r="B18" s="118">
        <v>43011</v>
      </c>
      <c r="C18" s="15" t="s">
        <v>790</v>
      </c>
      <c r="D18" s="119" t="s">
        <v>0</v>
      </c>
      <c r="E18" s="120">
        <f>76.3+18+8.8</f>
        <v>103.1</v>
      </c>
      <c r="F18" s="121">
        <v>6274.4</v>
      </c>
    </row>
    <row r="19" spans="2:11" ht="15.75" x14ac:dyDescent="0.25">
      <c r="B19" s="118">
        <v>43012</v>
      </c>
      <c r="C19" s="15" t="s">
        <v>791</v>
      </c>
      <c r="D19" s="119" t="s">
        <v>6</v>
      </c>
      <c r="E19" s="120">
        <v>81</v>
      </c>
      <c r="F19" s="121">
        <v>2997</v>
      </c>
      <c r="K19" s="3">
        <f t="shared" si="0"/>
        <v>0</v>
      </c>
    </row>
    <row r="20" spans="2:11" ht="15.75" x14ac:dyDescent="0.25">
      <c r="B20" s="118">
        <v>43012</v>
      </c>
      <c r="C20" s="15" t="s">
        <v>792</v>
      </c>
      <c r="D20" s="119" t="s">
        <v>0</v>
      </c>
      <c r="E20" s="120">
        <f>29.4+82.5</f>
        <v>111.9</v>
      </c>
      <c r="F20" s="121">
        <v>5316.3</v>
      </c>
      <c r="K20" s="3">
        <f t="shared" si="0"/>
        <v>0</v>
      </c>
    </row>
    <row r="21" spans="2:11" ht="15.75" x14ac:dyDescent="0.25">
      <c r="B21" s="118">
        <v>43012</v>
      </c>
      <c r="C21" s="15" t="s">
        <v>793</v>
      </c>
      <c r="D21" s="119" t="s">
        <v>659</v>
      </c>
      <c r="E21" s="120">
        <v>976.42</v>
      </c>
      <c r="F21" s="121">
        <v>30269.02</v>
      </c>
      <c r="K21" s="3">
        <f t="shared" si="0"/>
        <v>0</v>
      </c>
    </row>
    <row r="22" spans="2:11" ht="15.75" x14ac:dyDescent="0.25">
      <c r="B22" s="118">
        <v>43012</v>
      </c>
      <c r="C22" s="15" t="s">
        <v>794</v>
      </c>
      <c r="D22" s="119" t="s">
        <v>91</v>
      </c>
      <c r="E22" s="120">
        <v>18.600000000000001</v>
      </c>
      <c r="F22" s="121">
        <v>353.4</v>
      </c>
    </row>
    <row r="23" spans="2:11" ht="15.75" x14ac:dyDescent="0.25">
      <c r="B23" s="118">
        <v>43012</v>
      </c>
      <c r="C23" s="15" t="s">
        <v>795</v>
      </c>
      <c r="D23" s="119" t="s">
        <v>0</v>
      </c>
      <c r="E23" s="120">
        <f>64.1+7.6</f>
        <v>71.699999999999989</v>
      </c>
      <c r="F23" s="121">
        <v>3253.6</v>
      </c>
    </row>
    <row r="24" spans="2:11" ht="15.75" x14ac:dyDescent="0.25">
      <c r="B24" s="118">
        <v>43012</v>
      </c>
      <c r="C24" s="15" t="s">
        <v>796</v>
      </c>
      <c r="D24" s="119" t="s">
        <v>8</v>
      </c>
      <c r="E24" s="120">
        <f>311+98</f>
        <v>409</v>
      </c>
      <c r="F24" s="121">
        <v>13663</v>
      </c>
    </row>
    <row r="25" spans="2:11" ht="15.75" hidden="1" x14ac:dyDescent="0.25">
      <c r="B25" s="118"/>
      <c r="C25" s="15"/>
      <c r="D25" s="119"/>
      <c r="E25" s="120"/>
      <c r="F25" s="121"/>
    </row>
    <row r="26" spans="2:11" ht="15.75" hidden="1" x14ac:dyDescent="0.25">
      <c r="B26" s="118"/>
      <c r="C26" s="15"/>
      <c r="D26" s="119"/>
      <c r="E26" s="120"/>
      <c r="F26" s="121"/>
    </row>
    <row r="27" spans="2:11" ht="15.75" hidden="1" x14ac:dyDescent="0.25">
      <c r="B27" s="118"/>
      <c r="C27" s="15"/>
      <c r="D27" s="119"/>
      <c r="E27" s="120"/>
      <c r="F27" s="121"/>
      <c r="I27" s="3">
        <f t="shared" ref="I27" si="1">SUM(I6:I21)</f>
        <v>963.9</v>
      </c>
      <c r="J27" s="3"/>
      <c r="K27" s="3">
        <f>SUM(K6:K21)</f>
        <v>29880.899999999998</v>
      </c>
    </row>
    <row r="28" spans="2:11" ht="15.75" hidden="1" x14ac:dyDescent="0.25">
      <c r="B28" s="118"/>
      <c r="C28" s="15"/>
      <c r="D28" s="119"/>
      <c r="E28" s="120"/>
      <c r="F28" s="121"/>
      <c r="I28" s="3"/>
      <c r="J28" s="3"/>
    </row>
    <row r="29" spans="2:11" ht="15.75" hidden="1" x14ac:dyDescent="0.25">
      <c r="B29" s="118"/>
      <c r="C29" s="15"/>
      <c r="D29" s="119"/>
      <c r="E29" s="120"/>
      <c r="F29" s="121"/>
      <c r="I29" s="3"/>
      <c r="J29" s="3"/>
    </row>
    <row r="30" spans="2:11" ht="15.75" hidden="1" x14ac:dyDescent="0.25">
      <c r="B30" s="118"/>
      <c r="C30" s="15"/>
      <c r="D30" s="119"/>
      <c r="E30" s="120"/>
      <c r="F30" s="121"/>
      <c r="I30" s="3"/>
      <c r="J30" s="3"/>
    </row>
    <row r="31" spans="2:11" ht="15.75" hidden="1" x14ac:dyDescent="0.25">
      <c r="B31" s="118"/>
      <c r="C31" s="15"/>
      <c r="D31" s="119"/>
      <c r="E31" s="120"/>
      <c r="F31" s="121"/>
      <c r="I31" s="3"/>
      <c r="J31" s="3"/>
    </row>
    <row r="32" spans="2:11" ht="15.75" hidden="1" x14ac:dyDescent="0.25">
      <c r="B32" s="118"/>
      <c r="C32" s="15"/>
      <c r="D32" s="119"/>
      <c r="E32" s="120"/>
      <c r="F32" s="121"/>
      <c r="I32" s="3"/>
      <c r="J32" s="3"/>
    </row>
    <row r="33" spans="2:10" ht="15.75" hidden="1" x14ac:dyDescent="0.25">
      <c r="B33" s="118"/>
      <c r="C33" s="15"/>
      <c r="D33" s="119"/>
      <c r="E33" s="120"/>
      <c r="F33" s="121"/>
      <c r="I33" s="3"/>
      <c r="J33" s="3"/>
    </row>
    <row r="34" spans="2:10" ht="15.75" hidden="1" x14ac:dyDescent="0.25">
      <c r="B34" s="118"/>
      <c r="C34" s="15"/>
      <c r="D34" s="119"/>
      <c r="E34" s="120"/>
      <c r="F34" s="121"/>
      <c r="I34" s="3"/>
      <c r="J34" s="3"/>
    </row>
    <row r="35" spans="2:10" ht="15.75" hidden="1" x14ac:dyDescent="0.25">
      <c r="B35" s="118"/>
      <c r="C35" s="15"/>
      <c r="D35" s="119"/>
      <c r="E35" s="120"/>
      <c r="F35" s="121"/>
      <c r="I35" s="3"/>
      <c r="J35" s="3"/>
    </row>
    <row r="36" spans="2:10" ht="15.75" hidden="1" x14ac:dyDescent="0.25">
      <c r="B36" s="118"/>
      <c r="C36" s="15"/>
      <c r="D36" s="119"/>
      <c r="E36" s="120"/>
      <c r="F36" s="121"/>
      <c r="I36" s="3"/>
      <c r="J36" s="3"/>
    </row>
    <row r="37" spans="2:10" ht="15.75" hidden="1" x14ac:dyDescent="0.25">
      <c r="B37" s="118"/>
      <c r="C37" s="15"/>
      <c r="D37" s="119"/>
      <c r="E37" s="120"/>
      <c r="F37" s="121"/>
      <c r="I37" s="3"/>
      <c r="J37" s="3"/>
    </row>
    <row r="38" spans="2:10" ht="15.75" hidden="1" x14ac:dyDescent="0.25">
      <c r="B38" s="118"/>
      <c r="C38" s="15"/>
      <c r="D38" s="119"/>
      <c r="E38" s="120"/>
      <c r="F38" s="121"/>
      <c r="I38" s="3"/>
      <c r="J38" s="3"/>
    </row>
    <row r="39" spans="2:10" ht="15.75" x14ac:dyDescent="0.25">
      <c r="B39" s="118">
        <v>43013</v>
      </c>
      <c r="C39" s="15" t="s">
        <v>797</v>
      </c>
      <c r="D39" s="119" t="s">
        <v>8</v>
      </c>
      <c r="E39" s="120">
        <v>411.2</v>
      </c>
      <c r="F39" s="121">
        <v>15214.4</v>
      </c>
      <c r="I39" s="3"/>
      <c r="J39" s="3"/>
    </row>
    <row r="40" spans="2:10" ht="15.75" x14ac:dyDescent="0.25">
      <c r="B40" s="118">
        <v>43013</v>
      </c>
      <c r="C40" s="15" t="s">
        <v>798</v>
      </c>
      <c r="D40" s="119" t="s">
        <v>0</v>
      </c>
      <c r="E40" s="120">
        <v>174.6</v>
      </c>
      <c r="F40" s="121">
        <v>6460.2</v>
      </c>
      <c r="I40" s="3"/>
      <c r="J40" s="3"/>
    </row>
    <row r="41" spans="2:10" ht="15.75" x14ac:dyDescent="0.25">
      <c r="B41" s="118">
        <v>43013</v>
      </c>
      <c r="C41" s="15" t="s">
        <v>799</v>
      </c>
      <c r="D41" s="119" t="s">
        <v>0</v>
      </c>
      <c r="E41" s="120">
        <f>945.28+18.2+1</f>
        <v>964.48</v>
      </c>
      <c r="F41" s="121">
        <v>30496.48</v>
      </c>
      <c r="I41" s="3"/>
      <c r="J41" s="3"/>
    </row>
    <row r="42" spans="2:10" ht="15.75" x14ac:dyDescent="0.25">
      <c r="B42" s="118">
        <v>43013</v>
      </c>
      <c r="C42" s="15" t="s">
        <v>800</v>
      </c>
      <c r="D42" s="119" t="s">
        <v>0</v>
      </c>
      <c r="E42" s="120">
        <f>10.3+2</f>
        <v>12.3</v>
      </c>
      <c r="F42" s="121">
        <v>667.2</v>
      </c>
      <c r="I42" s="3"/>
      <c r="J42" s="3"/>
    </row>
    <row r="43" spans="2:10" ht="15.75" x14ac:dyDescent="0.25">
      <c r="B43" s="118">
        <v>43013</v>
      </c>
      <c r="C43" s="15" t="s">
        <v>801</v>
      </c>
      <c r="D43" s="119" t="s">
        <v>12</v>
      </c>
      <c r="E43" s="120">
        <v>57.1</v>
      </c>
      <c r="F43" s="121">
        <v>3083.4</v>
      </c>
      <c r="I43" s="3"/>
      <c r="J43" s="3"/>
    </row>
    <row r="44" spans="2:10" ht="15.75" x14ac:dyDescent="0.25">
      <c r="B44" s="118">
        <v>43013</v>
      </c>
      <c r="C44" s="15" t="s">
        <v>851</v>
      </c>
      <c r="D44" s="119" t="s">
        <v>0</v>
      </c>
      <c r="E44" s="120">
        <f>53.2+6.8+6.6</f>
        <v>66.599999999999994</v>
      </c>
      <c r="F44" s="121">
        <v>3171.8</v>
      </c>
      <c r="I44" s="3"/>
      <c r="J44" s="3"/>
    </row>
    <row r="45" spans="2:10" ht="15.75" x14ac:dyDescent="0.25">
      <c r="B45" s="118">
        <v>43013</v>
      </c>
      <c r="C45" s="15" t="s">
        <v>802</v>
      </c>
      <c r="D45" s="119" t="s">
        <v>91</v>
      </c>
      <c r="E45" s="120">
        <f>84.3+61.6+66.3+45.3+7</f>
        <v>264.5</v>
      </c>
      <c r="F45" s="121">
        <v>7438.1</v>
      </c>
      <c r="I45" s="3"/>
      <c r="J45" s="3"/>
    </row>
    <row r="46" spans="2:10" ht="15.75" x14ac:dyDescent="0.25">
      <c r="B46" s="118">
        <v>43014</v>
      </c>
      <c r="C46" s="15" t="s">
        <v>803</v>
      </c>
      <c r="D46" s="119" t="s">
        <v>248</v>
      </c>
      <c r="E46" s="120">
        <f>19.91+15.2+4.9</f>
        <v>40.01</v>
      </c>
      <c r="F46" s="121">
        <v>1798.16</v>
      </c>
      <c r="I46" s="3"/>
      <c r="J46" s="3"/>
    </row>
    <row r="47" spans="2:10" ht="15.75" x14ac:dyDescent="0.25">
      <c r="B47" s="118">
        <v>43014</v>
      </c>
      <c r="C47" s="15" t="s">
        <v>804</v>
      </c>
      <c r="D47" s="119" t="s">
        <v>91</v>
      </c>
      <c r="E47" s="120">
        <v>101.6</v>
      </c>
      <c r="F47" s="121">
        <v>2438.4</v>
      </c>
      <c r="I47" s="3"/>
      <c r="J47" s="3"/>
    </row>
    <row r="48" spans="2:10" ht="15.75" x14ac:dyDescent="0.25">
      <c r="B48" s="118">
        <v>43014</v>
      </c>
      <c r="C48" s="15" t="s">
        <v>805</v>
      </c>
      <c r="D48" s="119" t="s">
        <v>12</v>
      </c>
      <c r="E48" s="120">
        <f>250.8+20.3</f>
        <v>271.10000000000002</v>
      </c>
      <c r="F48" s="121">
        <v>9766.7999999999993</v>
      </c>
      <c r="I48" s="3"/>
      <c r="J48" s="3"/>
    </row>
    <row r="49" spans="2:11" ht="15.75" x14ac:dyDescent="0.25">
      <c r="B49" s="118">
        <v>43014</v>
      </c>
      <c r="C49" s="15" t="s">
        <v>806</v>
      </c>
      <c r="D49" s="119" t="s">
        <v>0</v>
      </c>
      <c r="E49" s="120">
        <v>91</v>
      </c>
      <c r="F49" s="121">
        <v>3367</v>
      </c>
      <c r="I49" s="3"/>
      <c r="J49" s="3"/>
    </row>
    <row r="50" spans="2:11" ht="15.75" x14ac:dyDescent="0.25">
      <c r="B50" s="118">
        <v>43014</v>
      </c>
      <c r="C50" s="15" t="s">
        <v>807</v>
      </c>
      <c r="D50" s="119" t="s">
        <v>14</v>
      </c>
      <c r="E50" s="120">
        <v>390.7</v>
      </c>
      <c r="F50" s="121">
        <v>14455.9</v>
      </c>
      <c r="I50" s="3"/>
      <c r="J50" s="3"/>
    </row>
    <row r="51" spans="2:11" ht="15.75" x14ac:dyDescent="0.25">
      <c r="B51" s="118">
        <v>43014</v>
      </c>
      <c r="C51" s="15" t="s">
        <v>808</v>
      </c>
      <c r="D51" s="119" t="s">
        <v>8</v>
      </c>
      <c r="E51" s="120">
        <v>402.6</v>
      </c>
      <c r="F51" s="121">
        <v>14896.2</v>
      </c>
      <c r="I51" s="3"/>
      <c r="J51" s="3"/>
    </row>
    <row r="52" spans="2:11" ht="15.75" x14ac:dyDescent="0.25">
      <c r="B52" s="118">
        <v>43014</v>
      </c>
      <c r="C52" s="15" t="s">
        <v>809</v>
      </c>
      <c r="D52" s="119" t="s">
        <v>0</v>
      </c>
      <c r="E52" s="120">
        <f>78.6+12.6</f>
        <v>91.199999999999989</v>
      </c>
      <c r="F52" s="121">
        <v>3689.4</v>
      </c>
      <c r="I52" s="3"/>
      <c r="J52" s="3"/>
    </row>
    <row r="53" spans="2:11" ht="15.75" x14ac:dyDescent="0.25">
      <c r="B53" s="118">
        <v>43014</v>
      </c>
      <c r="C53" s="15" t="s">
        <v>810</v>
      </c>
      <c r="D53" s="119" t="s">
        <v>6</v>
      </c>
      <c r="E53" s="120">
        <f>155+7.2+4.5</f>
        <v>166.7</v>
      </c>
      <c r="F53" s="121">
        <v>6687.6</v>
      </c>
      <c r="I53" s="3"/>
      <c r="J53" s="3"/>
    </row>
    <row r="54" spans="2:11" ht="15.75" x14ac:dyDescent="0.25">
      <c r="B54" s="118">
        <v>43015</v>
      </c>
      <c r="C54" s="15" t="s">
        <v>811</v>
      </c>
      <c r="D54" s="119" t="s">
        <v>8</v>
      </c>
      <c r="E54" s="120">
        <f>501.8+197+113.5</f>
        <v>812.3</v>
      </c>
      <c r="F54" s="121">
        <v>26913.599999999999</v>
      </c>
      <c r="I54" s="3"/>
      <c r="J54" s="3"/>
    </row>
    <row r="55" spans="2:11" ht="15.75" x14ac:dyDescent="0.25">
      <c r="B55" s="118">
        <v>43015</v>
      </c>
      <c r="C55" s="15" t="s">
        <v>812</v>
      </c>
      <c r="D55" s="119" t="s">
        <v>10</v>
      </c>
      <c r="E55" s="120">
        <v>15.6</v>
      </c>
      <c r="F55" s="121">
        <v>374.4</v>
      </c>
      <c r="I55" s="3"/>
      <c r="J55" s="3"/>
    </row>
    <row r="56" spans="2:11" ht="15.75" x14ac:dyDescent="0.25">
      <c r="B56" s="118">
        <v>43015</v>
      </c>
      <c r="C56" s="15" t="s">
        <v>813</v>
      </c>
      <c r="D56" s="119" t="s">
        <v>14</v>
      </c>
      <c r="E56" s="120">
        <v>614.6</v>
      </c>
      <c r="F56" s="121">
        <v>22740.2</v>
      </c>
      <c r="I56" s="3"/>
      <c r="J56" s="3"/>
    </row>
    <row r="57" spans="2:11" ht="15.75" x14ac:dyDescent="0.25">
      <c r="B57" s="118">
        <v>43015</v>
      </c>
      <c r="C57" s="15" t="s">
        <v>814</v>
      </c>
      <c r="D57" s="119" t="s">
        <v>0</v>
      </c>
      <c r="E57" s="120">
        <f>289+41.7+220.8+1</f>
        <v>552.5</v>
      </c>
      <c r="F57" s="121">
        <v>18969.400000000001</v>
      </c>
      <c r="I57" s="3"/>
      <c r="J57" s="3"/>
    </row>
    <row r="58" spans="2:11" ht="15.75" x14ac:dyDescent="0.25">
      <c r="B58" s="118">
        <v>43015</v>
      </c>
      <c r="C58" s="15" t="s">
        <v>815</v>
      </c>
      <c r="D58" s="119" t="s">
        <v>91</v>
      </c>
      <c r="E58" s="120">
        <f>896.3+13.61+39.8+130.6</f>
        <v>1080.31</v>
      </c>
      <c r="F58" s="121">
        <v>31839.85</v>
      </c>
      <c r="I58" s="3"/>
      <c r="J58" s="3"/>
    </row>
    <row r="59" spans="2:11" ht="15.75" x14ac:dyDescent="0.25">
      <c r="B59" s="118">
        <v>43015</v>
      </c>
      <c r="C59" s="15" t="s">
        <v>816</v>
      </c>
      <c r="D59" s="119" t="s">
        <v>0</v>
      </c>
      <c r="E59" s="120">
        <f>84+69.8+15.7</f>
        <v>169.5</v>
      </c>
      <c r="F59" s="121">
        <v>8199.7999999999993</v>
      </c>
      <c r="I59" s="3"/>
      <c r="J59" s="3"/>
    </row>
    <row r="60" spans="2:11" ht="16.5" thickBot="1" x14ac:dyDescent="0.3">
      <c r="B60" s="118">
        <v>43015</v>
      </c>
      <c r="C60" s="15" t="s">
        <v>817</v>
      </c>
      <c r="D60" s="119" t="s">
        <v>0</v>
      </c>
      <c r="E60" s="120">
        <v>87.54</v>
      </c>
      <c r="F60" s="121">
        <v>3238.98</v>
      </c>
      <c r="I60" s="3"/>
      <c r="J60" s="3"/>
    </row>
    <row r="61" spans="2:11" ht="15.75" thickBot="1" x14ac:dyDescent="0.3">
      <c r="B61" s="29"/>
      <c r="C61" s="66"/>
      <c r="D61" s="31"/>
      <c r="E61" s="32">
        <v>0</v>
      </c>
      <c r="F61" s="33">
        <f>SUM(F3:F60)</f>
        <v>443240.74</v>
      </c>
      <c r="K61" s="3">
        <f t="shared" ref="K61:K68" si="2">J61*I61</f>
        <v>0</v>
      </c>
    </row>
    <row r="62" spans="2:11" ht="19.5" thickBot="1" x14ac:dyDescent="0.35">
      <c r="B62" s="34"/>
      <c r="C62" s="67"/>
      <c r="D62" s="36" t="s">
        <v>5</v>
      </c>
      <c r="E62" s="37">
        <f>SUM(E3:E61)</f>
        <v>12720.170000000006</v>
      </c>
      <c r="K62" s="3">
        <f t="shared" si="2"/>
        <v>0</v>
      </c>
    </row>
    <row r="63" spans="2:11" x14ac:dyDescent="0.25">
      <c r="B63" s="34"/>
      <c r="C63" s="67"/>
      <c r="D63" s="26"/>
      <c r="E63" s="39"/>
      <c r="K63" s="3">
        <f t="shared" si="2"/>
        <v>0</v>
      </c>
    </row>
    <row r="64" spans="2:11" ht="19.5" thickBot="1" x14ac:dyDescent="0.35">
      <c r="B64" s="40"/>
      <c r="C64" s="41" t="s">
        <v>15</v>
      </c>
      <c r="D64" s="149">
        <f>E62*0.3</f>
        <v>3816.0510000000013</v>
      </c>
      <c r="F64"/>
      <c r="K64" s="3">
        <f t="shared" si="2"/>
        <v>0</v>
      </c>
    </row>
    <row r="65" spans="2:13" ht="21.75" thickBot="1" x14ac:dyDescent="0.4">
      <c r="C65" s="41" t="s">
        <v>16</v>
      </c>
      <c r="D65" s="44">
        <v>4000</v>
      </c>
      <c r="E65" s="45"/>
      <c r="F65" s="258">
        <f>D64+D65</f>
        <v>7816.0510000000013</v>
      </c>
      <c r="G65" s="259"/>
      <c r="K65" s="3">
        <f t="shared" si="2"/>
        <v>0</v>
      </c>
      <c r="L65" s="46"/>
      <c r="M65" s="13"/>
    </row>
    <row r="66" spans="2:13" ht="22.5" thickTop="1" thickBot="1" x14ac:dyDescent="0.4">
      <c r="D66" s="146"/>
      <c r="E66" s="47" t="s">
        <v>258</v>
      </c>
      <c r="F66" s="203"/>
      <c r="G66" s="201">
        <v>-4000</v>
      </c>
      <c r="H66" s="202"/>
      <c r="L66" s="46"/>
      <c r="M66" s="13"/>
    </row>
    <row r="67" spans="2:13" ht="19.5" thickBot="1" x14ac:dyDescent="0.35">
      <c r="B67" s="181"/>
      <c r="C67" s="182"/>
      <c r="D67" s="180" t="s">
        <v>861</v>
      </c>
      <c r="E67" s="47" t="s">
        <v>258</v>
      </c>
      <c r="F67" s="142"/>
      <c r="G67" s="160">
        <v>-3816</v>
      </c>
      <c r="K67" s="3">
        <f t="shared" si="2"/>
        <v>0</v>
      </c>
      <c r="L67" s="49"/>
      <c r="M67" s="49"/>
    </row>
    <row r="68" spans="2:13" ht="21.75" thickBot="1" x14ac:dyDescent="0.4">
      <c r="B68" s="275" t="s">
        <v>772</v>
      </c>
      <c r="C68" s="276"/>
      <c r="D68" s="207" t="s">
        <v>864</v>
      </c>
      <c r="E68" s="47" t="s">
        <v>258</v>
      </c>
      <c r="F68" s="125"/>
      <c r="G68" s="169">
        <v>0</v>
      </c>
      <c r="K68" s="3">
        <f t="shared" si="2"/>
        <v>0</v>
      </c>
      <c r="L68" s="49"/>
      <c r="M68" s="49"/>
    </row>
    <row r="69" spans="2:13" ht="19.5" thickBot="1" x14ac:dyDescent="0.35">
      <c r="B69" s="173"/>
      <c r="C69" s="174"/>
      <c r="D69" s="180"/>
      <c r="E69" s="47" t="s">
        <v>307</v>
      </c>
      <c r="F69" s="124"/>
      <c r="G69" s="170">
        <v>0</v>
      </c>
      <c r="L69" s="49"/>
      <c r="M69" s="49"/>
    </row>
    <row r="70" spans="2:13" ht="17.25" customHeight="1" thickBot="1" x14ac:dyDescent="0.4">
      <c r="C70" s="168"/>
      <c r="D70" s="131"/>
      <c r="E70" s="4" t="s">
        <v>258</v>
      </c>
      <c r="F70" s="263">
        <f>SUM(F65:G69)</f>
        <v>5.100000000129512E-2</v>
      </c>
      <c r="G70" s="264"/>
      <c r="L70" s="49"/>
      <c r="M70" s="49"/>
    </row>
    <row r="71" spans="2:13" ht="19.5" customHeight="1" x14ac:dyDescent="0.35">
      <c r="C71" s="109"/>
      <c r="D71" s="171"/>
      <c r="F71" s="148"/>
      <c r="G71" s="148"/>
    </row>
    <row r="72" spans="2:13" x14ac:dyDescent="0.25">
      <c r="F72" s="27"/>
      <c r="G72" s="26"/>
    </row>
    <row r="73" spans="2:13" x14ac:dyDescent="0.25">
      <c r="D73" t="s">
        <v>9</v>
      </c>
    </row>
    <row r="74" spans="2:13" x14ac:dyDescent="0.25">
      <c r="I74" s="3">
        <f>SUM(I61:I68)</f>
        <v>0</v>
      </c>
      <c r="J74" s="3"/>
      <c r="K74" s="3">
        <f>SUM(K61:K68)</f>
        <v>0</v>
      </c>
    </row>
  </sheetData>
  <mergeCells count="4">
    <mergeCell ref="B1:C1"/>
    <mergeCell ref="F65:G65"/>
    <mergeCell ref="B68:C68"/>
    <mergeCell ref="F70:G70"/>
  </mergeCells>
  <pageMargins left="0.70866141732283472" right="0.19685039370078741" top="0.35433070866141736" bottom="0" header="0.31496062992125984" footer="0.31496062992125984"/>
  <pageSetup scale="80" orientation="portrait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67"/>
  <sheetViews>
    <sheetView topLeftCell="A42" workbookViewId="0">
      <selection activeCell="H61" sqref="H61"/>
    </sheetView>
  </sheetViews>
  <sheetFormatPr baseColWidth="10" defaultRowHeight="15" x14ac:dyDescent="0.25"/>
  <cols>
    <col min="1" max="1" width="3.42578125" customWidth="1"/>
    <col min="2" max="2" width="13.42578125" style="96" bestFit="1" customWidth="1"/>
    <col min="3" max="3" width="13.7109375" style="41" customWidth="1"/>
    <col min="4" max="4" width="28.5703125" bestFit="1" customWidth="1"/>
    <col min="5" max="5" width="12" bestFit="1" customWidth="1"/>
    <col min="6" max="6" width="14.140625" style="3" bestFit="1" customWidth="1"/>
    <col min="7" max="7" width="15.7109375" customWidth="1"/>
    <col min="11" max="11" width="11.42578125" style="3"/>
    <col min="13" max="13" width="11.42578125" style="3"/>
  </cols>
  <sheetData>
    <row r="1" spans="2:11" ht="19.5" thickBot="1" x14ac:dyDescent="0.35">
      <c r="B1" s="257">
        <v>43027</v>
      </c>
      <c r="C1" s="257"/>
      <c r="D1" s="208" t="s">
        <v>0</v>
      </c>
      <c r="E1" s="2" t="s">
        <v>1</v>
      </c>
      <c r="K1"/>
    </row>
    <row r="2" spans="2:11" ht="19.5" thickBot="1" x14ac:dyDescent="0.35">
      <c r="B2" s="95" t="s">
        <v>2</v>
      </c>
      <c r="C2" s="5" t="s">
        <v>3</v>
      </c>
      <c r="D2" s="5" t="s">
        <v>4</v>
      </c>
      <c r="E2" s="6" t="s">
        <v>5</v>
      </c>
      <c r="F2" s="139" t="s">
        <v>818</v>
      </c>
      <c r="G2" s="8"/>
      <c r="K2"/>
    </row>
    <row r="3" spans="2:11" ht="15.75" x14ac:dyDescent="0.25">
      <c r="B3" s="197">
        <v>43017</v>
      </c>
      <c r="C3" s="22" t="s">
        <v>819</v>
      </c>
      <c r="D3" s="198" t="s">
        <v>91</v>
      </c>
      <c r="E3" s="199">
        <f>102.4+44.4+29.4+36</f>
        <v>212.20000000000002</v>
      </c>
      <c r="F3" s="200">
        <v>5958.6</v>
      </c>
      <c r="K3"/>
    </row>
    <row r="4" spans="2:11" ht="15.75" x14ac:dyDescent="0.25">
      <c r="B4" s="84">
        <v>43017</v>
      </c>
      <c r="C4" s="73" t="s">
        <v>820</v>
      </c>
      <c r="D4" s="72" t="s">
        <v>12</v>
      </c>
      <c r="E4" s="77">
        <f>199.9+25.7</f>
        <v>225.6</v>
      </c>
      <c r="F4" s="74">
        <v>8661.2999999999993</v>
      </c>
      <c r="K4"/>
    </row>
    <row r="5" spans="2:11" ht="15.75" x14ac:dyDescent="0.25">
      <c r="B5" s="118">
        <v>43017</v>
      </c>
      <c r="C5" s="15" t="s">
        <v>821</v>
      </c>
      <c r="D5" s="119" t="s">
        <v>6</v>
      </c>
      <c r="E5" s="120">
        <f>73.3+12.1</f>
        <v>85.399999999999991</v>
      </c>
      <c r="F5" s="121">
        <v>3928.4</v>
      </c>
      <c r="K5"/>
    </row>
    <row r="6" spans="2:11" ht="15.75" x14ac:dyDescent="0.25">
      <c r="B6" s="118">
        <v>43017</v>
      </c>
      <c r="C6" s="15" t="s">
        <v>822</v>
      </c>
      <c r="D6" s="119" t="s">
        <v>14</v>
      </c>
      <c r="E6" s="120">
        <f>174.4+32.7</f>
        <v>207.10000000000002</v>
      </c>
      <c r="F6" s="121">
        <v>10213.299999999999</v>
      </c>
      <c r="G6" t="s">
        <v>9</v>
      </c>
      <c r="K6" s="3">
        <f t="shared" ref="K6:K21" si="0">J6*I6</f>
        <v>0</v>
      </c>
    </row>
    <row r="7" spans="2:11" ht="15.75" x14ac:dyDescent="0.25">
      <c r="B7" s="118">
        <v>43017</v>
      </c>
      <c r="C7" s="15" t="s">
        <v>823</v>
      </c>
      <c r="D7" s="119" t="s">
        <v>8</v>
      </c>
      <c r="E7" s="120">
        <f>65+242+291.1+53.6</f>
        <v>651.70000000000005</v>
      </c>
      <c r="F7" s="121">
        <v>23822.799999999999</v>
      </c>
      <c r="K7" s="3">
        <f t="shared" si="0"/>
        <v>0</v>
      </c>
    </row>
    <row r="8" spans="2:11" ht="15.75" x14ac:dyDescent="0.25">
      <c r="B8" s="118">
        <v>43017</v>
      </c>
      <c r="C8" s="15" t="s">
        <v>824</v>
      </c>
      <c r="D8" s="119" t="s">
        <v>0</v>
      </c>
      <c r="E8" s="120">
        <f>4.3+19.3</f>
        <v>23.6</v>
      </c>
      <c r="F8" s="121">
        <v>1881.5</v>
      </c>
      <c r="I8">
        <v>963.9</v>
      </c>
      <c r="J8">
        <v>31</v>
      </c>
      <c r="K8" s="3">
        <f t="shared" si="0"/>
        <v>29880.899999999998</v>
      </c>
    </row>
    <row r="9" spans="2:11" ht="15.75" x14ac:dyDescent="0.25">
      <c r="B9" s="118">
        <v>43018</v>
      </c>
      <c r="C9" s="15" t="s">
        <v>825</v>
      </c>
      <c r="D9" s="119" t="s">
        <v>8</v>
      </c>
      <c r="E9" s="120">
        <v>329.3</v>
      </c>
      <c r="F9" s="121">
        <v>11854.8</v>
      </c>
      <c r="K9" s="3">
        <f t="shared" si="0"/>
        <v>0</v>
      </c>
    </row>
    <row r="10" spans="2:11" ht="15.75" x14ac:dyDescent="0.25">
      <c r="B10" s="118">
        <v>43018</v>
      </c>
      <c r="C10" s="15" t="s">
        <v>826</v>
      </c>
      <c r="D10" s="119" t="s">
        <v>91</v>
      </c>
      <c r="E10" s="120">
        <f>921.2+41.3+46.9</f>
        <v>1009.4</v>
      </c>
      <c r="F10" s="121">
        <v>30674</v>
      </c>
      <c r="K10" s="3">
        <f t="shared" si="0"/>
        <v>0</v>
      </c>
    </row>
    <row r="11" spans="2:11" ht="15.75" x14ac:dyDescent="0.25">
      <c r="B11" s="118">
        <v>43018</v>
      </c>
      <c r="C11" s="15" t="s">
        <v>827</v>
      </c>
      <c r="D11" s="119" t="s">
        <v>0</v>
      </c>
      <c r="E11" s="120">
        <f>92.9+1</f>
        <v>93.9</v>
      </c>
      <c r="F11" s="121">
        <v>4024.4</v>
      </c>
      <c r="K11" s="3">
        <f t="shared" si="0"/>
        <v>0</v>
      </c>
    </row>
    <row r="12" spans="2:11" ht="15.75" x14ac:dyDescent="0.25">
      <c r="B12" s="118">
        <v>43018</v>
      </c>
      <c r="C12" s="15" t="s">
        <v>828</v>
      </c>
      <c r="D12" s="119" t="s">
        <v>6</v>
      </c>
      <c r="E12" s="120">
        <f>84.6+75.1+9.2+10.1</f>
        <v>178.99999999999997</v>
      </c>
      <c r="F12" s="121">
        <v>9141.4</v>
      </c>
      <c r="K12" s="3">
        <f t="shared" si="0"/>
        <v>0</v>
      </c>
    </row>
    <row r="13" spans="2:11" ht="15.75" x14ac:dyDescent="0.25">
      <c r="B13" s="118">
        <v>43019</v>
      </c>
      <c r="C13" s="15" t="s">
        <v>829</v>
      </c>
      <c r="D13" s="119" t="s">
        <v>830</v>
      </c>
      <c r="E13" s="120">
        <v>339.8</v>
      </c>
      <c r="F13" s="121">
        <v>12232.8</v>
      </c>
      <c r="K13" s="3">
        <f t="shared" si="0"/>
        <v>0</v>
      </c>
    </row>
    <row r="14" spans="2:11" ht="15.75" x14ac:dyDescent="0.25">
      <c r="B14" s="118">
        <v>43019</v>
      </c>
      <c r="C14" s="15" t="s">
        <v>831</v>
      </c>
      <c r="D14" s="119" t="s">
        <v>14</v>
      </c>
      <c r="E14" s="120">
        <v>263.5</v>
      </c>
      <c r="F14" s="121">
        <v>9486</v>
      </c>
    </row>
    <row r="15" spans="2:11" ht="15.75" x14ac:dyDescent="0.25">
      <c r="B15" s="118">
        <v>43019</v>
      </c>
      <c r="C15" s="15" t="s">
        <v>832</v>
      </c>
      <c r="D15" s="119" t="s">
        <v>0</v>
      </c>
      <c r="E15" s="120">
        <f>92.1+20</f>
        <v>112.1</v>
      </c>
      <c r="F15" s="121">
        <v>3695.6</v>
      </c>
    </row>
    <row r="16" spans="2:11" ht="15.75" x14ac:dyDescent="0.25">
      <c r="B16" s="118">
        <v>43019</v>
      </c>
      <c r="C16" s="15" t="s">
        <v>833</v>
      </c>
      <c r="D16" s="119" t="s">
        <v>0</v>
      </c>
      <c r="E16" s="120">
        <f>89.3+10.1</f>
        <v>99.399999999999991</v>
      </c>
      <c r="F16" s="121">
        <v>3871.3</v>
      </c>
    </row>
    <row r="17" spans="2:11" ht="15.75" x14ac:dyDescent="0.25">
      <c r="B17" s="118">
        <v>43020</v>
      </c>
      <c r="C17" s="15" t="s">
        <v>834</v>
      </c>
      <c r="D17" s="119" t="s">
        <v>0</v>
      </c>
      <c r="E17" s="120">
        <f>79.9+6</f>
        <v>85.9</v>
      </c>
      <c r="F17" s="121">
        <v>3464.4</v>
      </c>
    </row>
    <row r="18" spans="2:11" ht="15.75" x14ac:dyDescent="0.25">
      <c r="B18" s="118">
        <v>43020</v>
      </c>
      <c r="C18" s="15" t="s">
        <v>835</v>
      </c>
      <c r="D18" s="119" t="s">
        <v>8</v>
      </c>
      <c r="E18" s="120">
        <f>415.5+57.8</f>
        <v>473.3</v>
      </c>
      <c r="F18" s="121">
        <v>15998.4</v>
      </c>
    </row>
    <row r="19" spans="2:11" ht="15.75" x14ac:dyDescent="0.25">
      <c r="B19" s="118">
        <v>43020</v>
      </c>
      <c r="C19" s="15" t="s">
        <v>836</v>
      </c>
      <c r="D19" s="119" t="s">
        <v>6</v>
      </c>
      <c r="E19" s="120">
        <f>12.3+6.6</f>
        <v>18.899999999999999</v>
      </c>
      <c r="F19" s="121">
        <v>965.1</v>
      </c>
      <c r="K19" s="3">
        <f t="shared" si="0"/>
        <v>0</v>
      </c>
    </row>
    <row r="20" spans="2:11" ht="15.75" x14ac:dyDescent="0.25">
      <c r="B20" s="118">
        <v>43020</v>
      </c>
      <c r="C20" s="15" t="s">
        <v>837</v>
      </c>
      <c r="D20" s="119" t="s">
        <v>0</v>
      </c>
      <c r="E20" s="120">
        <f>944.67+18.3</f>
        <v>962.96999999999991</v>
      </c>
      <c r="F20" s="121">
        <v>31162.74</v>
      </c>
      <c r="K20" s="3">
        <f t="shared" si="0"/>
        <v>0</v>
      </c>
    </row>
    <row r="21" spans="2:11" ht="15.75" x14ac:dyDescent="0.25">
      <c r="B21" s="118">
        <v>43020</v>
      </c>
      <c r="C21" s="15" t="s">
        <v>838</v>
      </c>
      <c r="D21" s="119" t="s">
        <v>12</v>
      </c>
      <c r="E21" s="120">
        <v>170.9</v>
      </c>
      <c r="F21" s="121">
        <v>6152.4</v>
      </c>
      <c r="K21" s="3">
        <f t="shared" si="0"/>
        <v>0</v>
      </c>
    </row>
    <row r="22" spans="2:11" ht="15.75" x14ac:dyDescent="0.25">
      <c r="B22" s="118">
        <v>43020</v>
      </c>
      <c r="C22" s="15" t="s">
        <v>839</v>
      </c>
      <c r="D22" s="119" t="s">
        <v>91</v>
      </c>
      <c r="E22" s="120">
        <f>45.7+34.4+11.6+13</f>
        <v>104.69999999999999</v>
      </c>
      <c r="F22" s="121">
        <v>2888.6</v>
      </c>
    </row>
    <row r="23" spans="2:11" ht="15.75" x14ac:dyDescent="0.25">
      <c r="B23" s="118">
        <v>43020</v>
      </c>
      <c r="C23" s="15" t="s">
        <v>840</v>
      </c>
      <c r="D23" s="119" t="s">
        <v>14</v>
      </c>
      <c r="E23" s="120">
        <f>65.1+32+17.6</f>
        <v>114.69999999999999</v>
      </c>
      <c r="F23" s="121">
        <v>7446</v>
      </c>
    </row>
    <row r="24" spans="2:11" ht="15.75" x14ac:dyDescent="0.25">
      <c r="B24" s="118">
        <v>43021</v>
      </c>
      <c r="C24" s="15" t="s">
        <v>841</v>
      </c>
      <c r="D24" s="119" t="s">
        <v>659</v>
      </c>
      <c r="E24" s="120">
        <f>960.2</f>
        <v>960.2</v>
      </c>
      <c r="F24" s="121">
        <v>30726.400000000001</v>
      </c>
    </row>
    <row r="25" spans="2:11" ht="15.75" hidden="1" x14ac:dyDescent="0.25">
      <c r="B25" s="118"/>
      <c r="C25" s="15"/>
      <c r="D25" s="119"/>
      <c r="E25" s="120"/>
      <c r="F25" s="121"/>
    </row>
    <row r="26" spans="2:11" ht="15.75" hidden="1" x14ac:dyDescent="0.25">
      <c r="B26" s="118"/>
      <c r="C26" s="15"/>
      <c r="D26" s="119"/>
      <c r="E26" s="120"/>
      <c r="F26" s="121"/>
    </row>
    <row r="27" spans="2:11" ht="15.75" hidden="1" x14ac:dyDescent="0.25">
      <c r="B27" s="118"/>
      <c r="C27" s="15"/>
      <c r="D27" s="119"/>
      <c r="E27" s="120"/>
      <c r="F27" s="121"/>
      <c r="I27" s="3">
        <f t="shared" ref="I27" si="1">SUM(I6:I21)</f>
        <v>963.9</v>
      </c>
      <c r="J27" s="3"/>
      <c r="K27" s="3">
        <f>SUM(K6:K21)</f>
        <v>29880.899999999998</v>
      </c>
    </row>
    <row r="28" spans="2:11" ht="15.75" hidden="1" x14ac:dyDescent="0.25">
      <c r="B28" s="118"/>
      <c r="C28" s="15"/>
      <c r="D28" s="119"/>
      <c r="E28" s="120"/>
      <c r="F28" s="121"/>
      <c r="I28" s="3"/>
      <c r="J28" s="3"/>
    </row>
    <row r="29" spans="2:11" ht="15.75" hidden="1" x14ac:dyDescent="0.25">
      <c r="B29" s="118"/>
      <c r="C29" s="15"/>
      <c r="D29" s="119"/>
      <c r="E29" s="120"/>
      <c r="F29" s="121"/>
      <c r="I29" s="3"/>
      <c r="J29" s="3"/>
    </row>
    <row r="30" spans="2:11" ht="15.75" hidden="1" x14ac:dyDescent="0.25">
      <c r="B30" s="118"/>
      <c r="C30" s="15"/>
      <c r="D30" s="119"/>
      <c r="E30" s="120"/>
      <c r="F30" s="121"/>
      <c r="I30" s="3"/>
      <c r="J30" s="3"/>
    </row>
    <row r="31" spans="2:11" ht="15.75" hidden="1" x14ac:dyDescent="0.25">
      <c r="B31" s="118"/>
      <c r="C31" s="15"/>
      <c r="D31" s="119"/>
      <c r="E31" s="120"/>
      <c r="F31" s="121"/>
      <c r="I31" s="3"/>
      <c r="J31" s="3"/>
    </row>
    <row r="32" spans="2:11" ht="15.75" hidden="1" x14ac:dyDescent="0.25">
      <c r="B32" s="118"/>
      <c r="C32" s="15"/>
      <c r="D32" s="119"/>
      <c r="E32" s="120"/>
      <c r="F32" s="121"/>
      <c r="I32" s="3"/>
      <c r="J32" s="3"/>
    </row>
    <row r="33" spans="2:10" ht="15.75" hidden="1" x14ac:dyDescent="0.25">
      <c r="B33" s="118"/>
      <c r="C33" s="15"/>
      <c r="D33" s="119"/>
      <c r="E33" s="120"/>
      <c r="F33" s="121"/>
      <c r="I33" s="3"/>
      <c r="J33" s="3"/>
    </row>
    <row r="34" spans="2:10" ht="15.75" hidden="1" x14ac:dyDescent="0.25">
      <c r="B34" s="118"/>
      <c r="C34" s="15"/>
      <c r="D34" s="119"/>
      <c r="E34" s="120"/>
      <c r="F34" s="121"/>
      <c r="I34" s="3"/>
      <c r="J34" s="3"/>
    </row>
    <row r="35" spans="2:10" ht="15.75" hidden="1" x14ac:dyDescent="0.25">
      <c r="B35" s="118"/>
      <c r="C35" s="15"/>
      <c r="D35" s="119"/>
      <c r="E35" s="120"/>
      <c r="F35" s="121"/>
      <c r="I35" s="3"/>
      <c r="J35" s="3"/>
    </row>
    <row r="36" spans="2:10" ht="15.75" hidden="1" x14ac:dyDescent="0.25">
      <c r="B36" s="118"/>
      <c r="C36" s="15"/>
      <c r="D36" s="119"/>
      <c r="E36" s="120"/>
      <c r="F36" s="121"/>
      <c r="I36" s="3"/>
      <c r="J36" s="3"/>
    </row>
    <row r="37" spans="2:10" ht="15.75" hidden="1" x14ac:dyDescent="0.25">
      <c r="B37" s="118"/>
      <c r="C37" s="15"/>
      <c r="D37" s="119"/>
      <c r="E37" s="120"/>
      <c r="F37" s="121"/>
      <c r="I37" s="3"/>
      <c r="J37" s="3"/>
    </row>
    <row r="38" spans="2:10" ht="15.75" hidden="1" x14ac:dyDescent="0.25">
      <c r="B38" s="118"/>
      <c r="C38" s="15"/>
      <c r="D38" s="119"/>
      <c r="E38" s="120"/>
      <c r="F38" s="121"/>
      <c r="I38" s="3"/>
      <c r="J38" s="3"/>
    </row>
    <row r="39" spans="2:10" ht="15.75" x14ac:dyDescent="0.25">
      <c r="B39" s="118">
        <v>43021</v>
      </c>
      <c r="C39" s="15" t="s">
        <v>842</v>
      </c>
      <c r="D39" s="119" t="s">
        <v>91</v>
      </c>
      <c r="E39" s="120">
        <v>50</v>
      </c>
      <c r="F39" s="121">
        <v>1200</v>
      </c>
      <c r="I39" s="3"/>
      <c r="J39" s="3"/>
    </row>
    <row r="40" spans="2:10" ht="15.75" x14ac:dyDescent="0.25">
      <c r="B40" s="118">
        <v>43021</v>
      </c>
      <c r="C40" s="15" t="s">
        <v>843</v>
      </c>
      <c r="D40" s="119" t="s">
        <v>8</v>
      </c>
      <c r="E40" s="120">
        <f>397.4+240.2</f>
        <v>637.59999999999991</v>
      </c>
      <c r="F40" s="121">
        <v>22233</v>
      </c>
      <c r="I40" s="3"/>
      <c r="J40" s="3"/>
    </row>
    <row r="41" spans="2:10" ht="15.75" x14ac:dyDescent="0.25">
      <c r="B41" s="118">
        <v>43021</v>
      </c>
      <c r="C41" s="15" t="s">
        <v>844</v>
      </c>
      <c r="D41" s="119" t="s">
        <v>14</v>
      </c>
      <c r="E41" s="120">
        <v>408</v>
      </c>
      <c r="F41" s="121">
        <v>14688</v>
      </c>
      <c r="I41" s="3"/>
      <c r="J41" s="3"/>
    </row>
    <row r="42" spans="2:10" ht="15.75" x14ac:dyDescent="0.25">
      <c r="B42" s="118">
        <v>43021</v>
      </c>
      <c r="C42" s="15" t="s">
        <v>845</v>
      </c>
      <c r="D42" s="119" t="s">
        <v>846</v>
      </c>
      <c r="E42" s="120">
        <v>125.7</v>
      </c>
      <c r="F42" s="121">
        <v>5907.9</v>
      </c>
      <c r="I42" s="3"/>
      <c r="J42" s="3"/>
    </row>
    <row r="43" spans="2:10" ht="15.75" x14ac:dyDescent="0.25">
      <c r="B43" s="118">
        <v>43021</v>
      </c>
      <c r="C43" s="15" t="s">
        <v>847</v>
      </c>
      <c r="D43" s="119" t="s">
        <v>846</v>
      </c>
      <c r="E43" s="120">
        <v>83.9</v>
      </c>
      <c r="F43" s="121">
        <v>3020.4</v>
      </c>
      <c r="I43" s="3"/>
      <c r="J43" s="3"/>
    </row>
    <row r="44" spans="2:10" ht="15.75" x14ac:dyDescent="0.25">
      <c r="B44" s="118">
        <v>43021</v>
      </c>
      <c r="C44" s="15" t="s">
        <v>848</v>
      </c>
      <c r="D44" s="119" t="s">
        <v>6</v>
      </c>
      <c r="E44" s="120">
        <f>165.5+23.6</f>
        <v>189.1</v>
      </c>
      <c r="F44" s="121">
        <v>7940.7</v>
      </c>
      <c r="I44" s="3"/>
      <c r="J44" s="3"/>
    </row>
    <row r="45" spans="2:10" ht="15.75" x14ac:dyDescent="0.25">
      <c r="B45" s="118">
        <v>43021</v>
      </c>
      <c r="C45" s="15" t="s">
        <v>849</v>
      </c>
      <c r="D45" s="119" t="s">
        <v>10</v>
      </c>
      <c r="E45" s="120">
        <f>36.2+9.7</f>
        <v>45.900000000000006</v>
      </c>
      <c r="F45" s="121">
        <v>1861.8</v>
      </c>
      <c r="I45" s="3"/>
      <c r="J45" s="3"/>
    </row>
    <row r="46" spans="2:10" ht="15.75" x14ac:dyDescent="0.25">
      <c r="B46" s="118">
        <v>43021</v>
      </c>
      <c r="C46" s="15" t="s">
        <v>850</v>
      </c>
      <c r="D46" s="119" t="s">
        <v>466</v>
      </c>
      <c r="E46" s="120">
        <f>17.5+56.9</f>
        <v>74.400000000000006</v>
      </c>
      <c r="F46" s="121">
        <v>2980.5</v>
      </c>
      <c r="I46" s="3"/>
      <c r="J46" s="3"/>
    </row>
    <row r="47" spans="2:10" ht="15.75" x14ac:dyDescent="0.25">
      <c r="B47" s="118">
        <v>43022</v>
      </c>
      <c r="C47" s="15" t="s">
        <v>852</v>
      </c>
      <c r="D47" s="119" t="s">
        <v>8</v>
      </c>
      <c r="E47" s="120">
        <f>672.9+68.5</f>
        <v>741.4</v>
      </c>
      <c r="F47" s="121">
        <v>28882.400000000001</v>
      </c>
      <c r="I47" s="3"/>
      <c r="J47" s="3"/>
    </row>
    <row r="48" spans="2:10" ht="15.75" x14ac:dyDescent="0.25">
      <c r="B48" s="118">
        <v>43022</v>
      </c>
      <c r="C48" s="15" t="s">
        <v>853</v>
      </c>
      <c r="D48" s="119" t="s">
        <v>14</v>
      </c>
      <c r="E48" s="120">
        <v>428.8</v>
      </c>
      <c r="F48" s="121">
        <v>15436.8</v>
      </c>
      <c r="I48" s="3"/>
      <c r="J48" s="3"/>
    </row>
    <row r="49" spans="2:13" ht="15.75" x14ac:dyDescent="0.25">
      <c r="B49" s="118">
        <v>43022</v>
      </c>
      <c r="C49" s="15" t="s">
        <v>854</v>
      </c>
      <c r="D49" s="119" t="s">
        <v>91</v>
      </c>
      <c r="E49" s="120">
        <f>974.77+80+57.3+68.6+13.61</f>
        <v>1194.2799999999997</v>
      </c>
      <c r="F49" s="121">
        <v>36402.79</v>
      </c>
      <c r="I49" s="3"/>
      <c r="J49" s="3"/>
    </row>
    <row r="50" spans="2:13" ht="15.75" x14ac:dyDescent="0.25">
      <c r="B50" s="118">
        <v>43022</v>
      </c>
      <c r="C50" s="15" t="s">
        <v>855</v>
      </c>
      <c r="D50" s="119" t="s">
        <v>12</v>
      </c>
      <c r="E50" s="120">
        <f>170.9+60.9+13.61</f>
        <v>245.41000000000003</v>
      </c>
      <c r="F50" s="121">
        <v>10189.549999999999</v>
      </c>
      <c r="I50" s="3"/>
      <c r="J50" s="3"/>
    </row>
    <row r="51" spans="2:13" ht="15.75" x14ac:dyDescent="0.25">
      <c r="B51" s="118">
        <v>43022</v>
      </c>
      <c r="C51" s="15" t="s">
        <v>856</v>
      </c>
      <c r="D51" s="119" t="s">
        <v>6</v>
      </c>
      <c r="E51" s="120">
        <f>189.3+69.7+41.6+15.4</f>
        <v>316</v>
      </c>
      <c r="F51" s="121">
        <v>12642</v>
      </c>
      <c r="I51" s="3"/>
      <c r="J51" s="3"/>
    </row>
    <row r="52" spans="2:13" ht="15.75" x14ac:dyDescent="0.25">
      <c r="B52" s="118">
        <v>43022</v>
      </c>
      <c r="C52" s="15" t="s">
        <v>857</v>
      </c>
      <c r="D52" s="119" t="s">
        <v>466</v>
      </c>
      <c r="E52" s="120">
        <f>9.1+4.4+9.5</f>
        <v>23</v>
      </c>
      <c r="F52" s="121">
        <v>1010.7</v>
      </c>
      <c r="I52" s="3"/>
      <c r="J52" s="3"/>
    </row>
    <row r="53" spans="2:13" ht="16.5" thickBot="1" x14ac:dyDescent="0.3">
      <c r="B53" s="118"/>
      <c r="C53" s="15"/>
      <c r="D53" s="119"/>
      <c r="E53" s="120">
        <v>0</v>
      </c>
      <c r="F53" s="121">
        <v>0</v>
      </c>
      <c r="I53" s="3"/>
      <c r="J53" s="3"/>
    </row>
    <row r="54" spans="2:13" ht="15.75" thickBot="1" x14ac:dyDescent="0.3">
      <c r="B54" s="29"/>
      <c r="C54" s="66"/>
      <c r="D54" s="31"/>
      <c r="E54" s="32">
        <v>0</v>
      </c>
      <c r="F54" s="33">
        <f>SUM(F3:F53)</f>
        <v>402646.78</v>
      </c>
      <c r="K54" s="3">
        <f t="shared" ref="K54:K61" si="2">J54*I54</f>
        <v>0</v>
      </c>
    </row>
    <row r="55" spans="2:13" ht="19.5" thickBot="1" x14ac:dyDescent="0.35">
      <c r="B55" s="34"/>
      <c r="C55" s="67"/>
      <c r="D55" s="36" t="s">
        <v>5</v>
      </c>
      <c r="E55" s="37">
        <f>SUM(E3:E54)</f>
        <v>11287.059999999994</v>
      </c>
      <c r="K55" s="3">
        <f t="shared" si="2"/>
        <v>0</v>
      </c>
    </row>
    <row r="56" spans="2:13" x14ac:dyDescent="0.25">
      <c r="B56" s="34"/>
      <c r="C56" s="67"/>
      <c r="D56" s="26"/>
      <c r="E56" s="39"/>
      <c r="K56" s="3">
        <f t="shared" si="2"/>
        <v>0</v>
      </c>
    </row>
    <row r="57" spans="2:13" ht="19.5" thickBot="1" x14ac:dyDescent="0.35">
      <c r="B57" s="40"/>
      <c r="C57" s="41" t="s">
        <v>15</v>
      </c>
      <c r="D57" s="149">
        <f>E55*0.3</f>
        <v>3386.1179999999981</v>
      </c>
      <c r="F57"/>
      <c r="K57" s="3">
        <f t="shared" si="2"/>
        <v>0</v>
      </c>
    </row>
    <row r="58" spans="2:13" ht="21.75" thickBot="1" x14ac:dyDescent="0.4">
      <c r="C58" s="41" t="s">
        <v>16</v>
      </c>
      <c r="D58" s="44">
        <v>3666</v>
      </c>
      <c r="E58" s="45"/>
      <c r="F58" s="258">
        <f>D57+D58</f>
        <v>7052.1179999999986</v>
      </c>
      <c r="G58" s="259"/>
      <c r="K58" s="3">
        <f t="shared" si="2"/>
        <v>0</v>
      </c>
      <c r="L58" s="46"/>
      <c r="M58" s="13"/>
    </row>
    <row r="59" spans="2:13" ht="22.5" thickTop="1" thickBot="1" x14ac:dyDescent="0.4">
      <c r="D59" s="146"/>
      <c r="E59" s="47" t="s">
        <v>258</v>
      </c>
      <c r="F59" s="203"/>
      <c r="G59" s="201">
        <v>-3666</v>
      </c>
      <c r="H59" s="202"/>
      <c r="L59" s="46"/>
      <c r="M59" s="13"/>
    </row>
    <row r="60" spans="2:13" ht="19.5" thickBot="1" x14ac:dyDescent="0.35">
      <c r="B60" s="181"/>
      <c r="C60" s="182"/>
      <c r="D60" s="180" t="s">
        <v>860</v>
      </c>
      <c r="E60" s="47" t="s">
        <v>258</v>
      </c>
      <c r="F60" s="142"/>
      <c r="G60" s="160">
        <v>-3386</v>
      </c>
      <c r="K60" s="3">
        <f t="shared" si="2"/>
        <v>0</v>
      </c>
      <c r="L60" s="49"/>
      <c r="M60" s="49"/>
    </row>
    <row r="61" spans="2:13" ht="21.75" thickBot="1" x14ac:dyDescent="0.4">
      <c r="B61" s="275" t="s">
        <v>772</v>
      </c>
      <c r="C61" s="276"/>
      <c r="D61" s="207" t="s">
        <v>865</v>
      </c>
      <c r="E61" s="47" t="s">
        <v>258</v>
      </c>
      <c r="F61" s="125"/>
      <c r="G61" s="169" t="s">
        <v>626</v>
      </c>
      <c r="H61">
        <v>0</v>
      </c>
      <c r="K61" s="3">
        <f t="shared" si="2"/>
        <v>0</v>
      </c>
      <c r="L61" s="49"/>
      <c r="M61" s="49"/>
    </row>
    <row r="62" spans="2:13" ht="19.5" thickBot="1" x14ac:dyDescent="0.35">
      <c r="B62" s="173"/>
      <c r="C62" s="174"/>
      <c r="D62" s="180"/>
      <c r="E62" s="47" t="s">
        <v>307</v>
      </c>
      <c r="F62" s="124"/>
      <c r="G62" s="170">
        <v>0</v>
      </c>
      <c r="L62" s="49"/>
      <c r="M62" s="49"/>
    </row>
    <row r="63" spans="2:13" ht="17.25" customHeight="1" thickBot="1" x14ac:dyDescent="0.4">
      <c r="C63" s="168"/>
      <c r="D63" s="131"/>
      <c r="E63" s="4" t="s">
        <v>258</v>
      </c>
      <c r="F63" s="263">
        <f>SUM(F58:G62)</f>
        <v>0.11799999999857391</v>
      </c>
      <c r="G63" s="264"/>
      <c r="L63" s="49"/>
      <c r="M63" s="49"/>
    </row>
    <row r="64" spans="2:13" ht="19.5" customHeight="1" x14ac:dyDescent="0.35">
      <c r="C64" s="109"/>
      <c r="D64" s="171"/>
      <c r="F64" s="148"/>
      <c r="G64" s="148"/>
    </row>
    <row r="65" spans="4:11" x14ac:dyDescent="0.25">
      <c r="F65" s="27"/>
      <c r="G65" s="26"/>
    </row>
    <row r="66" spans="4:11" x14ac:dyDescent="0.25">
      <c r="D66" t="s">
        <v>9</v>
      </c>
    </row>
    <row r="67" spans="4:11" x14ac:dyDescent="0.25">
      <c r="I67" s="3">
        <f>SUM(I54:I61)</f>
        <v>0</v>
      </c>
      <c r="J67" s="3"/>
      <c r="K67" s="3">
        <f>SUM(K54:K61)</f>
        <v>0</v>
      </c>
    </row>
  </sheetData>
  <mergeCells count="4">
    <mergeCell ref="B1:C1"/>
    <mergeCell ref="F58:G58"/>
    <mergeCell ref="B61:C61"/>
    <mergeCell ref="F63:G63"/>
  </mergeCells>
  <pageMargins left="0.70866141732283472" right="0.70866141732283472" top="0.74803149606299213" bottom="0.74803149606299213" header="0.31496062992125984" footer="0.31496062992125984"/>
  <pageSetup scale="85" orientation="portrait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7"/>
  <sheetViews>
    <sheetView topLeftCell="A19" workbookViewId="0">
      <selection activeCell="E23" sqref="E23"/>
    </sheetView>
  </sheetViews>
  <sheetFormatPr baseColWidth="10" defaultRowHeight="15" x14ac:dyDescent="0.25"/>
  <cols>
    <col min="1" max="1" width="3.42578125" customWidth="1"/>
    <col min="2" max="2" width="13.42578125" style="96" bestFit="1" customWidth="1"/>
    <col min="3" max="3" width="13.7109375" style="41" customWidth="1"/>
    <col min="4" max="4" width="28.5703125" bestFit="1" customWidth="1"/>
    <col min="5" max="5" width="12" bestFit="1" customWidth="1"/>
    <col min="6" max="6" width="14.140625" style="3" bestFit="1" customWidth="1"/>
    <col min="7" max="7" width="15.7109375" customWidth="1"/>
    <col min="11" max="11" width="11.42578125" style="3"/>
    <col min="13" max="13" width="11.42578125" style="3"/>
  </cols>
  <sheetData>
    <row r="1" spans="2:11" ht="19.5" thickBot="1" x14ac:dyDescent="0.35">
      <c r="B1" s="257"/>
      <c r="C1" s="257"/>
      <c r="D1" s="212" t="s">
        <v>0</v>
      </c>
      <c r="E1" s="2" t="s">
        <v>1</v>
      </c>
      <c r="K1"/>
    </row>
    <row r="2" spans="2:11" ht="19.5" thickBot="1" x14ac:dyDescent="0.35">
      <c r="B2" s="95" t="s">
        <v>2</v>
      </c>
      <c r="C2" s="5" t="s">
        <v>3</v>
      </c>
      <c r="D2" s="5" t="s">
        <v>4</v>
      </c>
      <c r="E2" s="6" t="s">
        <v>5</v>
      </c>
      <c r="F2" s="139" t="s">
        <v>862</v>
      </c>
      <c r="G2" s="8"/>
      <c r="K2"/>
    </row>
    <row r="3" spans="2:11" ht="15.75" x14ac:dyDescent="0.25">
      <c r="B3" s="197">
        <v>43027</v>
      </c>
      <c r="C3" s="22" t="s">
        <v>876</v>
      </c>
      <c r="D3" s="198" t="s">
        <v>6</v>
      </c>
      <c r="E3" s="199">
        <v>58.3</v>
      </c>
      <c r="F3" s="200">
        <v>2681.8</v>
      </c>
      <c r="K3"/>
    </row>
    <row r="4" spans="2:11" ht="15.75" x14ac:dyDescent="0.25">
      <c r="B4" s="84">
        <v>43024</v>
      </c>
      <c r="C4" s="73" t="s">
        <v>877</v>
      </c>
      <c r="D4" s="72" t="s">
        <v>6</v>
      </c>
      <c r="E4" s="77">
        <f>6.4+7.6+3.7</f>
        <v>17.7</v>
      </c>
      <c r="F4" s="74">
        <v>953.7</v>
      </c>
      <c r="K4"/>
    </row>
    <row r="5" spans="2:11" ht="15.75" x14ac:dyDescent="0.25">
      <c r="B5" s="118">
        <v>43024</v>
      </c>
      <c r="C5" s="15" t="s">
        <v>878</v>
      </c>
      <c r="D5" s="119" t="s">
        <v>879</v>
      </c>
      <c r="E5" s="120">
        <f>41.4+55.6</f>
        <v>97</v>
      </c>
      <c r="F5" s="121">
        <v>2328</v>
      </c>
      <c r="K5"/>
    </row>
    <row r="6" spans="2:11" ht="15.75" x14ac:dyDescent="0.25">
      <c r="B6" s="118">
        <v>43024</v>
      </c>
      <c r="C6" s="15" t="s">
        <v>880</v>
      </c>
      <c r="D6" s="119" t="s">
        <v>0</v>
      </c>
      <c r="E6" s="120">
        <f>101.5+3.5</f>
        <v>105</v>
      </c>
      <c r="F6" s="121">
        <v>3920</v>
      </c>
      <c r="G6" t="s">
        <v>9</v>
      </c>
      <c r="K6" s="3">
        <f t="shared" ref="K6:K21" si="0">J6*I6</f>
        <v>0</v>
      </c>
    </row>
    <row r="7" spans="2:11" ht="15.75" x14ac:dyDescent="0.25">
      <c r="B7" s="118">
        <v>43024</v>
      </c>
      <c r="C7" s="15" t="s">
        <v>881</v>
      </c>
      <c r="D7" s="119" t="s">
        <v>8</v>
      </c>
      <c r="E7" s="120">
        <v>377.4</v>
      </c>
      <c r="F7" s="121">
        <v>13586.4</v>
      </c>
      <c r="K7" s="3">
        <f t="shared" si="0"/>
        <v>0</v>
      </c>
    </row>
    <row r="8" spans="2:11" ht="15.75" x14ac:dyDescent="0.25">
      <c r="B8" s="118">
        <v>43024</v>
      </c>
      <c r="C8" s="15" t="s">
        <v>882</v>
      </c>
      <c r="D8" s="119" t="s">
        <v>14</v>
      </c>
      <c r="E8" s="120">
        <f>69.5+17.8+58.8+69.5</f>
        <v>215.6</v>
      </c>
      <c r="F8" s="121">
        <v>8879.2999999999993</v>
      </c>
      <c r="I8">
        <v>963.9</v>
      </c>
      <c r="J8">
        <v>31</v>
      </c>
      <c r="K8" s="3">
        <f t="shared" si="0"/>
        <v>29880.899999999998</v>
      </c>
    </row>
    <row r="9" spans="2:11" ht="15.75" x14ac:dyDescent="0.25">
      <c r="B9" s="118">
        <v>43025</v>
      </c>
      <c r="C9" s="15" t="s">
        <v>883</v>
      </c>
      <c r="D9" s="119" t="s">
        <v>8</v>
      </c>
      <c r="E9" s="120">
        <v>314.2</v>
      </c>
      <c r="F9" s="121">
        <v>11311.2</v>
      </c>
      <c r="K9" s="3">
        <f t="shared" si="0"/>
        <v>0</v>
      </c>
    </row>
    <row r="10" spans="2:11" ht="15.75" x14ac:dyDescent="0.25">
      <c r="B10" s="118">
        <v>43025</v>
      </c>
      <c r="C10" s="15" t="s">
        <v>884</v>
      </c>
      <c r="D10" s="119" t="s">
        <v>14</v>
      </c>
      <c r="E10" s="120">
        <f>142.8+49.4</f>
        <v>192.20000000000002</v>
      </c>
      <c r="F10" s="121">
        <v>6869.8</v>
      </c>
      <c r="K10" s="3">
        <f t="shared" si="0"/>
        <v>0</v>
      </c>
    </row>
    <row r="11" spans="2:11" ht="15.75" x14ac:dyDescent="0.25">
      <c r="B11" s="118">
        <v>43025</v>
      </c>
      <c r="C11" s="15" t="s">
        <v>885</v>
      </c>
      <c r="D11" s="119" t="s">
        <v>0</v>
      </c>
      <c r="E11" s="120">
        <v>79.099999999999994</v>
      </c>
      <c r="F11" s="121">
        <v>2847.6</v>
      </c>
      <c r="K11" s="3">
        <f t="shared" si="0"/>
        <v>0</v>
      </c>
    </row>
    <row r="12" spans="2:11" ht="15.75" x14ac:dyDescent="0.25">
      <c r="B12" s="118">
        <v>43025</v>
      </c>
      <c r="C12" s="15" t="s">
        <v>886</v>
      </c>
      <c r="D12" s="119" t="s">
        <v>12</v>
      </c>
      <c r="E12" s="120">
        <f>88.1+11.2+60</f>
        <v>159.30000000000001</v>
      </c>
      <c r="F12" s="121">
        <v>6680.4</v>
      </c>
      <c r="K12" s="3">
        <f t="shared" si="0"/>
        <v>0</v>
      </c>
    </row>
    <row r="13" spans="2:11" ht="15.75" x14ac:dyDescent="0.25">
      <c r="B13" s="118">
        <v>43025</v>
      </c>
      <c r="C13" s="15" t="s">
        <v>887</v>
      </c>
      <c r="D13" s="119" t="s">
        <v>879</v>
      </c>
      <c r="E13" s="120">
        <f>103+10+36+14.3</f>
        <v>163.30000000000001</v>
      </c>
      <c r="F13" s="121">
        <v>3595.4</v>
      </c>
      <c r="K13" s="3">
        <f t="shared" si="0"/>
        <v>0</v>
      </c>
    </row>
    <row r="14" spans="2:11" ht="15.75" x14ac:dyDescent="0.25">
      <c r="B14" s="118">
        <v>43025</v>
      </c>
      <c r="C14" s="15" t="s">
        <v>888</v>
      </c>
      <c r="D14" s="119" t="s">
        <v>6</v>
      </c>
      <c r="E14" s="120">
        <f>72.1+51.4+4.2+28.04</f>
        <v>155.74</v>
      </c>
      <c r="F14" s="121">
        <v>7535.28</v>
      </c>
    </row>
    <row r="15" spans="2:11" ht="15.75" x14ac:dyDescent="0.25">
      <c r="B15" s="118">
        <v>43026</v>
      </c>
      <c r="C15" s="15" t="s">
        <v>889</v>
      </c>
      <c r="D15" s="119" t="s">
        <v>879</v>
      </c>
      <c r="E15" s="120">
        <v>904.91</v>
      </c>
      <c r="F15" s="121">
        <v>31671.85</v>
      </c>
    </row>
    <row r="16" spans="2:11" ht="15.75" x14ac:dyDescent="0.25">
      <c r="B16" s="118">
        <v>43026</v>
      </c>
      <c r="C16" s="15" t="s">
        <v>890</v>
      </c>
      <c r="D16" s="119" t="s">
        <v>891</v>
      </c>
      <c r="E16" s="120">
        <v>894.03</v>
      </c>
      <c r="F16" s="121">
        <v>31291.05</v>
      </c>
    </row>
    <row r="17" spans="2:11" ht="15.75" x14ac:dyDescent="0.25">
      <c r="B17" s="118">
        <v>43026</v>
      </c>
      <c r="C17" s="15" t="s">
        <v>892</v>
      </c>
      <c r="D17" s="119" t="s">
        <v>0</v>
      </c>
      <c r="E17" s="120">
        <f>7.8+9.8</f>
        <v>17.600000000000001</v>
      </c>
      <c r="F17" s="121">
        <v>895.4</v>
      </c>
    </row>
    <row r="18" spans="2:11" ht="15.75" x14ac:dyDescent="0.25">
      <c r="B18" s="118">
        <v>43026</v>
      </c>
      <c r="C18" s="15" t="s">
        <v>893</v>
      </c>
      <c r="D18" s="119" t="s">
        <v>8</v>
      </c>
      <c r="E18" s="120">
        <f>315.9+115.4</f>
        <v>431.29999999999995</v>
      </c>
      <c r="F18" s="121">
        <v>15526.8</v>
      </c>
    </row>
    <row r="19" spans="2:11" ht="15.75" x14ac:dyDescent="0.25">
      <c r="B19" s="118">
        <v>43026</v>
      </c>
      <c r="C19" s="15" t="s">
        <v>894</v>
      </c>
      <c r="D19" s="119" t="s">
        <v>14</v>
      </c>
      <c r="E19" s="120">
        <f>237.5+117.4</f>
        <v>354.9</v>
      </c>
      <c r="F19" s="121">
        <v>10663.2</v>
      </c>
      <c r="K19" s="3">
        <f t="shared" si="0"/>
        <v>0</v>
      </c>
    </row>
    <row r="20" spans="2:11" ht="15.75" x14ac:dyDescent="0.25">
      <c r="B20" s="118">
        <v>43026</v>
      </c>
      <c r="C20" s="15" t="s">
        <v>895</v>
      </c>
      <c r="D20" s="119" t="s">
        <v>6</v>
      </c>
      <c r="E20" s="120">
        <v>64.099999999999994</v>
      </c>
      <c r="F20" s="121">
        <v>4358.8</v>
      </c>
      <c r="K20" s="3">
        <f t="shared" si="0"/>
        <v>0</v>
      </c>
    </row>
    <row r="21" spans="2:11" ht="15.75" x14ac:dyDescent="0.25">
      <c r="B21" s="118">
        <v>43027</v>
      </c>
      <c r="C21" s="15" t="s">
        <v>896</v>
      </c>
      <c r="D21" s="119" t="s">
        <v>0</v>
      </c>
      <c r="E21" s="120">
        <f>900.38+25.9+52.3</f>
        <v>978.57999999999993</v>
      </c>
      <c r="F21" s="121">
        <v>34089.4</v>
      </c>
      <c r="K21" s="3">
        <f t="shared" si="0"/>
        <v>0</v>
      </c>
    </row>
    <row r="22" spans="2:11" ht="15.75" x14ac:dyDescent="0.25">
      <c r="B22" s="118">
        <v>43027</v>
      </c>
      <c r="C22" s="15" t="s">
        <v>897</v>
      </c>
      <c r="D22" s="119" t="s">
        <v>0</v>
      </c>
      <c r="E22" s="120">
        <f>85.5+4.9</f>
        <v>90.4</v>
      </c>
      <c r="F22" s="121">
        <v>3195.6</v>
      </c>
    </row>
    <row r="23" spans="2:11" ht="15.75" x14ac:dyDescent="0.25">
      <c r="B23" s="118">
        <v>43027</v>
      </c>
      <c r="C23" s="15" t="s">
        <v>898</v>
      </c>
      <c r="D23" s="119" t="s">
        <v>879</v>
      </c>
      <c r="E23" s="120">
        <v>60.9</v>
      </c>
      <c r="F23" s="121">
        <v>1096.2</v>
      </c>
    </row>
    <row r="24" spans="2:11" ht="15.75" x14ac:dyDescent="0.25">
      <c r="B24" s="118">
        <v>43027</v>
      </c>
      <c r="C24" s="15" t="s">
        <v>899</v>
      </c>
      <c r="D24" s="119" t="s">
        <v>12</v>
      </c>
      <c r="E24" s="120">
        <f>163.6+9.6</f>
        <v>173.2</v>
      </c>
      <c r="F24" s="121">
        <v>6283.6</v>
      </c>
    </row>
    <row r="25" spans="2:11" ht="15.75" hidden="1" x14ac:dyDescent="0.25">
      <c r="B25" s="118"/>
      <c r="C25" s="15"/>
      <c r="D25" s="119"/>
      <c r="E25" s="120"/>
      <c r="F25" s="121"/>
    </row>
    <row r="26" spans="2:11" ht="15.75" hidden="1" x14ac:dyDescent="0.25">
      <c r="B26" s="118"/>
      <c r="C26" s="15"/>
      <c r="D26" s="119"/>
      <c r="E26" s="120"/>
      <c r="F26" s="121"/>
    </row>
    <row r="27" spans="2:11" ht="15.75" hidden="1" x14ac:dyDescent="0.25">
      <c r="B27" s="118"/>
      <c r="C27" s="15"/>
      <c r="D27" s="119"/>
      <c r="E27" s="120"/>
      <c r="F27" s="121"/>
      <c r="I27" s="3">
        <f t="shared" ref="I27" si="1">SUM(I6:I21)</f>
        <v>963.9</v>
      </c>
      <c r="J27" s="3"/>
      <c r="K27" s="3">
        <f>SUM(K6:K21)</f>
        <v>29880.899999999998</v>
      </c>
    </row>
    <row r="28" spans="2:11" ht="15.75" hidden="1" x14ac:dyDescent="0.25">
      <c r="B28" s="118"/>
      <c r="C28" s="15"/>
      <c r="D28" s="119"/>
      <c r="E28" s="120"/>
      <c r="F28" s="121"/>
      <c r="I28" s="3"/>
      <c r="J28" s="3"/>
    </row>
    <row r="29" spans="2:11" ht="15.75" hidden="1" x14ac:dyDescent="0.25">
      <c r="B29" s="118"/>
      <c r="C29" s="15"/>
      <c r="D29" s="119"/>
      <c r="E29" s="120"/>
      <c r="F29" s="121"/>
      <c r="I29" s="3"/>
      <c r="J29" s="3"/>
    </row>
    <row r="30" spans="2:11" ht="15.75" hidden="1" x14ac:dyDescent="0.25">
      <c r="B30" s="118"/>
      <c r="C30" s="15"/>
      <c r="D30" s="119"/>
      <c r="E30" s="120"/>
      <c r="F30" s="121"/>
      <c r="I30" s="3"/>
      <c r="J30" s="3"/>
    </row>
    <row r="31" spans="2:11" ht="15.75" hidden="1" x14ac:dyDescent="0.25">
      <c r="B31" s="118"/>
      <c r="C31" s="15"/>
      <c r="D31" s="119"/>
      <c r="E31" s="120"/>
      <c r="F31" s="121"/>
      <c r="I31" s="3"/>
      <c r="J31" s="3"/>
    </row>
    <row r="32" spans="2:11" ht="15.75" hidden="1" x14ac:dyDescent="0.25">
      <c r="B32" s="118"/>
      <c r="C32" s="15"/>
      <c r="D32" s="119"/>
      <c r="E32" s="120"/>
      <c r="F32" s="121"/>
      <c r="I32" s="3"/>
      <c r="J32" s="3"/>
    </row>
    <row r="33" spans="2:13" ht="15.75" hidden="1" x14ac:dyDescent="0.25">
      <c r="B33" s="118"/>
      <c r="C33" s="15"/>
      <c r="D33" s="119"/>
      <c r="E33" s="120"/>
      <c r="F33" s="121"/>
      <c r="I33" s="3"/>
      <c r="J33" s="3"/>
    </row>
    <row r="34" spans="2:13" ht="15.75" hidden="1" x14ac:dyDescent="0.25">
      <c r="B34" s="118"/>
      <c r="C34" s="15"/>
      <c r="D34" s="119"/>
      <c r="E34" s="120"/>
      <c r="F34" s="121"/>
      <c r="I34" s="3"/>
      <c r="J34" s="3"/>
    </row>
    <row r="35" spans="2:13" ht="15.75" hidden="1" x14ac:dyDescent="0.25">
      <c r="B35" s="118"/>
      <c r="C35" s="15"/>
      <c r="D35" s="119"/>
      <c r="E35" s="120"/>
      <c r="F35" s="121"/>
      <c r="I35" s="3"/>
      <c r="J35" s="3"/>
    </row>
    <row r="36" spans="2:13" ht="15.75" hidden="1" x14ac:dyDescent="0.25">
      <c r="B36" s="118"/>
      <c r="C36" s="15"/>
      <c r="D36" s="119"/>
      <c r="E36" s="120"/>
      <c r="F36" s="121"/>
      <c r="I36" s="3"/>
      <c r="J36" s="3"/>
    </row>
    <row r="37" spans="2:13" ht="15.75" hidden="1" x14ac:dyDescent="0.25">
      <c r="B37" s="118"/>
      <c r="C37" s="15"/>
      <c r="D37" s="119"/>
      <c r="E37" s="120"/>
      <c r="F37" s="121"/>
      <c r="I37" s="3"/>
      <c r="J37" s="3"/>
    </row>
    <row r="38" spans="2:13" ht="15.75" hidden="1" x14ac:dyDescent="0.25">
      <c r="B38" s="118"/>
      <c r="C38" s="15"/>
      <c r="D38" s="119"/>
      <c r="E38" s="120"/>
      <c r="F38" s="121"/>
      <c r="I38" s="3"/>
      <c r="J38" s="3"/>
    </row>
    <row r="39" spans="2:13" ht="15.75" x14ac:dyDescent="0.25">
      <c r="B39" s="118">
        <v>43027</v>
      </c>
      <c r="C39" s="15" t="s">
        <v>900</v>
      </c>
      <c r="D39" s="119" t="s">
        <v>8</v>
      </c>
      <c r="E39" s="120">
        <f>42.3+394</f>
        <v>436.3</v>
      </c>
      <c r="F39" s="121">
        <v>17610.3</v>
      </c>
      <c r="I39" s="3"/>
      <c r="J39" s="3"/>
    </row>
    <row r="40" spans="2:13" ht="15.75" x14ac:dyDescent="0.25">
      <c r="B40" s="118">
        <v>43027</v>
      </c>
      <c r="C40" s="15" t="s">
        <v>901</v>
      </c>
      <c r="D40" s="119" t="s">
        <v>14</v>
      </c>
      <c r="E40" s="120">
        <v>397.5</v>
      </c>
      <c r="F40" s="121">
        <v>14310</v>
      </c>
      <c r="I40" s="3"/>
      <c r="J40" s="3"/>
    </row>
    <row r="41" spans="2:13" ht="15.75" x14ac:dyDescent="0.25">
      <c r="B41" s="118">
        <v>43028</v>
      </c>
      <c r="C41" s="15" t="s">
        <v>902</v>
      </c>
      <c r="D41" s="119" t="s">
        <v>8</v>
      </c>
      <c r="E41" s="120">
        <f>84.8+123.4+56.9</f>
        <v>265.09999999999997</v>
      </c>
      <c r="F41" s="121">
        <v>11574.4</v>
      </c>
      <c r="I41" s="3"/>
      <c r="J41" s="3"/>
    </row>
    <row r="42" spans="2:13" ht="15.75" x14ac:dyDescent="0.25">
      <c r="B42" s="118"/>
      <c r="C42" s="15"/>
      <c r="D42" s="119"/>
      <c r="E42" s="120"/>
      <c r="F42" s="121"/>
      <c r="I42" s="3"/>
      <c r="J42" s="3"/>
    </row>
    <row r="43" spans="2:13" ht="16.5" thickBot="1" x14ac:dyDescent="0.3">
      <c r="B43" s="118"/>
      <c r="C43" s="15"/>
      <c r="D43" s="119"/>
      <c r="E43" s="120">
        <v>0</v>
      </c>
      <c r="F43" s="121">
        <v>0</v>
      </c>
      <c r="I43" s="3"/>
      <c r="J43" s="3"/>
    </row>
    <row r="44" spans="2:13" ht="15.75" thickBot="1" x14ac:dyDescent="0.3">
      <c r="B44" s="29"/>
      <c r="C44" s="66"/>
      <c r="D44" s="31"/>
      <c r="E44" s="32">
        <v>0</v>
      </c>
      <c r="F44" s="33">
        <f>SUM(F3:F43)</f>
        <v>253755.47999999998</v>
      </c>
      <c r="K44" s="3">
        <f t="shared" ref="K44:K51" si="2">J44*I44</f>
        <v>0</v>
      </c>
    </row>
    <row r="45" spans="2:13" ht="19.5" thickBot="1" x14ac:dyDescent="0.35">
      <c r="B45" s="34"/>
      <c r="C45" s="67"/>
      <c r="D45" s="36" t="s">
        <v>5</v>
      </c>
      <c r="E45" s="37">
        <f>SUM(E3:E44)</f>
        <v>7003.6599999999989</v>
      </c>
      <c r="K45" s="3">
        <f t="shared" si="2"/>
        <v>0</v>
      </c>
    </row>
    <row r="46" spans="2:13" x14ac:dyDescent="0.25">
      <c r="B46" s="34"/>
      <c r="C46" s="67"/>
      <c r="D46" s="26"/>
      <c r="E46" s="39"/>
      <c r="K46" s="3">
        <f t="shared" si="2"/>
        <v>0</v>
      </c>
    </row>
    <row r="47" spans="2:13" ht="19.5" thickBot="1" x14ac:dyDescent="0.35">
      <c r="B47" s="40"/>
      <c r="C47" s="41" t="s">
        <v>15</v>
      </c>
      <c r="D47" s="149">
        <f>E45*0.3</f>
        <v>2101.0979999999995</v>
      </c>
      <c r="F47"/>
      <c r="K47" s="3">
        <f t="shared" si="2"/>
        <v>0</v>
      </c>
    </row>
    <row r="48" spans="2:13" ht="21.75" thickBot="1" x14ac:dyDescent="0.4">
      <c r="C48" s="41" t="s">
        <v>16</v>
      </c>
      <c r="D48" s="44">
        <v>4000</v>
      </c>
      <c r="E48" s="45"/>
      <c r="F48" s="258">
        <f>D47+D48</f>
        <v>6101.098</v>
      </c>
      <c r="G48" s="259"/>
      <c r="K48" s="3">
        <f t="shared" si="2"/>
        <v>0</v>
      </c>
      <c r="L48" s="46"/>
      <c r="M48" s="13"/>
    </row>
    <row r="49" spans="2:13" ht="22.5" thickTop="1" thickBot="1" x14ac:dyDescent="0.4">
      <c r="D49" s="146"/>
      <c r="E49" s="47" t="s">
        <v>258</v>
      </c>
      <c r="F49" s="203"/>
      <c r="G49" s="201">
        <v>-4000</v>
      </c>
      <c r="H49" s="202"/>
      <c r="L49" s="46"/>
      <c r="M49" s="13"/>
    </row>
    <row r="50" spans="2:13" ht="19.5" thickBot="1" x14ac:dyDescent="0.35">
      <c r="B50" s="181"/>
      <c r="C50" s="182"/>
      <c r="D50" s="180" t="s">
        <v>863</v>
      </c>
      <c r="E50" s="47" t="s">
        <v>258</v>
      </c>
      <c r="F50" s="142"/>
      <c r="G50" s="160">
        <v>-2101</v>
      </c>
      <c r="K50" s="3">
        <f t="shared" si="2"/>
        <v>0</v>
      </c>
      <c r="L50" s="49"/>
      <c r="M50" s="49"/>
    </row>
    <row r="51" spans="2:13" ht="21.75" thickBot="1" x14ac:dyDescent="0.4">
      <c r="B51" s="277"/>
      <c r="C51" s="278"/>
      <c r="D51" s="180" t="s">
        <v>903</v>
      </c>
      <c r="E51" s="47" t="s">
        <v>258</v>
      </c>
      <c r="F51" s="125"/>
      <c r="G51" s="169">
        <v>0</v>
      </c>
      <c r="K51" s="3">
        <f t="shared" si="2"/>
        <v>0</v>
      </c>
      <c r="L51" s="49"/>
      <c r="M51" s="49"/>
    </row>
    <row r="52" spans="2:13" ht="19.5" thickBot="1" x14ac:dyDescent="0.35">
      <c r="B52" s="173"/>
      <c r="C52" s="174"/>
      <c r="D52" s="180"/>
      <c r="E52" s="47" t="s">
        <v>307</v>
      </c>
      <c r="F52" s="124"/>
      <c r="G52" s="170">
        <v>0</v>
      </c>
      <c r="L52" s="49"/>
      <c r="M52" s="49"/>
    </row>
    <row r="53" spans="2:13" ht="17.25" customHeight="1" thickBot="1" x14ac:dyDescent="0.4">
      <c r="C53" s="168"/>
      <c r="D53" s="131"/>
      <c r="E53" s="4" t="s">
        <v>258</v>
      </c>
      <c r="F53" s="263">
        <f>SUM(F48:G52)</f>
        <v>9.7999999999956344E-2</v>
      </c>
      <c r="G53" s="264"/>
      <c r="L53" s="49"/>
      <c r="M53" s="49"/>
    </row>
    <row r="54" spans="2:13" ht="19.5" customHeight="1" x14ac:dyDescent="0.35">
      <c r="C54" s="109"/>
      <c r="D54" s="171"/>
      <c r="F54" s="148"/>
      <c r="G54" s="148"/>
    </row>
    <row r="55" spans="2:13" x14ac:dyDescent="0.25">
      <c r="F55" s="27"/>
      <c r="G55" s="26"/>
    </row>
    <row r="56" spans="2:13" x14ac:dyDescent="0.25">
      <c r="D56" t="s">
        <v>9</v>
      </c>
    </row>
    <row r="57" spans="2:13" x14ac:dyDescent="0.25">
      <c r="I57" s="3">
        <f>SUM(I44:I51)</f>
        <v>0</v>
      </c>
      <c r="J57" s="3"/>
      <c r="K57" s="3">
        <f>SUM(K44:K51)</f>
        <v>0</v>
      </c>
    </row>
  </sheetData>
  <mergeCells count="4">
    <mergeCell ref="B1:C1"/>
    <mergeCell ref="F48:G48"/>
    <mergeCell ref="B51:C51"/>
    <mergeCell ref="F53:G53"/>
  </mergeCells>
  <pageMargins left="0.51181102362204722" right="0.19685039370078741" top="0.74803149606299213" bottom="0.74803149606299213" header="0.31496062992125984" footer="0.31496062992125984"/>
  <pageSetup scale="90" orientation="portrait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workbookViewId="0">
      <selection activeCell="B59" sqref="B59"/>
    </sheetView>
  </sheetViews>
  <sheetFormatPr baseColWidth="10" defaultRowHeight="15" x14ac:dyDescent="0.25"/>
  <cols>
    <col min="1" max="1" width="3.42578125" customWidth="1"/>
    <col min="2" max="2" width="13.42578125" style="96" bestFit="1" customWidth="1"/>
    <col min="3" max="3" width="13.7109375" style="41" customWidth="1"/>
    <col min="4" max="4" width="28.5703125" bestFit="1" customWidth="1"/>
    <col min="5" max="5" width="12" bestFit="1" customWidth="1"/>
    <col min="6" max="6" width="14.140625" style="3" bestFit="1" customWidth="1"/>
    <col min="7" max="7" width="15.7109375" customWidth="1"/>
    <col min="11" max="11" width="11.42578125" style="3"/>
    <col min="13" max="13" width="11.42578125" style="3"/>
  </cols>
  <sheetData>
    <row r="1" spans="2:11" ht="19.5" thickBot="1" x14ac:dyDescent="0.35">
      <c r="B1" s="257">
        <v>43040</v>
      </c>
      <c r="C1" s="257"/>
      <c r="D1" s="239" t="s">
        <v>0</v>
      </c>
      <c r="E1" s="2" t="s">
        <v>1</v>
      </c>
      <c r="K1"/>
    </row>
    <row r="2" spans="2:11" ht="19.5" thickBot="1" x14ac:dyDescent="0.35">
      <c r="B2" s="95" t="s">
        <v>2</v>
      </c>
      <c r="C2" s="5" t="s">
        <v>3</v>
      </c>
      <c r="D2" s="5" t="s">
        <v>4</v>
      </c>
      <c r="E2" s="6" t="s">
        <v>5</v>
      </c>
      <c r="F2" s="139" t="s">
        <v>904</v>
      </c>
      <c r="G2" s="8"/>
      <c r="K2"/>
    </row>
    <row r="3" spans="2:11" ht="15.75" x14ac:dyDescent="0.25">
      <c r="B3" s="197">
        <v>43029</v>
      </c>
      <c r="C3" s="22" t="s">
        <v>907</v>
      </c>
      <c r="D3" s="198" t="s">
        <v>10</v>
      </c>
      <c r="E3" s="199">
        <f>11.2+13.7+2.2</f>
        <v>27.099999999999998</v>
      </c>
      <c r="F3" s="200">
        <v>1186.0999999999999</v>
      </c>
      <c r="K3"/>
    </row>
    <row r="4" spans="2:11" ht="15.75" x14ac:dyDescent="0.25">
      <c r="B4" s="84">
        <v>43029</v>
      </c>
      <c r="C4" s="73" t="s">
        <v>908</v>
      </c>
      <c r="D4" s="72" t="s">
        <v>0</v>
      </c>
      <c r="E4" s="77">
        <v>2</v>
      </c>
      <c r="F4" s="74">
        <v>400</v>
      </c>
      <c r="K4"/>
    </row>
    <row r="5" spans="2:11" ht="15.75" x14ac:dyDescent="0.25">
      <c r="B5" s="118">
        <v>43029</v>
      </c>
      <c r="C5" s="15" t="s">
        <v>909</v>
      </c>
      <c r="D5" s="119" t="s">
        <v>0</v>
      </c>
      <c r="E5" s="120">
        <v>90.3</v>
      </c>
      <c r="F5" s="121">
        <v>3205.65</v>
      </c>
      <c r="K5"/>
    </row>
    <row r="6" spans="2:11" ht="15.75" x14ac:dyDescent="0.25">
      <c r="B6" s="118">
        <v>43029</v>
      </c>
      <c r="C6" s="15" t="s">
        <v>910</v>
      </c>
      <c r="D6" s="119" t="s">
        <v>14</v>
      </c>
      <c r="E6" s="120">
        <v>431.9</v>
      </c>
      <c r="F6" s="121">
        <v>15332.45</v>
      </c>
      <c r="G6" t="s">
        <v>9</v>
      </c>
      <c r="K6" s="3">
        <f t="shared" ref="K6:K21" si="0">J6*I6</f>
        <v>0</v>
      </c>
    </row>
    <row r="7" spans="2:11" ht="15.75" x14ac:dyDescent="0.25">
      <c r="B7" s="118">
        <v>43029</v>
      </c>
      <c r="C7" s="15" t="s">
        <v>906</v>
      </c>
      <c r="D7" s="119" t="s">
        <v>12</v>
      </c>
      <c r="E7" s="120">
        <f>205.4+1</f>
        <v>206.4</v>
      </c>
      <c r="F7" s="121">
        <v>9717.6</v>
      </c>
      <c r="K7" s="3">
        <f t="shared" si="0"/>
        <v>0</v>
      </c>
    </row>
    <row r="8" spans="2:11" ht="15.75" x14ac:dyDescent="0.25">
      <c r="B8" s="118">
        <v>43029</v>
      </c>
      <c r="C8" s="15" t="s">
        <v>911</v>
      </c>
      <c r="D8" s="119" t="s">
        <v>8</v>
      </c>
      <c r="E8" s="120">
        <f>426.3+122.2</f>
        <v>548.5</v>
      </c>
      <c r="F8" s="121">
        <v>19655.05</v>
      </c>
      <c r="I8">
        <v>963.9</v>
      </c>
      <c r="J8">
        <v>31</v>
      </c>
      <c r="K8" s="3">
        <f t="shared" si="0"/>
        <v>29880.899999999998</v>
      </c>
    </row>
    <row r="9" spans="2:11" ht="15.75" x14ac:dyDescent="0.25">
      <c r="B9" s="118">
        <v>43029</v>
      </c>
      <c r="C9" s="15" t="s">
        <v>912</v>
      </c>
      <c r="D9" s="119" t="s">
        <v>6</v>
      </c>
      <c r="E9" s="120">
        <f>63.6+73.6+87.8+14.4</f>
        <v>239.4</v>
      </c>
      <c r="F9" s="121">
        <v>11426.1</v>
      </c>
      <c r="K9" s="3">
        <f t="shared" si="0"/>
        <v>0</v>
      </c>
    </row>
    <row r="10" spans="2:11" ht="15.75" x14ac:dyDescent="0.25">
      <c r="B10" s="118">
        <v>43029</v>
      </c>
      <c r="C10" s="15" t="s">
        <v>905</v>
      </c>
      <c r="D10" s="119" t="s">
        <v>24</v>
      </c>
      <c r="E10" s="120">
        <f>13.1+81.6+940.14+80</f>
        <v>1114.8399999999999</v>
      </c>
      <c r="F10" s="121">
        <v>37469.64</v>
      </c>
      <c r="K10" s="3">
        <f t="shared" si="0"/>
        <v>0</v>
      </c>
    </row>
    <row r="11" spans="2:11" ht="15.75" x14ac:dyDescent="0.25">
      <c r="B11" s="118">
        <v>43031</v>
      </c>
      <c r="C11" s="15" t="s">
        <v>913</v>
      </c>
      <c r="D11" s="119" t="s">
        <v>8</v>
      </c>
      <c r="E11" s="120">
        <f>381.9+115+50.4</f>
        <v>547.29999999999995</v>
      </c>
      <c r="F11" s="121">
        <v>18834.650000000001</v>
      </c>
      <c r="K11" s="3">
        <f t="shared" si="0"/>
        <v>0</v>
      </c>
    </row>
    <row r="12" spans="2:11" ht="15.75" x14ac:dyDescent="0.25">
      <c r="B12" s="118">
        <v>43031</v>
      </c>
      <c r="C12" s="15" t="s">
        <v>914</v>
      </c>
      <c r="D12" s="119" t="s">
        <v>659</v>
      </c>
      <c r="E12" s="120">
        <v>916.1</v>
      </c>
      <c r="F12" s="121">
        <v>33895.699999999997</v>
      </c>
      <c r="K12" s="3">
        <f t="shared" si="0"/>
        <v>0</v>
      </c>
    </row>
    <row r="13" spans="2:11" ht="15.75" x14ac:dyDescent="0.25">
      <c r="B13" s="118">
        <v>43032</v>
      </c>
      <c r="C13" s="15" t="s">
        <v>915</v>
      </c>
      <c r="D13" s="119" t="s">
        <v>0</v>
      </c>
      <c r="E13" s="120">
        <f>26.5+33.1</f>
        <v>59.6</v>
      </c>
      <c r="F13" s="121">
        <v>3761.4</v>
      </c>
      <c r="K13" s="3">
        <f t="shared" si="0"/>
        <v>0</v>
      </c>
    </row>
    <row r="14" spans="2:11" ht="15.75" x14ac:dyDescent="0.25">
      <c r="B14" s="118">
        <v>43031</v>
      </c>
      <c r="C14" s="15" t="s">
        <v>916</v>
      </c>
      <c r="D14" s="119" t="s">
        <v>24</v>
      </c>
      <c r="E14" s="120">
        <f>65.3+58.8+56.9</f>
        <v>181</v>
      </c>
      <c r="F14" s="121">
        <v>4002.6</v>
      </c>
    </row>
    <row r="15" spans="2:11" ht="15.75" x14ac:dyDescent="0.25">
      <c r="B15" s="118">
        <v>43031</v>
      </c>
      <c r="C15" s="15" t="s">
        <v>917</v>
      </c>
      <c r="D15" s="119" t="s">
        <v>0</v>
      </c>
      <c r="E15" s="120">
        <v>80.7</v>
      </c>
      <c r="F15" s="121">
        <v>2864.85</v>
      </c>
    </row>
    <row r="16" spans="2:11" ht="15.75" x14ac:dyDescent="0.25">
      <c r="B16" s="118">
        <v>43032</v>
      </c>
      <c r="C16" s="15" t="s">
        <v>918</v>
      </c>
      <c r="D16" s="119" t="s">
        <v>8</v>
      </c>
      <c r="E16" s="117">
        <v>355.6</v>
      </c>
      <c r="F16" s="121">
        <v>12623.8</v>
      </c>
    </row>
    <row r="17" spans="2:11" ht="15.75" x14ac:dyDescent="0.25">
      <c r="B17" s="118">
        <v>43032</v>
      </c>
      <c r="C17" s="15" t="s">
        <v>919</v>
      </c>
      <c r="D17" s="119" t="s">
        <v>14</v>
      </c>
      <c r="E17" s="120">
        <v>278.3</v>
      </c>
      <c r="F17" s="121">
        <v>9879.65</v>
      </c>
    </row>
    <row r="18" spans="2:11" ht="15.75" x14ac:dyDescent="0.25">
      <c r="B18" s="118">
        <v>43032</v>
      </c>
      <c r="C18" s="15" t="s">
        <v>920</v>
      </c>
      <c r="D18" s="119" t="s">
        <v>6</v>
      </c>
      <c r="E18" s="120">
        <f>83.8+40.4+67.6</f>
        <v>191.79999999999998</v>
      </c>
      <c r="F18" s="121">
        <v>9046.2999999999993</v>
      </c>
    </row>
    <row r="19" spans="2:11" ht="15.75" x14ac:dyDescent="0.25">
      <c r="B19" s="118">
        <v>43032</v>
      </c>
      <c r="C19" s="15" t="s">
        <v>921</v>
      </c>
      <c r="D19" s="119" t="s">
        <v>24</v>
      </c>
      <c r="E19" s="120">
        <f>48.6+964.79</f>
        <v>1013.39</v>
      </c>
      <c r="F19" s="121">
        <v>36960.83</v>
      </c>
      <c r="K19" s="3">
        <f t="shared" si="0"/>
        <v>0</v>
      </c>
    </row>
    <row r="20" spans="2:11" ht="15.75" x14ac:dyDescent="0.25">
      <c r="B20" s="118">
        <v>43033</v>
      </c>
      <c r="C20" s="15" t="s">
        <v>922</v>
      </c>
      <c r="D20" s="119" t="s">
        <v>659</v>
      </c>
      <c r="E20" s="120">
        <f>45.8+10.7+22+15.6</f>
        <v>94.1</v>
      </c>
      <c r="F20" s="121">
        <v>3925.1</v>
      </c>
      <c r="K20" s="3">
        <f t="shared" si="0"/>
        <v>0</v>
      </c>
    </row>
    <row r="21" spans="2:11" ht="15.75" x14ac:dyDescent="0.25">
      <c r="B21" s="118">
        <v>43033</v>
      </c>
      <c r="C21" s="15" t="s">
        <v>923</v>
      </c>
      <c r="D21" s="119" t="s">
        <v>0</v>
      </c>
      <c r="E21" s="120">
        <v>423.1</v>
      </c>
      <c r="F21" s="121">
        <v>15020.05</v>
      </c>
      <c r="K21" s="3">
        <f t="shared" si="0"/>
        <v>0</v>
      </c>
    </row>
    <row r="22" spans="2:11" ht="15.75" x14ac:dyDescent="0.25">
      <c r="B22" s="118">
        <v>43033</v>
      </c>
      <c r="C22" s="15" t="s">
        <v>924</v>
      </c>
      <c r="D22" s="119" t="s">
        <v>12</v>
      </c>
      <c r="E22" s="120">
        <f>148.5+10.3</f>
        <v>158.80000000000001</v>
      </c>
      <c r="F22" s="121">
        <v>6812.1</v>
      </c>
    </row>
    <row r="23" spans="2:11" ht="15.75" x14ac:dyDescent="0.25">
      <c r="B23" s="118">
        <v>43033</v>
      </c>
      <c r="C23" s="15" t="s">
        <v>925</v>
      </c>
      <c r="D23" s="119" t="s">
        <v>0</v>
      </c>
      <c r="E23" s="120">
        <f>177.6+1+3.4+6.7</f>
        <v>188.7</v>
      </c>
      <c r="F23" s="121">
        <v>7404</v>
      </c>
    </row>
    <row r="24" spans="2:11" ht="15.75" x14ac:dyDescent="0.25">
      <c r="B24" s="118">
        <v>43033</v>
      </c>
      <c r="C24" s="15" t="s">
        <v>926</v>
      </c>
      <c r="D24" s="119" t="s">
        <v>0</v>
      </c>
      <c r="E24" s="120">
        <v>88.7</v>
      </c>
      <c r="F24" s="121">
        <v>3148.85</v>
      </c>
    </row>
    <row r="25" spans="2:11" ht="15.75" hidden="1" x14ac:dyDescent="0.25">
      <c r="B25" s="118"/>
      <c r="C25" s="15"/>
      <c r="D25" s="119"/>
      <c r="E25" s="120"/>
      <c r="F25" s="121"/>
    </row>
    <row r="26" spans="2:11" ht="15.75" hidden="1" x14ac:dyDescent="0.25">
      <c r="B26" s="118"/>
      <c r="C26" s="15"/>
      <c r="D26" s="119"/>
      <c r="E26" s="120"/>
      <c r="F26" s="121"/>
    </row>
    <row r="27" spans="2:11" ht="15.75" hidden="1" x14ac:dyDescent="0.25">
      <c r="B27" s="118"/>
      <c r="C27" s="15"/>
      <c r="D27" s="119"/>
      <c r="E27" s="120"/>
      <c r="F27" s="121"/>
      <c r="I27" s="3">
        <f t="shared" ref="I27" si="1">SUM(I6:I21)</f>
        <v>963.9</v>
      </c>
      <c r="J27" s="3"/>
      <c r="K27" s="3">
        <f>SUM(K6:K21)</f>
        <v>29880.899999999998</v>
      </c>
    </row>
    <row r="28" spans="2:11" ht="15.75" hidden="1" x14ac:dyDescent="0.25">
      <c r="B28" s="118"/>
      <c r="C28" s="15"/>
      <c r="D28" s="119"/>
      <c r="E28" s="120"/>
      <c r="F28" s="121"/>
      <c r="I28" s="3"/>
      <c r="J28" s="3"/>
    </row>
    <row r="29" spans="2:11" ht="15.75" hidden="1" x14ac:dyDescent="0.25">
      <c r="B29" s="118"/>
      <c r="C29" s="15"/>
      <c r="D29" s="119"/>
      <c r="E29" s="120"/>
      <c r="F29" s="121"/>
      <c r="I29" s="3"/>
      <c r="J29" s="3"/>
    </row>
    <row r="30" spans="2:11" ht="15.75" hidden="1" x14ac:dyDescent="0.25">
      <c r="B30" s="118"/>
      <c r="C30" s="15"/>
      <c r="D30" s="119"/>
      <c r="E30" s="120"/>
      <c r="F30" s="121"/>
      <c r="I30" s="3"/>
      <c r="J30" s="3"/>
    </row>
    <row r="31" spans="2:11" ht="15.75" hidden="1" x14ac:dyDescent="0.25">
      <c r="B31" s="118"/>
      <c r="C31" s="15"/>
      <c r="D31" s="119"/>
      <c r="E31" s="120"/>
      <c r="F31" s="121"/>
      <c r="I31" s="3"/>
      <c r="J31" s="3"/>
    </row>
    <row r="32" spans="2:11" ht="15.75" hidden="1" x14ac:dyDescent="0.25">
      <c r="B32" s="118"/>
      <c r="C32" s="15"/>
      <c r="D32" s="119"/>
      <c r="E32" s="120"/>
      <c r="F32" s="121"/>
      <c r="I32" s="3"/>
      <c r="J32" s="3"/>
    </row>
    <row r="33" spans="2:10" ht="15.75" hidden="1" x14ac:dyDescent="0.25">
      <c r="B33" s="118"/>
      <c r="C33" s="15"/>
      <c r="D33" s="119"/>
      <c r="E33" s="120"/>
      <c r="F33" s="121"/>
      <c r="I33" s="3"/>
      <c r="J33" s="3"/>
    </row>
    <row r="34" spans="2:10" ht="15.75" hidden="1" x14ac:dyDescent="0.25">
      <c r="B34" s="118"/>
      <c r="C34" s="15"/>
      <c r="D34" s="119"/>
      <c r="E34" s="120"/>
      <c r="F34" s="121"/>
      <c r="I34" s="3"/>
      <c r="J34" s="3"/>
    </row>
    <row r="35" spans="2:10" ht="15.75" hidden="1" x14ac:dyDescent="0.25">
      <c r="B35" s="118"/>
      <c r="C35" s="15"/>
      <c r="D35" s="119"/>
      <c r="E35" s="120"/>
      <c r="F35" s="121"/>
      <c r="I35" s="3"/>
      <c r="J35" s="3"/>
    </row>
    <row r="36" spans="2:10" ht="15.75" hidden="1" x14ac:dyDescent="0.25">
      <c r="B36" s="118"/>
      <c r="C36" s="15"/>
      <c r="D36" s="119"/>
      <c r="E36" s="120"/>
      <c r="F36" s="121"/>
      <c r="I36" s="3"/>
      <c r="J36" s="3"/>
    </row>
    <row r="37" spans="2:10" ht="15.75" hidden="1" x14ac:dyDescent="0.25">
      <c r="B37" s="118"/>
      <c r="C37" s="15"/>
      <c r="D37" s="119"/>
      <c r="E37" s="120"/>
      <c r="F37" s="121"/>
      <c r="I37" s="3"/>
      <c r="J37" s="3"/>
    </row>
    <row r="38" spans="2:10" ht="15.75" hidden="1" x14ac:dyDescent="0.25">
      <c r="B38" s="118"/>
      <c r="C38" s="15"/>
      <c r="D38" s="119"/>
      <c r="E38" s="120"/>
      <c r="F38" s="121"/>
      <c r="I38" s="3"/>
      <c r="J38" s="3"/>
    </row>
    <row r="39" spans="2:10" ht="15.75" x14ac:dyDescent="0.25">
      <c r="B39" s="118">
        <v>43033</v>
      </c>
      <c r="C39" s="15" t="s">
        <v>927</v>
      </c>
      <c r="D39" s="119" t="s">
        <v>6</v>
      </c>
      <c r="E39" s="120">
        <f>11.13+6.3</f>
        <v>17.43</v>
      </c>
      <c r="F39" s="121">
        <v>871.08</v>
      </c>
      <c r="I39" s="3"/>
      <c r="J39" s="3"/>
    </row>
    <row r="40" spans="2:10" ht="15.75" x14ac:dyDescent="0.25">
      <c r="B40" s="118">
        <v>43034</v>
      </c>
      <c r="C40" s="15" t="s">
        <v>928</v>
      </c>
      <c r="D40" s="119" t="s">
        <v>8</v>
      </c>
      <c r="E40" s="120">
        <f>38.3+233.1+61.3+14.4</f>
        <v>347.09999999999997</v>
      </c>
      <c r="F40" s="121">
        <v>14095.55</v>
      </c>
      <c r="I40" s="3"/>
      <c r="J40" s="3"/>
    </row>
    <row r="41" spans="2:10" ht="15.75" x14ac:dyDescent="0.25">
      <c r="B41" s="118">
        <v>43034</v>
      </c>
      <c r="C41" s="15" t="s">
        <v>929</v>
      </c>
      <c r="D41" s="119" t="s">
        <v>24</v>
      </c>
      <c r="E41" s="120">
        <f>125.4+70+73.5</f>
        <v>268.89999999999998</v>
      </c>
      <c r="F41" s="121">
        <v>6263.4</v>
      </c>
      <c r="I41" s="3"/>
      <c r="J41" s="3"/>
    </row>
    <row r="42" spans="2:10" ht="15.75" x14ac:dyDescent="0.25">
      <c r="B42" s="118">
        <v>43034</v>
      </c>
      <c r="C42" s="15" t="s">
        <v>930</v>
      </c>
      <c r="D42" s="119" t="s">
        <v>6</v>
      </c>
      <c r="E42" s="120">
        <v>164.2</v>
      </c>
      <c r="F42" s="121">
        <v>5993.3</v>
      </c>
      <c r="I42" s="3"/>
      <c r="J42" s="3"/>
    </row>
    <row r="43" spans="2:10" ht="15.75" x14ac:dyDescent="0.25">
      <c r="B43" s="118">
        <v>43035</v>
      </c>
      <c r="C43" s="15" t="s">
        <v>931</v>
      </c>
      <c r="D43" s="119" t="s">
        <v>8</v>
      </c>
      <c r="E43" s="120">
        <v>394.6</v>
      </c>
      <c r="F43" s="121">
        <v>14008.3</v>
      </c>
      <c r="I43" s="3"/>
      <c r="J43" s="3"/>
    </row>
    <row r="44" spans="2:10" ht="15.75" x14ac:dyDescent="0.25">
      <c r="B44" s="118">
        <v>43035</v>
      </c>
      <c r="C44" s="15" t="s">
        <v>932</v>
      </c>
      <c r="D44" s="119" t="s">
        <v>14</v>
      </c>
      <c r="E44" s="120">
        <f>112.5+138.7</f>
        <v>251.2</v>
      </c>
      <c r="F44" s="121">
        <v>14184.3</v>
      </c>
      <c r="I44" s="3"/>
      <c r="J44" s="3"/>
    </row>
    <row r="45" spans="2:10" ht="15.75" x14ac:dyDescent="0.25">
      <c r="B45" s="118">
        <v>43035</v>
      </c>
      <c r="C45" s="15" t="s">
        <v>933</v>
      </c>
      <c r="D45" s="119" t="s">
        <v>0</v>
      </c>
      <c r="E45" s="120">
        <f>899.5+59.2</f>
        <v>958.7</v>
      </c>
      <c r="F45" s="121">
        <v>35601.800000000003</v>
      </c>
      <c r="I45" s="3"/>
      <c r="J45" s="3"/>
    </row>
    <row r="46" spans="2:10" ht="15.75" x14ac:dyDescent="0.25">
      <c r="B46" s="118">
        <v>43035</v>
      </c>
      <c r="C46" s="15" t="s">
        <v>934</v>
      </c>
      <c r="D46" s="119" t="s">
        <v>0</v>
      </c>
      <c r="E46" s="120">
        <v>76.8</v>
      </c>
      <c r="F46" s="121">
        <v>2726.4</v>
      </c>
      <c r="I46" s="3"/>
      <c r="J46" s="3"/>
    </row>
    <row r="47" spans="2:10" ht="15.75" x14ac:dyDescent="0.25">
      <c r="B47" s="118">
        <v>43035</v>
      </c>
      <c r="C47" s="15" t="s">
        <v>935</v>
      </c>
      <c r="D47" s="119" t="s">
        <v>12</v>
      </c>
      <c r="E47" s="120">
        <f>76+172.8+27.24</f>
        <v>276.04000000000002</v>
      </c>
      <c r="F47" s="121">
        <v>10995.32</v>
      </c>
      <c r="I47" s="3"/>
      <c r="J47" s="3"/>
    </row>
    <row r="48" spans="2:10" ht="15.75" x14ac:dyDescent="0.25">
      <c r="B48" s="118">
        <v>43035</v>
      </c>
      <c r="C48" s="15" t="s">
        <v>936</v>
      </c>
      <c r="D48" s="119" t="s">
        <v>659</v>
      </c>
      <c r="E48" s="120">
        <v>881.8</v>
      </c>
      <c r="F48" s="121">
        <v>33508.400000000001</v>
      </c>
      <c r="I48" s="3"/>
      <c r="J48" s="3"/>
    </row>
    <row r="49" spans="1:13" ht="15.75" x14ac:dyDescent="0.25">
      <c r="B49" s="118">
        <v>43035</v>
      </c>
      <c r="C49" s="15" t="s">
        <v>937</v>
      </c>
      <c r="D49" s="119" t="s">
        <v>0</v>
      </c>
      <c r="E49" s="120">
        <f>7.3+21.3</f>
        <v>28.6</v>
      </c>
      <c r="F49" s="121">
        <v>2440.6999999999998</v>
      </c>
      <c r="I49" s="3"/>
      <c r="J49" s="3"/>
    </row>
    <row r="50" spans="1:13" ht="15.75" x14ac:dyDescent="0.25">
      <c r="B50" s="118">
        <v>43035</v>
      </c>
      <c r="C50" s="15" t="s">
        <v>938</v>
      </c>
      <c r="D50" s="119" t="s">
        <v>0</v>
      </c>
      <c r="E50" s="120">
        <v>19.100000000000001</v>
      </c>
      <c r="F50" s="121">
        <v>458.4</v>
      </c>
      <c r="I50" s="3"/>
      <c r="J50" s="3"/>
    </row>
    <row r="51" spans="1:13" ht="15.75" x14ac:dyDescent="0.25">
      <c r="B51" s="118">
        <v>43036</v>
      </c>
      <c r="C51" s="15" t="s">
        <v>939</v>
      </c>
      <c r="D51" s="119" t="s">
        <v>8</v>
      </c>
      <c r="E51" s="120">
        <v>640.79999999999995</v>
      </c>
      <c r="F51" s="121">
        <v>22748.400000000001</v>
      </c>
      <c r="I51" s="3"/>
      <c r="J51" s="3"/>
    </row>
    <row r="52" spans="1:13" ht="15.75" x14ac:dyDescent="0.25">
      <c r="B52" s="118">
        <v>43036</v>
      </c>
      <c r="C52" s="15" t="s">
        <v>940</v>
      </c>
      <c r="D52" s="119" t="s">
        <v>24</v>
      </c>
      <c r="E52" s="120">
        <f>904.5+19.7+7.6+25</f>
        <v>956.80000000000007</v>
      </c>
      <c r="F52" s="121">
        <v>36268.300000000003</v>
      </c>
      <c r="I52" s="3"/>
      <c r="J52" s="3"/>
    </row>
    <row r="53" spans="1:13" ht="15.75" x14ac:dyDescent="0.25">
      <c r="B53" s="118">
        <v>43036</v>
      </c>
      <c r="C53" s="15" t="s">
        <v>941</v>
      </c>
      <c r="D53" s="119" t="s">
        <v>14</v>
      </c>
      <c r="E53" s="120">
        <f>545.9+55.8+16.2</f>
        <v>617.9</v>
      </c>
      <c r="F53" s="121">
        <v>24405.05</v>
      </c>
      <c r="I53" s="3"/>
      <c r="J53" s="3"/>
    </row>
    <row r="54" spans="1:13" ht="15.75" x14ac:dyDescent="0.25">
      <c r="B54" s="118">
        <v>43036</v>
      </c>
      <c r="C54" s="15" t="s">
        <v>942</v>
      </c>
      <c r="D54" s="119" t="s">
        <v>8</v>
      </c>
      <c r="E54" s="120">
        <f>73.6+51.1</f>
        <v>124.69999999999999</v>
      </c>
      <c r="F54" s="121">
        <v>2686.2</v>
      </c>
      <c r="I54" s="3"/>
      <c r="J54" s="3"/>
    </row>
    <row r="55" spans="1:13" ht="15.75" x14ac:dyDescent="0.25">
      <c r="B55" s="118">
        <v>43036</v>
      </c>
      <c r="C55" s="15" t="s">
        <v>943</v>
      </c>
      <c r="D55" s="119" t="s">
        <v>6</v>
      </c>
      <c r="E55" s="120">
        <f>76.6+194.8+7.4+24.8+33.2+47.2</f>
        <v>383.99999999999994</v>
      </c>
      <c r="F55" s="121">
        <v>16868.400000000001</v>
      </c>
      <c r="I55" s="3"/>
      <c r="J55" s="3"/>
    </row>
    <row r="56" spans="1:13" ht="15.75" x14ac:dyDescent="0.25">
      <c r="B56" s="118"/>
      <c r="C56" s="15"/>
      <c r="D56" s="119"/>
      <c r="E56" s="120"/>
      <c r="F56" s="121"/>
      <c r="I56" s="3"/>
      <c r="J56" s="3"/>
    </row>
    <row r="57" spans="1:13" ht="16.5" thickBot="1" x14ac:dyDescent="0.3">
      <c r="B57" s="118"/>
      <c r="C57" s="15"/>
      <c r="D57" s="119"/>
      <c r="E57" s="120">
        <v>0</v>
      </c>
      <c r="F57" s="121">
        <v>0</v>
      </c>
      <c r="I57" s="3"/>
      <c r="J57" s="3"/>
    </row>
    <row r="58" spans="1:13" ht="15.75" thickBot="1" x14ac:dyDescent="0.3">
      <c r="B58" s="29"/>
      <c r="C58" s="66"/>
      <c r="D58" s="31"/>
      <c r="E58" s="32">
        <v>0</v>
      </c>
      <c r="F58" s="33">
        <f>SUM(F3:F57)</f>
        <v>510695.77000000008</v>
      </c>
      <c r="K58" s="3">
        <f t="shared" ref="K58:K65" si="2">J58*I58</f>
        <v>0</v>
      </c>
    </row>
    <row r="59" spans="1:13" ht="19.5" thickBot="1" x14ac:dyDescent="0.35">
      <c r="B59" s="34"/>
      <c r="C59" s="67"/>
      <c r="D59" s="36" t="s">
        <v>5</v>
      </c>
      <c r="E59" s="37">
        <f>SUM(E3:E58)</f>
        <v>13646.300000000003</v>
      </c>
      <c r="K59" s="3">
        <f t="shared" si="2"/>
        <v>0</v>
      </c>
    </row>
    <row r="60" spans="1:13" x14ac:dyDescent="0.25">
      <c r="B60" s="34"/>
      <c r="C60" s="67"/>
      <c r="D60" s="26"/>
      <c r="E60" s="39"/>
      <c r="K60" s="3">
        <f t="shared" si="2"/>
        <v>0</v>
      </c>
    </row>
    <row r="61" spans="1:13" ht="19.5" thickBot="1" x14ac:dyDescent="0.35">
      <c r="B61" s="40"/>
      <c r="C61" s="41" t="s">
        <v>15</v>
      </c>
      <c r="D61" s="149">
        <f>E59*0.3</f>
        <v>4093.8900000000008</v>
      </c>
      <c r="F61"/>
      <c r="K61" s="3">
        <f t="shared" si="2"/>
        <v>0</v>
      </c>
    </row>
    <row r="62" spans="1:13" ht="21.75" thickBot="1" x14ac:dyDescent="0.4">
      <c r="C62" s="41" t="s">
        <v>16</v>
      </c>
      <c r="D62" s="44">
        <v>3333</v>
      </c>
      <c r="E62" s="45"/>
      <c r="F62" s="258">
        <f>D61+D62</f>
        <v>7426.8900000000012</v>
      </c>
      <c r="G62" s="259"/>
      <c r="K62" s="3">
        <f t="shared" si="2"/>
        <v>0</v>
      </c>
      <c r="L62" s="46"/>
      <c r="M62" s="13"/>
    </row>
    <row r="63" spans="1:13" ht="22.5" thickTop="1" thickBot="1" x14ac:dyDescent="0.4">
      <c r="B63" s="34"/>
      <c r="C63" s="67"/>
      <c r="D63" s="146"/>
      <c r="E63" s="47" t="s">
        <v>258</v>
      </c>
      <c r="F63" s="203"/>
      <c r="G63" s="201">
        <v>-3333</v>
      </c>
      <c r="H63" s="202"/>
      <c r="L63" s="46"/>
      <c r="M63" s="13"/>
    </row>
    <row r="64" spans="1:13" ht="19.5" thickBot="1" x14ac:dyDescent="0.35">
      <c r="A64" s="26"/>
      <c r="B64" s="245"/>
      <c r="C64" s="244"/>
      <c r="D64" s="180" t="s">
        <v>950</v>
      </c>
      <c r="E64" s="47" t="s">
        <v>258</v>
      </c>
      <c r="F64" s="142"/>
      <c r="G64" s="160">
        <v>-4094</v>
      </c>
      <c r="K64" s="3">
        <f t="shared" si="2"/>
        <v>0</v>
      </c>
      <c r="L64" s="49"/>
      <c r="M64" s="49"/>
    </row>
    <row r="65" spans="2:13" ht="21.75" customHeight="1" thickTop="1" thickBot="1" x14ac:dyDescent="0.35">
      <c r="B65" s="279" t="s">
        <v>952</v>
      </c>
      <c r="C65" s="280"/>
      <c r="D65" s="243" t="s">
        <v>951</v>
      </c>
      <c r="E65" s="47" t="s">
        <v>258</v>
      </c>
      <c r="F65" s="125"/>
      <c r="G65" s="169">
        <v>0</v>
      </c>
      <c r="K65" s="3">
        <f t="shared" si="2"/>
        <v>0</v>
      </c>
      <c r="L65" s="49"/>
      <c r="M65" s="49"/>
    </row>
    <row r="66" spans="2:13" ht="20.25" thickTop="1" thickBot="1" x14ac:dyDescent="0.35">
      <c r="B66" s="281"/>
      <c r="C66" s="282"/>
      <c r="D66" s="243"/>
      <c r="E66" s="47" t="s">
        <v>307</v>
      </c>
      <c r="F66" s="124"/>
      <c r="G66" s="170">
        <v>0</v>
      </c>
      <c r="L66" s="49"/>
      <c r="M66" s="49"/>
    </row>
    <row r="67" spans="2:13" ht="17.25" customHeight="1" thickTop="1" thickBot="1" x14ac:dyDescent="0.4">
      <c r="C67" s="22"/>
      <c r="D67" s="246"/>
      <c r="E67" s="4" t="s">
        <v>258</v>
      </c>
      <c r="F67" s="263">
        <f>SUM(F62:G66)</f>
        <v>-0.10999999999876309</v>
      </c>
      <c r="G67" s="264"/>
      <c r="L67" s="49"/>
      <c r="M67" s="49"/>
    </row>
    <row r="68" spans="2:13" ht="19.5" customHeight="1" x14ac:dyDescent="0.35">
      <c r="C68" s="109"/>
      <c r="D68" s="136"/>
      <c r="F68" s="148"/>
      <c r="G68" s="148"/>
    </row>
    <row r="69" spans="2:13" x14ac:dyDescent="0.25">
      <c r="F69" s="27"/>
      <c r="G69" s="26"/>
    </row>
    <row r="70" spans="2:13" x14ac:dyDescent="0.25">
      <c r="D70" t="s">
        <v>9</v>
      </c>
    </row>
    <row r="71" spans="2:13" x14ac:dyDescent="0.25">
      <c r="I71" s="3">
        <f>SUM(I58:I65)</f>
        <v>0</v>
      </c>
      <c r="J71" s="3"/>
      <c r="K71" s="3">
        <f>SUM(K58:K65)</f>
        <v>0</v>
      </c>
    </row>
  </sheetData>
  <mergeCells count="4">
    <mergeCell ref="B1:C1"/>
    <mergeCell ref="F62:G62"/>
    <mergeCell ref="F67:G67"/>
    <mergeCell ref="B65:C66"/>
  </mergeCells>
  <pageMargins left="0.31496062992125984" right="0.11811023622047245" top="0.15748031496062992" bottom="0.19685039370078741" header="0.31496062992125984" footer="0.31496062992125984"/>
  <pageSetup scale="90" orientation="portrait" horizontalDpi="0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opLeftCell="A19" workbookViewId="0">
      <selection activeCell="B56" sqref="B56"/>
    </sheetView>
  </sheetViews>
  <sheetFormatPr baseColWidth="10" defaultRowHeight="15" x14ac:dyDescent="0.25"/>
  <cols>
    <col min="1" max="1" width="3.42578125" customWidth="1"/>
    <col min="2" max="2" width="13.42578125" style="96" bestFit="1" customWidth="1"/>
    <col min="3" max="3" width="13.7109375" style="41" customWidth="1"/>
    <col min="4" max="4" width="28.5703125" bestFit="1" customWidth="1"/>
    <col min="5" max="5" width="12" bestFit="1" customWidth="1"/>
    <col min="6" max="6" width="14.140625" style="3" bestFit="1" customWidth="1"/>
    <col min="7" max="7" width="15.7109375" customWidth="1"/>
    <col min="11" max="11" width="11.42578125" style="3"/>
    <col min="13" max="13" width="11.42578125" style="3"/>
  </cols>
  <sheetData>
    <row r="1" spans="2:11" ht="19.5" thickBot="1" x14ac:dyDescent="0.35">
      <c r="B1" s="257">
        <v>43048</v>
      </c>
      <c r="C1" s="257"/>
      <c r="D1" s="239" t="s">
        <v>0</v>
      </c>
      <c r="E1" s="2" t="s">
        <v>1</v>
      </c>
      <c r="K1"/>
    </row>
    <row r="2" spans="2:11" ht="19.5" thickBot="1" x14ac:dyDescent="0.35">
      <c r="B2" s="95" t="s">
        <v>2</v>
      </c>
      <c r="C2" s="5" t="s">
        <v>3</v>
      </c>
      <c r="D2" s="5" t="s">
        <v>4</v>
      </c>
      <c r="E2" s="6" t="s">
        <v>5</v>
      </c>
      <c r="F2" s="139" t="s">
        <v>953</v>
      </c>
      <c r="G2" s="8"/>
      <c r="K2"/>
    </row>
    <row r="3" spans="2:11" ht="15.75" x14ac:dyDescent="0.25">
      <c r="B3" s="197">
        <v>43039</v>
      </c>
      <c r="C3" s="22" t="s">
        <v>954</v>
      </c>
      <c r="D3" s="198" t="s">
        <v>8</v>
      </c>
      <c r="E3" s="199">
        <f>333.5+52</f>
        <v>385.5</v>
      </c>
      <c r="F3" s="200">
        <v>13867.25</v>
      </c>
      <c r="K3"/>
    </row>
    <row r="4" spans="2:11" ht="15.75" x14ac:dyDescent="0.25">
      <c r="B4" s="118">
        <v>43039</v>
      </c>
      <c r="C4" s="15" t="s">
        <v>955</v>
      </c>
      <c r="D4" s="119" t="s">
        <v>0</v>
      </c>
      <c r="E4" s="120">
        <f>94.3+64.4</f>
        <v>158.69999999999999</v>
      </c>
      <c r="F4" s="121">
        <v>8628.4500000000007</v>
      </c>
      <c r="K4"/>
    </row>
    <row r="5" spans="2:11" ht="15.75" x14ac:dyDescent="0.25">
      <c r="B5" s="118">
        <v>43039</v>
      </c>
      <c r="C5" s="15" t="s">
        <v>956</v>
      </c>
      <c r="D5" s="119" t="s">
        <v>6</v>
      </c>
      <c r="E5" s="120">
        <f>6.7+30.3+1+8+19.5+86</f>
        <v>151.5</v>
      </c>
      <c r="F5" s="121">
        <v>7398.6</v>
      </c>
      <c r="K5"/>
    </row>
    <row r="6" spans="2:11" ht="15.75" x14ac:dyDescent="0.25">
      <c r="B6" s="118">
        <v>43039</v>
      </c>
      <c r="C6" s="15" t="s">
        <v>957</v>
      </c>
      <c r="D6" s="119" t="s">
        <v>0</v>
      </c>
      <c r="E6" s="120">
        <f>62.5+63.3+33.4+19.3</f>
        <v>178.5</v>
      </c>
      <c r="F6" s="121">
        <v>4155.3599999999997</v>
      </c>
      <c r="G6" t="s">
        <v>9</v>
      </c>
      <c r="K6" s="3">
        <f t="shared" ref="K6:K21" si="0">J6*I6</f>
        <v>0</v>
      </c>
    </row>
    <row r="7" spans="2:11" ht="15.75" x14ac:dyDescent="0.25">
      <c r="B7" s="118">
        <v>43040</v>
      </c>
      <c r="C7" s="15" t="s">
        <v>958</v>
      </c>
      <c r="D7" s="119" t="s">
        <v>8</v>
      </c>
      <c r="E7" s="120">
        <f>390.4+81</f>
        <v>471.4</v>
      </c>
      <c r="F7" s="121">
        <v>19367.2</v>
      </c>
      <c r="K7" s="3">
        <f t="shared" si="0"/>
        <v>0</v>
      </c>
    </row>
    <row r="8" spans="2:11" ht="15.75" x14ac:dyDescent="0.25">
      <c r="B8" s="118">
        <v>43040</v>
      </c>
      <c r="C8" s="15" t="s">
        <v>959</v>
      </c>
      <c r="D8" s="119" t="s">
        <v>14</v>
      </c>
      <c r="E8" s="120">
        <v>399.6</v>
      </c>
      <c r="F8" s="121">
        <v>14185.8</v>
      </c>
      <c r="I8">
        <v>963.9</v>
      </c>
      <c r="J8">
        <v>31</v>
      </c>
      <c r="K8" s="3">
        <f t="shared" si="0"/>
        <v>29880.899999999998</v>
      </c>
    </row>
    <row r="9" spans="2:11" ht="15.75" x14ac:dyDescent="0.25">
      <c r="B9" s="118">
        <v>43040</v>
      </c>
      <c r="C9" s="15" t="s">
        <v>960</v>
      </c>
      <c r="D9" s="119" t="s">
        <v>659</v>
      </c>
      <c r="E9" s="120">
        <v>937.87</v>
      </c>
      <c r="F9" s="121">
        <v>35639.06</v>
      </c>
      <c r="K9" s="3">
        <f t="shared" si="0"/>
        <v>0</v>
      </c>
    </row>
    <row r="10" spans="2:11" ht="15.75" x14ac:dyDescent="0.25">
      <c r="B10" s="118">
        <v>43040</v>
      </c>
      <c r="C10" s="15" t="s">
        <v>961</v>
      </c>
      <c r="D10" s="119" t="s">
        <v>0</v>
      </c>
      <c r="E10" s="120">
        <v>79.5</v>
      </c>
      <c r="F10" s="121">
        <v>2822.25</v>
      </c>
      <c r="K10" s="3">
        <f t="shared" si="0"/>
        <v>0</v>
      </c>
    </row>
    <row r="11" spans="2:11" ht="15.75" x14ac:dyDescent="0.25">
      <c r="B11" s="118">
        <v>43040</v>
      </c>
      <c r="C11" s="15" t="s">
        <v>962</v>
      </c>
      <c r="D11" s="119" t="s">
        <v>12</v>
      </c>
      <c r="E11" s="120">
        <v>119.4</v>
      </c>
      <c r="F11" s="121">
        <v>5253.6</v>
      </c>
      <c r="K11" s="3">
        <f t="shared" si="0"/>
        <v>0</v>
      </c>
    </row>
    <row r="12" spans="2:11" ht="15.75" x14ac:dyDescent="0.25">
      <c r="B12" s="118">
        <v>43040</v>
      </c>
      <c r="C12" s="15" t="s">
        <v>963</v>
      </c>
      <c r="D12" s="119" t="s">
        <v>0</v>
      </c>
      <c r="E12" s="120">
        <v>77.8</v>
      </c>
      <c r="F12" s="121">
        <v>2761.9</v>
      </c>
      <c r="K12" s="3">
        <f t="shared" si="0"/>
        <v>0</v>
      </c>
    </row>
    <row r="13" spans="2:11" ht="15.75" x14ac:dyDescent="0.25">
      <c r="B13" s="118">
        <v>43040</v>
      </c>
      <c r="C13" s="15" t="s">
        <v>964</v>
      </c>
      <c r="D13" s="119" t="s">
        <v>0</v>
      </c>
      <c r="E13" s="120">
        <f>1+40</f>
        <v>41</v>
      </c>
      <c r="F13" s="121">
        <v>960</v>
      </c>
      <c r="K13" s="3">
        <f t="shared" si="0"/>
        <v>0</v>
      </c>
    </row>
    <row r="14" spans="2:11" ht="15.75" x14ac:dyDescent="0.25">
      <c r="B14" s="118">
        <v>43040</v>
      </c>
      <c r="C14" s="15" t="s">
        <v>965</v>
      </c>
      <c r="D14" s="119" t="s">
        <v>24</v>
      </c>
      <c r="E14" s="120">
        <v>44.7</v>
      </c>
      <c r="F14" s="121">
        <v>1206.9000000000001</v>
      </c>
    </row>
    <row r="15" spans="2:11" ht="15.75" x14ac:dyDescent="0.25">
      <c r="B15" s="118">
        <v>43040</v>
      </c>
      <c r="C15" s="15" t="s">
        <v>966</v>
      </c>
      <c r="D15" s="119" t="s">
        <v>0</v>
      </c>
      <c r="E15" s="120">
        <v>13</v>
      </c>
      <c r="F15" s="121">
        <v>741</v>
      </c>
    </row>
    <row r="16" spans="2:11" ht="15.75" x14ac:dyDescent="0.25">
      <c r="B16" s="118">
        <v>43040</v>
      </c>
      <c r="C16" s="15" t="s">
        <v>967</v>
      </c>
      <c r="D16" s="119" t="s">
        <v>8</v>
      </c>
      <c r="E16" s="120">
        <v>122.4</v>
      </c>
      <c r="F16" s="121">
        <v>4896</v>
      </c>
    </row>
    <row r="17" spans="2:11" ht="15.75" x14ac:dyDescent="0.25">
      <c r="B17" s="118">
        <v>43041</v>
      </c>
      <c r="C17" s="15" t="s">
        <v>968</v>
      </c>
      <c r="D17" s="119" t="s">
        <v>0</v>
      </c>
      <c r="E17" s="120">
        <f>943.47+21</f>
        <v>964.47</v>
      </c>
      <c r="F17" s="121">
        <v>36355.86</v>
      </c>
    </row>
    <row r="18" spans="2:11" ht="15.75" x14ac:dyDescent="0.25">
      <c r="B18" s="118">
        <v>43041</v>
      </c>
      <c r="C18" s="15" t="s">
        <v>969</v>
      </c>
      <c r="D18" s="119" t="s">
        <v>24</v>
      </c>
      <c r="E18" s="120">
        <f>959.8+19.9+1</f>
        <v>980.69999999999993</v>
      </c>
      <c r="F18" s="121">
        <v>37030.6</v>
      </c>
    </row>
    <row r="19" spans="2:11" ht="15.75" x14ac:dyDescent="0.25">
      <c r="B19" s="118">
        <v>43041</v>
      </c>
      <c r="C19" s="15" t="s">
        <v>970</v>
      </c>
      <c r="D19" s="119" t="s">
        <v>0</v>
      </c>
      <c r="E19" s="120">
        <v>99.3</v>
      </c>
      <c r="F19" s="121">
        <v>3525.15</v>
      </c>
      <c r="K19" s="3">
        <f t="shared" si="0"/>
        <v>0</v>
      </c>
    </row>
    <row r="20" spans="2:11" ht="15.75" x14ac:dyDescent="0.25">
      <c r="B20" s="118">
        <v>43041</v>
      </c>
      <c r="C20" s="15" t="s">
        <v>971</v>
      </c>
      <c r="D20" s="119" t="s">
        <v>0</v>
      </c>
      <c r="E20" s="120">
        <v>3</v>
      </c>
      <c r="F20" s="121">
        <v>81</v>
      </c>
      <c r="K20" s="3">
        <f t="shared" si="0"/>
        <v>0</v>
      </c>
    </row>
    <row r="21" spans="2:11" ht="15.75" x14ac:dyDescent="0.25">
      <c r="B21" s="118">
        <v>43042</v>
      </c>
      <c r="C21" s="15" t="s">
        <v>972</v>
      </c>
      <c r="D21" s="119" t="s">
        <v>8</v>
      </c>
      <c r="E21" s="120">
        <v>320.2</v>
      </c>
      <c r="F21" s="121">
        <v>11367.1</v>
      </c>
      <c r="K21" s="3">
        <f t="shared" si="0"/>
        <v>0</v>
      </c>
    </row>
    <row r="22" spans="2:11" ht="15.75" x14ac:dyDescent="0.25">
      <c r="B22" s="118">
        <v>43042</v>
      </c>
      <c r="C22" s="15" t="s">
        <v>973</v>
      </c>
      <c r="D22" s="119" t="s">
        <v>14</v>
      </c>
      <c r="E22" s="120">
        <v>254.4</v>
      </c>
      <c r="F22" s="121">
        <v>9031.2000000000007</v>
      </c>
    </row>
    <row r="23" spans="2:11" ht="15.75" x14ac:dyDescent="0.25">
      <c r="B23" s="118">
        <v>43042</v>
      </c>
      <c r="C23" s="15" t="s">
        <v>974</v>
      </c>
      <c r="D23" s="119" t="s">
        <v>12</v>
      </c>
      <c r="E23" s="120">
        <v>19.7</v>
      </c>
      <c r="F23" s="121">
        <v>1122.9000000000001</v>
      </c>
    </row>
    <row r="24" spans="2:11" ht="15.75" x14ac:dyDescent="0.25">
      <c r="B24" s="118">
        <v>43042</v>
      </c>
      <c r="C24" s="15" t="s">
        <v>975</v>
      </c>
      <c r="D24" s="119" t="s">
        <v>0</v>
      </c>
      <c r="E24" s="120">
        <v>12.6</v>
      </c>
      <c r="F24" s="121">
        <v>718.2</v>
      </c>
    </row>
    <row r="25" spans="2:11" ht="15.75" hidden="1" x14ac:dyDescent="0.25">
      <c r="B25" s="118"/>
      <c r="C25" s="15"/>
      <c r="D25" s="119"/>
      <c r="E25" s="120"/>
      <c r="F25" s="121"/>
    </row>
    <row r="26" spans="2:11" ht="15.75" hidden="1" x14ac:dyDescent="0.25">
      <c r="B26" s="118"/>
      <c r="C26" s="15"/>
      <c r="D26" s="119"/>
      <c r="E26" s="120"/>
      <c r="F26" s="121"/>
    </row>
    <row r="27" spans="2:11" ht="15.75" hidden="1" x14ac:dyDescent="0.25">
      <c r="B27" s="118"/>
      <c r="C27" s="15"/>
      <c r="D27" s="119"/>
      <c r="E27" s="120"/>
      <c r="F27" s="121"/>
      <c r="I27" s="3">
        <f t="shared" ref="I27" si="1">SUM(I6:I21)</f>
        <v>963.9</v>
      </c>
      <c r="J27" s="3"/>
      <c r="K27" s="3">
        <f>SUM(K6:K21)</f>
        <v>29880.899999999998</v>
      </c>
    </row>
    <row r="28" spans="2:11" ht="15.75" hidden="1" x14ac:dyDescent="0.25">
      <c r="B28" s="118"/>
      <c r="C28" s="15"/>
      <c r="D28" s="119"/>
      <c r="E28" s="120"/>
      <c r="F28" s="121"/>
      <c r="I28" s="3"/>
      <c r="J28" s="3"/>
    </row>
    <row r="29" spans="2:11" ht="15.75" hidden="1" x14ac:dyDescent="0.25">
      <c r="B29" s="118"/>
      <c r="C29" s="15"/>
      <c r="D29" s="119"/>
      <c r="E29" s="120"/>
      <c r="F29" s="121"/>
      <c r="I29" s="3"/>
      <c r="J29" s="3"/>
    </row>
    <row r="30" spans="2:11" ht="15.75" hidden="1" x14ac:dyDescent="0.25">
      <c r="B30" s="118"/>
      <c r="C30" s="15"/>
      <c r="D30" s="119"/>
      <c r="E30" s="120"/>
      <c r="F30" s="121"/>
      <c r="I30" s="3"/>
      <c r="J30" s="3"/>
    </row>
    <row r="31" spans="2:11" ht="15.75" hidden="1" x14ac:dyDescent="0.25">
      <c r="B31" s="118"/>
      <c r="C31" s="15"/>
      <c r="D31" s="119"/>
      <c r="E31" s="120"/>
      <c r="F31" s="121"/>
      <c r="I31" s="3"/>
      <c r="J31" s="3"/>
    </row>
    <row r="32" spans="2:11" ht="15.75" hidden="1" x14ac:dyDescent="0.25">
      <c r="B32" s="118"/>
      <c r="C32" s="15"/>
      <c r="D32" s="119"/>
      <c r="E32" s="120"/>
      <c r="F32" s="121"/>
      <c r="I32" s="3"/>
      <c r="J32" s="3"/>
    </row>
    <row r="33" spans="2:11" ht="15.75" hidden="1" x14ac:dyDescent="0.25">
      <c r="B33" s="118"/>
      <c r="C33" s="15"/>
      <c r="D33" s="119"/>
      <c r="E33" s="120"/>
      <c r="F33" s="121"/>
      <c r="I33" s="3"/>
      <c r="J33" s="3"/>
    </row>
    <row r="34" spans="2:11" ht="15.75" hidden="1" x14ac:dyDescent="0.25">
      <c r="B34" s="118"/>
      <c r="C34" s="15"/>
      <c r="D34" s="119"/>
      <c r="E34" s="120"/>
      <c r="F34" s="121"/>
      <c r="I34" s="3"/>
      <c r="J34" s="3"/>
    </row>
    <row r="35" spans="2:11" ht="15.75" hidden="1" x14ac:dyDescent="0.25">
      <c r="B35" s="118"/>
      <c r="C35" s="15"/>
      <c r="D35" s="119"/>
      <c r="E35" s="120"/>
      <c r="F35" s="121"/>
      <c r="I35" s="3"/>
      <c r="J35" s="3"/>
    </row>
    <row r="36" spans="2:11" ht="15.75" hidden="1" x14ac:dyDescent="0.25">
      <c r="B36" s="118"/>
      <c r="C36" s="15"/>
      <c r="D36" s="119"/>
      <c r="E36" s="120"/>
      <c r="F36" s="121"/>
      <c r="I36" s="3"/>
      <c r="J36" s="3"/>
    </row>
    <row r="37" spans="2:11" ht="15.75" hidden="1" x14ac:dyDescent="0.25">
      <c r="B37" s="118"/>
      <c r="C37" s="15"/>
      <c r="D37" s="119"/>
      <c r="E37" s="120"/>
      <c r="F37" s="121"/>
      <c r="I37" s="3"/>
      <c r="J37" s="3"/>
    </row>
    <row r="38" spans="2:11" ht="15.75" hidden="1" x14ac:dyDescent="0.25">
      <c r="B38" s="118"/>
      <c r="C38" s="15"/>
      <c r="D38" s="119"/>
      <c r="E38" s="120"/>
      <c r="F38" s="121"/>
      <c r="I38" s="3"/>
      <c r="J38" s="3"/>
    </row>
    <row r="39" spans="2:11" ht="15.75" x14ac:dyDescent="0.25">
      <c r="B39" s="118">
        <v>43043</v>
      </c>
      <c r="C39" s="15" t="s">
        <v>977</v>
      </c>
      <c r="D39" s="119" t="s">
        <v>0</v>
      </c>
      <c r="E39" s="120">
        <f>107.8+20+1+38.8</f>
        <v>167.60000000000002</v>
      </c>
      <c r="F39" s="121">
        <v>4401.8</v>
      </c>
      <c r="I39" s="3"/>
      <c r="J39" s="3"/>
    </row>
    <row r="40" spans="2:11" ht="15.75" x14ac:dyDescent="0.25">
      <c r="B40" s="118">
        <v>43043</v>
      </c>
      <c r="C40" s="15" t="s">
        <v>978</v>
      </c>
      <c r="D40" s="119" t="s">
        <v>0</v>
      </c>
      <c r="E40" s="120">
        <f>19.7+59+36.3+36.6</f>
        <v>151.6</v>
      </c>
      <c r="F40" s="121">
        <v>3527.7</v>
      </c>
      <c r="I40" s="3"/>
      <c r="J40" s="3"/>
    </row>
    <row r="41" spans="2:11" ht="15.75" x14ac:dyDescent="0.25">
      <c r="B41" s="118">
        <v>43043</v>
      </c>
      <c r="C41" s="15" t="s">
        <v>979</v>
      </c>
      <c r="D41" s="119" t="s">
        <v>8</v>
      </c>
      <c r="E41" s="120">
        <f>402.7+63.1+18.4</f>
        <v>484.2</v>
      </c>
      <c r="F41" s="121">
        <v>20077.05</v>
      </c>
      <c r="I41" s="3"/>
      <c r="J41" s="3"/>
    </row>
    <row r="42" spans="2:11" ht="15.75" x14ac:dyDescent="0.25">
      <c r="B42" s="118">
        <v>43043</v>
      </c>
      <c r="C42" s="15" t="s">
        <v>980</v>
      </c>
      <c r="D42" s="119" t="s">
        <v>14</v>
      </c>
      <c r="E42" s="120">
        <v>424.9</v>
      </c>
      <c r="F42" s="121">
        <v>15083.95</v>
      </c>
      <c r="I42" s="3"/>
      <c r="J42" s="3"/>
    </row>
    <row r="43" spans="2:11" ht="15.75" x14ac:dyDescent="0.25">
      <c r="B43" s="118">
        <v>43043</v>
      </c>
      <c r="C43" s="15" t="s">
        <v>981</v>
      </c>
      <c r="D43" s="119" t="s">
        <v>12</v>
      </c>
      <c r="E43" s="120">
        <f>195.8+24.8</f>
        <v>220.60000000000002</v>
      </c>
      <c r="F43" s="121">
        <v>9210.4</v>
      </c>
      <c r="I43" s="3"/>
      <c r="J43" s="3"/>
    </row>
    <row r="44" spans="2:11" ht="15.75" x14ac:dyDescent="0.25">
      <c r="B44" s="118">
        <v>43043</v>
      </c>
      <c r="C44" s="15" t="s">
        <v>982</v>
      </c>
      <c r="D44" s="119" t="s">
        <v>0</v>
      </c>
      <c r="E44" s="120">
        <v>98.3</v>
      </c>
      <c r="F44" s="121">
        <v>3489.65</v>
      </c>
      <c r="I44" s="3"/>
      <c r="J44" s="3"/>
    </row>
    <row r="45" spans="2:11" ht="15.75" x14ac:dyDescent="0.25">
      <c r="B45" s="118">
        <v>43043</v>
      </c>
      <c r="C45" s="15" t="s">
        <v>983</v>
      </c>
      <c r="D45" s="119" t="s">
        <v>0</v>
      </c>
      <c r="E45" s="120">
        <f>255.9+65.3+16.7</f>
        <v>337.9</v>
      </c>
      <c r="F45" s="121">
        <v>14081.35</v>
      </c>
      <c r="I45" s="3"/>
      <c r="J45" s="3"/>
    </row>
    <row r="46" spans="2:11" ht="16.5" thickBot="1" x14ac:dyDescent="0.3">
      <c r="B46" s="118"/>
      <c r="C46" s="15"/>
      <c r="D46" s="119"/>
      <c r="E46" s="120">
        <v>0</v>
      </c>
      <c r="F46" s="121">
        <v>0</v>
      </c>
      <c r="I46" s="3"/>
      <c r="J46" s="3"/>
    </row>
    <row r="47" spans="2:11" ht="15.75" thickBot="1" x14ac:dyDescent="0.3">
      <c r="B47" s="29"/>
      <c r="C47" s="66"/>
      <c r="D47" s="31"/>
      <c r="E47" s="32">
        <v>0</v>
      </c>
      <c r="F47" s="33">
        <f>SUM(F3:F46)</f>
        <v>290987.28000000003</v>
      </c>
      <c r="K47" s="3">
        <f t="shared" ref="K47:K54" si="2">J47*I47</f>
        <v>0</v>
      </c>
    </row>
    <row r="48" spans="2:11" ht="19.5" thickBot="1" x14ac:dyDescent="0.35">
      <c r="B48" s="34"/>
      <c r="C48" s="67"/>
      <c r="D48" s="36" t="s">
        <v>5</v>
      </c>
      <c r="E48" s="37">
        <f>SUM(E3:E47)</f>
        <v>7720.34</v>
      </c>
      <c r="K48" s="3">
        <f t="shared" si="2"/>
        <v>0</v>
      </c>
    </row>
    <row r="49" spans="1:13" x14ac:dyDescent="0.25">
      <c r="B49" s="34"/>
      <c r="C49" s="67"/>
      <c r="D49" s="26"/>
      <c r="E49" s="39"/>
      <c r="K49" s="3">
        <f t="shared" si="2"/>
        <v>0</v>
      </c>
    </row>
    <row r="50" spans="1:13" ht="19.5" thickBot="1" x14ac:dyDescent="0.35">
      <c r="B50" s="40"/>
      <c r="C50" s="41" t="s">
        <v>15</v>
      </c>
      <c r="D50" s="149">
        <f>E48*0.3</f>
        <v>2316.1019999999999</v>
      </c>
      <c r="F50"/>
      <c r="K50" s="3">
        <f t="shared" si="2"/>
        <v>0</v>
      </c>
    </row>
    <row r="51" spans="1:13" ht="21.75" thickBot="1" x14ac:dyDescent="0.4">
      <c r="C51" s="41" t="s">
        <v>16</v>
      </c>
      <c r="D51" s="44">
        <v>4000</v>
      </c>
      <c r="E51" s="45"/>
      <c r="F51" s="258">
        <f>D50+D51</f>
        <v>6316.1019999999999</v>
      </c>
      <c r="G51" s="259"/>
      <c r="K51" s="3">
        <f t="shared" si="2"/>
        <v>0</v>
      </c>
      <c r="L51" s="46"/>
      <c r="M51" s="13"/>
    </row>
    <row r="52" spans="1:13" ht="22.5" thickTop="1" thickBot="1" x14ac:dyDescent="0.4">
      <c r="B52" s="34"/>
      <c r="C52" s="67"/>
      <c r="D52" s="146"/>
      <c r="E52" s="47" t="s">
        <v>258</v>
      </c>
      <c r="F52" s="203"/>
      <c r="G52" s="201">
        <v>-4000</v>
      </c>
      <c r="H52" s="202"/>
      <c r="L52" s="46"/>
      <c r="M52" s="13"/>
    </row>
    <row r="53" spans="1:13" ht="19.5" thickBot="1" x14ac:dyDescent="0.35">
      <c r="A53" s="26"/>
      <c r="B53" s="245"/>
      <c r="C53" s="244"/>
      <c r="D53" s="180" t="s">
        <v>976</v>
      </c>
      <c r="E53" s="47" t="s">
        <v>258</v>
      </c>
      <c r="F53" s="142"/>
      <c r="G53" s="160">
        <v>-2316</v>
      </c>
      <c r="K53" s="3">
        <f t="shared" si="2"/>
        <v>0</v>
      </c>
      <c r="L53" s="49"/>
      <c r="M53" s="49"/>
    </row>
    <row r="54" spans="1:13" ht="21.75" customHeight="1" thickTop="1" thickBot="1" x14ac:dyDescent="0.35">
      <c r="B54" s="279" t="s">
        <v>991</v>
      </c>
      <c r="C54" s="280"/>
      <c r="D54" s="243" t="s">
        <v>984</v>
      </c>
      <c r="E54" s="47" t="s">
        <v>258</v>
      </c>
      <c r="F54" s="125"/>
      <c r="G54" s="169">
        <v>0</v>
      </c>
      <c r="K54" s="3">
        <f t="shared" si="2"/>
        <v>0</v>
      </c>
      <c r="L54" s="49"/>
      <c r="M54" s="49"/>
    </row>
    <row r="55" spans="1:13" ht="20.25" thickTop="1" thickBot="1" x14ac:dyDescent="0.35">
      <c r="B55" s="281"/>
      <c r="C55" s="282"/>
      <c r="D55" s="243"/>
      <c r="E55" s="47" t="s">
        <v>307</v>
      </c>
      <c r="F55" s="124"/>
      <c r="G55" s="170">
        <v>0</v>
      </c>
      <c r="L55" s="49"/>
      <c r="M55" s="49"/>
    </row>
    <row r="56" spans="1:13" ht="17.25" customHeight="1" thickTop="1" thickBot="1" x14ac:dyDescent="0.4">
      <c r="C56" s="22"/>
      <c r="D56" s="246"/>
      <c r="E56" s="4" t="s">
        <v>258</v>
      </c>
      <c r="F56" s="263">
        <f>SUM(F51:G55)</f>
        <v>0.10199999999986176</v>
      </c>
      <c r="G56" s="264"/>
      <c r="L56" s="49"/>
      <c r="M56" s="49"/>
    </row>
    <row r="57" spans="1:13" ht="19.5" customHeight="1" x14ac:dyDescent="0.35">
      <c r="C57" s="109"/>
      <c r="D57" s="136"/>
      <c r="F57" s="148"/>
      <c r="G57" s="148"/>
    </row>
    <row r="58" spans="1:13" x14ac:dyDescent="0.25">
      <c r="F58" s="27"/>
      <c r="G58" s="26"/>
    </row>
    <row r="59" spans="1:13" x14ac:dyDescent="0.25">
      <c r="D59" t="s">
        <v>9</v>
      </c>
    </row>
    <row r="60" spans="1:13" x14ac:dyDescent="0.25">
      <c r="I60" s="3">
        <f>SUM(I47:I54)</f>
        <v>0</v>
      </c>
      <c r="J60" s="3"/>
      <c r="K60" s="3">
        <f>SUM(K47:K54)</f>
        <v>0</v>
      </c>
    </row>
  </sheetData>
  <mergeCells count="4">
    <mergeCell ref="B1:C1"/>
    <mergeCell ref="F51:G51"/>
    <mergeCell ref="B54:C55"/>
    <mergeCell ref="F56:G56"/>
  </mergeCells>
  <pageMargins left="0.70866141732283472" right="0.11811023622047245" top="0.74803149606299213" bottom="0.74803149606299213" header="0.31496062992125984" footer="0.31496062992125984"/>
  <pageSetup scale="90" orientation="portrait" horizontalDpi="0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opLeftCell="A22" workbookViewId="0">
      <selection activeCell="E50" sqref="E50"/>
    </sheetView>
  </sheetViews>
  <sheetFormatPr baseColWidth="10" defaultRowHeight="15" x14ac:dyDescent="0.25"/>
  <cols>
    <col min="1" max="1" width="3.42578125" customWidth="1"/>
    <col min="2" max="2" width="13.42578125" style="96" bestFit="1" customWidth="1"/>
    <col min="3" max="3" width="13.7109375" style="41" customWidth="1"/>
    <col min="4" max="4" width="28.5703125" bestFit="1" customWidth="1"/>
    <col min="5" max="5" width="12" bestFit="1" customWidth="1"/>
    <col min="6" max="6" width="14.140625" style="3" bestFit="1" customWidth="1"/>
    <col min="7" max="7" width="15.7109375" customWidth="1"/>
    <col min="11" max="11" width="11.42578125" style="3"/>
    <col min="13" max="13" width="11.42578125" style="3"/>
  </cols>
  <sheetData>
    <row r="1" spans="2:11" ht="19.5" thickBot="1" x14ac:dyDescent="0.35">
      <c r="B1" s="257">
        <v>43055</v>
      </c>
      <c r="C1" s="257"/>
      <c r="D1" s="247" t="s">
        <v>0</v>
      </c>
      <c r="E1" s="2" t="s">
        <v>1</v>
      </c>
      <c r="K1"/>
    </row>
    <row r="2" spans="2:11" ht="19.5" thickBot="1" x14ac:dyDescent="0.35">
      <c r="B2" s="95" t="s">
        <v>2</v>
      </c>
      <c r="C2" s="5" t="s">
        <v>3</v>
      </c>
      <c r="D2" s="5" t="s">
        <v>4</v>
      </c>
      <c r="E2" s="6" t="s">
        <v>5</v>
      </c>
      <c r="F2" s="139" t="s">
        <v>985</v>
      </c>
      <c r="G2" s="8"/>
      <c r="K2"/>
    </row>
    <row r="3" spans="2:11" ht="15.75" x14ac:dyDescent="0.25">
      <c r="B3" s="197">
        <v>43046</v>
      </c>
      <c r="C3" s="22">
        <v>9310</v>
      </c>
      <c r="D3" s="198" t="s">
        <v>24</v>
      </c>
      <c r="E3" s="199">
        <f>913.5+74.5+19.7</f>
        <v>1007.7</v>
      </c>
      <c r="F3" s="200">
        <v>37972.9</v>
      </c>
      <c r="K3"/>
    </row>
    <row r="4" spans="2:11" ht="15.75" x14ac:dyDescent="0.25">
      <c r="B4" s="118">
        <v>43046</v>
      </c>
      <c r="C4" s="15">
        <v>9311</v>
      </c>
      <c r="D4" s="119" t="s">
        <v>659</v>
      </c>
      <c r="E4" s="120">
        <v>923.5</v>
      </c>
      <c r="F4" s="121">
        <v>36016.5</v>
      </c>
      <c r="K4"/>
    </row>
    <row r="5" spans="2:11" ht="15.75" x14ac:dyDescent="0.25">
      <c r="B5" s="118">
        <v>43046</v>
      </c>
      <c r="C5" s="15">
        <v>9312</v>
      </c>
      <c r="D5" s="119" t="s">
        <v>8</v>
      </c>
      <c r="E5" s="120">
        <f>381.3+114.2</f>
        <v>495.5</v>
      </c>
      <c r="F5" s="121">
        <v>17913.5</v>
      </c>
      <c r="K5"/>
    </row>
    <row r="6" spans="2:11" ht="15.75" x14ac:dyDescent="0.25">
      <c r="B6" s="118">
        <v>43046</v>
      </c>
      <c r="C6" s="15">
        <v>9313</v>
      </c>
      <c r="D6" s="119" t="s">
        <v>0</v>
      </c>
      <c r="E6" s="120">
        <v>60.6</v>
      </c>
      <c r="F6" s="121">
        <v>2666.4</v>
      </c>
      <c r="G6" t="s">
        <v>9</v>
      </c>
      <c r="K6" s="3">
        <f t="shared" ref="K6:K21" si="0">J6*I6</f>
        <v>0</v>
      </c>
    </row>
    <row r="7" spans="2:11" ht="15.75" x14ac:dyDescent="0.25">
      <c r="B7" s="118">
        <v>43046</v>
      </c>
      <c r="C7" s="15">
        <v>9314</v>
      </c>
      <c r="D7" s="119" t="s">
        <v>12</v>
      </c>
      <c r="E7" s="120">
        <f>130.4+12.5</f>
        <v>142.9</v>
      </c>
      <c r="F7" s="121">
        <v>6450.1</v>
      </c>
      <c r="K7" s="3">
        <f t="shared" si="0"/>
        <v>0</v>
      </c>
    </row>
    <row r="8" spans="2:11" ht="15.75" x14ac:dyDescent="0.25">
      <c r="B8" s="118">
        <v>43047</v>
      </c>
      <c r="C8" s="15">
        <v>9435</v>
      </c>
      <c r="D8" s="119" t="s">
        <v>8</v>
      </c>
      <c r="E8" s="120">
        <v>370.2</v>
      </c>
      <c r="F8" s="121">
        <v>12957</v>
      </c>
      <c r="I8">
        <v>963.9</v>
      </c>
      <c r="J8">
        <v>31</v>
      </c>
      <c r="K8" s="3">
        <f t="shared" si="0"/>
        <v>29880.899999999998</v>
      </c>
    </row>
    <row r="9" spans="2:11" ht="15.75" x14ac:dyDescent="0.25">
      <c r="B9" s="118">
        <v>43047</v>
      </c>
      <c r="C9" s="15">
        <v>9436</v>
      </c>
      <c r="D9" s="119" t="s">
        <v>14</v>
      </c>
      <c r="E9" s="120">
        <v>257.8</v>
      </c>
      <c r="F9" s="121">
        <v>9023</v>
      </c>
      <c r="K9" s="3">
        <f t="shared" si="0"/>
        <v>0</v>
      </c>
    </row>
    <row r="10" spans="2:11" ht="15.75" x14ac:dyDescent="0.25">
      <c r="B10" s="118">
        <v>43047</v>
      </c>
      <c r="C10" s="15">
        <v>9437</v>
      </c>
      <c r="D10" s="119" t="s">
        <v>0</v>
      </c>
      <c r="E10" s="120">
        <f>1+3.5+6.6+13.3</f>
        <v>24.4</v>
      </c>
      <c r="F10" s="121">
        <v>1862.5</v>
      </c>
      <c r="K10" s="3">
        <f t="shared" si="0"/>
        <v>0</v>
      </c>
    </row>
    <row r="11" spans="2:11" ht="15.75" x14ac:dyDescent="0.25">
      <c r="B11" s="118">
        <v>43047</v>
      </c>
      <c r="C11" s="15">
        <v>9441</v>
      </c>
      <c r="D11" s="119" t="s">
        <v>6</v>
      </c>
      <c r="E11" s="120">
        <f>185.4+73.1+6.4</f>
        <v>264.89999999999998</v>
      </c>
      <c r="F11" s="121">
        <v>12272.4</v>
      </c>
      <c r="K11" s="3">
        <f t="shared" si="0"/>
        <v>0</v>
      </c>
    </row>
    <row r="12" spans="2:11" ht="15.75" x14ac:dyDescent="0.25">
      <c r="B12" s="118">
        <v>43047</v>
      </c>
      <c r="C12" s="15">
        <v>9442</v>
      </c>
      <c r="D12" s="119" t="s">
        <v>0</v>
      </c>
      <c r="E12" s="120">
        <v>90</v>
      </c>
      <c r="F12" s="121">
        <v>3150</v>
      </c>
      <c r="K12" s="3">
        <f t="shared" si="0"/>
        <v>0</v>
      </c>
    </row>
    <row r="13" spans="2:11" ht="15.75" x14ac:dyDescent="0.25">
      <c r="B13" s="118">
        <v>43048</v>
      </c>
      <c r="C13" s="15">
        <v>9541</v>
      </c>
      <c r="D13" s="119" t="s">
        <v>8</v>
      </c>
      <c r="E13" s="120">
        <f>433+76.8</f>
        <v>509.8</v>
      </c>
      <c r="F13" s="121">
        <v>20377.400000000001</v>
      </c>
      <c r="K13" s="3">
        <f t="shared" si="0"/>
        <v>0</v>
      </c>
    </row>
    <row r="14" spans="2:11" ht="15.75" x14ac:dyDescent="0.25">
      <c r="B14" s="118">
        <v>43048</v>
      </c>
      <c r="C14" s="15">
        <v>9542</v>
      </c>
      <c r="D14" s="119" t="s">
        <v>14</v>
      </c>
      <c r="E14" s="120">
        <f>426.4+10.6+10.6</f>
        <v>447.6</v>
      </c>
      <c r="F14" s="121">
        <v>15496.4</v>
      </c>
    </row>
    <row r="15" spans="2:11" ht="15.75" x14ac:dyDescent="0.25">
      <c r="B15" s="118">
        <v>43048</v>
      </c>
      <c r="C15" s="15">
        <v>9543</v>
      </c>
      <c r="D15" s="119" t="s">
        <v>24</v>
      </c>
      <c r="E15" s="120">
        <f>108.4+85.6+55.5+14.4</f>
        <v>263.89999999999998</v>
      </c>
      <c r="F15" s="121">
        <v>6196.2</v>
      </c>
    </row>
    <row r="16" spans="2:11" ht="15.75" x14ac:dyDescent="0.25">
      <c r="B16" s="118">
        <v>43048</v>
      </c>
      <c r="C16" s="15">
        <v>9544</v>
      </c>
      <c r="D16" s="119" t="s">
        <v>0</v>
      </c>
      <c r="E16" s="120">
        <v>88.7</v>
      </c>
      <c r="F16" s="121">
        <v>3104.5</v>
      </c>
    </row>
    <row r="17" spans="2:11" ht="15.75" x14ac:dyDescent="0.25">
      <c r="B17" s="118">
        <v>43048</v>
      </c>
      <c r="C17" s="15">
        <v>9547</v>
      </c>
      <c r="D17" s="119" t="s">
        <v>0</v>
      </c>
      <c r="E17" s="120">
        <f>7.7+6.8</f>
        <v>14.5</v>
      </c>
      <c r="F17" s="121">
        <v>1105.3</v>
      </c>
    </row>
    <row r="18" spans="2:11" ht="15.75" x14ac:dyDescent="0.25">
      <c r="B18" s="118">
        <v>43049</v>
      </c>
      <c r="C18" s="15">
        <v>9654</v>
      </c>
      <c r="D18" s="119" t="s">
        <v>0</v>
      </c>
      <c r="E18" s="120">
        <v>219.8</v>
      </c>
      <c r="F18" s="121">
        <v>7912.8</v>
      </c>
    </row>
    <row r="19" spans="2:11" ht="15.75" x14ac:dyDescent="0.25">
      <c r="B19" s="118">
        <v>43049</v>
      </c>
      <c r="C19" s="15">
        <v>9680</v>
      </c>
      <c r="D19" s="119" t="s">
        <v>8</v>
      </c>
      <c r="E19" s="120">
        <f>366.4+88.6+10.8+10.5+35.1</f>
        <v>511.40000000000003</v>
      </c>
      <c r="F19" s="121">
        <v>20530.099999999999</v>
      </c>
      <c r="K19" s="3">
        <f t="shared" si="0"/>
        <v>0</v>
      </c>
    </row>
    <row r="20" spans="2:11" ht="15.75" x14ac:dyDescent="0.25">
      <c r="B20" s="118">
        <v>43049</v>
      </c>
      <c r="C20" s="15">
        <v>9681</v>
      </c>
      <c r="D20" s="119" t="s">
        <v>988</v>
      </c>
      <c r="E20" s="120">
        <f>359.4+68.9</f>
        <v>428.29999999999995</v>
      </c>
      <c r="F20" s="121">
        <v>15763.3</v>
      </c>
      <c r="K20" s="3">
        <f t="shared" si="0"/>
        <v>0</v>
      </c>
    </row>
    <row r="21" spans="2:11" ht="15.75" x14ac:dyDescent="0.25">
      <c r="B21" s="118">
        <v>43049</v>
      </c>
      <c r="C21" s="15">
        <v>9682</v>
      </c>
      <c r="D21" s="119" t="s">
        <v>10</v>
      </c>
      <c r="E21" s="120">
        <f>10.6+1+31.1</f>
        <v>42.7</v>
      </c>
      <c r="F21" s="121">
        <v>2583.4</v>
      </c>
      <c r="K21" s="3">
        <f t="shared" si="0"/>
        <v>0</v>
      </c>
    </row>
    <row r="22" spans="2:11" ht="15.75" x14ac:dyDescent="0.25">
      <c r="B22" s="118">
        <v>43049</v>
      </c>
      <c r="C22" s="15">
        <v>9683</v>
      </c>
      <c r="D22" s="119" t="s">
        <v>12</v>
      </c>
      <c r="E22" s="120">
        <v>159.80000000000001</v>
      </c>
      <c r="F22" s="121">
        <v>5752.8</v>
      </c>
    </row>
    <row r="23" spans="2:11" ht="15.75" x14ac:dyDescent="0.25">
      <c r="B23" s="118">
        <v>43049</v>
      </c>
      <c r="C23" s="15">
        <v>9684</v>
      </c>
      <c r="D23" s="119" t="s">
        <v>0</v>
      </c>
      <c r="E23" s="120">
        <f>176.2+6.5</f>
        <v>182.7</v>
      </c>
      <c r="F23" s="121">
        <v>6980.2</v>
      </c>
    </row>
    <row r="24" spans="2:11" ht="15.75" x14ac:dyDescent="0.25">
      <c r="B24" s="118">
        <v>43050</v>
      </c>
      <c r="C24" s="15">
        <v>9784</v>
      </c>
      <c r="D24" s="119" t="s">
        <v>0</v>
      </c>
      <c r="E24" s="120">
        <v>816.7</v>
      </c>
      <c r="F24" s="121">
        <v>29401.200000000001</v>
      </c>
    </row>
    <row r="25" spans="2:11" ht="15.75" hidden="1" x14ac:dyDescent="0.25">
      <c r="B25" s="118"/>
      <c r="C25" s="15"/>
      <c r="D25" s="119"/>
      <c r="E25" s="120"/>
      <c r="F25" s="121"/>
    </row>
    <row r="26" spans="2:11" ht="15.75" hidden="1" x14ac:dyDescent="0.25">
      <c r="B26" s="118"/>
      <c r="C26" s="15"/>
      <c r="D26" s="119"/>
      <c r="E26" s="120"/>
      <c r="F26" s="121"/>
    </row>
    <row r="27" spans="2:11" ht="15.75" hidden="1" x14ac:dyDescent="0.25">
      <c r="B27" s="118"/>
      <c r="C27" s="15"/>
      <c r="D27" s="119"/>
      <c r="E27" s="120"/>
      <c r="F27" s="121"/>
      <c r="I27" s="3">
        <f t="shared" ref="I27" si="1">SUM(I6:I21)</f>
        <v>963.9</v>
      </c>
      <c r="J27" s="3"/>
      <c r="K27" s="3">
        <f>SUM(K6:K21)</f>
        <v>29880.899999999998</v>
      </c>
    </row>
    <row r="28" spans="2:11" ht="15.75" hidden="1" x14ac:dyDescent="0.25">
      <c r="B28" s="118"/>
      <c r="C28" s="15"/>
      <c r="D28" s="119"/>
      <c r="E28" s="120"/>
      <c r="F28" s="121"/>
      <c r="I28" s="3"/>
      <c r="J28" s="3"/>
    </row>
    <row r="29" spans="2:11" ht="15.75" hidden="1" x14ac:dyDescent="0.25">
      <c r="B29" s="118"/>
      <c r="C29" s="15"/>
      <c r="D29" s="119"/>
      <c r="E29" s="120"/>
      <c r="F29" s="121"/>
      <c r="I29" s="3"/>
      <c r="J29" s="3"/>
    </row>
    <row r="30" spans="2:11" ht="15.75" hidden="1" x14ac:dyDescent="0.25">
      <c r="B30" s="118"/>
      <c r="C30" s="15"/>
      <c r="D30" s="119"/>
      <c r="E30" s="120"/>
      <c r="F30" s="121"/>
      <c r="I30" s="3"/>
      <c r="J30" s="3"/>
    </row>
    <row r="31" spans="2:11" ht="15.75" hidden="1" x14ac:dyDescent="0.25">
      <c r="B31" s="118"/>
      <c r="C31" s="15"/>
      <c r="D31" s="119"/>
      <c r="E31" s="120"/>
      <c r="F31" s="121"/>
      <c r="I31" s="3"/>
      <c r="J31" s="3"/>
    </row>
    <row r="32" spans="2:11" ht="15.75" hidden="1" x14ac:dyDescent="0.25">
      <c r="B32" s="118"/>
      <c r="C32" s="15"/>
      <c r="D32" s="119"/>
      <c r="E32" s="120"/>
      <c r="F32" s="121"/>
      <c r="I32" s="3"/>
      <c r="J32" s="3"/>
    </row>
    <row r="33" spans="2:10" ht="15.75" hidden="1" x14ac:dyDescent="0.25">
      <c r="B33" s="118"/>
      <c r="C33" s="15"/>
      <c r="D33" s="119"/>
      <c r="E33" s="120"/>
      <c r="F33" s="121"/>
      <c r="I33" s="3"/>
      <c r="J33" s="3"/>
    </row>
    <row r="34" spans="2:10" ht="15.75" hidden="1" x14ac:dyDescent="0.25">
      <c r="B34" s="118"/>
      <c r="C34" s="15"/>
      <c r="D34" s="119"/>
      <c r="E34" s="120"/>
      <c r="F34" s="121"/>
      <c r="I34" s="3"/>
      <c r="J34" s="3"/>
    </row>
    <row r="35" spans="2:10" ht="15.75" hidden="1" x14ac:dyDescent="0.25">
      <c r="B35" s="118"/>
      <c r="C35" s="15"/>
      <c r="D35" s="119"/>
      <c r="E35" s="120"/>
      <c r="F35" s="121"/>
      <c r="I35" s="3"/>
      <c r="J35" s="3"/>
    </row>
    <row r="36" spans="2:10" ht="15.75" hidden="1" x14ac:dyDescent="0.25">
      <c r="B36" s="118"/>
      <c r="C36" s="15"/>
      <c r="D36" s="119"/>
      <c r="E36" s="120"/>
      <c r="F36" s="121"/>
      <c r="I36" s="3"/>
      <c r="J36" s="3"/>
    </row>
    <row r="37" spans="2:10" ht="15.75" hidden="1" x14ac:dyDescent="0.25">
      <c r="B37" s="118"/>
      <c r="C37" s="15"/>
      <c r="D37" s="119"/>
      <c r="E37" s="120"/>
      <c r="F37" s="121"/>
      <c r="I37" s="3"/>
      <c r="J37" s="3"/>
    </row>
    <row r="38" spans="2:10" ht="15.75" hidden="1" x14ac:dyDescent="0.25">
      <c r="B38" s="118"/>
      <c r="C38" s="15"/>
      <c r="D38" s="119"/>
      <c r="E38" s="120"/>
      <c r="F38" s="121"/>
      <c r="I38" s="3"/>
      <c r="J38" s="3"/>
    </row>
    <row r="39" spans="2:10" ht="15.75" x14ac:dyDescent="0.25">
      <c r="B39" s="118">
        <v>43050</v>
      </c>
      <c r="C39" s="15">
        <v>9786</v>
      </c>
      <c r="D39" s="119" t="s">
        <v>8</v>
      </c>
      <c r="E39" s="120">
        <f>425.4+59.3+56.3</f>
        <v>541</v>
      </c>
      <c r="F39" s="121">
        <v>21173.4</v>
      </c>
      <c r="I39" s="3"/>
      <c r="J39" s="3"/>
    </row>
    <row r="40" spans="2:10" ht="15.75" x14ac:dyDescent="0.25">
      <c r="B40" s="118">
        <v>43050</v>
      </c>
      <c r="C40" s="15">
        <v>9787</v>
      </c>
      <c r="D40" s="119" t="s">
        <v>14</v>
      </c>
      <c r="E40" s="120">
        <v>380.6</v>
      </c>
      <c r="F40" s="121">
        <v>13321</v>
      </c>
      <c r="I40" s="3"/>
      <c r="J40" s="3"/>
    </row>
    <row r="41" spans="2:10" ht="15.75" x14ac:dyDescent="0.25">
      <c r="B41" s="118">
        <v>43050</v>
      </c>
      <c r="C41" s="15">
        <v>9788</v>
      </c>
      <c r="D41" s="119" t="s">
        <v>0</v>
      </c>
      <c r="E41" s="120">
        <v>419.5</v>
      </c>
      <c r="F41" s="121">
        <v>14682.5</v>
      </c>
      <c r="I41" s="3"/>
      <c r="J41" s="3"/>
    </row>
    <row r="42" spans="2:10" ht="15.75" x14ac:dyDescent="0.25">
      <c r="B42" s="118">
        <v>43050</v>
      </c>
      <c r="C42" s="15">
        <v>9789</v>
      </c>
      <c r="D42" s="119" t="s">
        <v>24</v>
      </c>
      <c r="E42" s="120">
        <f>983.22+66.7</f>
        <v>1049.92</v>
      </c>
      <c r="F42" s="121">
        <v>38963.160000000003</v>
      </c>
      <c r="I42" s="3"/>
      <c r="J42" s="3"/>
    </row>
    <row r="43" spans="2:10" ht="15.75" x14ac:dyDescent="0.25">
      <c r="B43" s="118">
        <v>43050</v>
      </c>
      <c r="C43" s="15">
        <v>9790</v>
      </c>
      <c r="D43" s="119" t="s">
        <v>12</v>
      </c>
      <c r="E43" s="120">
        <f>189.4+1</f>
        <v>190.4</v>
      </c>
      <c r="F43" s="121">
        <v>7309</v>
      </c>
      <c r="I43" s="3"/>
      <c r="J43" s="3"/>
    </row>
    <row r="44" spans="2:10" ht="15.75" x14ac:dyDescent="0.25">
      <c r="B44" s="118">
        <v>43050</v>
      </c>
      <c r="C44" s="15">
        <v>9798</v>
      </c>
      <c r="D44" s="119" t="s">
        <v>0</v>
      </c>
      <c r="E44" s="120">
        <v>100.4</v>
      </c>
      <c r="F44" s="121">
        <v>3514</v>
      </c>
      <c r="I44" s="3"/>
      <c r="J44" s="3"/>
    </row>
    <row r="45" spans="2:10" ht="15.75" x14ac:dyDescent="0.25">
      <c r="B45" s="118">
        <v>43050</v>
      </c>
      <c r="C45" s="15">
        <v>9805</v>
      </c>
      <c r="D45" s="119" t="s">
        <v>6</v>
      </c>
      <c r="E45" s="120">
        <f>242.1+56.6+8.1</f>
        <v>306.8</v>
      </c>
      <c r="F45" s="121">
        <v>12758.8</v>
      </c>
      <c r="I45" s="3"/>
      <c r="J45" s="3"/>
    </row>
    <row r="46" spans="2:10" ht="15.75" x14ac:dyDescent="0.25">
      <c r="B46" s="118">
        <v>43050</v>
      </c>
      <c r="C46" s="15">
        <v>9811</v>
      </c>
      <c r="D46" s="119" t="s">
        <v>0</v>
      </c>
      <c r="E46" s="120">
        <v>7.4</v>
      </c>
      <c r="F46" s="121">
        <v>199.8</v>
      </c>
      <c r="I46" s="3"/>
      <c r="J46" s="3"/>
    </row>
    <row r="47" spans="2:10" ht="15.75" x14ac:dyDescent="0.25">
      <c r="B47" s="118">
        <v>43050</v>
      </c>
      <c r="C47" s="15">
        <v>9821</v>
      </c>
      <c r="D47" s="119" t="s">
        <v>0</v>
      </c>
      <c r="E47" s="120">
        <v>23.3</v>
      </c>
      <c r="F47" s="121">
        <v>1794.1</v>
      </c>
      <c r="I47" s="3"/>
      <c r="J47" s="3"/>
    </row>
    <row r="48" spans="2:10" ht="15.75" x14ac:dyDescent="0.25">
      <c r="B48" s="118">
        <v>43050</v>
      </c>
      <c r="C48" s="15">
        <v>9827</v>
      </c>
      <c r="D48" s="119" t="s">
        <v>24</v>
      </c>
      <c r="E48" s="120">
        <v>18.2</v>
      </c>
      <c r="F48" s="121">
        <v>273</v>
      </c>
      <c r="I48" s="3"/>
      <c r="J48" s="3"/>
    </row>
    <row r="49" spans="1:13" ht="15.75" x14ac:dyDescent="0.25">
      <c r="B49" s="118"/>
      <c r="C49" s="15"/>
      <c r="D49" s="119"/>
      <c r="E49" s="120"/>
      <c r="F49" s="121"/>
      <c r="I49" s="3"/>
      <c r="J49" s="3"/>
    </row>
    <row r="50" spans="1:13" ht="16.5" thickBot="1" x14ac:dyDescent="0.3">
      <c r="B50" s="118"/>
      <c r="C50" s="15"/>
      <c r="D50" s="119"/>
      <c r="E50" s="120">
        <v>0</v>
      </c>
      <c r="F50" s="121">
        <v>0</v>
      </c>
      <c r="I50" s="3"/>
      <c r="J50" s="3"/>
    </row>
    <row r="51" spans="1:13" ht="15.75" thickBot="1" x14ac:dyDescent="0.3">
      <c r="B51" s="29"/>
      <c r="C51" s="66"/>
      <c r="D51" s="31"/>
      <c r="E51" s="32">
        <v>0</v>
      </c>
      <c r="F51" s="33">
        <f>SUM(F3:F50)</f>
        <v>389476.65999999992</v>
      </c>
      <c r="K51" s="3">
        <f t="shared" ref="K51:K58" si="2">J51*I51</f>
        <v>0</v>
      </c>
    </row>
    <row r="52" spans="1:13" ht="19.5" thickBot="1" x14ac:dyDescent="0.35">
      <c r="B52" s="34"/>
      <c r="C52" s="67"/>
      <c r="D52" s="36" t="s">
        <v>5</v>
      </c>
      <c r="E52" s="37">
        <f>SUM(E3:E51)</f>
        <v>10360.919999999998</v>
      </c>
      <c r="K52" s="3">
        <f t="shared" si="2"/>
        <v>0</v>
      </c>
    </row>
    <row r="53" spans="1:13" x14ac:dyDescent="0.25">
      <c r="B53" s="34"/>
      <c r="C53" s="67"/>
      <c r="D53" s="26"/>
      <c r="E53" s="39"/>
      <c r="K53" s="3">
        <f t="shared" si="2"/>
        <v>0</v>
      </c>
    </row>
    <row r="54" spans="1:13" ht="19.5" thickBot="1" x14ac:dyDescent="0.35">
      <c r="B54" s="40"/>
      <c r="C54" s="41" t="s">
        <v>15</v>
      </c>
      <c r="D54" s="149">
        <f>E52*0.3</f>
        <v>3108.2759999999994</v>
      </c>
      <c r="F54"/>
      <c r="K54" s="3">
        <f t="shared" si="2"/>
        <v>0</v>
      </c>
    </row>
    <row r="55" spans="1:13" ht="21.75" thickBot="1" x14ac:dyDescent="0.4">
      <c r="C55" s="41" t="s">
        <v>16</v>
      </c>
      <c r="D55" s="44">
        <v>4000</v>
      </c>
      <c r="E55" s="45"/>
      <c r="F55" s="258">
        <f>D54+D55</f>
        <v>7108.2759999999998</v>
      </c>
      <c r="G55" s="259"/>
      <c r="K55" s="3">
        <f t="shared" si="2"/>
        <v>0</v>
      </c>
      <c r="L55" s="46"/>
      <c r="M55" s="13"/>
    </row>
    <row r="56" spans="1:13" ht="22.5" thickTop="1" thickBot="1" x14ac:dyDescent="0.4">
      <c r="B56" s="34"/>
      <c r="C56" s="67"/>
      <c r="D56" s="146"/>
      <c r="E56" s="47" t="s">
        <v>258</v>
      </c>
      <c r="F56" s="203"/>
      <c r="G56" s="201">
        <v>-4000</v>
      </c>
      <c r="H56" s="202"/>
      <c r="L56" s="46"/>
      <c r="M56" s="13"/>
    </row>
    <row r="57" spans="1:13" ht="19.5" thickBot="1" x14ac:dyDescent="0.35">
      <c r="A57" s="26"/>
      <c r="B57" s="245"/>
      <c r="C57" s="244"/>
      <c r="D57" s="180" t="s">
        <v>986</v>
      </c>
      <c r="E57" s="47" t="s">
        <v>258</v>
      </c>
      <c r="F57" s="142"/>
      <c r="G57" s="160">
        <v>-3108</v>
      </c>
      <c r="K57" s="3">
        <f t="shared" si="2"/>
        <v>0</v>
      </c>
      <c r="L57" s="49"/>
      <c r="M57" s="49"/>
    </row>
    <row r="58" spans="1:13" ht="21.75" customHeight="1" thickTop="1" thickBot="1" x14ac:dyDescent="0.35">
      <c r="B58" s="283" t="s">
        <v>626</v>
      </c>
      <c r="C58" s="284"/>
      <c r="D58" s="243" t="s">
        <v>989</v>
      </c>
      <c r="E58" s="47" t="s">
        <v>258</v>
      </c>
      <c r="F58" s="125"/>
      <c r="G58" s="169">
        <v>0</v>
      </c>
      <c r="K58" s="3">
        <f t="shared" si="2"/>
        <v>0</v>
      </c>
      <c r="L58" s="49"/>
      <c r="M58" s="49"/>
    </row>
    <row r="59" spans="1:13" ht="20.25" customHeight="1" thickTop="1" thickBot="1" x14ac:dyDescent="0.35">
      <c r="B59" s="285"/>
      <c r="C59" s="286"/>
      <c r="D59" s="243"/>
      <c r="E59" s="47" t="s">
        <v>307</v>
      </c>
      <c r="F59" s="124"/>
      <c r="G59" s="170">
        <v>0</v>
      </c>
      <c r="L59" s="49"/>
      <c r="M59" s="49"/>
    </row>
    <row r="60" spans="1:13" ht="17.25" customHeight="1" thickTop="1" thickBot="1" x14ac:dyDescent="0.4">
      <c r="C60" s="22"/>
      <c r="D60" s="246"/>
      <c r="E60" s="4" t="s">
        <v>258</v>
      </c>
      <c r="F60" s="263">
        <f>SUM(F55:G59)</f>
        <v>0.27599999999983993</v>
      </c>
      <c r="G60" s="264"/>
      <c r="L60" s="49"/>
      <c r="M60" s="49"/>
    </row>
    <row r="61" spans="1:13" ht="19.5" customHeight="1" x14ac:dyDescent="0.35">
      <c r="C61" s="109"/>
      <c r="D61" s="136"/>
      <c r="F61" s="148"/>
      <c r="G61" s="148"/>
    </row>
    <row r="62" spans="1:13" x14ac:dyDescent="0.25">
      <c r="F62" s="27"/>
      <c r="G62" s="26"/>
    </row>
    <row r="63" spans="1:13" x14ac:dyDescent="0.25">
      <c r="D63" t="s">
        <v>9</v>
      </c>
    </row>
    <row r="64" spans="1:13" x14ac:dyDescent="0.25">
      <c r="I64" s="3">
        <f>SUM(I51:I58)</f>
        <v>0</v>
      </c>
      <c r="J64" s="3"/>
      <c r="K64" s="3">
        <f>SUM(K51:K58)</f>
        <v>0</v>
      </c>
    </row>
  </sheetData>
  <mergeCells count="4">
    <mergeCell ref="B1:C1"/>
    <mergeCell ref="F55:G55"/>
    <mergeCell ref="B58:C59"/>
    <mergeCell ref="F60:G60"/>
  </mergeCells>
  <pageMargins left="0.51181102362204722" right="0.31496062992125984" top="0.74803149606299213" bottom="0.74803149606299213" header="0.31496062992125984" footer="0.31496062992125984"/>
  <pageSetup scale="85" orientation="portrait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E36" sqref="E36"/>
    </sheetView>
  </sheetViews>
  <sheetFormatPr baseColWidth="10" defaultRowHeight="15" x14ac:dyDescent="0.25"/>
  <cols>
    <col min="1" max="1" width="3.42578125" customWidth="1"/>
    <col min="2" max="2" width="13.42578125" style="96" bestFit="1" customWidth="1"/>
    <col min="3" max="3" width="13.7109375" style="41" customWidth="1"/>
    <col min="4" max="4" width="28.5703125" bestFit="1" customWidth="1"/>
    <col min="5" max="5" width="12" bestFit="1" customWidth="1"/>
    <col min="6" max="6" width="14.140625" style="3" bestFit="1" customWidth="1"/>
    <col min="7" max="7" width="15.7109375" customWidth="1"/>
    <col min="11" max="11" width="11.42578125" style="3"/>
    <col min="13" max="13" width="11.42578125" style="3"/>
  </cols>
  <sheetData>
    <row r="1" spans="2:11" ht="19.5" thickBot="1" x14ac:dyDescent="0.35">
      <c r="B1" s="257">
        <v>43055</v>
      </c>
      <c r="C1" s="257"/>
      <c r="D1" s="247" t="s">
        <v>0</v>
      </c>
      <c r="E1" s="2" t="s">
        <v>1</v>
      </c>
      <c r="K1"/>
    </row>
    <row r="2" spans="2:11" ht="19.5" thickBot="1" x14ac:dyDescent="0.35">
      <c r="B2" s="95" t="s">
        <v>2</v>
      </c>
      <c r="C2" s="5" t="s">
        <v>3</v>
      </c>
      <c r="D2" s="5" t="s">
        <v>4</v>
      </c>
      <c r="E2" s="6" t="s">
        <v>5</v>
      </c>
      <c r="F2" s="139" t="s">
        <v>987</v>
      </c>
      <c r="G2" s="8"/>
      <c r="K2"/>
    </row>
    <row r="3" spans="2:11" ht="15.75" x14ac:dyDescent="0.25">
      <c r="B3" s="197">
        <v>43052</v>
      </c>
      <c r="C3" s="22">
        <v>10003</v>
      </c>
      <c r="D3" s="198" t="s">
        <v>0</v>
      </c>
      <c r="E3" s="199">
        <v>644</v>
      </c>
      <c r="F3" s="200">
        <v>23184</v>
      </c>
      <c r="K3"/>
    </row>
    <row r="4" spans="2:11" ht="15.75" x14ac:dyDescent="0.25">
      <c r="B4" s="118">
        <v>43053</v>
      </c>
      <c r="C4" s="15">
        <v>10120</v>
      </c>
      <c r="D4" s="119" t="s">
        <v>0</v>
      </c>
      <c r="E4" s="120">
        <v>649.1</v>
      </c>
      <c r="F4" s="121">
        <v>23367.599999999999</v>
      </c>
      <c r="K4"/>
    </row>
    <row r="5" spans="2:11" ht="15.75" x14ac:dyDescent="0.25">
      <c r="B5" s="118">
        <v>43053</v>
      </c>
      <c r="C5" s="15">
        <v>10146</v>
      </c>
      <c r="D5" s="119" t="s">
        <v>8</v>
      </c>
      <c r="E5" s="120">
        <v>302.5</v>
      </c>
      <c r="F5" s="121">
        <v>10587.5</v>
      </c>
      <c r="K5"/>
    </row>
    <row r="6" spans="2:11" ht="15.75" x14ac:dyDescent="0.25">
      <c r="B6" s="118">
        <v>43053</v>
      </c>
      <c r="C6" s="15">
        <v>10147</v>
      </c>
      <c r="D6" s="119" t="s">
        <v>14</v>
      </c>
      <c r="E6" s="120">
        <v>235.4</v>
      </c>
      <c r="F6" s="121">
        <v>8239</v>
      </c>
      <c r="G6" t="s">
        <v>9</v>
      </c>
      <c r="K6" s="3">
        <f t="shared" ref="K6:K21" si="0">J6*I6</f>
        <v>0</v>
      </c>
    </row>
    <row r="7" spans="2:11" ht="15.75" x14ac:dyDescent="0.25">
      <c r="B7" s="118">
        <v>43053</v>
      </c>
      <c r="C7" s="15">
        <v>10151</v>
      </c>
      <c r="D7" s="119" t="s">
        <v>659</v>
      </c>
      <c r="E7" s="120">
        <f>917.6+7</f>
        <v>924.6</v>
      </c>
      <c r="F7" s="121">
        <v>35134.800000000003</v>
      </c>
      <c r="K7" s="3">
        <f t="shared" si="0"/>
        <v>0</v>
      </c>
    </row>
    <row r="8" spans="2:11" ht="15.75" x14ac:dyDescent="0.25">
      <c r="B8" s="118">
        <v>43053</v>
      </c>
      <c r="C8" s="15">
        <v>10152</v>
      </c>
      <c r="D8" s="119" t="s">
        <v>8</v>
      </c>
      <c r="E8" s="120">
        <f>33.2+56.4</f>
        <v>89.6</v>
      </c>
      <c r="F8" s="121">
        <v>1845.2</v>
      </c>
      <c r="I8">
        <v>963.9</v>
      </c>
      <c r="J8">
        <v>31</v>
      </c>
      <c r="K8" s="3">
        <f t="shared" si="0"/>
        <v>29880.899999999998</v>
      </c>
    </row>
    <row r="9" spans="2:11" ht="15.75" x14ac:dyDescent="0.25">
      <c r="B9" s="118">
        <v>43053</v>
      </c>
      <c r="C9" s="15">
        <v>10153</v>
      </c>
      <c r="D9" s="119" t="s">
        <v>6</v>
      </c>
      <c r="E9" s="120">
        <f>259.6+27.3</f>
        <v>286.90000000000003</v>
      </c>
      <c r="F9" s="121">
        <v>11447.7</v>
      </c>
      <c r="K9" s="3">
        <f t="shared" si="0"/>
        <v>0</v>
      </c>
    </row>
    <row r="10" spans="2:11" ht="15.75" x14ac:dyDescent="0.25">
      <c r="B10" s="118">
        <v>43053</v>
      </c>
      <c r="C10" s="15">
        <v>10155</v>
      </c>
      <c r="D10" s="119" t="s">
        <v>0</v>
      </c>
      <c r="E10" s="120">
        <v>72.3</v>
      </c>
      <c r="F10" s="121">
        <v>2530.5</v>
      </c>
      <c r="K10" s="3">
        <f t="shared" si="0"/>
        <v>0</v>
      </c>
    </row>
    <row r="11" spans="2:11" ht="15.75" x14ac:dyDescent="0.25">
      <c r="B11" s="118">
        <v>43053</v>
      </c>
      <c r="C11" s="15">
        <v>10156</v>
      </c>
      <c r="D11" s="119" t="s">
        <v>24</v>
      </c>
      <c r="E11" s="120">
        <f>71.5+42.9+37.2</f>
        <v>151.60000000000002</v>
      </c>
      <c r="F11" s="121">
        <v>3595.5</v>
      </c>
      <c r="K11" s="3">
        <f t="shared" si="0"/>
        <v>0</v>
      </c>
    </row>
    <row r="12" spans="2:11" ht="15.75" x14ac:dyDescent="0.25">
      <c r="B12" s="118">
        <v>43053</v>
      </c>
      <c r="C12" s="15">
        <v>10157</v>
      </c>
      <c r="D12" s="119" t="s">
        <v>0</v>
      </c>
      <c r="E12" s="120">
        <v>36.6</v>
      </c>
      <c r="F12" s="121">
        <v>2488.8000000000002</v>
      </c>
      <c r="K12" s="3">
        <f t="shared" si="0"/>
        <v>0</v>
      </c>
    </row>
    <row r="13" spans="2:11" ht="15.75" x14ac:dyDescent="0.25">
      <c r="B13" s="118">
        <v>43053</v>
      </c>
      <c r="C13" s="15">
        <v>10158</v>
      </c>
      <c r="D13" s="119" t="s">
        <v>12</v>
      </c>
      <c r="E13" s="120">
        <f>172.7+21.2</f>
        <v>193.89999999999998</v>
      </c>
      <c r="F13" s="121">
        <v>7425.6</v>
      </c>
      <c r="K13" s="3">
        <f t="shared" si="0"/>
        <v>0</v>
      </c>
    </row>
    <row r="14" spans="2:11" ht="15.75" x14ac:dyDescent="0.25">
      <c r="B14" s="118">
        <v>43055</v>
      </c>
      <c r="C14" s="15">
        <v>10380</v>
      </c>
      <c r="D14" s="119" t="s">
        <v>0</v>
      </c>
      <c r="E14" s="120">
        <f>20.4+112.4+34.9</f>
        <v>167.70000000000002</v>
      </c>
      <c r="F14" s="121">
        <v>5989.1</v>
      </c>
    </row>
    <row r="15" spans="2:11" ht="15.75" x14ac:dyDescent="0.25">
      <c r="B15" s="118">
        <v>43055</v>
      </c>
      <c r="C15" s="15">
        <v>10381</v>
      </c>
      <c r="D15" s="119" t="s">
        <v>0</v>
      </c>
      <c r="E15" s="120">
        <v>6.5</v>
      </c>
      <c r="F15" s="121">
        <v>637</v>
      </c>
    </row>
    <row r="16" spans="2:11" ht="15.75" x14ac:dyDescent="0.25">
      <c r="B16" s="118">
        <v>43055</v>
      </c>
      <c r="C16" s="15">
        <v>10384</v>
      </c>
      <c r="D16" s="119" t="s">
        <v>24</v>
      </c>
      <c r="E16" s="120">
        <f>941.2+51.9+42.7+2+40</f>
        <v>1077.8</v>
      </c>
      <c r="F16" s="121">
        <v>39825.800000000003</v>
      </c>
    </row>
    <row r="17" spans="1:13" ht="15.75" x14ac:dyDescent="0.25">
      <c r="B17" s="118">
        <v>43055</v>
      </c>
      <c r="C17" s="15">
        <v>10395</v>
      </c>
      <c r="D17" s="119" t="s">
        <v>0</v>
      </c>
      <c r="E17" s="120">
        <v>149.5</v>
      </c>
      <c r="F17" s="121">
        <v>5232.5</v>
      </c>
    </row>
    <row r="18" spans="1:13" ht="15.75" x14ac:dyDescent="0.25">
      <c r="B18" s="118">
        <v>43056</v>
      </c>
      <c r="C18" s="15">
        <v>10533</v>
      </c>
      <c r="D18" s="119" t="s">
        <v>8</v>
      </c>
      <c r="E18" s="120">
        <f>298.2+131.2</f>
        <v>429.4</v>
      </c>
      <c r="F18" s="121">
        <v>15422.6</v>
      </c>
    </row>
    <row r="19" spans="1:13" ht="15.75" x14ac:dyDescent="0.25">
      <c r="B19" s="118">
        <v>43056</v>
      </c>
      <c r="C19" s="15">
        <v>10537</v>
      </c>
      <c r="D19" s="119" t="s">
        <v>14</v>
      </c>
      <c r="E19" s="120">
        <f>318.9+105+55.2</f>
        <v>479.09999999999997</v>
      </c>
      <c r="F19" s="121">
        <v>14265.9</v>
      </c>
      <c r="K19" s="3">
        <f t="shared" si="0"/>
        <v>0</v>
      </c>
    </row>
    <row r="20" spans="1:13" ht="15.75" x14ac:dyDescent="0.25">
      <c r="B20" s="118">
        <v>43056</v>
      </c>
      <c r="C20" s="15">
        <v>10539</v>
      </c>
      <c r="D20" s="119" t="s">
        <v>10</v>
      </c>
      <c r="E20" s="120">
        <f>9.4+32.8</f>
        <v>42.199999999999996</v>
      </c>
      <c r="F20" s="121">
        <v>1926.6</v>
      </c>
      <c r="K20" s="3">
        <f t="shared" si="0"/>
        <v>0</v>
      </c>
    </row>
    <row r="21" spans="1:13" ht="15.75" x14ac:dyDescent="0.25">
      <c r="B21" s="118">
        <v>43056</v>
      </c>
      <c r="C21" s="15">
        <v>10540</v>
      </c>
      <c r="D21" s="119" t="s">
        <v>0</v>
      </c>
      <c r="E21" s="120">
        <v>9.02</v>
      </c>
      <c r="F21" s="121">
        <v>833.96</v>
      </c>
      <c r="K21" s="3">
        <f t="shared" si="0"/>
        <v>0</v>
      </c>
    </row>
    <row r="22" spans="1:13" ht="15.75" x14ac:dyDescent="0.25">
      <c r="B22" s="118">
        <v>43056</v>
      </c>
      <c r="C22" s="15">
        <v>10542</v>
      </c>
      <c r="D22" s="119" t="s">
        <v>6</v>
      </c>
      <c r="E22" s="120">
        <f>191.9+8.2+13.9+26.6</f>
        <v>240.6</v>
      </c>
      <c r="F22" s="121">
        <v>10091.200000000001</v>
      </c>
    </row>
    <row r="23" spans="1:13" ht="16.5" thickBot="1" x14ac:dyDescent="0.3">
      <c r="B23" s="118">
        <v>43056</v>
      </c>
      <c r="C23" s="15">
        <v>10543</v>
      </c>
      <c r="D23" s="119" t="s">
        <v>0</v>
      </c>
      <c r="E23" s="120">
        <f>55.6+32.9</f>
        <v>88.5</v>
      </c>
      <c r="F23" s="121">
        <v>1961.8</v>
      </c>
    </row>
    <row r="24" spans="1:13" ht="15.75" thickBot="1" x14ac:dyDescent="0.3">
      <c r="B24" s="29"/>
      <c r="C24" s="66"/>
      <c r="D24" s="31"/>
      <c r="E24" s="32">
        <v>0</v>
      </c>
      <c r="F24" s="33">
        <f>SUM(F3:F23)</f>
        <v>226032.65999999997</v>
      </c>
      <c r="K24" s="3">
        <f t="shared" ref="K24:K31" si="1">J24*I24</f>
        <v>0</v>
      </c>
    </row>
    <row r="25" spans="1:13" ht="19.5" thickBot="1" x14ac:dyDescent="0.35">
      <c r="B25" s="34"/>
      <c r="C25" s="67"/>
      <c r="D25" s="36" t="s">
        <v>5</v>
      </c>
      <c r="E25" s="37">
        <f>SUM(E3:E24)</f>
        <v>6276.8200000000006</v>
      </c>
      <c r="K25" s="3">
        <f t="shared" si="1"/>
        <v>0</v>
      </c>
    </row>
    <row r="26" spans="1:13" x14ac:dyDescent="0.25">
      <c r="B26" s="34"/>
      <c r="C26" s="67"/>
      <c r="D26" s="26"/>
      <c r="E26" s="39"/>
      <c r="K26" s="3">
        <f t="shared" si="1"/>
        <v>0</v>
      </c>
    </row>
    <row r="27" spans="1:13" ht="19.5" thickBot="1" x14ac:dyDescent="0.35">
      <c r="B27" s="40"/>
      <c r="C27" s="41" t="s">
        <v>15</v>
      </c>
      <c r="D27" s="149">
        <f>E25*0.3</f>
        <v>1883.046</v>
      </c>
      <c r="F27"/>
      <c r="K27" s="3">
        <f t="shared" si="1"/>
        <v>0</v>
      </c>
    </row>
    <row r="28" spans="1:13" ht="21.75" thickBot="1" x14ac:dyDescent="0.4">
      <c r="C28" s="41" t="s">
        <v>16</v>
      </c>
      <c r="D28" s="44">
        <v>4000</v>
      </c>
      <c r="E28" s="45"/>
      <c r="F28" s="258">
        <f>D27+D28</f>
        <v>5883.0460000000003</v>
      </c>
      <c r="G28" s="259"/>
      <c r="K28" s="3">
        <f t="shared" si="1"/>
        <v>0</v>
      </c>
      <c r="L28" s="46"/>
      <c r="M28" s="13"/>
    </row>
    <row r="29" spans="1:13" ht="22.5" thickTop="1" thickBot="1" x14ac:dyDescent="0.4">
      <c r="B29" s="34"/>
      <c r="C29" s="67"/>
      <c r="D29" s="146"/>
      <c r="E29" s="47" t="s">
        <v>258</v>
      </c>
      <c r="F29" s="203"/>
      <c r="G29" s="201">
        <v>-4000</v>
      </c>
      <c r="H29" s="202"/>
      <c r="L29" s="46"/>
      <c r="M29" s="13"/>
    </row>
    <row r="30" spans="1:13" ht="19.5" thickBot="1" x14ac:dyDescent="0.35">
      <c r="A30" s="26"/>
      <c r="B30" s="245"/>
      <c r="C30" s="244"/>
      <c r="D30" s="180" t="s">
        <v>986</v>
      </c>
      <c r="E30" s="47" t="s">
        <v>258</v>
      </c>
      <c r="F30" s="142"/>
      <c r="G30" s="160">
        <v>-1883</v>
      </c>
      <c r="K30" s="3">
        <f t="shared" si="1"/>
        <v>0</v>
      </c>
      <c r="L30" s="49"/>
      <c r="M30" s="49"/>
    </row>
    <row r="31" spans="1:13" ht="21.75" customHeight="1" thickTop="1" thickBot="1" x14ac:dyDescent="0.35">
      <c r="B31" s="287" t="s">
        <v>992</v>
      </c>
      <c r="C31" s="288"/>
      <c r="D31" s="243" t="s">
        <v>990</v>
      </c>
      <c r="E31" s="47" t="s">
        <v>258</v>
      </c>
      <c r="F31" s="125"/>
      <c r="G31" s="169">
        <v>0</v>
      </c>
      <c r="K31" s="3">
        <f t="shared" si="1"/>
        <v>0</v>
      </c>
      <c r="L31" s="49"/>
      <c r="M31" s="49"/>
    </row>
    <row r="32" spans="1:13" ht="20.25" thickTop="1" thickBot="1" x14ac:dyDescent="0.35">
      <c r="B32" s="289"/>
      <c r="C32" s="290"/>
      <c r="D32" s="243"/>
      <c r="E32" s="47" t="s">
        <v>307</v>
      </c>
      <c r="F32" s="124"/>
      <c r="G32" s="170">
        <v>0</v>
      </c>
      <c r="L32" s="49"/>
      <c r="M32" s="49"/>
    </row>
    <row r="33" spans="3:13" ht="17.25" customHeight="1" thickTop="1" thickBot="1" x14ac:dyDescent="0.4">
      <c r="C33" s="22"/>
      <c r="D33" s="246"/>
      <c r="E33" s="4" t="s">
        <v>258</v>
      </c>
      <c r="F33" s="263">
        <f>SUM(F28:G32)</f>
        <v>4.6000000000276486E-2</v>
      </c>
      <c r="G33" s="264"/>
      <c r="L33" s="49"/>
      <c r="M33" s="49"/>
    </row>
    <row r="34" spans="3:13" ht="19.5" customHeight="1" x14ac:dyDescent="0.35">
      <c r="C34" s="109"/>
      <c r="D34" s="136"/>
      <c r="F34" s="148"/>
      <c r="G34" s="148"/>
    </row>
    <row r="35" spans="3:13" x14ac:dyDescent="0.25">
      <c r="F35" s="27"/>
      <c r="G35" s="26"/>
    </row>
    <row r="36" spans="3:13" x14ac:dyDescent="0.25">
      <c r="D36" t="s">
        <v>9</v>
      </c>
    </row>
    <row r="37" spans="3:13" x14ac:dyDescent="0.25">
      <c r="I37" s="3">
        <f>SUM(I24:I31)</f>
        <v>0</v>
      </c>
      <c r="J37" s="3"/>
      <c r="K37" s="3">
        <f>SUM(K24:K31)</f>
        <v>0</v>
      </c>
    </row>
  </sheetData>
  <mergeCells count="4">
    <mergeCell ref="B1:C1"/>
    <mergeCell ref="F28:G28"/>
    <mergeCell ref="B31:C32"/>
    <mergeCell ref="F33:G33"/>
  </mergeCells>
  <pageMargins left="0.51181102362204722" right="0.11811023622047245" top="0.74803149606299213" bottom="0.74803149606299213" header="0.31496062992125984" footer="0.31496062992125984"/>
  <pageSetup scale="85" orientation="portrait" horizontalDpi="0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69"/>
  <sheetViews>
    <sheetView topLeftCell="A44" workbookViewId="0">
      <selection activeCell="G63" sqref="G63"/>
    </sheetView>
  </sheetViews>
  <sheetFormatPr baseColWidth="10" defaultRowHeight="15" x14ac:dyDescent="0.25"/>
  <cols>
    <col min="1" max="1" width="3.42578125" customWidth="1"/>
    <col min="2" max="2" width="13.42578125" style="96" bestFit="1" customWidth="1"/>
    <col min="3" max="3" width="13.7109375" style="41" customWidth="1"/>
    <col min="4" max="4" width="28.5703125" bestFit="1" customWidth="1"/>
    <col min="5" max="5" width="12" bestFit="1" customWidth="1"/>
    <col min="6" max="6" width="14.140625" style="3" bestFit="1" customWidth="1"/>
    <col min="7" max="7" width="15.7109375" customWidth="1"/>
    <col min="11" max="11" width="11.42578125" style="3"/>
    <col min="13" max="13" width="11.42578125" style="3"/>
  </cols>
  <sheetData>
    <row r="1" spans="2:11" ht="19.5" thickBot="1" x14ac:dyDescent="0.35">
      <c r="B1" s="257">
        <v>43070</v>
      </c>
      <c r="C1" s="257"/>
      <c r="D1" s="248" t="s">
        <v>0</v>
      </c>
      <c r="E1" s="2" t="s">
        <v>1</v>
      </c>
      <c r="K1"/>
    </row>
    <row r="2" spans="2:11" ht="19.5" thickBot="1" x14ac:dyDescent="0.35">
      <c r="B2" s="95" t="s">
        <v>2</v>
      </c>
      <c r="C2" s="5" t="s">
        <v>3</v>
      </c>
      <c r="D2" s="5" t="s">
        <v>4</v>
      </c>
      <c r="E2" s="6" t="s">
        <v>5</v>
      </c>
      <c r="F2" s="139" t="s">
        <v>993</v>
      </c>
      <c r="G2" s="8"/>
      <c r="K2"/>
    </row>
    <row r="3" spans="2:11" ht="15.75" x14ac:dyDescent="0.25">
      <c r="B3" s="197"/>
      <c r="C3" s="22"/>
      <c r="D3" s="198"/>
      <c r="E3" s="199"/>
      <c r="F3" s="200" t="s">
        <v>9</v>
      </c>
      <c r="K3"/>
    </row>
    <row r="4" spans="2:11" ht="15.75" x14ac:dyDescent="0.25">
      <c r="B4" s="118">
        <v>43055</v>
      </c>
      <c r="C4" s="15">
        <v>9804</v>
      </c>
      <c r="D4" s="119" t="s">
        <v>0</v>
      </c>
      <c r="E4" s="120">
        <v>51.9</v>
      </c>
      <c r="F4" s="121">
        <v>4255.8</v>
      </c>
      <c r="K4"/>
    </row>
    <row r="5" spans="2:11" ht="15.75" x14ac:dyDescent="0.25">
      <c r="B5" s="118">
        <v>43059</v>
      </c>
      <c r="C5" s="15">
        <v>10892</v>
      </c>
      <c r="D5" s="119" t="s">
        <v>14</v>
      </c>
      <c r="E5" s="120">
        <v>256.3</v>
      </c>
      <c r="F5" s="121">
        <v>8970.5</v>
      </c>
      <c r="K5"/>
    </row>
    <row r="6" spans="2:11" ht="15.75" x14ac:dyDescent="0.25">
      <c r="B6" s="118">
        <v>43059</v>
      </c>
      <c r="C6" s="15">
        <v>10893</v>
      </c>
      <c r="D6" s="119" t="s">
        <v>11</v>
      </c>
      <c r="E6" s="120">
        <f>94.6+57.8</f>
        <v>152.39999999999998</v>
      </c>
      <c r="F6" s="121">
        <v>5507.4</v>
      </c>
      <c r="G6" t="s">
        <v>9</v>
      </c>
      <c r="K6" s="3">
        <f t="shared" ref="K6:K20" si="0">J6*I6</f>
        <v>0</v>
      </c>
    </row>
    <row r="7" spans="2:11" ht="15.75" x14ac:dyDescent="0.25">
      <c r="B7" s="118">
        <v>43059</v>
      </c>
      <c r="C7" s="15">
        <v>10895</v>
      </c>
      <c r="D7" s="119" t="s">
        <v>659</v>
      </c>
      <c r="E7" s="120">
        <v>946.76</v>
      </c>
      <c r="F7" s="121">
        <v>35503.5</v>
      </c>
      <c r="K7" s="3">
        <f t="shared" si="0"/>
        <v>0</v>
      </c>
    </row>
    <row r="8" spans="2:11" ht="15.75" x14ac:dyDescent="0.25">
      <c r="B8" s="118">
        <v>43059</v>
      </c>
      <c r="C8" s="15">
        <v>10896</v>
      </c>
      <c r="D8" s="119" t="s">
        <v>0</v>
      </c>
      <c r="E8" s="120">
        <f>75.1+116.7+59.6+20.5</f>
        <v>271.89999999999998</v>
      </c>
      <c r="F8" s="121">
        <v>5799.2</v>
      </c>
      <c r="I8">
        <v>963.9</v>
      </c>
      <c r="J8">
        <v>31</v>
      </c>
      <c r="K8" s="3">
        <f t="shared" si="0"/>
        <v>29880.899999999998</v>
      </c>
    </row>
    <row r="9" spans="2:11" ht="15.75" x14ac:dyDescent="0.25">
      <c r="B9" s="118">
        <v>43059</v>
      </c>
      <c r="C9" s="15">
        <v>10897</v>
      </c>
      <c r="D9" s="119" t="s">
        <v>0</v>
      </c>
      <c r="E9" s="120">
        <f>10.5+77.1</f>
        <v>87.6</v>
      </c>
      <c r="F9" s="121">
        <v>3727.5</v>
      </c>
      <c r="K9" s="3">
        <f t="shared" si="0"/>
        <v>0</v>
      </c>
    </row>
    <row r="10" spans="2:11" ht="15.75" x14ac:dyDescent="0.25">
      <c r="B10" s="118">
        <v>43059</v>
      </c>
      <c r="C10" s="15">
        <v>10898</v>
      </c>
      <c r="D10" s="119" t="s">
        <v>8</v>
      </c>
      <c r="E10" s="120">
        <f>337.3+63.8+115.9+63.7</f>
        <v>580.70000000000005</v>
      </c>
      <c r="F10" s="121">
        <v>23605.7</v>
      </c>
      <c r="K10" s="3">
        <f t="shared" si="0"/>
        <v>0</v>
      </c>
    </row>
    <row r="11" spans="2:11" ht="15.75" x14ac:dyDescent="0.25">
      <c r="B11" s="118">
        <v>43060</v>
      </c>
      <c r="C11" s="15">
        <v>10997</v>
      </c>
      <c r="D11" s="119" t="s">
        <v>8</v>
      </c>
      <c r="E11" s="120">
        <v>324.89999999999998</v>
      </c>
      <c r="F11" s="121">
        <v>11371.5</v>
      </c>
      <c r="K11" s="3">
        <f t="shared" si="0"/>
        <v>0</v>
      </c>
    </row>
    <row r="12" spans="2:11" ht="15.75" x14ac:dyDescent="0.25">
      <c r="B12" s="118">
        <v>43060</v>
      </c>
      <c r="C12" s="15">
        <v>10998</v>
      </c>
      <c r="D12" s="119" t="s">
        <v>14</v>
      </c>
      <c r="E12" s="120">
        <f>239.6+19.3</f>
        <v>258.89999999999998</v>
      </c>
      <c r="F12" s="121">
        <v>9814.2000000000007</v>
      </c>
      <c r="K12" s="3">
        <f t="shared" si="0"/>
        <v>0</v>
      </c>
    </row>
    <row r="13" spans="2:11" ht="15.75" x14ac:dyDescent="0.25">
      <c r="B13" s="118">
        <v>43060</v>
      </c>
      <c r="C13" s="15">
        <v>10999</v>
      </c>
      <c r="D13" s="119" t="s">
        <v>24</v>
      </c>
      <c r="E13" s="120">
        <f>904.9+2</f>
        <v>906.9</v>
      </c>
      <c r="F13" s="121">
        <v>34333.75</v>
      </c>
    </row>
    <row r="14" spans="2:11" ht="15.75" x14ac:dyDescent="0.25">
      <c r="B14" s="118">
        <v>43060</v>
      </c>
      <c r="C14" s="15">
        <v>11000</v>
      </c>
      <c r="D14" s="119" t="s">
        <v>11</v>
      </c>
      <c r="E14" s="120">
        <f>85.8+56</f>
        <v>141.80000000000001</v>
      </c>
      <c r="F14" s="121">
        <v>5131</v>
      </c>
    </row>
    <row r="15" spans="2:11" ht="15.75" x14ac:dyDescent="0.25">
      <c r="B15" s="118">
        <v>43060</v>
      </c>
      <c r="C15" s="15">
        <v>11001</v>
      </c>
      <c r="D15" s="119" t="s">
        <v>6</v>
      </c>
      <c r="E15" s="120">
        <f>170.8+34.6</f>
        <v>205.4</v>
      </c>
      <c r="F15" s="121">
        <v>7805.2</v>
      </c>
    </row>
    <row r="16" spans="2:11" ht="15.75" x14ac:dyDescent="0.25">
      <c r="B16" s="118">
        <v>43061</v>
      </c>
      <c r="C16" s="15">
        <v>11116</v>
      </c>
      <c r="D16" s="119" t="s">
        <v>12</v>
      </c>
      <c r="E16" s="120">
        <v>137</v>
      </c>
      <c r="F16" s="121">
        <v>6028</v>
      </c>
    </row>
    <row r="17" spans="2:11" ht="15.75" x14ac:dyDescent="0.25">
      <c r="B17" s="118">
        <v>43061</v>
      </c>
      <c r="C17" s="15">
        <v>11117</v>
      </c>
      <c r="D17" s="119" t="s">
        <v>14</v>
      </c>
      <c r="E17" s="120">
        <f>63.2+16.7+23.8</f>
        <v>103.7</v>
      </c>
      <c r="F17" s="121">
        <v>5391.1</v>
      </c>
    </row>
    <row r="18" spans="2:11" ht="15.75" x14ac:dyDescent="0.25">
      <c r="B18" s="118">
        <v>43061</v>
      </c>
      <c r="C18" s="15">
        <v>11118</v>
      </c>
      <c r="D18" s="119" t="s">
        <v>8</v>
      </c>
      <c r="E18" s="120">
        <v>455.8</v>
      </c>
      <c r="F18" s="121">
        <v>16408.8</v>
      </c>
      <c r="K18" s="3">
        <f t="shared" si="0"/>
        <v>0</v>
      </c>
    </row>
    <row r="19" spans="2:11" ht="15.75" x14ac:dyDescent="0.25">
      <c r="B19" s="118">
        <v>43061</v>
      </c>
      <c r="C19" s="15">
        <v>11119</v>
      </c>
      <c r="D19" s="119" t="s">
        <v>0</v>
      </c>
      <c r="E19" s="120">
        <v>98.2</v>
      </c>
      <c r="F19" s="121">
        <v>3535.2</v>
      </c>
      <c r="K19" s="3">
        <f t="shared" si="0"/>
        <v>0</v>
      </c>
    </row>
    <row r="20" spans="2:11" ht="15.75" x14ac:dyDescent="0.25">
      <c r="B20" s="118">
        <v>43061</v>
      </c>
      <c r="C20" s="15">
        <v>11120</v>
      </c>
      <c r="D20" s="119" t="s">
        <v>11</v>
      </c>
      <c r="E20" s="120">
        <f>98.3+5.4</f>
        <v>103.7</v>
      </c>
      <c r="F20" s="121">
        <v>3668.4</v>
      </c>
      <c r="K20" s="3">
        <f t="shared" si="0"/>
        <v>0</v>
      </c>
    </row>
    <row r="21" spans="2:11" ht="15.75" x14ac:dyDescent="0.25">
      <c r="B21" s="118">
        <v>43061</v>
      </c>
      <c r="C21" s="15">
        <v>11121</v>
      </c>
      <c r="D21" s="119" t="s">
        <v>0</v>
      </c>
      <c r="E21" s="120">
        <f>7.6+9.8</f>
        <v>17.399999999999999</v>
      </c>
      <c r="F21" s="121">
        <v>903.6</v>
      </c>
    </row>
    <row r="22" spans="2:11" ht="15.75" x14ac:dyDescent="0.25">
      <c r="B22" s="118">
        <v>43061</v>
      </c>
      <c r="C22" s="15">
        <v>11123</v>
      </c>
      <c r="D22" s="119" t="s">
        <v>0</v>
      </c>
      <c r="E22" s="120">
        <v>92.9</v>
      </c>
      <c r="F22" s="121">
        <v>7246.2</v>
      </c>
    </row>
    <row r="23" spans="2:11" ht="15.75" x14ac:dyDescent="0.25">
      <c r="B23" s="118">
        <v>43062</v>
      </c>
      <c r="C23" s="15">
        <v>11255</v>
      </c>
      <c r="D23" s="119" t="s">
        <v>8</v>
      </c>
      <c r="E23" s="120">
        <v>321.60000000000002</v>
      </c>
      <c r="F23" s="121">
        <v>11577.6</v>
      </c>
    </row>
    <row r="24" spans="2:11" ht="15.75" hidden="1" x14ac:dyDescent="0.25">
      <c r="B24" s="118"/>
      <c r="C24" s="15"/>
      <c r="D24" s="119"/>
      <c r="E24" s="120"/>
      <c r="F24" s="121"/>
    </row>
    <row r="25" spans="2:11" ht="15.75" hidden="1" x14ac:dyDescent="0.25">
      <c r="B25" s="118"/>
      <c r="C25" s="15"/>
      <c r="D25" s="119"/>
      <c r="E25" s="120"/>
      <c r="F25" s="121"/>
    </row>
    <row r="26" spans="2:11" ht="15.75" hidden="1" x14ac:dyDescent="0.25">
      <c r="B26" s="118"/>
      <c r="C26" s="15"/>
      <c r="D26" s="119"/>
      <c r="E26" s="120"/>
      <c r="F26" s="121"/>
      <c r="I26" s="3">
        <f>SUM(I6:I20)</f>
        <v>963.9</v>
      </c>
      <c r="J26" s="3"/>
      <c r="K26" s="3">
        <f>SUM(K6:K20)</f>
        <v>29880.899999999998</v>
      </c>
    </row>
    <row r="27" spans="2:11" ht="15.75" hidden="1" x14ac:dyDescent="0.25">
      <c r="B27" s="118"/>
      <c r="C27" s="15"/>
      <c r="D27" s="119"/>
      <c r="E27" s="120"/>
      <c r="F27" s="121"/>
      <c r="I27" s="3"/>
      <c r="J27" s="3"/>
    </row>
    <row r="28" spans="2:11" ht="15.75" hidden="1" x14ac:dyDescent="0.25">
      <c r="B28" s="118"/>
      <c r="C28" s="15"/>
      <c r="D28" s="119"/>
      <c r="E28" s="120"/>
      <c r="F28" s="121"/>
      <c r="I28" s="3"/>
      <c r="J28" s="3"/>
    </row>
    <row r="29" spans="2:11" ht="15.75" hidden="1" x14ac:dyDescent="0.25">
      <c r="B29" s="118"/>
      <c r="C29" s="15"/>
      <c r="D29" s="119"/>
      <c r="E29" s="120"/>
      <c r="F29" s="121"/>
      <c r="I29" s="3"/>
      <c r="J29" s="3"/>
    </row>
    <row r="30" spans="2:11" ht="15.75" hidden="1" x14ac:dyDescent="0.25">
      <c r="B30" s="118"/>
      <c r="C30" s="15"/>
      <c r="D30" s="119"/>
      <c r="E30" s="120"/>
      <c r="F30" s="121"/>
      <c r="I30" s="3"/>
      <c r="J30" s="3"/>
    </row>
    <row r="31" spans="2:11" ht="15.75" hidden="1" x14ac:dyDescent="0.25">
      <c r="B31" s="118"/>
      <c r="C31" s="15"/>
      <c r="D31" s="119"/>
      <c r="E31" s="120"/>
      <c r="F31" s="121"/>
      <c r="I31" s="3"/>
      <c r="J31" s="3"/>
    </row>
    <row r="32" spans="2:11" ht="15.75" hidden="1" x14ac:dyDescent="0.25">
      <c r="B32" s="118"/>
      <c r="C32" s="15"/>
      <c r="D32" s="119"/>
      <c r="E32" s="120"/>
      <c r="F32" s="121"/>
      <c r="I32" s="3"/>
      <c r="J32" s="3"/>
    </row>
    <row r="33" spans="2:10" ht="15.75" hidden="1" x14ac:dyDescent="0.25">
      <c r="B33" s="118"/>
      <c r="C33" s="15"/>
      <c r="D33" s="119"/>
      <c r="E33" s="120"/>
      <c r="F33" s="121"/>
      <c r="I33" s="3"/>
      <c r="J33" s="3"/>
    </row>
    <row r="34" spans="2:10" ht="15.75" hidden="1" x14ac:dyDescent="0.25">
      <c r="B34" s="118"/>
      <c r="C34" s="15"/>
      <c r="D34" s="119"/>
      <c r="E34" s="120"/>
      <c r="F34" s="121"/>
      <c r="I34" s="3"/>
      <c r="J34" s="3"/>
    </row>
    <row r="35" spans="2:10" ht="15.75" hidden="1" x14ac:dyDescent="0.25">
      <c r="B35" s="118"/>
      <c r="C35" s="15"/>
      <c r="D35" s="119"/>
      <c r="E35" s="120"/>
      <c r="F35" s="121"/>
      <c r="I35" s="3"/>
      <c r="J35" s="3"/>
    </row>
    <row r="36" spans="2:10" ht="15.75" hidden="1" x14ac:dyDescent="0.25">
      <c r="B36" s="118"/>
      <c r="C36" s="15"/>
      <c r="D36" s="119"/>
      <c r="E36" s="120"/>
      <c r="F36" s="121"/>
      <c r="I36" s="3"/>
      <c r="J36" s="3"/>
    </row>
    <row r="37" spans="2:10" ht="15.75" hidden="1" x14ac:dyDescent="0.25">
      <c r="B37" s="118"/>
      <c r="C37" s="15"/>
      <c r="D37" s="119"/>
      <c r="E37" s="120"/>
      <c r="F37" s="121"/>
      <c r="I37" s="3"/>
      <c r="J37" s="3"/>
    </row>
    <row r="38" spans="2:10" ht="15.75" x14ac:dyDescent="0.25">
      <c r="B38" s="118">
        <v>43062</v>
      </c>
      <c r="C38" s="15">
        <v>11256</v>
      </c>
      <c r="D38" s="119" t="s">
        <v>14</v>
      </c>
      <c r="E38" s="120">
        <f>176.8+55.7</f>
        <v>232.5</v>
      </c>
      <c r="F38" s="121">
        <v>8370</v>
      </c>
      <c r="I38" s="3"/>
      <c r="J38" s="3"/>
    </row>
    <row r="39" spans="2:10" ht="15.75" x14ac:dyDescent="0.25">
      <c r="B39" s="118">
        <v>43062</v>
      </c>
      <c r="C39" s="15">
        <v>11257</v>
      </c>
      <c r="D39" s="119" t="s">
        <v>24</v>
      </c>
      <c r="E39" s="120">
        <f>104.8+59.6+75.8</f>
        <v>240.2</v>
      </c>
      <c r="F39" s="121">
        <v>5624.4</v>
      </c>
      <c r="I39" s="3"/>
      <c r="J39" s="3"/>
    </row>
    <row r="40" spans="2:10" ht="15.75" x14ac:dyDescent="0.25">
      <c r="B40" s="118">
        <v>43062</v>
      </c>
      <c r="C40" s="15">
        <v>11259</v>
      </c>
      <c r="D40" s="119" t="s">
        <v>0</v>
      </c>
      <c r="E40" s="120">
        <f>151.2+38.5</f>
        <v>189.7</v>
      </c>
      <c r="F40" s="121">
        <v>9573.2000000000007</v>
      </c>
      <c r="I40" s="3"/>
      <c r="J40" s="3"/>
    </row>
    <row r="41" spans="2:10" ht="15.75" x14ac:dyDescent="0.25">
      <c r="B41" s="118">
        <v>43062</v>
      </c>
      <c r="C41" s="15">
        <v>11260</v>
      </c>
      <c r="D41" s="119" t="s">
        <v>0</v>
      </c>
      <c r="E41" s="120">
        <f>7.8+11.1</f>
        <v>18.899999999999999</v>
      </c>
      <c r="F41" s="121">
        <v>955.2</v>
      </c>
      <c r="I41" s="3"/>
      <c r="J41" s="3"/>
    </row>
    <row r="42" spans="2:10" ht="15.75" x14ac:dyDescent="0.25">
      <c r="B42" s="118">
        <v>43063</v>
      </c>
      <c r="C42" s="15">
        <v>11379</v>
      </c>
      <c r="D42" s="119" t="s">
        <v>994</v>
      </c>
      <c r="E42" s="120">
        <v>22.7</v>
      </c>
      <c r="F42" s="121">
        <v>567.5</v>
      </c>
      <c r="I42" s="3"/>
      <c r="J42" s="3"/>
    </row>
    <row r="43" spans="2:10" ht="15.75" x14ac:dyDescent="0.25">
      <c r="B43" s="118">
        <v>43063</v>
      </c>
      <c r="C43" s="15">
        <v>11382</v>
      </c>
      <c r="D43" s="119" t="s">
        <v>14</v>
      </c>
      <c r="E43" s="120">
        <f>242.9+99.8</f>
        <v>342.7</v>
      </c>
      <c r="F43" s="121">
        <v>13335.2</v>
      </c>
      <c r="I43" s="3"/>
      <c r="J43" s="3"/>
    </row>
    <row r="44" spans="2:10" ht="15.75" x14ac:dyDescent="0.25">
      <c r="B44" s="118">
        <v>43063</v>
      </c>
      <c r="C44" s="15">
        <v>11384</v>
      </c>
      <c r="D44" s="119" t="s">
        <v>8</v>
      </c>
      <c r="E44" s="120">
        <f>324.5+59.2</f>
        <v>383.7</v>
      </c>
      <c r="F44" s="121">
        <v>15707.6</v>
      </c>
      <c r="I44" s="3"/>
      <c r="J44" s="3"/>
    </row>
    <row r="45" spans="2:10" ht="15.75" x14ac:dyDescent="0.25">
      <c r="B45" s="118">
        <v>43063</v>
      </c>
      <c r="C45" s="15">
        <v>11386</v>
      </c>
      <c r="D45" s="119" t="s">
        <v>12</v>
      </c>
      <c r="E45" s="120">
        <f>61.1+14.4</f>
        <v>75.5</v>
      </c>
      <c r="F45" s="121">
        <v>3509.2</v>
      </c>
      <c r="I45" s="3"/>
      <c r="J45" s="3"/>
    </row>
    <row r="46" spans="2:10" ht="15.75" x14ac:dyDescent="0.25">
      <c r="B46" s="118">
        <v>43063</v>
      </c>
      <c r="C46" s="15">
        <v>11387</v>
      </c>
      <c r="D46" s="119" t="s">
        <v>0</v>
      </c>
      <c r="E46" s="120">
        <v>29.9</v>
      </c>
      <c r="F46" s="121">
        <v>1614.6</v>
      </c>
      <c r="I46" s="3"/>
      <c r="J46" s="3"/>
    </row>
    <row r="47" spans="2:10" ht="15.75" x14ac:dyDescent="0.25">
      <c r="B47" s="118">
        <v>43063</v>
      </c>
      <c r="C47" s="15">
        <v>11391</v>
      </c>
      <c r="D47" s="119" t="s">
        <v>0</v>
      </c>
      <c r="E47" s="120">
        <f>14.2+253.7+8</f>
        <v>275.89999999999998</v>
      </c>
      <c r="F47" s="121">
        <v>9834.5</v>
      </c>
      <c r="I47" s="3"/>
      <c r="J47" s="3"/>
    </row>
    <row r="48" spans="2:10" ht="15.75" x14ac:dyDescent="0.25">
      <c r="B48" s="118">
        <v>43063</v>
      </c>
      <c r="C48" s="15">
        <v>11392</v>
      </c>
      <c r="D48" s="119" t="s">
        <v>11</v>
      </c>
      <c r="E48" s="120">
        <v>125.6</v>
      </c>
      <c r="F48" s="121">
        <v>4521.6000000000004</v>
      </c>
      <c r="I48" s="3"/>
      <c r="J48" s="3"/>
    </row>
    <row r="49" spans="1:13" ht="15.75" x14ac:dyDescent="0.25">
      <c r="B49" s="118">
        <v>43064</v>
      </c>
      <c r="C49" s="15">
        <v>11501</v>
      </c>
      <c r="D49" s="119" t="s">
        <v>659</v>
      </c>
      <c r="E49" s="120">
        <v>960.25</v>
      </c>
      <c r="F49" s="121">
        <v>33608.75</v>
      </c>
      <c r="I49" s="3"/>
      <c r="J49" s="3"/>
    </row>
    <row r="50" spans="1:13" ht="15.75" x14ac:dyDescent="0.25">
      <c r="B50" s="118">
        <v>43064</v>
      </c>
      <c r="C50" s="15">
        <v>11502</v>
      </c>
      <c r="D50" s="119" t="s">
        <v>24</v>
      </c>
      <c r="E50" s="120">
        <f>944.8+81.6+53.6</f>
        <v>1079.9999999999998</v>
      </c>
      <c r="F50" s="121">
        <v>36558.65</v>
      </c>
      <c r="I50" s="3"/>
      <c r="J50" s="3"/>
    </row>
    <row r="51" spans="1:13" ht="15.75" x14ac:dyDescent="0.25">
      <c r="B51" s="118">
        <v>43064</v>
      </c>
      <c r="C51" s="15">
        <v>11504</v>
      </c>
      <c r="D51" s="119" t="s">
        <v>12</v>
      </c>
      <c r="E51" s="120">
        <f>137.4+25.8+1</f>
        <v>164.20000000000002</v>
      </c>
      <c r="F51" s="121">
        <v>7482.2</v>
      </c>
      <c r="I51" s="3"/>
      <c r="J51" s="3"/>
    </row>
    <row r="52" spans="1:13" ht="15.75" x14ac:dyDescent="0.25">
      <c r="B52" s="118">
        <v>43064</v>
      </c>
      <c r="C52" s="15">
        <v>11506</v>
      </c>
      <c r="D52" s="119" t="s">
        <v>14</v>
      </c>
      <c r="E52" s="120">
        <f>641.6+113.8</f>
        <v>755.4</v>
      </c>
      <c r="F52" s="121">
        <v>27836</v>
      </c>
      <c r="I52" s="3"/>
      <c r="J52" s="3"/>
    </row>
    <row r="53" spans="1:13" ht="15.75" x14ac:dyDescent="0.25">
      <c r="B53" s="118">
        <v>43064</v>
      </c>
      <c r="C53" s="15">
        <v>11521</v>
      </c>
      <c r="D53" s="119" t="s">
        <v>0</v>
      </c>
      <c r="E53" s="120">
        <f>83.5+75</f>
        <v>158.5</v>
      </c>
      <c r="F53" s="121">
        <v>8189.5</v>
      </c>
      <c r="I53" s="3"/>
      <c r="J53" s="3"/>
    </row>
    <row r="54" spans="1:13" ht="15.75" x14ac:dyDescent="0.25">
      <c r="B54" s="118">
        <v>43064</v>
      </c>
      <c r="C54" s="15">
        <v>11522</v>
      </c>
      <c r="D54" s="119" t="s">
        <v>8</v>
      </c>
      <c r="E54" s="120">
        <f>624+68.2</f>
        <v>692.2</v>
      </c>
      <c r="F54" s="121">
        <v>27725.599999999999</v>
      </c>
      <c r="I54" s="3"/>
      <c r="J54" s="3"/>
    </row>
    <row r="55" spans="1:13" ht="16.5" thickBot="1" x14ac:dyDescent="0.3">
      <c r="B55" s="118">
        <v>43064</v>
      </c>
      <c r="C55" s="15">
        <v>11523</v>
      </c>
      <c r="D55" s="119" t="s">
        <v>0</v>
      </c>
      <c r="E55" s="120">
        <v>76.8</v>
      </c>
      <c r="F55" s="121">
        <v>2841.6</v>
      </c>
      <c r="I55" s="3"/>
      <c r="J55" s="3"/>
    </row>
    <row r="56" spans="1:13" ht="15.75" thickBot="1" x14ac:dyDescent="0.3">
      <c r="B56" s="29"/>
      <c r="C56" s="66"/>
      <c r="D56" s="31"/>
      <c r="E56" s="32">
        <v>0</v>
      </c>
      <c r="F56" s="33">
        <f>SUM(F3:F55)</f>
        <v>428439.45</v>
      </c>
      <c r="K56" s="3">
        <f t="shared" ref="K56:K63" si="1">J56*I56</f>
        <v>0</v>
      </c>
    </row>
    <row r="57" spans="1:13" ht="19.5" thickBot="1" x14ac:dyDescent="0.35">
      <c r="B57" s="34"/>
      <c r="C57" s="67"/>
      <c r="D57" s="36" t="s">
        <v>5</v>
      </c>
      <c r="E57" s="37">
        <f>SUM(E3:E56)</f>
        <v>11340.409999999998</v>
      </c>
      <c r="K57" s="3">
        <f t="shared" si="1"/>
        <v>0</v>
      </c>
    </row>
    <row r="58" spans="1:13" x14ac:dyDescent="0.25">
      <c r="B58" s="34"/>
      <c r="C58" s="67"/>
      <c r="D58" s="26"/>
      <c r="E58" s="39"/>
      <c r="K58" s="3">
        <f t="shared" si="1"/>
        <v>0</v>
      </c>
    </row>
    <row r="59" spans="1:13" ht="19.5" thickBot="1" x14ac:dyDescent="0.35">
      <c r="B59" s="40"/>
      <c r="C59" s="41" t="s">
        <v>15</v>
      </c>
      <c r="D59" s="149">
        <f>E57*0.3</f>
        <v>3402.1229999999991</v>
      </c>
      <c r="F59"/>
      <c r="K59" s="3">
        <f t="shared" si="1"/>
        <v>0</v>
      </c>
    </row>
    <row r="60" spans="1:13" ht="21.75" thickBot="1" x14ac:dyDescent="0.4">
      <c r="C60" s="41" t="s">
        <v>16</v>
      </c>
      <c r="D60" s="44">
        <v>4000</v>
      </c>
      <c r="E60" s="45"/>
      <c r="F60" s="258">
        <f>D59+D60</f>
        <v>7402.1229999999996</v>
      </c>
      <c r="G60" s="259"/>
      <c r="K60" s="3">
        <f t="shared" si="1"/>
        <v>0</v>
      </c>
      <c r="L60" s="46"/>
      <c r="M60" s="13"/>
    </row>
    <row r="61" spans="1:13" ht="22.5" thickTop="1" thickBot="1" x14ac:dyDescent="0.4">
      <c r="B61" s="34"/>
      <c r="C61" s="67"/>
      <c r="D61" s="146"/>
      <c r="E61" s="47" t="s">
        <v>258</v>
      </c>
      <c r="F61" s="203"/>
      <c r="G61" s="201">
        <v>-4000</v>
      </c>
      <c r="H61" s="202"/>
      <c r="L61" s="46"/>
      <c r="M61" s="13"/>
    </row>
    <row r="62" spans="1:13" ht="19.5" thickBot="1" x14ac:dyDescent="0.35">
      <c r="A62" s="26"/>
      <c r="B62" s="245"/>
      <c r="C62" s="244"/>
      <c r="D62" s="180" t="s">
        <v>998</v>
      </c>
      <c r="E62" s="47" t="s">
        <v>997</v>
      </c>
      <c r="F62" s="142"/>
      <c r="G62" s="160">
        <v>-3402</v>
      </c>
      <c r="K62" s="3">
        <f t="shared" si="1"/>
        <v>0</v>
      </c>
      <c r="L62" s="49"/>
      <c r="M62" s="49"/>
    </row>
    <row r="63" spans="1:13" ht="21.75" customHeight="1" thickTop="1" thickBot="1" x14ac:dyDescent="0.35">
      <c r="B63" s="283" t="s">
        <v>626</v>
      </c>
      <c r="C63" s="284"/>
      <c r="D63" s="243" t="s">
        <v>999</v>
      </c>
      <c r="E63" s="47" t="s">
        <v>258</v>
      </c>
      <c r="F63" s="125"/>
      <c r="G63" s="169">
        <v>0</v>
      </c>
      <c r="K63" s="3">
        <f t="shared" si="1"/>
        <v>0</v>
      </c>
      <c r="L63" s="49"/>
      <c r="M63" s="49"/>
    </row>
    <row r="64" spans="1:13" ht="20.25" customHeight="1" thickTop="1" thickBot="1" x14ac:dyDescent="0.35">
      <c r="B64" s="285"/>
      <c r="C64" s="286"/>
      <c r="D64" s="243"/>
      <c r="E64" s="47" t="s">
        <v>307</v>
      </c>
      <c r="F64" s="124"/>
      <c r="G64" s="170">
        <v>0</v>
      </c>
      <c r="L64" s="49"/>
      <c r="M64" s="49"/>
    </row>
    <row r="65" spans="3:13" ht="17.25" customHeight="1" thickTop="1" thickBot="1" x14ac:dyDescent="0.4">
      <c r="C65" s="22"/>
      <c r="D65" s="246"/>
      <c r="E65" s="4" t="s">
        <v>258</v>
      </c>
      <c r="F65" s="263">
        <f>SUM(F60:G64)</f>
        <v>0.12299999999959255</v>
      </c>
      <c r="G65" s="264"/>
      <c r="L65" s="49"/>
      <c r="M65" s="49"/>
    </row>
    <row r="66" spans="3:13" ht="19.5" customHeight="1" x14ac:dyDescent="0.35">
      <c r="C66" s="109"/>
      <c r="D66" s="136"/>
      <c r="F66" s="148"/>
      <c r="G66" s="148"/>
    </row>
    <row r="67" spans="3:13" x14ac:dyDescent="0.25">
      <c r="F67" s="27"/>
      <c r="G67" s="26"/>
    </row>
    <row r="68" spans="3:13" x14ac:dyDescent="0.25">
      <c r="D68" t="s">
        <v>9</v>
      </c>
    </row>
    <row r="69" spans="3:13" x14ac:dyDescent="0.25">
      <c r="I69" s="3">
        <f>SUM(I56:I63)</f>
        <v>0</v>
      </c>
      <c r="J69" s="3"/>
      <c r="K69" s="3">
        <f>SUM(K56:K63)</f>
        <v>0</v>
      </c>
    </row>
  </sheetData>
  <sortState ref="B5:F7">
    <sortCondition ref="C5:C7"/>
  </sortState>
  <mergeCells count="4">
    <mergeCell ref="B1:C1"/>
    <mergeCell ref="F60:G60"/>
    <mergeCell ref="B63:C64"/>
    <mergeCell ref="F65:G65"/>
  </mergeCells>
  <pageMargins left="0.70866141732283472" right="0.70866141732283472" top="0.74803149606299213" bottom="0.15748031496062992" header="0.31496062992125984" footer="0.31496062992125984"/>
  <pageSetup scale="85" orientation="portrait" horizontalDpi="0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opLeftCell="A50" workbookViewId="0">
      <selection activeCell="D61" sqref="D61"/>
    </sheetView>
  </sheetViews>
  <sheetFormatPr baseColWidth="10" defaultRowHeight="15" x14ac:dyDescent="0.25"/>
  <cols>
    <col min="1" max="1" width="3.42578125" customWidth="1"/>
    <col min="2" max="2" width="13.42578125" style="96" bestFit="1" customWidth="1"/>
    <col min="3" max="3" width="13.7109375" style="41" customWidth="1"/>
    <col min="4" max="4" width="28.5703125" bestFit="1" customWidth="1"/>
    <col min="5" max="5" width="12" bestFit="1" customWidth="1"/>
    <col min="6" max="6" width="14.140625" style="3" bestFit="1" customWidth="1"/>
    <col min="7" max="7" width="15.7109375" customWidth="1"/>
    <col min="11" max="11" width="11.42578125" style="3"/>
    <col min="13" max="13" width="11.42578125" style="3"/>
  </cols>
  <sheetData>
    <row r="1" spans="2:11" ht="19.5" thickBot="1" x14ac:dyDescent="0.35">
      <c r="B1" s="257">
        <v>43085</v>
      </c>
      <c r="C1" s="257"/>
      <c r="D1" s="249" t="s">
        <v>0</v>
      </c>
      <c r="E1" s="2" t="s">
        <v>1</v>
      </c>
      <c r="K1"/>
    </row>
    <row r="2" spans="2:11" ht="19.5" thickBot="1" x14ac:dyDescent="0.35">
      <c r="B2" s="95" t="s">
        <v>2</v>
      </c>
      <c r="C2" s="5" t="s">
        <v>3</v>
      </c>
      <c r="D2" s="5" t="s">
        <v>4</v>
      </c>
      <c r="E2" s="6" t="s">
        <v>5</v>
      </c>
      <c r="F2" s="139" t="s">
        <v>995</v>
      </c>
      <c r="G2" s="8"/>
      <c r="K2"/>
    </row>
    <row r="3" spans="2:11" ht="15.75" x14ac:dyDescent="0.25">
      <c r="B3" s="197">
        <v>43066</v>
      </c>
      <c r="C3" s="22" t="s">
        <v>1000</v>
      </c>
      <c r="D3" s="198" t="s">
        <v>8</v>
      </c>
      <c r="E3" s="199">
        <v>346.9</v>
      </c>
      <c r="F3" s="200">
        <v>12835.3</v>
      </c>
      <c r="K3"/>
    </row>
    <row r="4" spans="2:11" ht="15.75" x14ac:dyDescent="0.25">
      <c r="B4" s="118">
        <v>43066</v>
      </c>
      <c r="C4" s="15">
        <v>11737</v>
      </c>
      <c r="D4" s="119" t="s">
        <v>14</v>
      </c>
      <c r="E4" s="120">
        <v>365.6</v>
      </c>
      <c r="F4" s="121">
        <v>13534.6</v>
      </c>
      <c r="K4"/>
    </row>
    <row r="5" spans="2:11" ht="15.75" x14ac:dyDescent="0.25">
      <c r="B5" s="118">
        <v>43066</v>
      </c>
      <c r="C5" s="15">
        <v>11738</v>
      </c>
      <c r="D5" s="119" t="s">
        <v>12</v>
      </c>
      <c r="E5" s="120">
        <f>68.5+11.7</f>
        <v>80.2</v>
      </c>
      <c r="F5" s="121">
        <v>3655.8</v>
      </c>
      <c r="K5"/>
    </row>
    <row r="6" spans="2:11" ht="15.75" x14ac:dyDescent="0.25">
      <c r="B6" s="118">
        <v>43067</v>
      </c>
      <c r="C6" s="15">
        <v>11836</v>
      </c>
      <c r="D6" s="119" t="s">
        <v>14</v>
      </c>
      <c r="E6" s="120">
        <v>392.5</v>
      </c>
      <c r="F6" s="121">
        <v>14522.5</v>
      </c>
      <c r="G6" t="s">
        <v>9</v>
      </c>
      <c r="K6" s="3">
        <f t="shared" ref="K6:K20" si="0">J6*I6</f>
        <v>0</v>
      </c>
    </row>
    <row r="7" spans="2:11" ht="15.75" x14ac:dyDescent="0.25">
      <c r="B7" s="118">
        <v>43067</v>
      </c>
      <c r="C7" s="15">
        <v>11838</v>
      </c>
      <c r="D7" s="119" t="s">
        <v>0</v>
      </c>
      <c r="E7" s="120">
        <v>95.4</v>
      </c>
      <c r="F7" s="121">
        <v>3529.8</v>
      </c>
      <c r="K7" s="3">
        <f t="shared" si="0"/>
        <v>0</v>
      </c>
    </row>
    <row r="8" spans="2:11" ht="15.75" x14ac:dyDescent="0.25">
      <c r="B8" s="118">
        <v>43067</v>
      </c>
      <c r="C8" s="15">
        <v>11840</v>
      </c>
      <c r="D8" s="119" t="s">
        <v>24</v>
      </c>
      <c r="E8" s="120">
        <f>71.8+44.6+94.1</f>
        <v>210.5</v>
      </c>
      <c r="F8" s="121">
        <v>4631</v>
      </c>
      <c r="I8">
        <v>963.9</v>
      </c>
      <c r="J8">
        <v>31</v>
      </c>
      <c r="K8" s="3">
        <f t="shared" si="0"/>
        <v>29880.899999999998</v>
      </c>
    </row>
    <row r="9" spans="2:11" ht="15.75" x14ac:dyDescent="0.25">
      <c r="B9" s="118">
        <v>43067</v>
      </c>
      <c r="C9" s="15">
        <v>11841</v>
      </c>
      <c r="D9" s="119" t="s">
        <v>8</v>
      </c>
      <c r="E9" s="120">
        <f>389.1+116.4+21.7</f>
        <v>527.20000000000005</v>
      </c>
      <c r="F9" s="121">
        <v>20076.5</v>
      </c>
      <c r="K9" s="3">
        <f t="shared" si="0"/>
        <v>0</v>
      </c>
    </row>
    <row r="10" spans="2:11" ht="15.75" x14ac:dyDescent="0.25">
      <c r="B10" s="118">
        <v>43067</v>
      </c>
      <c r="C10" s="15">
        <v>11842</v>
      </c>
      <c r="D10" s="119" t="s">
        <v>0</v>
      </c>
      <c r="E10" s="120">
        <f>146.9+46.9</f>
        <v>193.8</v>
      </c>
      <c r="F10" s="121">
        <v>9946.6</v>
      </c>
      <c r="K10" s="3">
        <f t="shared" si="0"/>
        <v>0</v>
      </c>
    </row>
    <row r="11" spans="2:11" ht="15.75" x14ac:dyDescent="0.25">
      <c r="B11" s="118">
        <v>43067</v>
      </c>
      <c r="C11" s="15">
        <v>11843</v>
      </c>
      <c r="D11" s="119" t="s">
        <v>0</v>
      </c>
      <c r="E11" s="120">
        <v>172.4</v>
      </c>
      <c r="F11" s="121">
        <v>6551.2</v>
      </c>
      <c r="K11" s="3">
        <f t="shared" si="0"/>
        <v>0</v>
      </c>
    </row>
    <row r="12" spans="2:11" ht="15.75" x14ac:dyDescent="0.25">
      <c r="B12" s="118">
        <v>43067</v>
      </c>
      <c r="C12" s="15">
        <v>11844</v>
      </c>
      <c r="D12" s="119" t="s">
        <v>12</v>
      </c>
      <c r="E12" s="120">
        <f>74.6+5.6</f>
        <v>80.199999999999989</v>
      </c>
      <c r="F12" s="121">
        <v>3508.2</v>
      </c>
      <c r="K12" s="3">
        <f t="shared" si="0"/>
        <v>0</v>
      </c>
    </row>
    <row r="13" spans="2:11" ht="15.75" x14ac:dyDescent="0.25">
      <c r="B13" s="118">
        <v>43069</v>
      </c>
      <c r="C13" s="15">
        <v>12090</v>
      </c>
      <c r="D13" s="119" t="s">
        <v>8</v>
      </c>
      <c r="E13" s="120">
        <f>242.3+79.8+101</f>
        <v>423.1</v>
      </c>
      <c r="F13" s="121">
        <v>16855.8</v>
      </c>
    </row>
    <row r="14" spans="2:11" ht="15.75" x14ac:dyDescent="0.25">
      <c r="B14" s="118">
        <v>43069</v>
      </c>
      <c r="C14" s="15">
        <v>12091</v>
      </c>
      <c r="D14" s="119" t="s">
        <v>14</v>
      </c>
      <c r="E14" s="120">
        <f>244.3+100+97</f>
        <v>441.3</v>
      </c>
      <c r="F14" s="121">
        <v>14478.4</v>
      </c>
    </row>
    <row r="15" spans="2:11" ht="15.75" x14ac:dyDescent="0.25">
      <c r="B15" s="118">
        <v>43069</v>
      </c>
      <c r="C15" s="15">
        <v>12092</v>
      </c>
      <c r="D15" s="119" t="s">
        <v>659</v>
      </c>
      <c r="E15" s="120">
        <v>865.4</v>
      </c>
      <c r="F15" s="121">
        <v>29423.599999999999</v>
      </c>
    </row>
    <row r="16" spans="2:11" ht="15.75" x14ac:dyDescent="0.25">
      <c r="B16" s="118">
        <v>43069</v>
      </c>
      <c r="C16" s="15">
        <v>12093</v>
      </c>
      <c r="D16" s="119" t="s">
        <v>12</v>
      </c>
      <c r="E16" s="120">
        <f>69.4+14.6</f>
        <v>84</v>
      </c>
      <c r="F16" s="121">
        <v>4108.6000000000004</v>
      </c>
    </row>
    <row r="17" spans="2:11" ht="15.75" x14ac:dyDescent="0.25">
      <c r="B17" s="118">
        <v>43069</v>
      </c>
      <c r="C17" s="15">
        <v>12094</v>
      </c>
      <c r="D17" s="119" t="s">
        <v>0</v>
      </c>
      <c r="E17" s="120">
        <v>29.8</v>
      </c>
      <c r="F17" s="121">
        <v>1668.8</v>
      </c>
    </row>
    <row r="18" spans="2:11" ht="15.75" x14ac:dyDescent="0.25">
      <c r="B18" s="118">
        <v>43069</v>
      </c>
      <c r="C18" s="15">
        <v>12095</v>
      </c>
      <c r="D18" s="119" t="s">
        <v>0</v>
      </c>
      <c r="E18" s="120">
        <f>6.6+9.1</f>
        <v>15.7</v>
      </c>
      <c r="F18" s="121">
        <v>1347.5</v>
      </c>
      <c r="K18" s="3">
        <f t="shared" si="0"/>
        <v>0</v>
      </c>
    </row>
    <row r="19" spans="2:11" ht="15.75" x14ac:dyDescent="0.25">
      <c r="B19" s="118">
        <v>43069</v>
      </c>
      <c r="C19" s="15">
        <v>12096</v>
      </c>
      <c r="D19" s="119" t="s">
        <v>0</v>
      </c>
      <c r="E19" s="120">
        <f>3.9+1+5.5</f>
        <v>10.4</v>
      </c>
      <c r="F19" s="121">
        <v>1108.4000000000001</v>
      </c>
      <c r="K19" s="3">
        <f t="shared" si="0"/>
        <v>0</v>
      </c>
    </row>
    <row r="20" spans="2:11" ht="15.75" x14ac:dyDescent="0.25">
      <c r="B20" s="118">
        <v>43069</v>
      </c>
      <c r="C20" s="15">
        <v>12097</v>
      </c>
      <c r="D20" s="119" t="s">
        <v>8</v>
      </c>
      <c r="E20" s="120">
        <v>30.9</v>
      </c>
      <c r="F20" s="121">
        <v>834.3</v>
      </c>
      <c r="K20" s="3">
        <f t="shared" si="0"/>
        <v>0</v>
      </c>
    </row>
    <row r="21" spans="2:11" ht="15.75" x14ac:dyDescent="0.25">
      <c r="B21" s="118">
        <v>43069</v>
      </c>
      <c r="C21" s="15">
        <v>12098</v>
      </c>
      <c r="D21" s="119" t="s">
        <v>24</v>
      </c>
      <c r="E21" s="120">
        <f>894+55.8+10.3</f>
        <v>960.09999999999991</v>
      </c>
      <c r="F21" s="121">
        <v>32039</v>
      </c>
    </row>
    <row r="22" spans="2:11" ht="15.75" x14ac:dyDescent="0.25">
      <c r="B22" s="118">
        <v>43069</v>
      </c>
      <c r="C22" s="15">
        <v>12099</v>
      </c>
      <c r="D22" s="119" t="s">
        <v>0</v>
      </c>
      <c r="E22" s="120">
        <f>249.2+61.8</f>
        <v>311</v>
      </c>
      <c r="F22" s="121">
        <v>15665.6</v>
      </c>
    </row>
    <row r="23" spans="2:11" ht="15.75" x14ac:dyDescent="0.25">
      <c r="B23" s="118">
        <v>43070</v>
      </c>
      <c r="C23" s="15">
        <v>12216</v>
      </c>
      <c r="D23" s="119" t="s">
        <v>0</v>
      </c>
      <c r="E23" s="120">
        <v>405.1</v>
      </c>
      <c r="F23" s="121">
        <v>15393.8</v>
      </c>
    </row>
    <row r="24" spans="2:11" ht="15.75" hidden="1" x14ac:dyDescent="0.25">
      <c r="B24" s="118"/>
      <c r="C24" s="15"/>
      <c r="D24" s="119"/>
      <c r="E24" s="120"/>
      <c r="F24" s="121"/>
    </row>
    <row r="25" spans="2:11" ht="15.75" hidden="1" x14ac:dyDescent="0.25">
      <c r="B25" s="118"/>
      <c r="C25" s="15"/>
      <c r="D25" s="119"/>
      <c r="E25" s="120"/>
      <c r="F25" s="121"/>
    </row>
    <row r="26" spans="2:11" ht="15.75" hidden="1" x14ac:dyDescent="0.25">
      <c r="B26" s="118"/>
      <c r="C26" s="15"/>
      <c r="D26" s="119"/>
      <c r="E26" s="120"/>
      <c r="F26" s="121"/>
      <c r="I26" s="3">
        <f>SUM(I6:I20)</f>
        <v>963.9</v>
      </c>
      <c r="J26" s="3"/>
      <c r="K26" s="3">
        <f>SUM(K6:K20)</f>
        <v>29880.899999999998</v>
      </c>
    </row>
    <row r="27" spans="2:11" ht="15.75" hidden="1" x14ac:dyDescent="0.25">
      <c r="B27" s="118"/>
      <c r="C27" s="15"/>
      <c r="D27" s="119"/>
      <c r="E27" s="120"/>
      <c r="F27" s="121"/>
      <c r="I27" s="3"/>
      <c r="J27" s="3"/>
    </row>
    <row r="28" spans="2:11" ht="15.75" hidden="1" x14ac:dyDescent="0.25">
      <c r="B28" s="118"/>
      <c r="C28" s="15"/>
      <c r="D28" s="119"/>
      <c r="E28" s="120"/>
      <c r="F28" s="121"/>
      <c r="I28" s="3"/>
      <c r="J28" s="3"/>
    </row>
    <row r="29" spans="2:11" ht="15.75" hidden="1" x14ac:dyDescent="0.25">
      <c r="B29" s="118"/>
      <c r="C29" s="15"/>
      <c r="D29" s="119"/>
      <c r="E29" s="120"/>
      <c r="F29" s="121"/>
      <c r="I29" s="3"/>
      <c r="J29" s="3"/>
    </row>
    <row r="30" spans="2:11" ht="15.75" hidden="1" x14ac:dyDescent="0.25">
      <c r="B30" s="118"/>
      <c r="C30" s="15"/>
      <c r="D30" s="119"/>
      <c r="E30" s="120"/>
      <c r="F30" s="121"/>
      <c r="I30" s="3"/>
      <c r="J30" s="3"/>
    </row>
    <row r="31" spans="2:11" ht="15.75" hidden="1" x14ac:dyDescent="0.25">
      <c r="B31" s="118"/>
      <c r="C31" s="15"/>
      <c r="D31" s="119"/>
      <c r="E31" s="120"/>
      <c r="F31" s="121"/>
      <c r="I31" s="3"/>
      <c r="J31" s="3"/>
    </row>
    <row r="32" spans="2:11" ht="15.75" hidden="1" x14ac:dyDescent="0.25">
      <c r="B32" s="118"/>
      <c r="C32" s="15"/>
      <c r="D32" s="119"/>
      <c r="E32" s="120"/>
      <c r="F32" s="121"/>
      <c r="I32" s="3"/>
      <c r="J32" s="3"/>
    </row>
    <row r="33" spans="2:10" ht="15.75" hidden="1" x14ac:dyDescent="0.25">
      <c r="B33" s="118"/>
      <c r="C33" s="15"/>
      <c r="D33" s="119"/>
      <c r="E33" s="120"/>
      <c r="F33" s="121"/>
      <c r="I33" s="3"/>
      <c r="J33" s="3"/>
    </row>
    <row r="34" spans="2:10" ht="15.75" hidden="1" x14ac:dyDescent="0.25">
      <c r="B34" s="118"/>
      <c r="C34" s="15"/>
      <c r="D34" s="119"/>
      <c r="E34" s="120"/>
      <c r="F34" s="121"/>
      <c r="I34" s="3"/>
      <c r="J34" s="3"/>
    </row>
    <row r="35" spans="2:10" ht="15.75" hidden="1" x14ac:dyDescent="0.25">
      <c r="B35" s="118"/>
      <c r="C35" s="15"/>
      <c r="D35" s="119"/>
      <c r="E35" s="120"/>
      <c r="F35" s="121"/>
      <c r="I35" s="3"/>
      <c r="J35" s="3"/>
    </row>
    <row r="36" spans="2:10" ht="15.75" hidden="1" x14ac:dyDescent="0.25">
      <c r="B36" s="118"/>
      <c r="C36" s="15"/>
      <c r="D36" s="119"/>
      <c r="E36" s="120"/>
      <c r="F36" s="121"/>
      <c r="I36" s="3"/>
      <c r="J36" s="3"/>
    </row>
    <row r="37" spans="2:10" ht="15.75" hidden="1" x14ac:dyDescent="0.25">
      <c r="B37" s="118"/>
      <c r="C37" s="15"/>
      <c r="D37" s="119"/>
      <c r="E37" s="120"/>
      <c r="F37" s="121"/>
      <c r="I37" s="3"/>
      <c r="J37" s="3"/>
    </row>
    <row r="38" spans="2:10" ht="15.75" x14ac:dyDescent="0.25">
      <c r="B38" s="118">
        <v>43070</v>
      </c>
      <c r="C38" s="15">
        <v>12217</v>
      </c>
      <c r="D38" s="119" t="s">
        <v>8</v>
      </c>
      <c r="E38" s="120">
        <v>433.9</v>
      </c>
      <c r="F38" s="121">
        <v>16488.2</v>
      </c>
      <c r="I38" s="3"/>
      <c r="J38" s="3"/>
    </row>
    <row r="39" spans="2:10" ht="15.75" x14ac:dyDescent="0.25">
      <c r="B39" s="118">
        <v>43070</v>
      </c>
      <c r="C39" s="15">
        <v>12237</v>
      </c>
      <c r="D39" s="119" t="s">
        <v>14</v>
      </c>
      <c r="E39" s="120">
        <f>390.1+33.6+10.6+57.2</f>
        <v>491.50000000000006</v>
      </c>
      <c r="F39" s="121">
        <v>17275.599999999999</v>
      </c>
      <c r="I39" s="3"/>
      <c r="J39" s="3"/>
    </row>
    <row r="40" spans="2:10" ht="15.75" x14ac:dyDescent="0.25">
      <c r="B40" s="118">
        <v>43070</v>
      </c>
      <c r="C40" s="15">
        <v>12238</v>
      </c>
      <c r="D40" s="119" t="s">
        <v>0</v>
      </c>
      <c r="E40" s="120">
        <f>122+29.6</f>
        <v>151.6</v>
      </c>
      <c r="F40" s="121">
        <v>3767.6</v>
      </c>
      <c r="I40" s="3"/>
      <c r="J40" s="3"/>
    </row>
    <row r="41" spans="2:10" ht="15.75" x14ac:dyDescent="0.25">
      <c r="B41" s="118">
        <v>43070</v>
      </c>
      <c r="C41" s="15">
        <v>12239</v>
      </c>
      <c r="D41" s="119" t="s">
        <v>0</v>
      </c>
      <c r="E41" s="120">
        <f>39.8+9.1+6.4+15.5</f>
        <v>70.8</v>
      </c>
      <c r="F41" s="121">
        <v>4179.3</v>
      </c>
      <c r="I41" s="3"/>
      <c r="J41" s="3"/>
    </row>
    <row r="42" spans="2:10" ht="15.75" x14ac:dyDescent="0.25">
      <c r="B42" s="118">
        <v>43070</v>
      </c>
      <c r="C42" s="15">
        <v>12240</v>
      </c>
      <c r="D42" s="119" t="s">
        <v>10</v>
      </c>
      <c r="E42" s="120">
        <f>116.8</f>
        <v>116.8</v>
      </c>
      <c r="F42" s="121">
        <v>4088</v>
      </c>
      <c r="I42" s="3"/>
      <c r="J42" s="3"/>
    </row>
    <row r="43" spans="2:10" ht="15.75" x14ac:dyDescent="0.25">
      <c r="B43" s="118">
        <v>43070</v>
      </c>
      <c r="C43" s="15">
        <v>12241</v>
      </c>
      <c r="D43" s="119" t="s">
        <v>12</v>
      </c>
      <c r="E43" s="120">
        <v>76.3</v>
      </c>
      <c r="F43" s="121">
        <v>3586.1</v>
      </c>
      <c r="I43" s="3"/>
      <c r="J43" s="3"/>
    </row>
    <row r="44" spans="2:10" ht="15.75" x14ac:dyDescent="0.25">
      <c r="B44" s="118">
        <v>43070</v>
      </c>
      <c r="C44" s="15">
        <v>12242</v>
      </c>
      <c r="D44" s="119" t="s">
        <v>0</v>
      </c>
      <c r="E44" s="120">
        <v>17.399999999999999</v>
      </c>
      <c r="F44" s="121">
        <v>1009.2</v>
      </c>
      <c r="I44" s="3"/>
      <c r="J44" s="3"/>
    </row>
    <row r="45" spans="2:10" ht="15.75" x14ac:dyDescent="0.25">
      <c r="B45" s="118">
        <v>43071</v>
      </c>
      <c r="C45" s="15">
        <v>12372</v>
      </c>
      <c r="D45" s="119" t="s">
        <v>8</v>
      </c>
      <c r="E45" s="120">
        <f>417.3+68.7+20.3</f>
        <v>506.3</v>
      </c>
      <c r="F45" s="121">
        <v>22631.200000000001</v>
      </c>
      <c r="I45" s="3"/>
      <c r="J45" s="3"/>
    </row>
    <row r="46" spans="2:10" ht="15.75" x14ac:dyDescent="0.25">
      <c r="B46" s="118">
        <v>43071</v>
      </c>
      <c r="C46" s="15">
        <v>12373</v>
      </c>
      <c r="D46" s="119" t="s">
        <v>14</v>
      </c>
      <c r="E46" s="120">
        <f>387.9+215.6</f>
        <v>603.5</v>
      </c>
      <c r="F46" s="121">
        <v>22674.1</v>
      </c>
      <c r="I46" s="3"/>
      <c r="J46" s="3"/>
    </row>
    <row r="47" spans="2:10" ht="15.75" x14ac:dyDescent="0.25">
      <c r="B47" s="118">
        <v>43071</v>
      </c>
      <c r="C47" s="15">
        <v>12374</v>
      </c>
      <c r="D47" s="119" t="s">
        <v>12</v>
      </c>
      <c r="E47" s="120">
        <v>191.2</v>
      </c>
      <c r="F47" s="121">
        <v>9368.7999999999993</v>
      </c>
      <c r="I47" s="3"/>
      <c r="J47" s="3"/>
    </row>
    <row r="48" spans="2:10" ht="15.75" x14ac:dyDescent="0.25">
      <c r="B48" s="118">
        <v>43071</v>
      </c>
      <c r="C48" s="15">
        <v>12375</v>
      </c>
      <c r="D48" s="119" t="s">
        <v>0</v>
      </c>
      <c r="E48" s="120">
        <f>6+115+107.7+69.7+896.7</f>
        <v>1195.0999999999999</v>
      </c>
      <c r="F48" s="121">
        <v>37564.199999999997</v>
      </c>
      <c r="I48" s="3"/>
      <c r="J48" s="3"/>
    </row>
    <row r="49" spans="1:13" ht="15.75" x14ac:dyDescent="0.25">
      <c r="B49" s="118">
        <v>43071</v>
      </c>
      <c r="C49" s="15">
        <v>12376</v>
      </c>
      <c r="D49" s="119" t="s">
        <v>0</v>
      </c>
      <c r="E49" s="120">
        <f>104.1+68.1+10.5+11.7</f>
        <v>194.39999999999998</v>
      </c>
      <c r="F49" s="121">
        <v>10059.9</v>
      </c>
      <c r="I49" s="3"/>
      <c r="J49" s="3"/>
    </row>
    <row r="50" spans="1:13" ht="15.75" x14ac:dyDescent="0.25">
      <c r="B50" s="118">
        <v>43071</v>
      </c>
      <c r="C50" s="15">
        <v>12377</v>
      </c>
      <c r="D50" s="119" t="s">
        <v>0</v>
      </c>
      <c r="E50" s="120">
        <f>189+30.2+6.2+21.3+1</f>
        <v>247.7</v>
      </c>
      <c r="F50" s="121">
        <v>9802.2000000000007</v>
      </c>
      <c r="I50" s="3"/>
      <c r="J50" s="3"/>
    </row>
    <row r="51" spans="1:13" ht="16.5" thickBot="1" x14ac:dyDescent="0.3">
      <c r="B51" s="118"/>
      <c r="C51" s="15"/>
      <c r="D51" s="119"/>
      <c r="E51" s="120"/>
      <c r="F51" s="121"/>
      <c r="I51" s="3"/>
      <c r="J51" s="3"/>
    </row>
    <row r="52" spans="1:13" ht="15.75" thickBot="1" x14ac:dyDescent="0.3">
      <c r="B52" s="29"/>
      <c r="C52" s="66"/>
      <c r="D52" s="31"/>
      <c r="E52" s="32">
        <v>0</v>
      </c>
      <c r="F52" s="33">
        <f>SUM(F3:F51)</f>
        <v>388209.69999999995</v>
      </c>
      <c r="K52" s="3">
        <f t="shared" ref="K52:K59" si="1">J52*I52</f>
        <v>0</v>
      </c>
    </row>
    <row r="53" spans="1:13" ht="19.5" thickBot="1" x14ac:dyDescent="0.35">
      <c r="B53" s="34"/>
      <c r="C53" s="67"/>
      <c r="D53" s="36" t="s">
        <v>5</v>
      </c>
      <c r="E53" s="37">
        <f>SUM(E3:E52)</f>
        <v>10338.000000000002</v>
      </c>
      <c r="K53" s="3">
        <f t="shared" si="1"/>
        <v>0</v>
      </c>
    </row>
    <row r="54" spans="1:13" x14ac:dyDescent="0.25">
      <c r="B54" s="34"/>
      <c r="C54" s="67"/>
      <c r="D54" s="26"/>
      <c r="E54" s="39"/>
      <c r="K54" s="3">
        <f t="shared" si="1"/>
        <v>0</v>
      </c>
    </row>
    <row r="55" spans="1:13" ht="19.5" thickBot="1" x14ac:dyDescent="0.35">
      <c r="B55" s="40"/>
      <c r="C55" s="41" t="s">
        <v>15</v>
      </c>
      <c r="D55" s="149">
        <f>E53*0.3</f>
        <v>3101.4000000000005</v>
      </c>
      <c r="F55"/>
      <c r="K55" s="3">
        <f t="shared" si="1"/>
        <v>0</v>
      </c>
    </row>
    <row r="56" spans="1:13" ht="21.75" thickBot="1" x14ac:dyDescent="0.4">
      <c r="C56" s="41" t="s">
        <v>16</v>
      </c>
      <c r="D56" s="44">
        <v>3714</v>
      </c>
      <c r="E56" s="45"/>
      <c r="F56" s="258">
        <f>D55+D56</f>
        <v>6815.4000000000005</v>
      </c>
      <c r="G56" s="259"/>
      <c r="K56" s="3">
        <f t="shared" si="1"/>
        <v>0</v>
      </c>
      <c r="L56" s="46"/>
      <c r="M56" s="13"/>
    </row>
    <row r="57" spans="1:13" ht="22.5" thickTop="1" thickBot="1" x14ac:dyDescent="0.4">
      <c r="B57" s="34"/>
      <c r="C57" s="67"/>
      <c r="D57" s="146"/>
      <c r="E57" s="47" t="s">
        <v>258</v>
      </c>
      <c r="F57" s="203"/>
      <c r="G57" s="201">
        <v>-3714</v>
      </c>
      <c r="H57" s="202"/>
      <c r="L57" s="46"/>
      <c r="M57" s="13"/>
    </row>
    <row r="58" spans="1:13" ht="19.5" thickBot="1" x14ac:dyDescent="0.35">
      <c r="A58" s="26"/>
      <c r="B58" s="245"/>
      <c r="C58" s="244"/>
      <c r="D58" s="180" t="s">
        <v>996</v>
      </c>
      <c r="E58" s="47" t="s">
        <v>258</v>
      </c>
      <c r="F58" s="142"/>
      <c r="G58" s="160">
        <v>-2572</v>
      </c>
      <c r="K58" s="3">
        <f t="shared" si="1"/>
        <v>0</v>
      </c>
      <c r="L58" s="49"/>
      <c r="M58" s="49"/>
    </row>
    <row r="59" spans="1:13" ht="21.75" customHeight="1" thickTop="1" thickBot="1" x14ac:dyDescent="0.35">
      <c r="B59" s="283" t="s">
        <v>626</v>
      </c>
      <c r="C59" s="284"/>
      <c r="D59" s="256" t="s">
        <v>1001</v>
      </c>
      <c r="E59" s="47" t="s">
        <v>258</v>
      </c>
      <c r="F59" s="125"/>
      <c r="G59" s="169">
        <v>-529</v>
      </c>
      <c r="K59" s="3">
        <f t="shared" si="1"/>
        <v>0</v>
      </c>
      <c r="L59" s="49"/>
      <c r="M59" s="49"/>
    </row>
    <row r="60" spans="1:13" ht="20.25" customHeight="1" thickTop="1" thickBot="1" x14ac:dyDescent="0.35">
      <c r="B60" s="285"/>
      <c r="C60" s="286"/>
      <c r="D60" s="255" t="s">
        <v>1011</v>
      </c>
      <c r="E60" s="47" t="s">
        <v>307</v>
      </c>
      <c r="F60" s="124"/>
      <c r="G60" s="170">
        <v>0</v>
      </c>
      <c r="L60" s="49"/>
      <c r="M60" s="49"/>
    </row>
    <row r="61" spans="1:13" ht="17.25" customHeight="1" thickTop="1" thickBot="1" x14ac:dyDescent="0.4">
      <c r="C61" s="22"/>
      <c r="D61" s="246"/>
      <c r="E61" s="4" t="s">
        <v>258</v>
      </c>
      <c r="F61" s="291">
        <f>SUM(F56:G60)</f>
        <v>0.4000000000005457</v>
      </c>
      <c r="G61" s="292"/>
      <c r="L61" s="49"/>
      <c r="M61" s="49"/>
    </row>
    <row r="62" spans="1:13" ht="19.5" customHeight="1" x14ac:dyDescent="0.35">
      <c r="C62" s="109"/>
      <c r="D62" s="136"/>
      <c r="F62" s="148"/>
      <c r="G62" s="148"/>
    </row>
    <row r="63" spans="1:13" x14ac:dyDescent="0.25">
      <c r="F63" s="27"/>
      <c r="G63" s="26"/>
    </row>
    <row r="64" spans="1:13" x14ac:dyDescent="0.25">
      <c r="D64" t="s">
        <v>9</v>
      </c>
    </row>
    <row r="65" spans="9:11" x14ac:dyDescent="0.25">
      <c r="I65" s="3">
        <f>SUM(I52:I59)</f>
        <v>0</v>
      </c>
      <c r="J65" s="3"/>
      <c r="K65" s="3">
        <f>SUM(K52:K59)</f>
        <v>0</v>
      </c>
    </row>
  </sheetData>
  <mergeCells count="4">
    <mergeCell ref="B1:C1"/>
    <mergeCell ref="F56:G56"/>
    <mergeCell ref="B59:C60"/>
    <mergeCell ref="F61:G61"/>
  </mergeCells>
  <pageMargins left="0.70866141732283472" right="0.70866141732283472" top="0.74803149606299213" bottom="0.74803149606299213" header="0.31496062992125984" footer="0.31496062992125984"/>
  <pageSetup scale="85" orientation="portrait" horizontalDpi="0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65"/>
  <sheetViews>
    <sheetView topLeftCell="A44" workbookViewId="0">
      <selection activeCell="D64" sqref="D64"/>
    </sheetView>
  </sheetViews>
  <sheetFormatPr baseColWidth="10" defaultRowHeight="15" x14ac:dyDescent="0.25"/>
  <cols>
    <col min="1" max="1" width="3.42578125" customWidth="1"/>
    <col min="2" max="2" width="13.42578125" style="96" bestFit="1" customWidth="1"/>
    <col min="3" max="3" width="13.7109375" style="41" customWidth="1"/>
    <col min="4" max="4" width="28.5703125" bestFit="1" customWidth="1"/>
    <col min="5" max="5" width="12" bestFit="1" customWidth="1"/>
    <col min="6" max="6" width="14.140625" style="3" bestFit="1" customWidth="1"/>
    <col min="7" max="7" width="15.7109375" customWidth="1"/>
    <col min="11" max="11" width="11.42578125" style="3"/>
    <col min="13" max="13" width="11.42578125" style="3"/>
  </cols>
  <sheetData>
    <row r="1" spans="2:11" ht="19.5" thickBot="1" x14ac:dyDescent="0.35">
      <c r="B1" s="257">
        <v>43084</v>
      </c>
      <c r="C1" s="257"/>
      <c r="D1" s="250" t="s">
        <v>0</v>
      </c>
      <c r="E1" s="2" t="s">
        <v>1</v>
      </c>
      <c r="K1"/>
    </row>
    <row r="2" spans="2:11" ht="19.5" thickBot="1" x14ac:dyDescent="0.35">
      <c r="B2" s="95" t="s">
        <v>2</v>
      </c>
      <c r="C2" s="5" t="s">
        <v>3</v>
      </c>
      <c r="D2" s="5" t="s">
        <v>4</v>
      </c>
      <c r="E2" s="6" t="s">
        <v>5</v>
      </c>
      <c r="F2" s="139" t="s">
        <v>1003</v>
      </c>
      <c r="G2" s="8"/>
      <c r="K2"/>
    </row>
    <row r="3" spans="2:11" ht="15.75" x14ac:dyDescent="0.25">
      <c r="B3" s="197">
        <v>43073</v>
      </c>
      <c r="C3" s="22">
        <v>12584</v>
      </c>
      <c r="D3" s="198" t="s">
        <v>1004</v>
      </c>
      <c r="E3" s="199">
        <f>437.3</f>
        <v>437.3</v>
      </c>
      <c r="F3" s="200">
        <v>17054.7</v>
      </c>
      <c r="K3"/>
    </row>
    <row r="4" spans="2:11" ht="15.75" x14ac:dyDescent="0.25">
      <c r="B4" s="118">
        <v>43073</v>
      </c>
      <c r="C4" s="15">
        <v>12585</v>
      </c>
      <c r="D4" s="119" t="s">
        <v>0</v>
      </c>
      <c r="E4" s="120">
        <v>94.4</v>
      </c>
      <c r="F4" s="121">
        <v>3681.6</v>
      </c>
      <c r="K4"/>
    </row>
    <row r="5" spans="2:11" ht="15.75" x14ac:dyDescent="0.25">
      <c r="B5" s="118">
        <v>43073</v>
      </c>
      <c r="C5" s="15">
        <v>12589</v>
      </c>
      <c r="D5" s="119" t="s">
        <v>14</v>
      </c>
      <c r="E5" s="120">
        <f>56.2+26.3+52.8+125.4</f>
        <v>260.70000000000005</v>
      </c>
      <c r="F5" s="121">
        <v>9996.5</v>
      </c>
      <c r="K5"/>
    </row>
    <row r="6" spans="2:11" ht="15.75" x14ac:dyDescent="0.25">
      <c r="B6" s="118">
        <v>43073</v>
      </c>
      <c r="C6" s="15">
        <v>12590</v>
      </c>
      <c r="D6" s="119" t="s">
        <v>0</v>
      </c>
      <c r="E6" s="120">
        <f>87.8+64.8</f>
        <v>152.6</v>
      </c>
      <c r="F6" s="121">
        <v>5757</v>
      </c>
      <c r="G6" t="s">
        <v>9</v>
      </c>
      <c r="K6" s="3">
        <f t="shared" ref="K6:K20" si="0">J6*I6</f>
        <v>0</v>
      </c>
    </row>
    <row r="7" spans="2:11" ht="15.75" x14ac:dyDescent="0.25">
      <c r="B7" s="118">
        <v>43074</v>
      </c>
      <c r="C7" s="15">
        <v>12694</v>
      </c>
      <c r="D7" s="119" t="s">
        <v>659</v>
      </c>
      <c r="E7" s="120">
        <v>970</v>
      </c>
      <c r="F7" s="121">
        <v>34920</v>
      </c>
      <c r="K7" s="3">
        <f t="shared" si="0"/>
        <v>0</v>
      </c>
    </row>
    <row r="8" spans="2:11" ht="15.75" x14ac:dyDescent="0.25">
      <c r="B8" s="118">
        <v>43074</v>
      </c>
      <c r="C8" s="15">
        <v>12695</v>
      </c>
      <c r="D8" s="119" t="s">
        <v>1004</v>
      </c>
      <c r="E8" s="120">
        <v>359.4</v>
      </c>
      <c r="F8" s="121">
        <v>14016.6</v>
      </c>
      <c r="K8" s="3">
        <f t="shared" si="0"/>
        <v>0</v>
      </c>
    </row>
    <row r="9" spans="2:11" ht="15.75" x14ac:dyDescent="0.25">
      <c r="B9" s="118">
        <v>43074</v>
      </c>
      <c r="C9" s="15">
        <v>12696</v>
      </c>
      <c r="D9" s="119" t="s">
        <v>14</v>
      </c>
      <c r="E9" s="120">
        <f>263.7+112.4+16.8</f>
        <v>392.90000000000003</v>
      </c>
      <c r="F9" s="121">
        <v>14784.3</v>
      </c>
      <c r="K9" s="3">
        <f t="shared" si="0"/>
        <v>0</v>
      </c>
    </row>
    <row r="10" spans="2:11" ht="15.75" x14ac:dyDescent="0.25">
      <c r="B10" s="118">
        <v>43074</v>
      </c>
      <c r="C10" s="15">
        <v>12697</v>
      </c>
      <c r="D10" s="119" t="s">
        <v>0</v>
      </c>
      <c r="E10" s="120">
        <f>93.6+55</f>
        <v>148.6</v>
      </c>
      <c r="F10" s="121">
        <v>5630.4</v>
      </c>
      <c r="K10" s="3">
        <f t="shared" si="0"/>
        <v>0</v>
      </c>
    </row>
    <row r="11" spans="2:11" ht="15.75" x14ac:dyDescent="0.25">
      <c r="B11" s="118">
        <v>43074</v>
      </c>
      <c r="C11" s="15">
        <v>12698</v>
      </c>
      <c r="D11" s="119" t="s">
        <v>0</v>
      </c>
      <c r="E11" s="120">
        <f>44+7.4+12.3</f>
        <v>63.7</v>
      </c>
      <c r="F11" s="121">
        <v>2838.4</v>
      </c>
      <c r="K11" s="3">
        <f t="shared" si="0"/>
        <v>0</v>
      </c>
    </row>
    <row r="12" spans="2:11" ht="15.75" x14ac:dyDescent="0.25">
      <c r="B12" s="118">
        <v>43075</v>
      </c>
      <c r="C12" s="15">
        <v>12826</v>
      </c>
      <c r="D12" s="119" t="s">
        <v>1004</v>
      </c>
      <c r="E12" s="120">
        <f>452.3+58.2</f>
        <v>510.5</v>
      </c>
      <c r="F12" s="121">
        <v>18687.3</v>
      </c>
      <c r="K12" s="3">
        <f t="shared" si="0"/>
        <v>0</v>
      </c>
    </row>
    <row r="13" spans="2:11" ht="15.75" x14ac:dyDescent="0.25">
      <c r="B13" s="118">
        <v>43075</v>
      </c>
      <c r="C13" s="15">
        <v>12827</v>
      </c>
      <c r="D13" s="119" t="s">
        <v>0</v>
      </c>
      <c r="E13" s="120">
        <v>98.2</v>
      </c>
      <c r="F13" s="121">
        <v>3829.8</v>
      </c>
    </row>
    <row r="14" spans="2:11" ht="15.75" x14ac:dyDescent="0.25">
      <c r="B14" s="118">
        <v>43075</v>
      </c>
      <c r="C14" s="15">
        <v>12828</v>
      </c>
      <c r="D14" s="119" t="s">
        <v>14</v>
      </c>
      <c r="E14" s="120">
        <f>202+27+19.5</f>
        <v>248.5</v>
      </c>
      <c r="F14" s="121">
        <v>14991.5</v>
      </c>
    </row>
    <row r="15" spans="2:11" ht="15.75" x14ac:dyDescent="0.25">
      <c r="B15" s="118">
        <v>43075</v>
      </c>
      <c r="C15" s="15">
        <v>12830</v>
      </c>
      <c r="D15" s="119" t="s">
        <v>0</v>
      </c>
      <c r="E15" s="120">
        <f>6.2+6.6</f>
        <v>12.8</v>
      </c>
      <c r="F15" s="121">
        <v>719.8</v>
      </c>
    </row>
    <row r="16" spans="2:11" ht="15.75" x14ac:dyDescent="0.25">
      <c r="B16" s="118">
        <v>43075</v>
      </c>
      <c r="C16" s="15">
        <v>12831</v>
      </c>
      <c r="D16" s="119" t="s">
        <v>1004</v>
      </c>
      <c r="E16" s="120">
        <v>132.80000000000001</v>
      </c>
      <c r="F16" s="121">
        <v>4913.6000000000004</v>
      </c>
    </row>
    <row r="17" spans="2:11" ht="15.75" x14ac:dyDescent="0.25">
      <c r="B17" s="118">
        <v>43076</v>
      </c>
      <c r="C17" s="15">
        <v>12970</v>
      </c>
      <c r="D17" s="119" t="s">
        <v>1004</v>
      </c>
      <c r="E17" s="120">
        <f>127.9+53.38</f>
        <v>181.28</v>
      </c>
      <c r="F17" s="121">
        <v>13127.74</v>
      </c>
    </row>
    <row r="18" spans="2:11" ht="15.75" x14ac:dyDescent="0.25">
      <c r="B18" s="118">
        <v>43076</v>
      </c>
      <c r="C18" s="15">
        <v>12972</v>
      </c>
      <c r="D18" s="119" t="s">
        <v>0</v>
      </c>
      <c r="E18" s="120">
        <f>84.3</f>
        <v>84.3</v>
      </c>
      <c r="F18" s="121">
        <v>3287.7</v>
      </c>
      <c r="K18" s="3">
        <f t="shared" si="0"/>
        <v>0</v>
      </c>
    </row>
    <row r="19" spans="2:11" ht="15.75" x14ac:dyDescent="0.25">
      <c r="B19" s="118">
        <v>43076</v>
      </c>
      <c r="C19" s="15">
        <v>12973</v>
      </c>
      <c r="D19" s="119" t="s">
        <v>1005</v>
      </c>
      <c r="E19" s="120">
        <f>66.3+65.4+27.4+9.7</f>
        <v>168.79999999999998</v>
      </c>
      <c r="F19" s="121">
        <v>4463</v>
      </c>
      <c r="K19" s="3">
        <f t="shared" si="0"/>
        <v>0</v>
      </c>
    </row>
    <row r="20" spans="2:11" ht="15.75" x14ac:dyDescent="0.25">
      <c r="B20" s="118">
        <v>43076</v>
      </c>
      <c r="C20" s="15">
        <v>12974</v>
      </c>
      <c r="D20" s="119" t="s">
        <v>0</v>
      </c>
      <c r="E20" s="120">
        <f>79.4+6</f>
        <v>85.4</v>
      </c>
      <c r="F20" s="121">
        <v>3684.6</v>
      </c>
      <c r="K20" s="3">
        <f t="shared" si="0"/>
        <v>0</v>
      </c>
    </row>
    <row r="21" spans="2:11" ht="15.75" x14ac:dyDescent="0.25">
      <c r="B21" s="118">
        <v>43077</v>
      </c>
      <c r="C21" s="15">
        <v>13123</v>
      </c>
      <c r="D21" s="251" t="s">
        <v>0</v>
      </c>
      <c r="E21" s="252">
        <f>881.8+1+79.8</f>
        <v>962.59999999999991</v>
      </c>
      <c r="F21" s="253">
        <v>35958.800000000003</v>
      </c>
    </row>
    <row r="22" spans="2:11" ht="15.75" x14ac:dyDescent="0.25">
      <c r="B22" s="118">
        <v>43077</v>
      </c>
      <c r="C22" s="15">
        <v>13124</v>
      </c>
      <c r="D22" s="251" t="s">
        <v>12</v>
      </c>
      <c r="E22" s="252">
        <v>61.1</v>
      </c>
      <c r="F22" s="253">
        <v>2993.9</v>
      </c>
    </row>
    <row r="23" spans="2:11" ht="15.75" x14ac:dyDescent="0.25">
      <c r="B23" s="118">
        <v>43077</v>
      </c>
      <c r="C23" s="15">
        <v>13125</v>
      </c>
      <c r="D23" s="251" t="s">
        <v>0</v>
      </c>
      <c r="E23" s="252">
        <f>83.2+66.6</f>
        <v>149.80000000000001</v>
      </c>
      <c r="F23" s="253">
        <v>5908.8</v>
      </c>
    </row>
    <row r="24" spans="2:11" ht="15.75" hidden="1" x14ac:dyDescent="0.25">
      <c r="B24" s="118"/>
      <c r="C24" s="15"/>
      <c r="D24" s="251"/>
      <c r="E24" s="252"/>
      <c r="F24" s="253"/>
    </row>
    <row r="25" spans="2:11" ht="15.75" hidden="1" x14ac:dyDescent="0.25">
      <c r="B25" s="118"/>
      <c r="C25" s="15"/>
      <c r="D25" s="251"/>
      <c r="E25" s="252"/>
      <c r="F25" s="253"/>
    </row>
    <row r="26" spans="2:11" ht="15.75" hidden="1" x14ac:dyDescent="0.25">
      <c r="B26" s="118"/>
      <c r="C26" s="15"/>
      <c r="D26" s="251"/>
      <c r="E26" s="252"/>
      <c r="F26" s="253"/>
      <c r="I26" s="3">
        <f>SUM(I6:I20)</f>
        <v>0</v>
      </c>
      <c r="J26" s="3"/>
      <c r="K26" s="3">
        <f>SUM(K6:K20)</f>
        <v>0</v>
      </c>
    </row>
    <row r="27" spans="2:11" ht="15.75" hidden="1" x14ac:dyDescent="0.25">
      <c r="B27" s="118"/>
      <c r="C27" s="15"/>
      <c r="D27" s="251"/>
      <c r="E27" s="252"/>
      <c r="F27" s="253"/>
      <c r="I27" s="3"/>
      <c r="J27" s="3"/>
    </row>
    <row r="28" spans="2:11" ht="15.75" hidden="1" x14ac:dyDescent="0.25">
      <c r="B28" s="118"/>
      <c r="C28" s="15"/>
      <c r="D28" s="251"/>
      <c r="E28" s="252"/>
      <c r="F28" s="253"/>
      <c r="I28" s="3"/>
      <c r="J28" s="3"/>
    </row>
    <row r="29" spans="2:11" ht="15.75" hidden="1" x14ac:dyDescent="0.25">
      <c r="B29" s="118"/>
      <c r="C29" s="15"/>
      <c r="D29" s="251"/>
      <c r="E29" s="252"/>
      <c r="F29" s="253"/>
      <c r="I29" s="3"/>
      <c r="J29" s="3"/>
    </row>
    <row r="30" spans="2:11" ht="15.75" hidden="1" x14ac:dyDescent="0.25">
      <c r="B30" s="118"/>
      <c r="C30" s="15"/>
      <c r="D30" s="251"/>
      <c r="E30" s="252"/>
      <c r="F30" s="253"/>
      <c r="I30" s="3"/>
      <c r="J30" s="3"/>
    </row>
    <row r="31" spans="2:11" ht="15.75" hidden="1" x14ac:dyDescent="0.25">
      <c r="B31" s="118"/>
      <c r="C31" s="15"/>
      <c r="D31" s="251"/>
      <c r="E31" s="252"/>
      <c r="F31" s="253"/>
      <c r="I31" s="3"/>
      <c r="J31" s="3"/>
    </row>
    <row r="32" spans="2:11" ht="15.75" hidden="1" x14ac:dyDescent="0.25">
      <c r="B32" s="118"/>
      <c r="C32" s="15"/>
      <c r="D32" s="251"/>
      <c r="E32" s="252"/>
      <c r="F32" s="253"/>
      <c r="I32" s="3"/>
      <c r="J32" s="3"/>
    </row>
    <row r="33" spans="2:10" ht="15.75" hidden="1" x14ac:dyDescent="0.25">
      <c r="B33" s="118"/>
      <c r="C33" s="15"/>
      <c r="D33" s="251"/>
      <c r="E33" s="252"/>
      <c r="F33" s="253"/>
      <c r="I33" s="3"/>
      <c r="J33" s="3"/>
    </row>
    <row r="34" spans="2:10" ht="15.75" hidden="1" x14ac:dyDescent="0.25">
      <c r="B34" s="118"/>
      <c r="C34" s="15"/>
      <c r="D34" s="251"/>
      <c r="E34" s="252"/>
      <c r="F34" s="253"/>
      <c r="I34" s="3"/>
      <c r="J34" s="3"/>
    </row>
    <row r="35" spans="2:10" ht="15.75" hidden="1" x14ac:dyDescent="0.25">
      <c r="B35" s="118"/>
      <c r="C35" s="15"/>
      <c r="D35" s="251"/>
      <c r="E35" s="252"/>
      <c r="F35" s="253"/>
      <c r="I35" s="3"/>
      <c r="J35" s="3"/>
    </row>
    <row r="36" spans="2:10" ht="15.75" hidden="1" x14ac:dyDescent="0.25">
      <c r="B36" s="118"/>
      <c r="C36" s="15"/>
      <c r="D36" s="251"/>
      <c r="E36" s="252"/>
      <c r="F36" s="253"/>
      <c r="I36" s="3"/>
      <c r="J36" s="3"/>
    </row>
    <row r="37" spans="2:10" ht="15.75" hidden="1" x14ac:dyDescent="0.25">
      <c r="B37" s="118"/>
      <c r="C37" s="15"/>
      <c r="D37" s="251"/>
      <c r="E37" s="252"/>
      <c r="F37" s="253"/>
      <c r="I37" s="3"/>
      <c r="J37" s="3"/>
    </row>
    <row r="38" spans="2:10" ht="15.75" x14ac:dyDescent="0.25">
      <c r="B38" s="118">
        <v>43077</v>
      </c>
      <c r="C38" s="15">
        <v>13126</v>
      </c>
      <c r="D38" s="251" t="s">
        <v>0</v>
      </c>
      <c r="E38" s="252">
        <v>85.4</v>
      </c>
      <c r="F38" s="253">
        <v>3330.6</v>
      </c>
      <c r="I38" s="3"/>
      <c r="J38" s="3"/>
    </row>
    <row r="39" spans="2:10" ht="15.75" x14ac:dyDescent="0.25">
      <c r="B39" s="118">
        <v>43077</v>
      </c>
      <c r="C39" s="15">
        <v>13127</v>
      </c>
      <c r="D39" s="251" t="s">
        <v>0</v>
      </c>
      <c r="E39" s="252">
        <v>87</v>
      </c>
      <c r="F39" s="253">
        <v>3393</v>
      </c>
      <c r="I39" s="3"/>
      <c r="J39" s="3"/>
    </row>
    <row r="40" spans="2:10" ht="15.75" x14ac:dyDescent="0.25">
      <c r="B40" s="118">
        <v>43077</v>
      </c>
      <c r="C40" s="15">
        <v>13128</v>
      </c>
      <c r="D40" s="251" t="s">
        <v>0</v>
      </c>
      <c r="E40" s="252">
        <v>72.599999999999994</v>
      </c>
      <c r="F40" s="253">
        <v>4936.8</v>
      </c>
      <c r="I40" s="3"/>
      <c r="J40" s="3"/>
    </row>
    <row r="41" spans="2:10" ht="15.75" x14ac:dyDescent="0.25">
      <c r="B41" s="118">
        <v>43077</v>
      </c>
      <c r="C41" s="15">
        <v>13130</v>
      </c>
      <c r="D41" s="251" t="s">
        <v>8</v>
      </c>
      <c r="E41" s="252">
        <f>389.4+134.2+66.8</f>
        <v>590.39999999999986</v>
      </c>
      <c r="F41" s="253">
        <v>25097</v>
      </c>
      <c r="I41" s="3"/>
      <c r="J41" s="3"/>
    </row>
    <row r="42" spans="2:10" ht="15.75" x14ac:dyDescent="0.25">
      <c r="B42" s="118">
        <v>43078</v>
      </c>
      <c r="C42" s="15">
        <v>13255</v>
      </c>
      <c r="D42" s="251" t="s">
        <v>8</v>
      </c>
      <c r="E42" s="252">
        <f>59.2+415.2+17.2</f>
        <v>491.59999999999997</v>
      </c>
      <c r="F42" s="253">
        <v>22061.200000000001</v>
      </c>
      <c r="I42" s="3"/>
      <c r="J42" s="3"/>
    </row>
    <row r="43" spans="2:10" ht="15.75" x14ac:dyDescent="0.25">
      <c r="B43" s="118">
        <v>43078</v>
      </c>
      <c r="C43" s="15">
        <v>13256</v>
      </c>
      <c r="D43" s="251" t="s">
        <v>12</v>
      </c>
      <c r="E43" s="252">
        <f>181.8+1</f>
        <v>182.8</v>
      </c>
      <c r="F43" s="253">
        <v>9668.2000000000007</v>
      </c>
      <c r="I43" s="3"/>
      <c r="J43" s="3"/>
    </row>
    <row r="44" spans="2:10" ht="15.75" x14ac:dyDescent="0.25">
      <c r="B44" s="118">
        <v>43078</v>
      </c>
      <c r="C44" s="15">
        <v>13257</v>
      </c>
      <c r="D44" s="251" t="s">
        <v>0</v>
      </c>
      <c r="E44" s="252">
        <v>93.7</v>
      </c>
      <c r="F44" s="253">
        <v>3748</v>
      </c>
      <c r="I44" s="3"/>
      <c r="J44" s="3"/>
    </row>
    <row r="45" spans="2:10" ht="15.75" x14ac:dyDescent="0.25">
      <c r="B45" s="118">
        <v>43078</v>
      </c>
      <c r="C45" s="15">
        <v>13258</v>
      </c>
      <c r="D45" s="251" t="s">
        <v>0</v>
      </c>
      <c r="E45" s="252">
        <f>86.9+57.3+25.5</f>
        <v>169.7</v>
      </c>
      <c r="F45" s="253">
        <v>7933.4</v>
      </c>
      <c r="I45" s="3"/>
      <c r="J45" s="3"/>
    </row>
    <row r="46" spans="2:10" ht="15.75" x14ac:dyDescent="0.25">
      <c r="B46" s="118">
        <v>43078</v>
      </c>
      <c r="C46" s="15">
        <v>13259</v>
      </c>
      <c r="D46" s="251" t="s">
        <v>24</v>
      </c>
      <c r="E46" s="252">
        <f>22.6+67.4</f>
        <v>90</v>
      </c>
      <c r="F46" s="253">
        <v>2362.1999999999998</v>
      </c>
      <c r="I46" s="3"/>
      <c r="J46" s="3"/>
    </row>
    <row r="47" spans="2:10" ht="15.75" x14ac:dyDescent="0.25">
      <c r="B47" s="118">
        <v>43078</v>
      </c>
      <c r="C47" s="15">
        <v>13261</v>
      </c>
      <c r="D47" s="251" t="s">
        <v>0</v>
      </c>
      <c r="E47" s="252">
        <f>93.9+8</f>
        <v>101.9</v>
      </c>
      <c r="F47" s="253">
        <v>4396</v>
      </c>
      <c r="I47" s="3"/>
      <c r="J47" s="3"/>
    </row>
    <row r="48" spans="2:10" ht="15.75" x14ac:dyDescent="0.25">
      <c r="B48" s="118"/>
      <c r="C48" s="15"/>
      <c r="D48" s="119"/>
      <c r="E48" s="120"/>
      <c r="F48" s="121"/>
      <c r="I48" s="3"/>
      <c r="J48" s="3"/>
    </row>
    <row r="49" spans="1:13" ht="15.75" x14ac:dyDescent="0.25">
      <c r="B49" s="118"/>
      <c r="C49" s="15"/>
      <c r="D49" s="119"/>
      <c r="E49" s="120"/>
      <c r="F49" s="121"/>
      <c r="I49" s="3"/>
      <c r="J49" s="3"/>
    </row>
    <row r="50" spans="1:13" ht="15.75" x14ac:dyDescent="0.25">
      <c r="B50" s="118"/>
      <c r="C50" s="15"/>
      <c r="D50" s="119"/>
      <c r="E50" s="120"/>
      <c r="F50" s="121"/>
      <c r="I50" s="3"/>
      <c r="J50" s="3"/>
    </row>
    <row r="51" spans="1:13" ht="16.5" thickBot="1" x14ac:dyDescent="0.3">
      <c r="B51" s="118"/>
      <c r="C51" s="15"/>
      <c r="D51" s="119"/>
      <c r="E51" s="120"/>
      <c r="F51" s="121"/>
      <c r="I51" s="3"/>
      <c r="J51" s="3"/>
    </row>
    <row r="52" spans="1:13" ht="15.75" thickBot="1" x14ac:dyDescent="0.3">
      <c r="B52" s="29"/>
      <c r="C52" s="66"/>
      <c r="D52" s="31"/>
      <c r="E52" s="32">
        <v>0</v>
      </c>
      <c r="F52" s="33">
        <f>SUM(F3:F51)</f>
        <v>308172.44000000006</v>
      </c>
      <c r="K52" s="3">
        <f t="shared" ref="K52:K59" si="1">J52*I52</f>
        <v>0</v>
      </c>
    </row>
    <row r="53" spans="1:13" ht="19.5" thickBot="1" x14ac:dyDescent="0.35">
      <c r="B53" s="34"/>
      <c r="C53" s="67"/>
      <c r="D53" s="36" t="s">
        <v>5</v>
      </c>
      <c r="E53" s="37">
        <f>SUM(E3:E52)</f>
        <v>7540.7800000000007</v>
      </c>
      <c r="K53" s="3">
        <f t="shared" si="1"/>
        <v>0</v>
      </c>
    </row>
    <row r="54" spans="1:13" x14ac:dyDescent="0.25">
      <c r="B54" s="34"/>
      <c r="C54" s="67"/>
      <c r="D54" s="26"/>
      <c r="E54" s="39"/>
      <c r="K54" s="3">
        <f t="shared" si="1"/>
        <v>0</v>
      </c>
    </row>
    <row r="55" spans="1:13" ht="19.5" thickBot="1" x14ac:dyDescent="0.35">
      <c r="B55" s="40"/>
      <c r="C55" s="41" t="s">
        <v>15</v>
      </c>
      <c r="D55" s="149">
        <f>E53*0.3</f>
        <v>2262.2339999999999</v>
      </c>
      <c r="F55"/>
      <c r="K55" s="3">
        <f t="shared" si="1"/>
        <v>0</v>
      </c>
    </row>
    <row r="56" spans="1:13" ht="21.75" thickBot="1" x14ac:dyDescent="0.4">
      <c r="C56" s="41" t="s">
        <v>16</v>
      </c>
      <c r="D56" s="44">
        <v>4000</v>
      </c>
      <c r="E56" s="45"/>
      <c r="F56" s="258">
        <f>D55+D56</f>
        <v>6262.2340000000004</v>
      </c>
      <c r="G56" s="259"/>
      <c r="K56" s="3">
        <f t="shared" si="1"/>
        <v>0</v>
      </c>
      <c r="L56" s="46"/>
      <c r="M56" s="13"/>
    </row>
    <row r="57" spans="1:13" ht="22.5" thickTop="1" thickBot="1" x14ac:dyDescent="0.4">
      <c r="B57" s="34"/>
      <c r="C57" s="67"/>
      <c r="D57" s="146"/>
      <c r="E57" s="47" t="s">
        <v>258</v>
      </c>
      <c r="F57" s="203"/>
      <c r="G57" s="201">
        <v>-4000</v>
      </c>
      <c r="H57" s="202"/>
      <c r="L57" s="46"/>
      <c r="M57" s="13"/>
    </row>
    <row r="58" spans="1:13" ht="19.5" thickBot="1" x14ac:dyDescent="0.35">
      <c r="A58" s="26"/>
      <c r="B58" s="245"/>
      <c r="C58" s="244"/>
      <c r="D58" s="180" t="s">
        <v>1002</v>
      </c>
      <c r="E58" s="47" t="s">
        <v>258</v>
      </c>
      <c r="F58" s="142"/>
      <c r="G58" s="160">
        <v>-1000</v>
      </c>
      <c r="K58" s="3">
        <f t="shared" si="1"/>
        <v>0</v>
      </c>
      <c r="L58" s="49"/>
      <c r="M58" s="49"/>
    </row>
    <row r="59" spans="1:13" ht="21.75" customHeight="1" thickTop="1" thickBot="1" x14ac:dyDescent="0.35">
      <c r="B59" s="283" t="s">
        <v>626</v>
      </c>
      <c r="C59" s="284"/>
      <c r="D59" s="243" t="s">
        <v>1010</v>
      </c>
      <c r="E59" s="47" t="s">
        <v>258</v>
      </c>
      <c r="F59" s="125"/>
      <c r="G59" s="169">
        <v>-1262</v>
      </c>
      <c r="K59" s="3">
        <f t="shared" si="1"/>
        <v>0</v>
      </c>
      <c r="L59" s="49"/>
      <c r="M59" s="49"/>
    </row>
    <row r="60" spans="1:13" ht="20.25" customHeight="1" thickTop="1" thickBot="1" x14ac:dyDescent="0.35">
      <c r="B60" s="285"/>
      <c r="C60" s="286"/>
      <c r="D60" s="243" t="s">
        <v>1013</v>
      </c>
      <c r="E60" s="47" t="s">
        <v>307</v>
      </c>
      <c r="F60" s="124"/>
      <c r="G60" s="170">
        <v>0</v>
      </c>
      <c r="L60" s="49"/>
      <c r="M60" s="49"/>
    </row>
    <row r="61" spans="1:13" ht="17.25" customHeight="1" thickTop="1" thickBot="1" x14ac:dyDescent="0.4">
      <c r="C61" s="22"/>
      <c r="D61" s="246"/>
      <c r="E61" s="4" t="s">
        <v>258</v>
      </c>
      <c r="F61" s="263">
        <f>SUM(F56:G60)</f>
        <v>0.23400000000037835</v>
      </c>
      <c r="G61" s="264"/>
      <c r="L61" s="49"/>
      <c r="M61" s="49"/>
    </row>
    <row r="62" spans="1:13" ht="19.5" customHeight="1" x14ac:dyDescent="0.35">
      <c r="C62" s="109"/>
      <c r="D62" s="136"/>
      <c r="F62" s="148"/>
      <c r="G62" s="148"/>
    </row>
    <row r="63" spans="1:13" x14ac:dyDescent="0.25">
      <c r="F63" s="27"/>
      <c r="G63" s="26"/>
    </row>
    <row r="64" spans="1:13" x14ac:dyDescent="0.25">
      <c r="D64" t="s">
        <v>9</v>
      </c>
    </row>
    <row r="65" spans="9:11" x14ac:dyDescent="0.25">
      <c r="I65" s="3">
        <f>SUM(I52:I59)</f>
        <v>0</v>
      </c>
      <c r="J65" s="3"/>
      <c r="K65" s="3">
        <f>SUM(K52:K59)</f>
        <v>0</v>
      </c>
    </row>
  </sheetData>
  <mergeCells count="4">
    <mergeCell ref="B1:C1"/>
    <mergeCell ref="F56:G56"/>
    <mergeCell ref="B59:C60"/>
    <mergeCell ref="F61:G61"/>
  </mergeCells>
  <pageMargins left="0.70866141732283472" right="0.70866141732283472" top="0.74803149606299213" bottom="0.74803149606299213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63"/>
  <sheetViews>
    <sheetView workbookViewId="0">
      <selection activeCell="F2" sqref="F2"/>
    </sheetView>
  </sheetViews>
  <sheetFormatPr baseColWidth="10" defaultRowHeight="15" x14ac:dyDescent="0.25"/>
  <cols>
    <col min="1" max="1" width="3.42578125" customWidth="1"/>
    <col min="2" max="2" width="13.42578125" bestFit="1" customWidth="1"/>
    <col min="3" max="3" width="13.7109375" style="41" customWidth="1"/>
    <col min="4" max="4" width="33.5703125" customWidth="1"/>
    <col min="5" max="5" width="12" bestFit="1" customWidth="1"/>
    <col min="6" max="6" width="14.140625" style="3" bestFit="1" customWidth="1"/>
    <col min="7" max="7" width="15.7109375" customWidth="1"/>
    <col min="11" max="11" width="11.42578125" style="3"/>
  </cols>
  <sheetData>
    <row r="1" spans="2:11" ht="19.5" thickBot="1" x14ac:dyDescent="0.35">
      <c r="B1" s="257">
        <v>42775</v>
      </c>
      <c r="C1" s="257"/>
      <c r="D1" s="1" t="s">
        <v>0</v>
      </c>
      <c r="E1" s="2" t="s">
        <v>1</v>
      </c>
      <c r="K1"/>
    </row>
    <row r="2" spans="2:11" ht="19.5" thickBot="1" x14ac:dyDescent="0.35">
      <c r="B2" s="4" t="s">
        <v>2</v>
      </c>
      <c r="C2" s="5" t="s">
        <v>3</v>
      </c>
      <c r="D2" s="5" t="s">
        <v>4</v>
      </c>
      <c r="E2" s="6" t="s">
        <v>5</v>
      </c>
      <c r="F2" s="7" t="s">
        <v>102</v>
      </c>
      <c r="G2" s="8"/>
      <c r="K2"/>
    </row>
    <row r="3" spans="2:11" ht="15.75" x14ac:dyDescent="0.25">
      <c r="B3" s="83">
        <v>42759</v>
      </c>
      <c r="C3" s="69">
        <v>23349</v>
      </c>
      <c r="D3" s="70" t="s">
        <v>13</v>
      </c>
      <c r="E3" s="76">
        <f>54.2+17.2+10.8</f>
        <v>82.2</v>
      </c>
      <c r="F3" s="71">
        <v>3817</v>
      </c>
      <c r="K3"/>
    </row>
    <row r="4" spans="2:11" ht="15.75" x14ac:dyDescent="0.25">
      <c r="B4" s="84">
        <v>42763</v>
      </c>
      <c r="C4" s="73">
        <v>23911</v>
      </c>
      <c r="D4" s="72" t="s">
        <v>86</v>
      </c>
      <c r="E4" s="77">
        <f>457+95.7</f>
        <v>552.70000000000005</v>
      </c>
      <c r="F4" s="74">
        <v>23344.2</v>
      </c>
      <c r="K4"/>
    </row>
    <row r="5" spans="2:11" ht="15.75" x14ac:dyDescent="0.25">
      <c r="B5" s="84">
        <v>42763</v>
      </c>
      <c r="C5" s="73">
        <v>23920</v>
      </c>
      <c r="D5" s="72" t="s">
        <v>13</v>
      </c>
      <c r="E5" s="77">
        <f>19.9+136.2+11.1</f>
        <v>167.2</v>
      </c>
      <c r="F5" s="74">
        <v>8010.9</v>
      </c>
      <c r="K5"/>
    </row>
    <row r="6" spans="2:11" ht="15.75" x14ac:dyDescent="0.25">
      <c r="B6" s="84">
        <v>42763</v>
      </c>
      <c r="C6" s="73">
        <v>23924</v>
      </c>
      <c r="D6" s="72" t="s">
        <v>14</v>
      </c>
      <c r="E6" s="77">
        <v>327</v>
      </c>
      <c r="F6" s="74">
        <v>13080</v>
      </c>
      <c r="G6" t="s">
        <v>9</v>
      </c>
      <c r="K6" s="3">
        <f t="shared" ref="K6:K16" si="0">J6*I6</f>
        <v>0</v>
      </c>
    </row>
    <row r="7" spans="2:11" ht="15.75" x14ac:dyDescent="0.25">
      <c r="B7" s="84">
        <v>42763</v>
      </c>
      <c r="C7" s="73">
        <v>23938</v>
      </c>
      <c r="D7" s="72" t="s">
        <v>0</v>
      </c>
      <c r="E7" s="77">
        <v>5.0999999999999996</v>
      </c>
      <c r="F7" s="74">
        <v>265.2</v>
      </c>
      <c r="K7" s="3">
        <f t="shared" si="0"/>
        <v>0</v>
      </c>
    </row>
    <row r="8" spans="2:11" ht="15.75" x14ac:dyDescent="0.25">
      <c r="B8" s="84">
        <v>42765</v>
      </c>
      <c r="C8" s="73">
        <v>24168</v>
      </c>
      <c r="D8" s="72" t="s">
        <v>10</v>
      </c>
      <c r="E8" s="77">
        <f>41.5+67</f>
        <v>108.5</v>
      </c>
      <c r="F8" s="74">
        <v>5103</v>
      </c>
      <c r="K8" s="3">
        <f t="shared" si="0"/>
        <v>0</v>
      </c>
    </row>
    <row r="9" spans="2:11" ht="15.75" x14ac:dyDescent="0.25">
      <c r="B9" s="84">
        <v>42765</v>
      </c>
      <c r="C9" s="73">
        <v>24169</v>
      </c>
      <c r="D9" s="72" t="s">
        <v>24</v>
      </c>
      <c r="E9" s="77">
        <v>38</v>
      </c>
      <c r="F9" s="74">
        <v>950</v>
      </c>
      <c r="K9" s="3">
        <f t="shared" si="0"/>
        <v>0</v>
      </c>
    </row>
    <row r="10" spans="2:11" ht="15.75" x14ac:dyDescent="0.25">
      <c r="B10" s="84">
        <v>42765</v>
      </c>
      <c r="C10" s="73">
        <v>24171</v>
      </c>
      <c r="D10" s="72" t="s">
        <v>95</v>
      </c>
      <c r="E10" s="77">
        <f>330.5+108.4</f>
        <v>438.9</v>
      </c>
      <c r="F10" s="74">
        <v>15496.4</v>
      </c>
      <c r="K10" s="3">
        <f t="shared" si="0"/>
        <v>0</v>
      </c>
    </row>
    <row r="11" spans="2:11" ht="15.75" x14ac:dyDescent="0.25">
      <c r="B11" s="84">
        <v>42765</v>
      </c>
      <c r="C11" s="73">
        <v>24172</v>
      </c>
      <c r="D11" s="72" t="s">
        <v>14</v>
      </c>
      <c r="E11" s="77">
        <v>325.60000000000002</v>
      </c>
      <c r="F11" s="74">
        <v>13024</v>
      </c>
      <c r="K11" s="3">
        <f t="shared" si="0"/>
        <v>0</v>
      </c>
    </row>
    <row r="12" spans="2:11" ht="15.75" x14ac:dyDescent="0.25">
      <c r="B12" s="84">
        <v>42766</v>
      </c>
      <c r="C12" s="73">
        <v>24274</v>
      </c>
      <c r="D12" s="72" t="s">
        <v>24</v>
      </c>
      <c r="E12" s="77">
        <f>934.4+1+32.9+22.4+12.9</f>
        <v>1003.5999999999999</v>
      </c>
      <c r="F12" s="74">
        <v>38035.4</v>
      </c>
      <c r="K12" s="3">
        <f t="shared" si="0"/>
        <v>0</v>
      </c>
    </row>
    <row r="13" spans="2:11" ht="15.75" x14ac:dyDescent="0.25">
      <c r="B13" s="84">
        <v>42766</v>
      </c>
      <c r="C13" s="73">
        <v>24276</v>
      </c>
      <c r="D13" s="72" t="s">
        <v>0</v>
      </c>
      <c r="E13" s="77">
        <v>90.2</v>
      </c>
      <c r="F13" s="74">
        <v>3608</v>
      </c>
      <c r="K13" s="3">
        <f t="shared" si="0"/>
        <v>0</v>
      </c>
    </row>
    <row r="14" spans="2:11" ht="15.75" x14ac:dyDescent="0.25">
      <c r="B14" s="84">
        <v>42766</v>
      </c>
      <c r="C14" s="73">
        <v>24277</v>
      </c>
      <c r="D14" s="72" t="s">
        <v>13</v>
      </c>
      <c r="E14" s="77">
        <v>91.7</v>
      </c>
      <c r="F14" s="74">
        <v>3668</v>
      </c>
      <c r="K14" s="3">
        <f t="shared" si="0"/>
        <v>0</v>
      </c>
    </row>
    <row r="15" spans="2:11" ht="15.75" x14ac:dyDescent="0.25">
      <c r="B15" s="84">
        <v>42766</v>
      </c>
      <c r="C15" s="73">
        <v>24278</v>
      </c>
      <c r="D15" s="72" t="s">
        <v>14</v>
      </c>
      <c r="E15" s="77">
        <f>68.9+71.2</f>
        <v>140.10000000000002</v>
      </c>
      <c r="F15" s="74">
        <v>3640.3</v>
      </c>
      <c r="K15" s="3">
        <f t="shared" si="0"/>
        <v>0</v>
      </c>
    </row>
    <row r="16" spans="2:11" ht="15.75" x14ac:dyDescent="0.25">
      <c r="B16" s="84">
        <v>42766</v>
      </c>
      <c r="C16" s="73">
        <v>24279</v>
      </c>
      <c r="D16" s="72" t="s">
        <v>10</v>
      </c>
      <c r="E16" s="77">
        <v>86.2</v>
      </c>
      <c r="F16" s="74">
        <v>3448</v>
      </c>
      <c r="K16" s="3">
        <f t="shared" si="0"/>
        <v>0</v>
      </c>
    </row>
    <row r="17" spans="2:11" ht="15.75" x14ac:dyDescent="0.25">
      <c r="B17" s="84">
        <v>42766</v>
      </c>
      <c r="C17" s="73">
        <v>24281</v>
      </c>
      <c r="D17" s="72" t="s">
        <v>8</v>
      </c>
      <c r="E17" s="77">
        <f>489.8</f>
        <v>489.8</v>
      </c>
      <c r="F17" s="74">
        <v>19592</v>
      </c>
      <c r="I17" s="3">
        <f t="shared" ref="I17" si="1">SUM(I6:I16)</f>
        <v>0</v>
      </c>
      <c r="J17" s="3"/>
      <c r="K17" s="3">
        <f>SUM(K6:K16)</f>
        <v>0</v>
      </c>
    </row>
    <row r="18" spans="2:11" ht="15.75" x14ac:dyDescent="0.25">
      <c r="B18" s="84">
        <v>42767</v>
      </c>
      <c r="C18" s="73">
        <v>24368</v>
      </c>
      <c r="D18" s="72" t="s">
        <v>14</v>
      </c>
      <c r="E18" s="77">
        <v>437.9</v>
      </c>
      <c r="F18" s="74">
        <v>17953.900000000001</v>
      </c>
      <c r="I18" s="3"/>
      <c r="J18" s="3"/>
    </row>
    <row r="19" spans="2:11" ht="15.75" x14ac:dyDescent="0.25">
      <c r="B19" s="84">
        <v>42767</v>
      </c>
      <c r="C19" s="73">
        <v>24369</v>
      </c>
      <c r="D19" s="72" t="s">
        <v>7</v>
      </c>
      <c r="E19" s="77">
        <v>433.9</v>
      </c>
      <c r="F19" s="74">
        <v>17789.900000000001</v>
      </c>
      <c r="I19" s="3"/>
      <c r="J19" s="3"/>
    </row>
    <row r="20" spans="2:11" ht="15.75" x14ac:dyDescent="0.25">
      <c r="B20" s="84">
        <v>42767</v>
      </c>
      <c r="C20" s="73">
        <v>24371</v>
      </c>
      <c r="D20" s="72" t="s">
        <v>8</v>
      </c>
      <c r="E20" s="77">
        <v>476.3</v>
      </c>
      <c r="F20" s="74">
        <v>18576.7</v>
      </c>
      <c r="I20" s="3"/>
      <c r="J20" s="3"/>
    </row>
    <row r="21" spans="2:11" ht="15.75" x14ac:dyDescent="0.25">
      <c r="B21" s="84">
        <v>42767</v>
      </c>
      <c r="C21" s="73">
        <v>24381</v>
      </c>
      <c r="D21" s="72" t="s">
        <v>12</v>
      </c>
      <c r="E21" s="77">
        <v>96.6</v>
      </c>
      <c r="F21" s="74">
        <v>3767.4</v>
      </c>
      <c r="I21" s="3"/>
      <c r="J21" s="3"/>
    </row>
    <row r="22" spans="2:11" ht="15.75" x14ac:dyDescent="0.25">
      <c r="B22" s="84">
        <v>42767</v>
      </c>
      <c r="C22" s="73">
        <v>24382</v>
      </c>
      <c r="D22" s="72" t="s">
        <v>11</v>
      </c>
      <c r="E22" s="77">
        <v>93.2</v>
      </c>
      <c r="F22" s="74">
        <v>3634.8</v>
      </c>
      <c r="I22" s="3"/>
      <c r="J22" s="3"/>
    </row>
    <row r="23" spans="2:11" ht="15.75" x14ac:dyDescent="0.25">
      <c r="B23" s="84">
        <v>42767</v>
      </c>
      <c r="C23" s="73">
        <v>24388</v>
      </c>
      <c r="D23" s="72" t="s">
        <v>10</v>
      </c>
      <c r="E23" s="77">
        <f>31.8+38.8</f>
        <v>70.599999999999994</v>
      </c>
      <c r="F23" s="74">
        <v>3421.2</v>
      </c>
      <c r="I23" s="3"/>
      <c r="J23" s="3"/>
    </row>
    <row r="24" spans="2:11" ht="15.75" x14ac:dyDescent="0.25">
      <c r="B24" s="84">
        <v>42767</v>
      </c>
      <c r="C24" s="73">
        <v>24389</v>
      </c>
      <c r="D24" s="72" t="s">
        <v>6</v>
      </c>
      <c r="E24" s="77">
        <f>94.9+34.6+7.8</f>
        <v>137.30000000000001</v>
      </c>
      <c r="F24" s="74">
        <v>5737.7</v>
      </c>
      <c r="I24" s="3"/>
      <c r="J24" s="3"/>
    </row>
    <row r="25" spans="2:11" ht="15.75" x14ac:dyDescent="0.25">
      <c r="B25" s="84">
        <v>42768</v>
      </c>
      <c r="C25" s="73">
        <v>24490</v>
      </c>
      <c r="D25" s="72" t="s">
        <v>8</v>
      </c>
      <c r="E25" s="77">
        <v>396.2</v>
      </c>
      <c r="F25" s="74">
        <v>15451.8</v>
      </c>
      <c r="I25" s="3"/>
      <c r="J25" s="3"/>
    </row>
    <row r="26" spans="2:11" ht="15.75" x14ac:dyDescent="0.25">
      <c r="B26" s="84">
        <v>42768</v>
      </c>
      <c r="C26" s="73">
        <v>24491</v>
      </c>
      <c r="D26" s="72" t="s">
        <v>14</v>
      </c>
      <c r="E26" s="77">
        <v>388.1</v>
      </c>
      <c r="F26" s="74">
        <v>15135.9</v>
      </c>
      <c r="I26" s="3"/>
      <c r="J26" s="3"/>
    </row>
    <row r="27" spans="2:11" ht="15.75" x14ac:dyDescent="0.25">
      <c r="B27" s="84">
        <v>42768</v>
      </c>
      <c r="C27" s="73">
        <v>24496</v>
      </c>
      <c r="D27" s="72" t="s">
        <v>10</v>
      </c>
      <c r="E27" s="77">
        <v>34.700000000000003</v>
      </c>
      <c r="F27" s="74">
        <v>2082</v>
      </c>
      <c r="I27" s="3"/>
      <c r="J27" s="3"/>
    </row>
    <row r="28" spans="2:11" ht="15.75" x14ac:dyDescent="0.25">
      <c r="B28" s="84">
        <v>42768</v>
      </c>
      <c r="C28" s="73">
        <v>24497</v>
      </c>
      <c r="D28" s="72" t="s">
        <v>12</v>
      </c>
      <c r="E28" s="77">
        <f>215.7+14</f>
        <v>229.7</v>
      </c>
      <c r="F28" s="74">
        <v>9378.2999999999993</v>
      </c>
      <c r="I28" s="3"/>
      <c r="J28" s="3"/>
    </row>
    <row r="29" spans="2:11" ht="15.75" x14ac:dyDescent="0.25">
      <c r="B29" s="84">
        <v>42768</v>
      </c>
      <c r="C29" s="73">
        <v>24499</v>
      </c>
      <c r="D29" s="72" t="s">
        <v>13</v>
      </c>
      <c r="E29" s="77">
        <v>23.5</v>
      </c>
      <c r="F29" s="74">
        <v>916.5</v>
      </c>
      <c r="I29" s="3"/>
      <c r="J29" s="3"/>
    </row>
    <row r="30" spans="2:11" ht="15.75" x14ac:dyDescent="0.25">
      <c r="B30" s="84">
        <v>42769</v>
      </c>
      <c r="C30" s="73">
        <v>24626</v>
      </c>
      <c r="D30" s="72" t="s">
        <v>14</v>
      </c>
      <c r="E30" s="77">
        <v>335.6</v>
      </c>
      <c r="F30" s="74">
        <v>13088.4</v>
      </c>
      <c r="I30" s="3"/>
      <c r="J30" s="3"/>
    </row>
    <row r="31" spans="2:11" ht="15.75" x14ac:dyDescent="0.25">
      <c r="B31" s="84">
        <v>42769</v>
      </c>
      <c r="C31" s="73">
        <v>24627</v>
      </c>
      <c r="D31" s="72" t="s">
        <v>10</v>
      </c>
      <c r="E31" s="77">
        <v>91.6</v>
      </c>
      <c r="F31" s="74">
        <v>3572.4</v>
      </c>
      <c r="I31" s="3"/>
      <c r="J31" s="3"/>
    </row>
    <row r="32" spans="2:11" ht="15.75" x14ac:dyDescent="0.25">
      <c r="B32" s="84">
        <v>42769</v>
      </c>
      <c r="C32" s="73">
        <v>24632</v>
      </c>
      <c r="D32" s="72" t="s">
        <v>13</v>
      </c>
      <c r="E32" s="77">
        <v>97.9</v>
      </c>
      <c r="F32" s="74">
        <v>3818.1</v>
      </c>
      <c r="I32" s="3"/>
      <c r="J32" s="3"/>
    </row>
    <row r="33" spans="2:10" ht="15.75" x14ac:dyDescent="0.25">
      <c r="B33" s="84">
        <v>42769</v>
      </c>
      <c r="C33" s="73">
        <v>24641</v>
      </c>
      <c r="D33" s="72" t="s">
        <v>11</v>
      </c>
      <c r="E33" s="77">
        <f>281+232</f>
        <v>513</v>
      </c>
      <c r="F33" s="74">
        <v>20007</v>
      </c>
      <c r="I33" s="3"/>
      <c r="J33" s="3"/>
    </row>
    <row r="34" spans="2:10" ht="15.75" x14ac:dyDescent="0.25">
      <c r="B34" s="84">
        <v>42769</v>
      </c>
      <c r="C34" s="73">
        <v>24644</v>
      </c>
      <c r="D34" s="72" t="s">
        <v>6</v>
      </c>
      <c r="E34" s="77">
        <f>182.9+71.6+59.2+10+7.9+23.2+45.2</f>
        <v>399.99999999999994</v>
      </c>
      <c r="F34" s="74">
        <v>17831</v>
      </c>
      <c r="I34" s="3"/>
      <c r="J34" s="3"/>
    </row>
    <row r="35" spans="2:10" ht="15.75" x14ac:dyDescent="0.25">
      <c r="B35" s="84">
        <v>42769</v>
      </c>
      <c r="C35" s="73">
        <v>24645</v>
      </c>
      <c r="D35" s="72" t="s">
        <v>11</v>
      </c>
      <c r="E35" s="77">
        <f>35.7+122.4</f>
        <v>158.10000000000002</v>
      </c>
      <c r="F35" s="74">
        <v>6915.6</v>
      </c>
      <c r="I35" s="3"/>
      <c r="J35" s="3"/>
    </row>
    <row r="36" spans="2:10" ht="15.75" x14ac:dyDescent="0.25">
      <c r="B36" s="84">
        <v>42769</v>
      </c>
      <c r="C36" s="73">
        <v>24646</v>
      </c>
      <c r="D36" s="72" t="s">
        <v>12</v>
      </c>
      <c r="E36" s="77">
        <v>292</v>
      </c>
      <c r="F36" s="74">
        <v>11388</v>
      </c>
      <c r="I36" s="3"/>
      <c r="J36" s="3"/>
    </row>
    <row r="37" spans="2:10" ht="15.75" x14ac:dyDescent="0.25">
      <c r="B37" s="84">
        <v>42769</v>
      </c>
      <c r="C37" s="73">
        <v>24655</v>
      </c>
      <c r="D37" s="72" t="s">
        <v>11</v>
      </c>
      <c r="E37" s="77">
        <f>32.2+82.2</f>
        <v>114.4</v>
      </c>
      <c r="F37" s="74">
        <v>5137.8</v>
      </c>
      <c r="I37" s="3"/>
      <c r="J37" s="3"/>
    </row>
    <row r="38" spans="2:10" ht="15.75" x14ac:dyDescent="0.25">
      <c r="B38" s="84">
        <v>42769</v>
      </c>
      <c r="C38" s="73">
        <v>24656</v>
      </c>
      <c r="D38" s="72" t="s">
        <v>24</v>
      </c>
      <c r="E38" s="77">
        <f>33.9+59.5</f>
        <v>93.4</v>
      </c>
      <c r="F38" s="74">
        <v>2318.4</v>
      </c>
      <c r="I38" s="3"/>
      <c r="J38" s="3"/>
    </row>
    <row r="39" spans="2:10" ht="15.75" x14ac:dyDescent="0.25">
      <c r="B39" s="84">
        <v>42769</v>
      </c>
      <c r="C39" s="73">
        <v>24660</v>
      </c>
      <c r="D39" s="72" t="s">
        <v>8</v>
      </c>
      <c r="E39" s="77">
        <f>341.2+70.6+121+30.2+20.8+106+117.2</f>
        <v>807</v>
      </c>
      <c r="F39" s="74">
        <v>27974.799999999999</v>
      </c>
      <c r="I39" s="3"/>
      <c r="J39" s="3"/>
    </row>
    <row r="40" spans="2:10" ht="15.75" x14ac:dyDescent="0.25">
      <c r="B40" s="84">
        <v>42769</v>
      </c>
      <c r="C40" s="73">
        <v>24662</v>
      </c>
      <c r="D40" s="72" t="s">
        <v>6</v>
      </c>
      <c r="E40" s="77">
        <v>22.9</v>
      </c>
      <c r="F40" s="74">
        <v>1603</v>
      </c>
      <c r="I40" s="3"/>
      <c r="J40" s="3"/>
    </row>
    <row r="41" spans="2:10" ht="15.75" x14ac:dyDescent="0.25">
      <c r="B41" s="84">
        <v>42770</v>
      </c>
      <c r="C41" s="73">
        <v>24772</v>
      </c>
      <c r="D41" s="72" t="s">
        <v>6</v>
      </c>
      <c r="E41" s="77">
        <f>347.2+54.48</f>
        <v>401.68</v>
      </c>
      <c r="F41" s="74">
        <v>16101.36</v>
      </c>
      <c r="I41" s="3"/>
      <c r="J41" s="3"/>
    </row>
    <row r="42" spans="2:10" ht="15.75" x14ac:dyDescent="0.25">
      <c r="B42" s="84">
        <v>42770</v>
      </c>
      <c r="C42" s="73">
        <v>24773</v>
      </c>
      <c r="D42" s="72" t="s">
        <v>14</v>
      </c>
      <c r="E42" s="77">
        <v>411.5</v>
      </c>
      <c r="F42" s="74">
        <v>16048.5</v>
      </c>
      <c r="I42" s="3"/>
      <c r="J42" s="3"/>
    </row>
    <row r="43" spans="2:10" ht="15.75" x14ac:dyDescent="0.25">
      <c r="B43" s="84">
        <v>42770</v>
      </c>
      <c r="C43" s="73">
        <v>24778</v>
      </c>
      <c r="D43" s="72" t="s">
        <v>24</v>
      </c>
      <c r="E43" s="77">
        <f>928+32.6+109.1+64.2</f>
        <v>1133.9000000000001</v>
      </c>
      <c r="F43" s="74">
        <v>38643.300000000003</v>
      </c>
      <c r="I43" s="3"/>
      <c r="J43" s="3"/>
    </row>
    <row r="44" spans="2:10" ht="15.75" x14ac:dyDescent="0.25">
      <c r="B44" s="84">
        <v>42770</v>
      </c>
      <c r="C44" s="73">
        <v>24781</v>
      </c>
      <c r="D44" s="72" t="s">
        <v>10</v>
      </c>
      <c r="E44" s="77">
        <f>87.3+77.6</f>
        <v>164.89999999999998</v>
      </c>
      <c r="F44" s="74">
        <v>5344.7</v>
      </c>
      <c r="I44" s="3"/>
      <c r="J44" s="3"/>
    </row>
    <row r="45" spans="2:10" ht="15.75" x14ac:dyDescent="0.25">
      <c r="B45" s="84">
        <v>42770</v>
      </c>
      <c r="C45" s="73">
        <v>24782</v>
      </c>
      <c r="D45" s="72" t="s">
        <v>13</v>
      </c>
      <c r="E45" s="77">
        <f>47+2</f>
        <v>49</v>
      </c>
      <c r="F45" s="74">
        <v>2109</v>
      </c>
      <c r="I45" s="3"/>
      <c r="J45" s="3"/>
    </row>
    <row r="46" spans="2:10" ht="15.75" x14ac:dyDescent="0.25">
      <c r="B46" s="84">
        <v>42770</v>
      </c>
      <c r="C46" s="73">
        <v>24785</v>
      </c>
      <c r="D46" s="72" t="s">
        <v>11</v>
      </c>
      <c r="E46" s="77">
        <v>95.7</v>
      </c>
      <c r="F46" s="74">
        <v>3732.3</v>
      </c>
      <c r="I46" s="3"/>
      <c r="J46" s="3"/>
    </row>
    <row r="47" spans="2:10" ht="15.75" x14ac:dyDescent="0.25">
      <c r="B47" s="84">
        <v>42770</v>
      </c>
      <c r="C47" s="73">
        <v>24786</v>
      </c>
      <c r="D47" s="72" t="s">
        <v>11</v>
      </c>
      <c r="E47" s="77">
        <v>92.1</v>
      </c>
      <c r="F47" s="74">
        <v>3591.9</v>
      </c>
      <c r="I47" s="3"/>
      <c r="J47" s="3"/>
    </row>
    <row r="48" spans="2:10" ht="15.75" x14ac:dyDescent="0.25">
      <c r="B48" s="84">
        <v>42770</v>
      </c>
      <c r="C48" s="73">
        <v>24787</v>
      </c>
      <c r="D48" s="72" t="s">
        <v>8</v>
      </c>
      <c r="E48" s="77">
        <f>407.2+19</f>
        <v>426.2</v>
      </c>
      <c r="F48" s="74">
        <v>17419.8</v>
      </c>
      <c r="I48" s="3"/>
      <c r="J48" s="3"/>
    </row>
    <row r="49" spans="2:13" ht="15.75" x14ac:dyDescent="0.25">
      <c r="B49" s="84">
        <v>42770</v>
      </c>
      <c r="C49" s="73">
        <v>24788</v>
      </c>
      <c r="D49" s="72" t="s">
        <v>0</v>
      </c>
      <c r="E49" s="77">
        <v>98.2</v>
      </c>
      <c r="F49" s="74">
        <v>3829.8</v>
      </c>
      <c r="I49" s="3"/>
      <c r="J49" s="3"/>
    </row>
    <row r="50" spans="2:13" ht="15.75" x14ac:dyDescent="0.25">
      <c r="B50" s="84">
        <v>42770</v>
      </c>
      <c r="C50" s="73">
        <v>24792</v>
      </c>
      <c r="D50" s="72" t="s">
        <v>13</v>
      </c>
      <c r="E50" s="77">
        <v>8.9</v>
      </c>
      <c r="F50" s="74">
        <v>231.4</v>
      </c>
      <c r="I50" s="3"/>
      <c r="J50" s="3"/>
    </row>
    <row r="51" spans="2:13" ht="15.75" x14ac:dyDescent="0.25">
      <c r="B51" s="84">
        <v>42770</v>
      </c>
      <c r="C51" s="73">
        <v>24793</v>
      </c>
      <c r="D51" s="72" t="s">
        <v>11</v>
      </c>
      <c r="E51" s="77">
        <v>7.7</v>
      </c>
      <c r="F51" s="74">
        <v>200.2</v>
      </c>
      <c r="I51" s="3"/>
      <c r="J51" s="3"/>
    </row>
    <row r="52" spans="2:13" ht="15.75" x14ac:dyDescent="0.25">
      <c r="B52" s="85">
        <v>42770</v>
      </c>
      <c r="C52" s="86">
        <v>24811</v>
      </c>
      <c r="D52" s="87" t="s">
        <v>11</v>
      </c>
      <c r="E52" s="88">
        <v>119.2</v>
      </c>
      <c r="F52" s="89">
        <v>4410.3999999999996</v>
      </c>
      <c r="I52" s="3"/>
      <c r="J52" s="3"/>
    </row>
    <row r="53" spans="2:13" ht="15.75" x14ac:dyDescent="0.25">
      <c r="B53" s="85">
        <v>42770</v>
      </c>
      <c r="C53" s="86">
        <v>24814</v>
      </c>
      <c r="D53" s="87" t="s">
        <v>8</v>
      </c>
      <c r="E53" s="88">
        <v>110.6</v>
      </c>
      <c r="F53" s="89">
        <v>1880.2</v>
      </c>
      <c r="I53" s="3"/>
      <c r="J53" s="3"/>
    </row>
    <row r="54" spans="2:13" ht="16.5" thickBot="1" x14ac:dyDescent="0.3">
      <c r="B54" s="85"/>
      <c r="C54" s="86"/>
      <c r="D54" s="87"/>
      <c r="E54" s="88"/>
      <c r="F54" s="89">
        <v>0</v>
      </c>
      <c r="I54" s="3"/>
      <c r="J54" s="3"/>
    </row>
    <row r="55" spans="2:13" ht="15.75" thickBot="1" x14ac:dyDescent="0.3">
      <c r="B55" s="29" t="s">
        <v>9</v>
      </c>
      <c r="C55" s="66"/>
      <c r="D55" s="31"/>
      <c r="E55" s="32">
        <v>0</v>
      </c>
      <c r="F55" s="33">
        <f>SUM(F3:F54)</f>
        <v>496125.86000000004</v>
      </c>
      <c r="K55" s="3">
        <f t="shared" ref="K55:K56" si="2">J55*I55</f>
        <v>0</v>
      </c>
    </row>
    <row r="56" spans="2:13" ht="19.5" thickBot="1" x14ac:dyDescent="0.35">
      <c r="B56" s="34"/>
      <c r="C56" s="67"/>
      <c r="D56" s="36" t="s">
        <v>5</v>
      </c>
      <c r="E56" s="37">
        <f>SUM(E3:E55)</f>
        <v>12810.280000000002</v>
      </c>
      <c r="I56" s="38"/>
      <c r="J56" s="38"/>
      <c r="K56" s="3">
        <f t="shared" si="2"/>
        <v>0</v>
      </c>
    </row>
    <row r="57" spans="2:13" x14ac:dyDescent="0.25">
      <c r="B57" s="34"/>
      <c r="C57" s="67"/>
      <c r="D57" s="26"/>
      <c r="E57" s="39"/>
      <c r="I57" s="38">
        <f>SUM(I55:I56)</f>
        <v>0</v>
      </c>
      <c r="J57" s="38"/>
      <c r="K57" s="38">
        <f>SUM(K55:K56)</f>
        <v>0</v>
      </c>
    </row>
    <row r="58" spans="2:13" ht="21.75" thickBot="1" x14ac:dyDescent="0.4">
      <c r="B58" s="40"/>
      <c r="C58" s="41" t="s">
        <v>15</v>
      </c>
      <c r="D58" s="42">
        <f>E56*0.2</f>
        <v>2562.0560000000005</v>
      </c>
      <c r="F58"/>
      <c r="K58"/>
    </row>
    <row r="59" spans="2:13" ht="21.75" thickBot="1" x14ac:dyDescent="0.4">
      <c r="C59" s="41" t="s">
        <v>16</v>
      </c>
      <c r="D59" s="44">
        <v>3400</v>
      </c>
      <c r="E59" s="45"/>
      <c r="F59" s="258">
        <f>D58+D59</f>
        <v>5962.0560000000005</v>
      </c>
      <c r="G59" s="259"/>
      <c r="I59" s="46"/>
      <c r="J59" s="46"/>
      <c r="K59" s="46"/>
      <c r="L59" s="46"/>
      <c r="M59" s="46"/>
    </row>
    <row r="60" spans="2:13" ht="17.25" thickTop="1" thickBot="1" x14ac:dyDescent="0.3">
      <c r="E60" s="47" t="s">
        <v>17</v>
      </c>
      <c r="G60" s="48">
        <v>-1700</v>
      </c>
      <c r="I60" s="46"/>
      <c r="J60" s="46"/>
      <c r="K60" s="49"/>
      <c r="L60" s="49"/>
      <c r="M60" s="49"/>
    </row>
    <row r="61" spans="2:13" ht="19.5" thickBot="1" x14ac:dyDescent="0.35">
      <c r="C61" s="50" t="s">
        <v>94</v>
      </c>
      <c r="D61" s="51" t="s">
        <v>107</v>
      </c>
      <c r="E61" s="47" t="s">
        <v>17</v>
      </c>
      <c r="F61" s="260">
        <v>-1000</v>
      </c>
      <c r="G61" s="260"/>
      <c r="I61" s="46"/>
      <c r="J61" s="46"/>
      <c r="K61" s="49"/>
      <c r="L61" s="49"/>
      <c r="M61" s="49"/>
    </row>
    <row r="62" spans="2:13" ht="20.25" thickTop="1" thickBot="1" x14ac:dyDescent="0.35">
      <c r="C62" s="52" t="s">
        <v>18</v>
      </c>
      <c r="D62" s="53" t="s">
        <v>108</v>
      </c>
      <c r="F62" s="261">
        <f>F59+F61+G60</f>
        <v>3262.0560000000005</v>
      </c>
      <c r="G62" s="261"/>
      <c r="I62" s="46"/>
      <c r="J62" s="46"/>
      <c r="K62" s="49"/>
      <c r="L62" s="49"/>
      <c r="M62" s="49"/>
    </row>
    <row r="63" spans="2:13" ht="19.5" thickBot="1" x14ac:dyDescent="0.35">
      <c r="D63" s="53" t="s">
        <v>109</v>
      </c>
      <c r="E63" s="2" t="s">
        <v>19</v>
      </c>
      <c r="F63" s="262"/>
      <c r="G63" s="262"/>
      <c r="K63"/>
    </row>
  </sheetData>
  <mergeCells count="4">
    <mergeCell ref="B1:C1"/>
    <mergeCell ref="F59:G59"/>
    <mergeCell ref="F61:G61"/>
    <mergeCell ref="F62:G63"/>
  </mergeCells>
  <pageMargins left="0.31496062992125984" right="0.11811023622047245" top="0.74803149606299213" bottom="0.74803149606299213" header="0.31496062992125984" footer="0.31496062992125984"/>
  <pageSetup scale="90" orientation="portrait" horizontalDpi="0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56"/>
  <sheetViews>
    <sheetView topLeftCell="A19" workbookViewId="0">
      <selection activeCell="D50" sqref="D50"/>
    </sheetView>
  </sheetViews>
  <sheetFormatPr baseColWidth="10" defaultRowHeight="15" x14ac:dyDescent="0.25"/>
  <cols>
    <col min="1" max="1" width="3.42578125" customWidth="1"/>
    <col min="2" max="2" width="13.42578125" style="96" bestFit="1" customWidth="1"/>
    <col min="3" max="3" width="13.7109375" style="41" customWidth="1"/>
    <col min="4" max="4" width="28.5703125" bestFit="1" customWidth="1"/>
    <col min="5" max="5" width="12" bestFit="1" customWidth="1"/>
    <col min="6" max="6" width="14.140625" style="3" bestFit="1" customWidth="1"/>
    <col min="7" max="7" width="15.7109375" customWidth="1"/>
    <col min="11" max="11" width="11.42578125" style="3"/>
    <col min="13" max="13" width="11.42578125" style="3"/>
  </cols>
  <sheetData>
    <row r="1" spans="2:11" ht="19.5" thickBot="1" x14ac:dyDescent="0.35">
      <c r="B1" s="257">
        <v>43104</v>
      </c>
      <c r="C1" s="257"/>
      <c r="D1" s="250" t="s">
        <v>0</v>
      </c>
      <c r="E1" s="2" t="s">
        <v>1</v>
      </c>
      <c r="K1"/>
    </row>
    <row r="2" spans="2:11" ht="19.5" thickBot="1" x14ac:dyDescent="0.35">
      <c r="B2" s="95" t="s">
        <v>2</v>
      </c>
      <c r="C2" s="5" t="s">
        <v>3</v>
      </c>
      <c r="D2" s="5" t="s">
        <v>4</v>
      </c>
      <c r="E2" s="6" t="s">
        <v>5</v>
      </c>
      <c r="F2" s="139" t="s">
        <v>1006</v>
      </c>
      <c r="G2" s="8"/>
      <c r="K2"/>
    </row>
    <row r="3" spans="2:11" ht="15.75" x14ac:dyDescent="0.25">
      <c r="B3" s="197">
        <v>43081</v>
      </c>
      <c r="C3" s="22">
        <v>13578</v>
      </c>
      <c r="D3" s="198" t="s">
        <v>24</v>
      </c>
      <c r="E3" s="199">
        <f>73.5+70.3+34.1</f>
        <v>177.9</v>
      </c>
      <c r="F3" s="200">
        <v>4251.3999999999996</v>
      </c>
      <c r="K3"/>
    </row>
    <row r="4" spans="2:11" ht="15.75" x14ac:dyDescent="0.25">
      <c r="B4" s="118">
        <v>43081</v>
      </c>
      <c r="C4" s="15">
        <v>13579</v>
      </c>
      <c r="D4" s="119" t="s">
        <v>8</v>
      </c>
      <c r="E4" s="120">
        <f>383.3+76.9+111.8+30</f>
        <v>602</v>
      </c>
      <c r="F4" s="121">
        <v>25843.200000000001</v>
      </c>
      <c r="K4"/>
    </row>
    <row r="5" spans="2:11" ht="15.75" x14ac:dyDescent="0.25">
      <c r="B5" s="118">
        <v>43081</v>
      </c>
      <c r="C5" s="15">
        <v>13580</v>
      </c>
      <c r="D5" s="119" t="s">
        <v>0</v>
      </c>
      <c r="E5" s="120">
        <v>79.099999999999994</v>
      </c>
      <c r="F5" s="121">
        <v>3164</v>
      </c>
      <c r="K5"/>
    </row>
    <row r="6" spans="2:11" ht="15.75" x14ac:dyDescent="0.25">
      <c r="B6" s="118">
        <v>43081</v>
      </c>
      <c r="C6" s="15">
        <v>13582</v>
      </c>
      <c r="D6" s="119" t="s">
        <v>12</v>
      </c>
      <c r="E6" s="120">
        <v>77.7</v>
      </c>
      <c r="F6" s="121">
        <v>3885</v>
      </c>
      <c r="G6" t="s">
        <v>9</v>
      </c>
      <c r="K6" s="3">
        <f t="shared" ref="K6:K20" si="0">J6*I6</f>
        <v>0</v>
      </c>
    </row>
    <row r="7" spans="2:11" ht="15.75" x14ac:dyDescent="0.25">
      <c r="B7" s="118">
        <v>43081</v>
      </c>
      <c r="C7" s="15">
        <v>13581</v>
      </c>
      <c r="D7" s="119" t="s">
        <v>0</v>
      </c>
      <c r="E7" s="120">
        <v>74.8</v>
      </c>
      <c r="F7" s="121">
        <v>3141.6</v>
      </c>
      <c r="K7" s="3">
        <f t="shared" si="0"/>
        <v>0</v>
      </c>
    </row>
    <row r="8" spans="2:11" ht="15.75" x14ac:dyDescent="0.25">
      <c r="B8" s="118">
        <v>43082</v>
      </c>
      <c r="C8" s="15">
        <v>13719</v>
      </c>
      <c r="D8" s="119" t="s">
        <v>0</v>
      </c>
      <c r="E8" s="120">
        <v>959.64</v>
      </c>
      <c r="F8" s="121">
        <v>36466.32</v>
      </c>
      <c r="K8" s="3">
        <f t="shared" si="0"/>
        <v>0</v>
      </c>
    </row>
    <row r="9" spans="2:11" ht="15.75" x14ac:dyDescent="0.25">
      <c r="B9" s="118">
        <v>43082</v>
      </c>
      <c r="C9" s="15">
        <v>13720</v>
      </c>
      <c r="D9" s="119" t="s">
        <v>12</v>
      </c>
      <c r="E9" s="120">
        <v>230.6</v>
      </c>
      <c r="F9" s="121">
        <v>17986.8</v>
      </c>
      <c r="K9" s="3">
        <f t="shared" si="0"/>
        <v>0</v>
      </c>
    </row>
    <row r="10" spans="2:11" ht="15.75" x14ac:dyDescent="0.25">
      <c r="B10" s="118">
        <v>43082</v>
      </c>
      <c r="C10" s="15">
        <v>13721</v>
      </c>
      <c r="D10" s="119" t="s">
        <v>0</v>
      </c>
      <c r="E10" s="120">
        <f>88.3+116.8</f>
        <v>205.1</v>
      </c>
      <c r="F10" s="121">
        <v>8204</v>
      </c>
      <c r="K10" s="3">
        <f t="shared" si="0"/>
        <v>0</v>
      </c>
    </row>
    <row r="11" spans="2:11" ht="15.75" x14ac:dyDescent="0.25">
      <c r="B11" s="118">
        <v>43082</v>
      </c>
      <c r="C11" s="15">
        <v>13722</v>
      </c>
      <c r="D11" s="119" t="s">
        <v>0</v>
      </c>
      <c r="E11" s="120">
        <v>75.7</v>
      </c>
      <c r="F11" s="121">
        <v>3103.7</v>
      </c>
      <c r="K11" s="3">
        <f t="shared" si="0"/>
        <v>0</v>
      </c>
    </row>
    <row r="12" spans="2:11" ht="15.75" x14ac:dyDescent="0.25">
      <c r="B12" s="118">
        <v>43084</v>
      </c>
      <c r="C12" s="15">
        <v>13992</v>
      </c>
      <c r="D12" s="119" t="s">
        <v>8</v>
      </c>
      <c r="E12" s="120">
        <f>307.1+69.3</f>
        <v>376.40000000000003</v>
      </c>
      <c r="F12" s="121">
        <v>16996.400000000001</v>
      </c>
      <c r="K12" s="3">
        <f t="shared" si="0"/>
        <v>0</v>
      </c>
    </row>
    <row r="13" spans="2:11" ht="15.75" x14ac:dyDescent="0.25">
      <c r="B13" s="118">
        <v>43084</v>
      </c>
      <c r="C13" s="15">
        <v>13993</v>
      </c>
      <c r="D13" s="119" t="s">
        <v>14</v>
      </c>
      <c r="E13" s="120">
        <f>330.5+137.2</f>
        <v>467.7</v>
      </c>
      <c r="F13" s="121">
        <v>18570.8</v>
      </c>
    </row>
    <row r="14" spans="2:11" ht="15.75" x14ac:dyDescent="0.25">
      <c r="B14" s="118">
        <v>43084</v>
      </c>
      <c r="C14" s="15">
        <v>13996</v>
      </c>
      <c r="D14" s="119" t="s">
        <v>12</v>
      </c>
      <c r="E14" s="120">
        <v>110.2</v>
      </c>
      <c r="F14" s="121">
        <v>5510</v>
      </c>
    </row>
    <row r="15" spans="2:11" ht="15.75" x14ac:dyDescent="0.25">
      <c r="B15" s="118">
        <v>43084</v>
      </c>
      <c r="C15" s="15">
        <v>13997</v>
      </c>
      <c r="D15" s="119" t="s">
        <v>659</v>
      </c>
      <c r="E15" s="120">
        <v>941.95</v>
      </c>
      <c r="F15" s="121">
        <v>35794.1</v>
      </c>
    </row>
    <row r="16" spans="2:11" ht="15.75" x14ac:dyDescent="0.25">
      <c r="B16" s="118">
        <v>43084</v>
      </c>
      <c r="C16" s="15">
        <v>13999</v>
      </c>
      <c r="D16" s="119" t="s">
        <v>0</v>
      </c>
      <c r="E16" s="120">
        <v>548.20000000000005</v>
      </c>
      <c r="F16" s="121">
        <v>21379</v>
      </c>
    </row>
    <row r="17" spans="2:11" ht="15.75" x14ac:dyDescent="0.25">
      <c r="B17" s="118">
        <v>43084</v>
      </c>
      <c r="C17" s="15">
        <v>14000</v>
      </c>
      <c r="D17" s="119" t="s">
        <v>0</v>
      </c>
      <c r="E17" s="120">
        <v>75.5</v>
      </c>
      <c r="F17" s="121">
        <v>3020</v>
      </c>
    </row>
    <row r="18" spans="2:11" ht="15.75" x14ac:dyDescent="0.25">
      <c r="B18" s="118">
        <v>43084</v>
      </c>
      <c r="C18" s="15">
        <v>14001</v>
      </c>
      <c r="D18" s="119" t="s">
        <v>11</v>
      </c>
      <c r="E18" s="120">
        <f>79.6+204.6</f>
        <v>284.2</v>
      </c>
      <c r="F18" s="121">
        <v>11163.4</v>
      </c>
      <c r="K18" s="3">
        <f t="shared" si="0"/>
        <v>0</v>
      </c>
    </row>
    <row r="19" spans="2:11" ht="15.75" x14ac:dyDescent="0.25">
      <c r="B19" s="118">
        <v>43084</v>
      </c>
      <c r="C19" s="15">
        <v>14002</v>
      </c>
      <c r="D19" s="119" t="s">
        <v>0</v>
      </c>
      <c r="E19" s="120">
        <f>73.3+8+10.9+5</f>
        <v>97.2</v>
      </c>
      <c r="F19" s="121">
        <v>4455</v>
      </c>
      <c r="K19" s="3">
        <f t="shared" si="0"/>
        <v>0</v>
      </c>
    </row>
    <row r="20" spans="2:11" ht="15.75" x14ac:dyDescent="0.25">
      <c r="B20" s="118">
        <v>43085</v>
      </c>
      <c r="C20" s="15">
        <v>14161</v>
      </c>
      <c r="D20" s="119" t="s">
        <v>24</v>
      </c>
      <c r="E20" s="120">
        <v>953.9</v>
      </c>
      <c r="F20" s="121">
        <v>35294.300000000003</v>
      </c>
      <c r="K20" s="3">
        <f t="shared" si="0"/>
        <v>0</v>
      </c>
    </row>
    <row r="21" spans="2:11" ht="15.75" x14ac:dyDescent="0.25">
      <c r="B21" s="118">
        <v>43085</v>
      </c>
      <c r="C21" s="15">
        <v>14163</v>
      </c>
      <c r="D21" s="119" t="s">
        <v>8</v>
      </c>
      <c r="E21" s="120">
        <f>305.1+75.2</f>
        <v>380.3</v>
      </c>
      <c r="F21" s="121">
        <v>13557.6</v>
      </c>
    </row>
    <row r="22" spans="2:11" ht="15.75" x14ac:dyDescent="0.25">
      <c r="B22" s="118">
        <v>43085</v>
      </c>
      <c r="C22" s="15">
        <v>14164</v>
      </c>
      <c r="D22" s="119" t="s">
        <v>8</v>
      </c>
      <c r="E22" s="120">
        <v>221.4</v>
      </c>
      <c r="F22" s="121">
        <v>10405.799999999999</v>
      </c>
    </row>
    <row r="23" spans="2:11" ht="15.75" x14ac:dyDescent="0.25">
      <c r="B23" s="118">
        <v>43085</v>
      </c>
      <c r="C23" s="15">
        <v>14165</v>
      </c>
      <c r="D23" s="119" t="s">
        <v>14</v>
      </c>
      <c r="E23" s="120">
        <f>227.6+210.6</f>
        <v>438.2</v>
      </c>
      <c r="F23" s="121">
        <v>17317.400000000001</v>
      </c>
    </row>
    <row r="24" spans="2:11" ht="15.75" hidden="1" x14ac:dyDescent="0.25">
      <c r="B24" s="118"/>
      <c r="C24" s="15"/>
      <c r="D24" s="119"/>
      <c r="E24" s="120"/>
      <c r="F24" s="121"/>
    </row>
    <row r="25" spans="2:11" ht="15.75" hidden="1" x14ac:dyDescent="0.25">
      <c r="B25" s="118"/>
      <c r="C25" s="15"/>
      <c r="D25" s="119"/>
      <c r="E25" s="120"/>
      <c r="F25" s="121"/>
    </row>
    <row r="26" spans="2:11" ht="15.75" hidden="1" x14ac:dyDescent="0.25">
      <c r="B26" s="118"/>
      <c r="C26" s="15"/>
      <c r="D26" s="119"/>
      <c r="E26" s="120"/>
      <c r="F26" s="121"/>
      <c r="I26" s="3">
        <f>SUM(I6:I20)</f>
        <v>0</v>
      </c>
      <c r="J26" s="3"/>
      <c r="K26" s="3">
        <f>SUM(K6:K20)</f>
        <v>0</v>
      </c>
    </row>
    <row r="27" spans="2:11" ht="15.75" hidden="1" x14ac:dyDescent="0.25">
      <c r="B27" s="118"/>
      <c r="C27" s="15"/>
      <c r="D27" s="119"/>
      <c r="E27" s="120"/>
      <c r="F27" s="121"/>
      <c r="I27" s="3"/>
      <c r="J27" s="3"/>
    </row>
    <row r="28" spans="2:11" ht="15.75" hidden="1" x14ac:dyDescent="0.25">
      <c r="B28" s="118"/>
      <c r="C28" s="15"/>
      <c r="D28" s="119"/>
      <c r="E28" s="120"/>
      <c r="F28" s="121"/>
      <c r="I28" s="3"/>
      <c r="J28" s="3"/>
    </row>
    <row r="29" spans="2:11" ht="15.75" hidden="1" x14ac:dyDescent="0.25">
      <c r="B29" s="118"/>
      <c r="C29" s="15"/>
      <c r="D29" s="119"/>
      <c r="E29" s="120"/>
      <c r="F29" s="121"/>
      <c r="I29" s="3"/>
      <c r="J29" s="3"/>
    </row>
    <row r="30" spans="2:11" ht="15.75" hidden="1" x14ac:dyDescent="0.25">
      <c r="B30" s="118"/>
      <c r="C30" s="15"/>
      <c r="D30" s="119"/>
      <c r="E30" s="120"/>
      <c r="F30" s="121"/>
      <c r="I30" s="3"/>
      <c r="J30" s="3"/>
    </row>
    <row r="31" spans="2:11" ht="15.75" hidden="1" x14ac:dyDescent="0.25">
      <c r="B31" s="118"/>
      <c r="C31" s="15"/>
      <c r="D31" s="119"/>
      <c r="E31" s="120"/>
      <c r="F31" s="121"/>
      <c r="I31" s="3"/>
      <c r="J31" s="3"/>
    </row>
    <row r="32" spans="2:11" ht="15.75" hidden="1" x14ac:dyDescent="0.25">
      <c r="B32" s="118"/>
      <c r="C32" s="15"/>
      <c r="D32" s="119"/>
      <c r="E32" s="120"/>
      <c r="F32" s="121"/>
      <c r="I32" s="3"/>
      <c r="J32" s="3"/>
    </row>
    <row r="33" spans="2:13" ht="15.75" hidden="1" x14ac:dyDescent="0.25">
      <c r="B33" s="118"/>
      <c r="C33" s="15"/>
      <c r="D33" s="119"/>
      <c r="E33" s="120"/>
      <c r="F33" s="121"/>
      <c r="I33" s="3"/>
      <c r="J33" s="3"/>
    </row>
    <row r="34" spans="2:13" ht="15.75" hidden="1" x14ac:dyDescent="0.25">
      <c r="B34" s="118"/>
      <c r="C34" s="15"/>
      <c r="D34" s="119"/>
      <c r="E34" s="120"/>
      <c r="F34" s="121"/>
      <c r="I34" s="3"/>
      <c r="J34" s="3"/>
    </row>
    <row r="35" spans="2:13" ht="15.75" hidden="1" x14ac:dyDescent="0.25">
      <c r="B35" s="118"/>
      <c r="C35" s="15"/>
      <c r="D35" s="119"/>
      <c r="E35" s="120"/>
      <c r="F35" s="121"/>
      <c r="I35" s="3"/>
      <c r="J35" s="3"/>
    </row>
    <row r="36" spans="2:13" ht="15.75" hidden="1" x14ac:dyDescent="0.25">
      <c r="B36" s="118"/>
      <c r="C36" s="15"/>
      <c r="D36" s="119"/>
      <c r="E36" s="120"/>
      <c r="F36" s="121"/>
      <c r="I36" s="3"/>
      <c r="J36" s="3"/>
    </row>
    <row r="37" spans="2:13" ht="15.75" hidden="1" x14ac:dyDescent="0.25">
      <c r="B37" s="118"/>
      <c r="C37" s="15"/>
      <c r="D37" s="119"/>
      <c r="E37" s="120"/>
      <c r="F37" s="121"/>
      <c r="I37" s="3"/>
      <c r="J37" s="3"/>
    </row>
    <row r="38" spans="2:13" ht="15.75" x14ac:dyDescent="0.25">
      <c r="B38" s="118">
        <v>43085</v>
      </c>
      <c r="C38" s="15">
        <v>14166</v>
      </c>
      <c r="D38" s="119" t="s">
        <v>12</v>
      </c>
      <c r="E38" s="120">
        <f>131.4+39.3</f>
        <v>170.7</v>
      </c>
      <c r="F38" s="121">
        <v>7513.2</v>
      </c>
      <c r="I38" s="3"/>
      <c r="J38" s="3"/>
    </row>
    <row r="39" spans="2:13" ht="15.75" x14ac:dyDescent="0.25">
      <c r="B39" s="118">
        <v>43085</v>
      </c>
      <c r="C39" s="15">
        <v>14167</v>
      </c>
      <c r="D39" s="119" t="s">
        <v>11</v>
      </c>
      <c r="E39" s="120">
        <f>94.8+155.8</f>
        <v>250.60000000000002</v>
      </c>
      <c r="F39" s="121">
        <v>11385</v>
      </c>
      <c r="I39" s="3"/>
      <c r="J39" s="3"/>
    </row>
    <row r="40" spans="2:13" ht="15.75" x14ac:dyDescent="0.25">
      <c r="B40" s="118">
        <v>43085</v>
      </c>
      <c r="C40" s="15">
        <v>14168</v>
      </c>
      <c r="D40" s="119" t="s">
        <v>0</v>
      </c>
      <c r="E40" s="120">
        <f>75.5+55.3</f>
        <v>130.80000000000001</v>
      </c>
      <c r="F40" s="121">
        <v>6855.9</v>
      </c>
      <c r="I40" s="3"/>
      <c r="J40" s="3"/>
    </row>
    <row r="41" spans="2:13" ht="15.75" x14ac:dyDescent="0.25">
      <c r="B41" s="118"/>
      <c r="C41" s="15"/>
      <c r="D41" s="119"/>
      <c r="E41" s="120"/>
      <c r="F41" s="121"/>
      <c r="I41" s="3"/>
      <c r="J41" s="3"/>
    </row>
    <row r="42" spans="2:13" ht="16.5" thickBot="1" x14ac:dyDescent="0.3">
      <c r="B42" s="118"/>
      <c r="C42" s="15"/>
      <c r="D42" s="119"/>
      <c r="E42" s="120"/>
      <c r="F42" s="121"/>
      <c r="I42" s="3"/>
      <c r="J42" s="3"/>
    </row>
    <row r="43" spans="2:13" ht="15.75" thickBot="1" x14ac:dyDescent="0.3">
      <c r="B43" s="29"/>
      <c r="C43" s="66"/>
      <c r="D43" s="31"/>
      <c r="E43" s="32">
        <v>0</v>
      </c>
      <c r="F43" s="33">
        <f>SUM(F3:F42)</f>
        <v>325263.92</v>
      </c>
      <c r="K43" s="3">
        <f t="shared" ref="K43:K50" si="1">J43*I43</f>
        <v>0</v>
      </c>
    </row>
    <row r="44" spans="2:13" ht="19.5" thickBot="1" x14ac:dyDescent="0.35">
      <c r="B44" s="34"/>
      <c r="C44" s="67"/>
      <c r="D44" s="36" t="s">
        <v>5</v>
      </c>
      <c r="E44" s="37">
        <f>SUM(E3:E43)</f>
        <v>7929.7899999999981</v>
      </c>
      <c r="K44" s="3">
        <f t="shared" si="1"/>
        <v>0</v>
      </c>
    </row>
    <row r="45" spans="2:13" x14ac:dyDescent="0.25">
      <c r="B45" s="34"/>
      <c r="C45" s="67"/>
      <c r="D45" s="26"/>
      <c r="E45" s="39"/>
      <c r="K45" s="3">
        <f t="shared" si="1"/>
        <v>0</v>
      </c>
    </row>
    <row r="46" spans="2:13" ht="19.5" thickBot="1" x14ac:dyDescent="0.35">
      <c r="B46" s="40"/>
      <c r="C46" s="41" t="s">
        <v>15</v>
      </c>
      <c r="D46" s="149">
        <f>E44*0.3</f>
        <v>2378.9369999999994</v>
      </c>
      <c r="F46"/>
      <c r="K46" s="3">
        <f t="shared" si="1"/>
        <v>0</v>
      </c>
    </row>
    <row r="47" spans="2:13" ht="21.75" thickBot="1" x14ac:dyDescent="0.4">
      <c r="C47" s="41" t="s">
        <v>16</v>
      </c>
      <c r="D47" s="44">
        <v>3428</v>
      </c>
      <c r="E47" s="45"/>
      <c r="F47" s="258">
        <f>D46+D47</f>
        <v>5806.9369999999999</v>
      </c>
      <c r="G47" s="259"/>
      <c r="K47" s="3">
        <f t="shared" si="1"/>
        <v>0</v>
      </c>
      <c r="L47" s="46"/>
      <c r="M47" s="13"/>
    </row>
    <row r="48" spans="2:13" ht="22.5" thickTop="1" thickBot="1" x14ac:dyDescent="0.4">
      <c r="B48" s="34"/>
      <c r="C48" s="67"/>
      <c r="D48" s="146"/>
      <c r="E48" s="47" t="s">
        <v>258</v>
      </c>
      <c r="F48" s="203"/>
      <c r="G48" s="201">
        <v>-3428</v>
      </c>
      <c r="H48" s="202"/>
      <c r="L48" s="46"/>
      <c r="M48" s="13"/>
    </row>
    <row r="49" spans="1:13" ht="19.5" thickBot="1" x14ac:dyDescent="0.35">
      <c r="A49" s="26"/>
      <c r="B49" s="245"/>
      <c r="C49" s="244"/>
      <c r="D49" s="180" t="s">
        <v>1017</v>
      </c>
      <c r="E49" s="47" t="s">
        <v>258</v>
      </c>
      <c r="F49" s="142"/>
      <c r="G49" s="160">
        <v>-2379</v>
      </c>
      <c r="K49" s="3">
        <f t="shared" si="1"/>
        <v>0</v>
      </c>
      <c r="L49" s="49"/>
      <c r="M49" s="49"/>
    </row>
    <row r="50" spans="1:13" ht="21.75" customHeight="1" thickTop="1" thickBot="1" x14ac:dyDescent="0.35">
      <c r="B50" s="283" t="s">
        <v>626</v>
      </c>
      <c r="C50" s="284"/>
      <c r="D50" s="243" t="s">
        <v>1014</v>
      </c>
      <c r="E50" s="47" t="s">
        <v>258</v>
      </c>
      <c r="F50" s="125"/>
      <c r="G50" s="169">
        <v>0</v>
      </c>
      <c r="K50" s="3">
        <f t="shared" si="1"/>
        <v>0</v>
      </c>
      <c r="L50" s="49"/>
      <c r="M50" s="49"/>
    </row>
    <row r="51" spans="1:13" ht="20.25" customHeight="1" thickTop="1" thickBot="1" x14ac:dyDescent="0.35">
      <c r="B51" s="285"/>
      <c r="C51" s="286"/>
      <c r="D51" s="243"/>
      <c r="E51" s="47" t="s">
        <v>307</v>
      </c>
      <c r="F51" s="124"/>
      <c r="G51" s="170">
        <v>0</v>
      </c>
      <c r="L51" s="49"/>
      <c r="M51" s="49"/>
    </row>
    <row r="52" spans="1:13" ht="17.25" customHeight="1" thickTop="1" thickBot="1" x14ac:dyDescent="0.4">
      <c r="C52" s="22"/>
      <c r="D52" s="246"/>
      <c r="E52" s="4" t="s">
        <v>258</v>
      </c>
      <c r="F52" s="263">
        <f>SUM(F47:G51)</f>
        <v>-6.3000000000101863E-2</v>
      </c>
      <c r="G52" s="264"/>
      <c r="L52" s="49"/>
      <c r="M52" s="49"/>
    </row>
    <row r="53" spans="1:13" ht="19.5" customHeight="1" x14ac:dyDescent="0.35">
      <c r="C53" s="109"/>
      <c r="D53" s="136"/>
      <c r="F53" s="148"/>
      <c r="G53" s="148"/>
    </row>
    <row r="54" spans="1:13" x14ac:dyDescent="0.25">
      <c r="F54" s="27"/>
      <c r="G54" s="26"/>
    </row>
    <row r="55" spans="1:13" x14ac:dyDescent="0.25">
      <c r="D55" t="s">
        <v>9</v>
      </c>
    </row>
    <row r="56" spans="1:13" x14ac:dyDescent="0.25">
      <c r="I56" s="3">
        <f>SUM(I43:I50)</f>
        <v>0</v>
      </c>
      <c r="J56" s="3"/>
      <c r="K56" s="3">
        <f>SUM(K43:K50)</f>
        <v>0</v>
      </c>
    </row>
  </sheetData>
  <mergeCells count="4">
    <mergeCell ref="B1:C1"/>
    <mergeCell ref="F47:G47"/>
    <mergeCell ref="B50:C51"/>
    <mergeCell ref="F52:G52"/>
  </mergeCells>
  <pageMargins left="0.70866141732283472" right="0.70866141732283472" top="0.74803149606299213" bottom="0.74803149606299213" header="0.31496062992125984" footer="0.31496062992125984"/>
  <pageSetup scale="85" orientation="portrait" horizontalDpi="0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83"/>
  <sheetViews>
    <sheetView topLeftCell="A59" workbookViewId="0">
      <selection activeCell="D76" sqref="D76"/>
    </sheetView>
  </sheetViews>
  <sheetFormatPr baseColWidth="10" defaultRowHeight="15" x14ac:dyDescent="0.25"/>
  <cols>
    <col min="1" max="1" width="3.42578125" customWidth="1"/>
    <col min="2" max="2" width="13.42578125" style="96" bestFit="1" customWidth="1"/>
    <col min="3" max="3" width="13.7109375" style="41" customWidth="1"/>
    <col min="4" max="4" width="28.5703125" bestFit="1" customWidth="1"/>
    <col min="5" max="5" width="12" bestFit="1" customWidth="1"/>
    <col min="6" max="6" width="14.140625" style="3" bestFit="1" customWidth="1"/>
    <col min="7" max="7" width="15.7109375" customWidth="1"/>
    <col min="11" max="11" width="11.42578125" style="3"/>
    <col min="13" max="13" width="11.42578125" style="3"/>
  </cols>
  <sheetData>
    <row r="1" spans="2:11" ht="19.5" thickBot="1" x14ac:dyDescent="0.35">
      <c r="B1" s="257">
        <v>43104</v>
      </c>
      <c r="C1" s="257"/>
      <c r="D1" s="254" t="s">
        <v>0</v>
      </c>
      <c r="E1" s="2" t="s">
        <v>1</v>
      </c>
      <c r="K1"/>
    </row>
    <row r="2" spans="2:11" ht="19.5" thickBot="1" x14ac:dyDescent="0.35">
      <c r="B2" s="95" t="s">
        <v>2</v>
      </c>
      <c r="C2" s="5" t="s">
        <v>3</v>
      </c>
      <c r="D2" s="5" t="s">
        <v>4</v>
      </c>
      <c r="E2" s="6" t="s">
        <v>5</v>
      </c>
      <c r="F2" s="139" t="s">
        <v>1007</v>
      </c>
      <c r="G2" s="8"/>
      <c r="K2"/>
    </row>
    <row r="3" spans="2:11" ht="15.75" x14ac:dyDescent="0.25">
      <c r="B3" s="197">
        <v>43087</v>
      </c>
      <c r="C3" s="22">
        <v>14402</v>
      </c>
      <c r="D3" s="198" t="s">
        <v>0</v>
      </c>
      <c r="E3" s="199">
        <v>21.6</v>
      </c>
      <c r="F3" s="200">
        <v>518.4</v>
      </c>
      <c r="K3"/>
    </row>
    <row r="4" spans="2:11" ht="15.75" x14ac:dyDescent="0.25">
      <c r="B4" s="118">
        <v>43087</v>
      </c>
      <c r="C4" s="15">
        <v>14403</v>
      </c>
      <c r="D4" s="119" t="s">
        <v>8</v>
      </c>
      <c r="E4" s="120">
        <f>421.9+71.4</f>
        <v>493.29999999999995</v>
      </c>
      <c r="F4" s="121">
        <v>21731.200000000001</v>
      </c>
      <c r="K4"/>
    </row>
    <row r="5" spans="2:11" ht="15.75" x14ac:dyDescent="0.25">
      <c r="B5" s="118">
        <v>43087</v>
      </c>
      <c r="C5" s="15">
        <v>14404</v>
      </c>
      <c r="D5" s="119" t="s">
        <v>659</v>
      </c>
      <c r="E5" s="120">
        <v>954.8</v>
      </c>
      <c r="F5" s="121">
        <v>34372.800000000003</v>
      </c>
      <c r="K5"/>
    </row>
    <row r="6" spans="2:11" ht="15.75" x14ac:dyDescent="0.25">
      <c r="B6" s="118">
        <v>43087</v>
      </c>
      <c r="C6" s="15">
        <v>14405</v>
      </c>
      <c r="D6" s="119" t="s">
        <v>12</v>
      </c>
      <c r="E6" s="120">
        <v>71.099999999999994</v>
      </c>
      <c r="F6" s="121">
        <v>3626.1</v>
      </c>
      <c r="G6" t="s">
        <v>9</v>
      </c>
      <c r="K6" s="3">
        <f t="shared" ref="K6:K20" si="0">J6*I6</f>
        <v>0</v>
      </c>
    </row>
    <row r="7" spans="2:11" ht="15.75" x14ac:dyDescent="0.25">
      <c r="B7" s="118">
        <v>43087</v>
      </c>
      <c r="C7" s="15">
        <v>14406</v>
      </c>
      <c r="D7" s="119" t="s">
        <v>0</v>
      </c>
      <c r="E7" s="120">
        <v>116.8</v>
      </c>
      <c r="F7" s="121">
        <v>3153.6</v>
      </c>
      <c r="K7" s="3">
        <f t="shared" si="0"/>
        <v>0</v>
      </c>
    </row>
    <row r="8" spans="2:11" ht="15.75" x14ac:dyDescent="0.25">
      <c r="B8" s="118">
        <v>43088</v>
      </c>
      <c r="C8" s="15">
        <v>14510</v>
      </c>
      <c r="D8" s="119" t="s">
        <v>0</v>
      </c>
      <c r="E8" s="120">
        <f>672.6+129.2</f>
        <v>801.8</v>
      </c>
      <c r="F8" s="121">
        <v>46656.4</v>
      </c>
      <c r="K8" s="3">
        <f t="shared" si="0"/>
        <v>0</v>
      </c>
    </row>
    <row r="9" spans="2:11" ht="15.75" x14ac:dyDescent="0.25">
      <c r="B9" s="118">
        <v>43088</v>
      </c>
      <c r="C9" s="15">
        <v>14512</v>
      </c>
      <c r="D9" s="119" t="s">
        <v>0</v>
      </c>
      <c r="E9" s="120">
        <v>67.900000000000006</v>
      </c>
      <c r="F9" s="121">
        <v>4617.2</v>
      </c>
      <c r="K9" s="3">
        <f t="shared" si="0"/>
        <v>0</v>
      </c>
    </row>
    <row r="10" spans="2:11" ht="15.75" x14ac:dyDescent="0.25">
      <c r="B10" s="118">
        <v>43088</v>
      </c>
      <c r="C10" s="15">
        <v>14514</v>
      </c>
      <c r="D10" s="119" t="s">
        <v>0</v>
      </c>
      <c r="E10" s="120">
        <v>37.799999999999997</v>
      </c>
      <c r="F10" s="121">
        <v>1020.6</v>
      </c>
      <c r="K10" s="3">
        <f t="shared" si="0"/>
        <v>0</v>
      </c>
    </row>
    <row r="11" spans="2:11" ht="15.75" x14ac:dyDescent="0.25">
      <c r="B11" s="118">
        <v>43088</v>
      </c>
      <c r="C11" s="15">
        <v>14521</v>
      </c>
      <c r="D11" s="119" t="s">
        <v>8</v>
      </c>
      <c r="E11" s="120">
        <v>310.3</v>
      </c>
      <c r="F11" s="121">
        <v>12412</v>
      </c>
      <c r="K11" s="3">
        <f t="shared" si="0"/>
        <v>0</v>
      </c>
    </row>
    <row r="12" spans="2:11" ht="15.75" x14ac:dyDescent="0.25">
      <c r="B12" s="118">
        <v>43088</v>
      </c>
      <c r="C12" s="15">
        <v>14523</v>
      </c>
      <c r="D12" s="119" t="s">
        <v>14</v>
      </c>
      <c r="E12" s="120">
        <f>148.4+123.2</f>
        <v>271.60000000000002</v>
      </c>
      <c r="F12" s="121">
        <v>10642.8</v>
      </c>
      <c r="K12" s="3">
        <f t="shared" si="0"/>
        <v>0</v>
      </c>
    </row>
    <row r="13" spans="2:11" ht="15.75" x14ac:dyDescent="0.25">
      <c r="B13" s="118">
        <v>43088</v>
      </c>
      <c r="C13" s="15">
        <v>14524</v>
      </c>
      <c r="D13" s="119" t="s">
        <v>12</v>
      </c>
      <c r="E13" s="120">
        <v>137.1</v>
      </c>
      <c r="F13" s="121">
        <v>6992.1</v>
      </c>
    </row>
    <row r="14" spans="2:11" ht="15.75" x14ac:dyDescent="0.25">
      <c r="B14" s="118">
        <v>43088</v>
      </c>
      <c r="C14" s="15">
        <v>14525</v>
      </c>
      <c r="D14" s="119" t="s">
        <v>0</v>
      </c>
      <c r="E14" s="120">
        <v>96.7</v>
      </c>
      <c r="F14" s="121">
        <v>3868</v>
      </c>
    </row>
    <row r="15" spans="2:11" ht="15.75" x14ac:dyDescent="0.25">
      <c r="B15" s="118">
        <v>43088</v>
      </c>
      <c r="C15" s="15">
        <v>14526</v>
      </c>
      <c r="D15" s="119" t="s">
        <v>0</v>
      </c>
      <c r="E15" s="120">
        <f>69.1+22.3</f>
        <v>91.399999999999991</v>
      </c>
      <c r="F15" s="121">
        <v>4106.3999999999996</v>
      </c>
    </row>
    <row r="16" spans="2:11" ht="15.75" x14ac:dyDescent="0.25">
      <c r="B16" s="118">
        <v>43088</v>
      </c>
      <c r="C16" s="15">
        <v>14529</v>
      </c>
      <c r="D16" s="119" t="s">
        <v>0</v>
      </c>
      <c r="E16" s="120">
        <f>10.2+8.6+7.4</f>
        <v>26.199999999999996</v>
      </c>
      <c r="F16" s="121">
        <v>1471.2</v>
      </c>
    </row>
    <row r="17" spans="2:11" ht="15.75" x14ac:dyDescent="0.25">
      <c r="B17" s="118">
        <v>43089</v>
      </c>
      <c r="C17" s="15">
        <v>14692</v>
      </c>
      <c r="D17" s="119" t="s">
        <v>0</v>
      </c>
      <c r="E17" s="120">
        <f>966.89+68.7</f>
        <v>1035.5899999999999</v>
      </c>
      <c r="F17" s="121">
        <v>36657.85</v>
      </c>
    </row>
    <row r="18" spans="2:11" ht="15.75" x14ac:dyDescent="0.25">
      <c r="B18" s="118">
        <v>43089</v>
      </c>
      <c r="C18" s="15">
        <v>14694</v>
      </c>
      <c r="D18" s="119" t="s">
        <v>0</v>
      </c>
      <c r="E18" s="120">
        <f>213.6+477.8</f>
        <v>691.4</v>
      </c>
      <c r="F18" s="121">
        <v>42889.2</v>
      </c>
      <c r="K18" s="3">
        <f t="shared" si="0"/>
        <v>0</v>
      </c>
    </row>
    <row r="19" spans="2:11" ht="15.75" x14ac:dyDescent="0.25">
      <c r="B19" s="118">
        <v>43089</v>
      </c>
      <c r="C19" s="15">
        <v>14693</v>
      </c>
      <c r="D19" s="119" t="s">
        <v>0</v>
      </c>
      <c r="E19" s="120">
        <v>944.67</v>
      </c>
      <c r="F19" s="121">
        <v>33063.449999999997</v>
      </c>
      <c r="K19" s="3">
        <f t="shared" si="0"/>
        <v>0</v>
      </c>
    </row>
    <row r="20" spans="2:11" ht="15.75" x14ac:dyDescent="0.25">
      <c r="B20" s="118">
        <v>43089</v>
      </c>
      <c r="C20" s="15">
        <v>14695</v>
      </c>
      <c r="D20" s="119" t="s">
        <v>0</v>
      </c>
      <c r="E20" s="120">
        <f>82.8+4.7+5.4</f>
        <v>92.9</v>
      </c>
      <c r="F20" s="121">
        <v>3900.4</v>
      </c>
      <c r="K20" s="3">
        <f t="shared" si="0"/>
        <v>0</v>
      </c>
    </row>
    <row r="21" spans="2:11" ht="15.75" x14ac:dyDescent="0.25">
      <c r="B21" s="118">
        <v>43089</v>
      </c>
      <c r="C21" s="15">
        <v>14696</v>
      </c>
      <c r="D21" s="119" t="s">
        <v>0</v>
      </c>
      <c r="E21" s="120">
        <f>7.1+4.8</f>
        <v>11.899999999999999</v>
      </c>
      <c r="F21" s="121">
        <v>788.3</v>
      </c>
    </row>
    <row r="22" spans="2:11" ht="15.75" x14ac:dyDescent="0.25">
      <c r="B22" s="118">
        <v>43089</v>
      </c>
      <c r="C22" s="15">
        <v>14697</v>
      </c>
      <c r="D22" s="119" t="s">
        <v>11</v>
      </c>
      <c r="E22" s="120">
        <v>341</v>
      </c>
      <c r="F22" s="121">
        <v>12276</v>
      </c>
    </row>
    <row r="23" spans="2:11" ht="15.75" x14ac:dyDescent="0.25">
      <c r="B23" s="118">
        <v>43089</v>
      </c>
      <c r="C23" s="15">
        <v>14698</v>
      </c>
      <c r="D23" s="119" t="s">
        <v>8</v>
      </c>
      <c r="E23" s="120">
        <v>341.1</v>
      </c>
      <c r="F23" s="121">
        <v>13985.1</v>
      </c>
    </row>
    <row r="24" spans="2:11" ht="15.75" hidden="1" x14ac:dyDescent="0.25">
      <c r="B24" s="118"/>
      <c r="C24" s="15"/>
      <c r="D24" s="119"/>
      <c r="E24" s="120"/>
      <c r="F24" s="121"/>
    </row>
    <row r="25" spans="2:11" ht="15.75" hidden="1" x14ac:dyDescent="0.25">
      <c r="B25" s="118"/>
      <c r="C25" s="15"/>
      <c r="D25" s="119"/>
      <c r="E25" s="120"/>
      <c r="F25" s="121"/>
    </row>
    <row r="26" spans="2:11" ht="15.75" hidden="1" x14ac:dyDescent="0.25">
      <c r="B26" s="118"/>
      <c r="C26" s="15"/>
      <c r="D26" s="119"/>
      <c r="E26" s="120"/>
      <c r="F26" s="121"/>
      <c r="I26" s="3">
        <f>SUM(I6:I20)</f>
        <v>0</v>
      </c>
      <c r="J26" s="3"/>
      <c r="K26" s="3">
        <f>SUM(K6:K20)</f>
        <v>0</v>
      </c>
    </row>
    <row r="27" spans="2:11" ht="15.75" hidden="1" x14ac:dyDescent="0.25">
      <c r="B27" s="118"/>
      <c r="C27" s="15"/>
      <c r="D27" s="119"/>
      <c r="E27" s="120"/>
      <c r="F27" s="121"/>
      <c r="I27" s="3"/>
      <c r="J27" s="3"/>
    </row>
    <row r="28" spans="2:11" ht="15.75" hidden="1" x14ac:dyDescent="0.25">
      <c r="B28" s="118"/>
      <c r="C28" s="15"/>
      <c r="D28" s="119"/>
      <c r="E28" s="120"/>
      <c r="F28" s="121"/>
      <c r="I28" s="3"/>
      <c r="J28" s="3"/>
    </row>
    <row r="29" spans="2:11" ht="15.75" hidden="1" x14ac:dyDescent="0.25">
      <c r="B29" s="118"/>
      <c r="C29" s="15"/>
      <c r="D29" s="119"/>
      <c r="E29" s="120"/>
      <c r="F29" s="121"/>
      <c r="I29" s="3"/>
      <c r="J29" s="3"/>
    </row>
    <row r="30" spans="2:11" ht="15.75" hidden="1" x14ac:dyDescent="0.25">
      <c r="B30" s="118"/>
      <c r="C30" s="15"/>
      <c r="D30" s="119"/>
      <c r="E30" s="120"/>
      <c r="F30" s="121"/>
      <c r="I30" s="3"/>
      <c r="J30" s="3"/>
    </row>
    <row r="31" spans="2:11" ht="15.75" hidden="1" x14ac:dyDescent="0.25">
      <c r="B31" s="118"/>
      <c r="C31" s="15"/>
      <c r="D31" s="119"/>
      <c r="E31" s="120"/>
      <c r="F31" s="121"/>
      <c r="I31" s="3"/>
      <c r="J31" s="3"/>
    </row>
    <row r="32" spans="2:11" ht="15.75" hidden="1" x14ac:dyDescent="0.25">
      <c r="B32" s="118"/>
      <c r="C32" s="15"/>
      <c r="D32" s="119"/>
      <c r="E32" s="120"/>
      <c r="F32" s="121"/>
      <c r="I32" s="3"/>
      <c r="J32" s="3"/>
    </row>
    <row r="33" spans="2:10" ht="15.75" hidden="1" x14ac:dyDescent="0.25">
      <c r="B33" s="118"/>
      <c r="C33" s="15"/>
      <c r="D33" s="119"/>
      <c r="E33" s="120"/>
      <c r="F33" s="121"/>
      <c r="I33" s="3"/>
      <c r="J33" s="3"/>
    </row>
    <row r="34" spans="2:10" ht="15.75" hidden="1" x14ac:dyDescent="0.25">
      <c r="B34" s="118"/>
      <c r="C34" s="15"/>
      <c r="D34" s="119"/>
      <c r="E34" s="120"/>
      <c r="F34" s="121"/>
      <c r="I34" s="3"/>
      <c r="J34" s="3"/>
    </row>
    <row r="35" spans="2:10" ht="15.75" hidden="1" x14ac:dyDescent="0.25">
      <c r="B35" s="118"/>
      <c r="C35" s="15"/>
      <c r="D35" s="119"/>
      <c r="E35" s="120"/>
      <c r="F35" s="121"/>
      <c r="I35" s="3"/>
      <c r="J35" s="3"/>
    </row>
    <row r="36" spans="2:10" ht="15.75" hidden="1" x14ac:dyDescent="0.25">
      <c r="B36" s="118"/>
      <c r="C36" s="15"/>
      <c r="D36" s="119"/>
      <c r="E36" s="120"/>
      <c r="F36" s="121"/>
      <c r="I36" s="3"/>
      <c r="J36" s="3"/>
    </row>
    <row r="37" spans="2:10" ht="15.75" hidden="1" x14ac:dyDescent="0.25">
      <c r="B37" s="118"/>
      <c r="C37" s="15"/>
      <c r="D37" s="119"/>
      <c r="E37" s="120"/>
      <c r="F37" s="121"/>
      <c r="I37" s="3"/>
      <c r="J37" s="3"/>
    </row>
    <row r="38" spans="2:10" ht="15.75" x14ac:dyDescent="0.25">
      <c r="B38" s="118">
        <v>43090</v>
      </c>
      <c r="C38" s="15">
        <v>14857</v>
      </c>
      <c r="D38" s="119" t="s">
        <v>0</v>
      </c>
      <c r="E38" s="120">
        <v>969.2</v>
      </c>
      <c r="F38" s="121">
        <v>32952.800000000003</v>
      </c>
      <c r="I38" s="3"/>
      <c r="J38" s="3"/>
    </row>
    <row r="39" spans="2:10" ht="15.75" x14ac:dyDescent="0.25">
      <c r="B39" s="118">
        <v>43090</v>
      </c>
      <c r="C39" s="15">
        <v>14858</v>
      </c>
      <c r="D39" s="119" t="s">
        <v>11</v>
      </c>
      <c r="E39" s="120">
        <v>157.30000000000001</v>
      </c>
      <c r="F39" s="121">
        <v>8651.5</v>
      </c>
      <c r="I39" s="3"/>
      <c r="J39" s="3"/>
    </row>
    <row r="40" spans="2:10" ht="15.75" x14ac:dyDescent="0.25">
      <c r="B40" s="118">
        <v>43090</v>
      </c>
      <c r="C40" s="15">
        <v>14859</v>
      </c>
      <c r="D40" s="119" t="s">
        <v>12</v>
      </c>
      <c r="E40" s="120">
        <f>63.2+14.3</f>
        <v>77.5</v>
      </c>
      <c r="F40" s="121">
        <v>4009.7</v>
      </c>
      <c r="I40" s="3"/>
      <c r="J40" s="3"/>
    </row>
    <row r="41" spans="2:10" ht="15.75" x14ac:dyDescent="0.25">
      <c r="B41" s="118">
        <v>43090</v>
      </c>
      <c r="C41" s="15">
        <v>14860</v>
      </c>
      <c r="D41" s="119" t="s">
        <v>0</v>
      </c>
      <c r="E41" s="120">
        <f>77.7+21.4</f>
        <v>99.1</v>
      </c>
      <c r="F41" s="121">
        <v>4384.1000000000004</v>
      </c>
      <c r="I41" s="3"/>
      <c r="J41" s="3"/>
    </row>
    <row r="42" spans="2:10" ht="15.75" x14ac:dyDescent="0.25">
      <c r="B42" s="118">
        <v>43090</v>
      </c>
      <c r="C42" s="15">
        <v>14861</v>
      </c>
      <c r="D42" s="119" t="s">
        <v>0</v>
      </c>
      <c r="E42" s="120">
        <f>73.9+92.3</f>
        <v>166.2</v>
      </c>
      <c r="F42" s="121">
        <v>10229.299999999999</v>
      </c>
      <c r="I42" s="3"/>
      <c r="J42" s="3"/>
    </row>
    <row r="43" spans="2:10" ht="15.75" x14ac:dyDescent="0.25">
      <c r="B43" s="118">
        <v>43090</v>
      </c>
      <c r="C43" s="15">
        <v>14862</v>
      </c>
      <c r="D43" s="119" t="s">
        <v>8</v>
      </c>
      <c r="E43" s="120">
        <f>355.9+64.9</f>
        <v>420.79999999999995</v>
      </c>
      <c r="F43" s="121">
        <v>15760.1</v>
      </c>
      <c r="I43" s="3"/>
      <c r="J43" s="3"/>
    </row>
    <row r="44" spans="2:10" ht="15.75" x14ac:dyDescent="0.25">
      <c r="B44" s="118">
        <v>43090</v>
      </c>
      <c r="C44" s="15">
        <v>14863</v>
      </c>
      <c r="D44" s="119" t="s">
        <v>14</v>
      </c>
      <c r="E44" s="120">
        <f>357.4+97.8</f>
        <v>455.2</v>
      </c>
      <c r="F44" s="121">
        <v>18174.2</v>
      </c>
      <c r="I44" s="3"/>
      <c r="J44" s="3"/>
    </row>
    <row r="45" spans="2:10" ht="15.75" x14ac:dyDescent="0.25">
      <c r="B45" s="118">
        <v>43090</v>
      </c>
      <c r="C45" s="15">
        <v>14864</v>
      </c>
      <c r="D45" s="119" t="s">
        <v>0</v>
      </c>
      <c r="E45" s="120">
        <v>16.899999999999999</v>
      </c>
      <c r="F45" s="121">
        <v>1352</v>
      </c>
      <c r="I45" s="3"/>
      <c r="J45" s="3"/>
    </row>
    <row r="46" spans="2:10" ht="15.75" x14ac:dyDescent="0.25">
      <c r="B46" s="118">
        <v>43090</v>
      </c>
      <c r="C46" s="15">
        <v>14865</v>
      </c>
      <c r="D46" s="119" t="s">
        <v>0</v>
      </c>
      <c r="E46" s="120">
        <f>5.4+7.4</f>
        <v>12.8</v>
      </c>
      <c r="F46" s="121">
        <v>780</v>
      </c>
      <c r="I46" s="3"/>
      <c r="J46" s="3"/>
    </row>
    <row r="47" spans="2:10" ht="15.75" x14ac:dyDescent="0.25">
      <c r="B47" s="118">
        <v>43091</v>
      </c>
      <c r="C47" s="15">
        <v>15027</v>
      </c>
      <c r="D47" s="119" t="s">
        <v>0</v>
      </c>
      <c r="E47" s="120">
        <f>82.1+74.6</f>
        <v>156.69999999999999</v>
      </c>
      <c r="F47" s="121">
        <v>8603.1</v>
      </c>
      <c r="I47" s="3"/>
      <c r="J47" s="3"/>
    </row>
    <row r="48" spans="2:10" ht="15.75" x14ac:dyDescent="0.25">
      <c r="B48" s="118">
        <v>43091</v>
      </c>
      <c r="C48" s="15">
        <v>15028</v>
      </c>
      <c r="D48" s="119" t="s">
        <v>8</v>
      </c>
      <c r="E48" s="120">
        <f>369.8+74.7</f>
        <v>444.5</v>
      </c>
      <c r="F48" s="121">
        <v>20241.400000000001</v>
      </c>
      <c r="I48" s="3"/>
      <c r="J48" s="3"/>
    </row>
    <row r="49" spans="2:10" ht="15.75" x14ac:dyDescent="0.25">
      <c r="B49" s="118">
        <v>43091</v>
      </c>
      <c r="C49" s="15">
        <v>15029</v>
      </c>
      <c r="D49" s="119" t="s">
        <v>14</v>
      </c>
      <c r="E49" s="120">
        <f>377.9+122.6</f>
        <v>500.5</v>
      </c>
      <c r="F49" s="121">
        <v>19907.5</v>
      </c>
      <c r="I49" s="3"/>
      <c r="J49" s="3"/>
    </row>
    <row r="50" spans="2:10" ht="15.75" x14ac:dyDescent="0.25">
      <c r="B50" s="118">
        <v>43091</v>
      </c>
      <c r="C50" s="15">
        <v>15031</v>
      </c>
      <c r="D50" s="119" t="s">
        <v>11</v>
      </c>
      <c r="E50" s="120">
        <v>960.54</v>
      </c>
      <c r="F50" s="121">
        <v>33618.9</v>
      </c>
      <c r="I50" s="3"/>
      <c r="J50" s="3"/>
    </row>
    <row r="51" spans="2:10" ht="15.75" x14ac:dyDescent="0.25">
      <c r="B51" s="118">
        <v>43091</v>
      </c>
      <c r="C51" s="15">
        <v>15032</v>
      </c>
      <c r="D51" s="119" t="s">
        <v>0</v>
      </c>
      <c r="E51" s="120">
        <v>389</v>
      </c>
      <c r="F51" s="121">
        <v>15949</v>
      </c>
      <c r="I51" s="3"/>
      <c r="J51" s="3"/>
    </row>
    <row r="52" spans="2:10" ht="15.75" x14ac:dyDescent="0.25">
      <c r="B52" s="118">
        <v>43091</v>
      </c>
      <c r="C52" s="15">
        <v>15037</v>
      </c>
      <c r="D52" s="119" t="s">
        <v>0</v>
      </c>
      <c r="E52" s="120">
        <v>129</v>
      </c>
      <c r="F52" s="121">
        <v>3096</v>
      </c>
      <c r="I52" s="3"/>
      <c r="J52" s="3"/>
    </row>
    <row r="53" spans="2:10" ht="15.75" x14ac:dyDescent="0.25">
      <c r="B53" s="118">
        <v>43091</v>
      </c>
      <c r="C53" s="15">
        <v>15038</v>
      </c>
      <c r="D53" s="119" t="s">
        <v>0</v>
      </c>
      <c r="E53" s="120">
        <f>30.1+118.2</f>
        <v>148.30000000000001</v>
      </c>
      <c r="F53" s="121">
        <v>4522.3999999999996</v>
      </c>
      <c r="I53" s="3"/>
      <c r="J53" s="3"/>
    </row>
    <row r="54" spans="2:10" ht="15.75" x14ac:dyDescent="0.25">
      <c r="B54" s="118">
        <v>43091</v>
      </c>
      <c r="C54" s="15">
        <v>15039</v>
      </c>
      <c r="D54" s="119" t="s">
        <v>0</v>
      </c>
      <c r="E54" s="120">
        <v>25.6</v>
      </c>
      <c r="F54" s="121">
        <v>614.4</v>
      </c>
      <c r="I54" s="3"/>
      <c r="J54" s="3"/>
    </row>
    <row r="55" spans="2:10" ht="15.75" x14ac:dyDescent="0.25">
      <c r="B55" s="118">
        <v>43091</v>
      </c>
      <c r="C55" s="15">
        <v>15042</v>
      </c>
      <c r="D55" s="119" t="s">
        <v>659</v>
      </c>
      <c r="E55" s="120">
        <v>992.29</v>
      </c>
      <c r="F55" s="121">
        <v>34730.15</v>
      </c>
      <c r="I55" s="3"/>
      <c r="J55" s="3"/>
    </row>
    <row r="56" spans="2:10" ht="15.75" x14ac:dyDescent="0.25">
      <c r="B56" s="118">
        <v>43091</v>
      </c>
      <c r="C56" s="15">
        <v>15043</v>
      </c>
      <c r="D56" s="119" t="s">
        <v>12</v>
      </c>
      <c r="E56" s="120">
        <f>281+331.2+89</f>
        <v>701.2</v>
      </c>
      <c r="F56" s="121">
        <v>31149.200000000001</v>
      </c>
      <c r="I56" s="3"/>
      <c r="J56" s="3"/>
    </row>
    <row r="57" spans="2:10" ht="15.75" x14ac:dyDescent="0.25">
      <c r="B57" s="118">
        <v>43092</v>
      </c>
      <c r="C57" s="15">
        <v>15206</v>
      </c>
      <c r="D57" s="119" t="s">
        <v>8</v>
      </c>
      <c r="E57" s="120">
        <f>818.6+163.2</f>
        <v>981.8</v>
      </c>
      <c r="F57" s="121">
        <v>44986.6</v>
      </c>
      <c r="I57" s="3"/>
      <c r="J57" s="3"/>
    </row>
    <row r="58" spans="2:10" ht="15.75" x14ac:dyDescent="0.25">
      <c r="B58" s="118">
        <v>43092</v>
      </c>
      <c r="C58" s="15">
        <v>15207</v>
      </c>
      <c r="D58" s="119" t="s">
        <v>14</v>
      </c>
      <c r="E58" s="120">
        <v>397.8</v>
      </c>
      <c r="F58" s="121">
        <v>16309.8</v>
      </c>
      <c r="I58" s="3"/>
      <c r="J58" s="3"/>
    </row>
    <row r="59" spans="2:10" ht="15.75" x14ac:dyDescent="0.25">
      <c r="B59" s="118">
        <v>43092</v>
      </c>
      <c r="C59" s="15">
        <v>15208</v>
      </c>
      <c r="D59" s="119" t="s">
        <v>0</v>
      </c>
      <c r="E59" s="120">
        <v>432.5</v>
      </c>
      <c r="F59" s="121">
        <v>17732.5</v>
      </c>
      <c r="I59" s="3"/>
      <c r="J59" s="3"/>
    </row>
    <row r="60" spans="2:10" ht="15.75" x14ac:dyDescent="0.25">
      <c r="B60" s="118">
        <v>43092</v>
      </c>
      <c r="C60" s="15">
        <v>15209</v>
      </c>
      <c r="D60" s="119" t="s">
        <v>0</v>
      </c>
      <c r="E60" s="120">
        <v>949.4</v>
      </c>
      <c r="F60" s="121">
        <v>33229</v>
      </c>
      <c r="I60" s="3"/>
      <c r="J60" s="3"/>
    </row>
    <row r="61" spans="2:10" ht="15.75" x14ac:dyDescent="0.25">
      <c r="B61" s="118">
        <v>43092</v>
      </c>
      <c r="C61" s="15">
        <v>15210</v>
      </c>
      <c r="D61" s="119" t="s">
        <v>11</v>
      </c>
      <c r="E61" s="120">
        <v>948.2</v>
      </c>
      <c r="F61" s="121">
        <v>33117</v>
      </c>
      <c r="I61" s="3"/>
      <c r="J61" s="3"/>
    </row>
    <row r="62" spans="2:10" ht="15.75" x14ac:dyDescent="0.25">
      <c r="B62" s="118">
        <v>43092</v>
      </c>
      <c r="C62" s="15">
        <v>15211</v>
      </c>
      <c r="D62" s="119" t="s">
        <v>0</v>
      </c>
      <c r="E62" s="120">
        <f>67+22.7</f>
        <v>89.7</v>
      </c>
      <c r="F62" s="121">
        <v>5000.5</v>
      </c>
      <c r="I62" s="3"/>
      <c r="J62" s="3"/>
    </row>
    <row r="63" spans="2:10" ht="15.75" x14ac:dyDescent="0.25">
      <c r="B63" s="118">
        <v>43092</v>
      </c>
      <c r="C63" s="15">
        <v>15212</v>
      </c>
      <c r="D63" s="119" t="s">
        <v>24</v>
      </c>
      <c r="E63" s="120">
        <f>887.2+11.8+58.1</f>
        <v>957.1</v>
      </c>
      <c r="F63" s="121">
        <v>33364.1</v>
      </c>
      <c r="I63" s="3"/>
      <c r="J63" s="3"/>
    </row>
    <row r="64" spans="2:10" ht="15.75" x14ac:dyDescent="0.25">
      <c r="B64" s="118">
        <v>43092</v>
      </c>
      <c r="C64" s="15">
        <v>15213</v>
      </c>
      <c r="D64" s="119" t="s">
        <v>6</v>
      </c>
      <c r="E64" s="120">
        <v>345.8</v>
      </c>
      <c r="F64" s="121">
        <v>14869.4</v>
      </c>
      <c r="I64" s="3"/>
      <c r="J64" s="3"/>
    </row>
    <row r="65" spans="1:13" ht="15.75" x14ac:dyDescent="0.25">
      <c r="B65" s="118">
        <v>43092</v>
      </c>
      <c r="C65" s="15">
        <v>15217</v>
      </c>
      <c r="D65" s="119" t="s">
        <v>659</v>
      </c>
      <c r="E65" s="120">
        <f>930.3+914</f>
        <v>1844.3</v>
      </c>
      <c r="F65" s="121">
        <v>64550.5</v>
      </c>
      <c r="I65" s="3"/>
      <c r="J65" s="3"/>
    </row>
    <row r="66" spans="1:13" ht="15.75" x14ac:dyDescent="0.25">
      <c r="B66" s="118">
        <v>43093</v>
      </c>
      <c r="C66" s="15">
        <v>15375</v>
      </c>
      <c r="D66" s="119" t="s">
        <v>8</v>
      </c>
      <c r="E66" s="120">
        <f>386.5+155.3</f>
        <v>541.79999999999995</v>
      </c>
      <c r="F66" s="121">
        <v>26717.5</v>
      </c>
      <c r="I66" s="3"/>
      <c r="J66" s="3"/>
    </row>
    <row r="67" spans="1:13" ht="15.75" x14ac:dyDescent="0.25">
      <c r="B67" s="118">
        <v>43093</v>
      </c>
      <c r="C67" s="15">
        <v>15376</v>
      </c>
      <c r="D67" s="119" t="s">
        <v>14</v>
      </c>
      <c r="E67" s="120">
        <v>405</v>
      </c>
      <c r="F67" s="121">
        <v>16605</v>
      </c>
      <c r="I67" s="3"/>
      <c r="J67" s="3"/>
    </row>
    <row r="68" spans="1:13" ht="15.75" x14ac:dyDescent="0.25">
      <c r="B68" s="118">
        <v>43093</v>
      </c>
      <c r="C68" s="15">
        <v>15377</v>
      </c>
      <c r="D68" s="119" t="s">
        <v>24</v>
      </c>
      <c r="E68" s="120">
        <v>902.5</v>
      </c>
      <c r="F68" s="121">
        <v>31587.5</v>
      </c>
      <c r="I68" s="3"/>
      <c r="J68" s="3"/>
    </row>
    <row r="69" spans="1:13" ht="16.5" thickBot="1" x14ac:dyDescent="0.3">
      <c r="B69" s="118"/>
      <c r="C69" s="15"/>
      <c r="D69" s="119"/>
      <c r="E69" s="120"/>
      <c r="F69" s="121"/>
      <c r="I69" s="3"/>
      <c r="J69" s="3"/>
    </row>
    <row r="70" spans="1:13" ht="15.75" thickBot="1" x14ac:dyDescent="0.3">
      <c r="B70" s="29"/>
      <c r="C70" s="66"/>
      <c r="D70" s="31"/>
      <c r="E70" s="32">
        <v>0</v>
      </c>
      <c r="F70" s="33">
        <f>SUM(F3:F69)</f>
        <v>905544.25</v>
      </c>
      <c r="K70" s="3">
        <f t="shared" ref="K70:K77" si="1">J70*I70</f>
        <v>0</v>
      </c>
    </row>
    <row r="71" spans="1:13" ht="19.5" thickBot="1" x14ac:dyDescent="0.35">
      <c r="B71" s="34"/>
      <c r="C71" s="67"/>
      <c r="D71" s="36" t="s">
        <v>5</v>
      </c>
      <c r="E71" s="37">
        <f>SUM(E3:E70)</f>
        <v>22575.489999999998</v>
      </c>
      <c r="K71" s="3">
        <f t="shared" si="1"/>
        <v>0</v>
      </c>
    </row>
    <row r="72" spans="1:13" x14ac:dyDescent="0.25">
      <c r="B72" s="34"/>
      <c r="C72" s="67"/>
      <c r="D72" s="26"/>
      <c r="E72" s="39"/>
      <c r="K72" s="3">
        <f t="shared" si="1"/>
        <v>0</v>
      </c>
    </row>
    <row r="73" spans="1:13" ht="19.5" thickBot="1" x14ac:dyDescent="0.35">
      <c r="B73" s="40"/>
      <c r="C73" s="41" t="s">
        <v>15</v>
      </c>
      <c r="D73" s="149">
        <f>E71*0.3</f>
        <v>6772.646999999999</v>
      </c>
      <c r="F73"/>
      <c r="K73" s="3">
        <f t="shared" si="1"/>
        <v>0</v>
      </c>
    </row>
    <row r="74" spans="1:13" ht="21.75" thickBot="1" x14ac:dyDescent="0.4">
      <c r="C74" s="41" t="s">
        <v>16</v>
      </c>
      <c r="D74" s="44">
        <v>3428</v>
      </c>
      <c r="E74" s="45"/>
      <c r="F74" s="258">
        <f>D73+D74</f>
        <v>10200.646999999999</v>
      </c>
      <c r="G74" s="259"/>
      <c r="K74" s="3">
        <f t="shared" si="1"/>
        <v>0</v>
      </c>
      <c r="L74" s="46"/>
      <c r="M74" s="13"/>
    </row>
    <row r="75" spans="1:13" ht="22.5" thickTop="1" thickBot="1" x14ac:dyDescent="0.4">
      <c r="B75" s="34"/>
      <c r="C75" s="67"/>
      <c r="D75" s="146"/>
      <c r="E75" s="47" t="s">
        <v>258</v>
      </c>
      <c r="F75" s="203"/>
      <c r="G75" s="201">
        <v>-4000</v>
      </c>
      <c r="H75" s="202"/>
      <c r="L75" s="46"/>
      <c r="M75" s="13"/>
    </row>
    <row r="76" spans="1:13" ht="19.5" thickBot="1" x14ac:dyDescent="0.35">
      <c r="A76" s="26"/>
      <c r="B76" s="245"/>
      <c r="C76" s="244"/>
      <c r="D76" s="180" t="s">
        <v>1008</v>
      </c>
      <c r="E76" s="47" t="s">
        <v>258</v>
      </c>
      <c r="F76" s="142"/>
      <c r="G76" s="160">
        <v>-6200</v>
      </c>
      <c r="K76" s="3">
        <f t="shared" si="1"/>
        <v>0</v>
      </c>
      <c r="L76" s="49"/>
      <c r="M76" s="49"/>
    </row>
    <row r="77" spans="1:13" ht="21.75" customHeight="1" thickTop="1" thickBot="1" x14ac:dyDescent="0.35">
      <c r="B77" s="283" t="s">
        <v>626</v>
      </c>
      <c r="C77" s="284"/>
      <c r="D77" s="243" t="s">
        <v>1015</v>
      </c>
      <c r="E77" s="47" t="s">
        <v>258</v>
      </c>
      <c r="F77" s="125"/>
      <c r="G77" s="169">
        <v>0</v>
      </c>
      <c r="K77" s="3">
        <f t="shared" si="1"/>
        <v>0</v>
      </c>
      <c r="L77" s="49"/>
      <c r="M77" s="49"/>
    </row>
    <row r="78" spans="1:13" ht="20.25" customHeight="1" thickTop="1" thickBot="1" x14ac:dyDescent="0.35">
      <c r="B78" s="285"/>
      <c r="C78" s="286"/>
      <c r="D78" s="243"/>
      <c r="E78" s="47" t="s">
        <v>307</v>
      </c>
      <c r="F78" s="124"/>
      <c r="G78" s="170">
        <v>0</v>
      </c>
      <c r="L78" s="49"/>
      <c r="M78" s="49"/>
    </row>
    <row r="79" spans="1:13" ht="17.25" customHeight="1" thickTop="1" thickBot="1" x14ac:dyDescent="0.4">
      <c r="C79" s="22"/>
      <c r="D79" s="246"/>
      <c r="E79" s="4" t="s">
        <v>258</v>
      </c>
      <c r="F79" s="263">
        <f>SUM(F74:G78)</f>
        <v>0.64699999999902502</v>
      </c>
      <c r="G79" s="264"/>
      <c r="L79" s="49"/>
      <c r="M79" s="49"/>
    </row>
    <row r="80" spans="1:13" ht="19.5" customHeight="1" x14ac:dyDescent="0.35">
      <c r="C80" s="109"/>
      <c r="D80" s="136"/>
      <c r="F80" s="148"/>
      <c r="G80" s="148"/>
    </row>
    <row r="81" spans="4:11" x14ac:dyDescent="0.25">
      <c r="F81" s="27"/>
      <c r="G81" s="26"/>
    </row>
    <row r="82" spans="4:11" x14ac:dyDescent="0.25">
      <c r="D82" t="s">
        <v>9</v>
      </c>
    </row>
    <row r="83" spans="4:11" x14ac:dyDescent="0.25">
      <c r="I83" s="3">
        <f>SUM(I70:I77)</f>
        <v>0</v>
      </c>
      <c r="J83" s="3"/>
      <c r="K83" s="3">
        <f>SUM(K70:K77)</f>
        <v>0</v>
      </c>
    </row>
  </sheetData>
  <mergeCells count="4">
    <mergeCell ref="B1:C1"/>
    <mergeCell ref="F74:G74"/>
    <mergeCell ref="B77:C78"/>
    <mergeCell ref="F79:G79"/>
  </mergeCells>
  <pageMargins left="0.70866141732283472" right="0.70866141732283472" top="0.74803149606299213" bottom="0.74803149606299213" header="0.31496062992125984" footer="0.31496062992125984"/>
  <pageSetup scale="85" orientation="portrait" horizontalDpi="0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65"/>
  <sheetViews>
    <sheetView tabSelected="1" topLeftCell="A14" workbookViewId="0">
      <selection activeCell="C11" sqref="C11"/>
    </sheetView>
  </sheetViews>
  <sheetFormatPr baseColWidth="10" defaultRowHeight="15" x14ac:dyDescent="0.25"/>
  <cols>
    <col min="1" max="1" width="3.42578125" customWidth="1"/>
    <col min="2" max="2" width="13.42578125" style="96" bestFit="1" customWidth="1"/>
    <col min="3" max="3" width="13.7109375" style="41" customWidth="1"/>
    <col min="4" max="4" width="28.5703125" bestFit="1" customWidth="1"/>
    <col min="5" max="5" width="12" bestFit="1" customWidth="1"/>
    <col min="6" max="6" width="14.140625" style="3" bestFit="1" customWidth="1"/>
    <col min="7" max="7" width="15.7109375" customWidth="1"/>
    <col min="11" max="11" width="11.42578125" style="3"/>
    <col min="13" max="13" width="11.42578125" style="3"/>
  </cols>
  <sheetData>
    <row r="1" spans="2:11" ht="19.5" thickBot="1" x14ac:dyDescent="0.35">
      <c r="B1" s="257"/>
      <c r="C1" s="257"/>
      <c r="D1" s="254" t="s">
        <v>0</v>
      </c>
      <c r="E1" s="2" t="s">
        <v>1</v>
      </c>
      <c r="K1"/>
    </row>
    <row r="2" spans="2:11" ht="19.5" thickBot="1" x14ac:dyDescent="0.35">
      <c r="B2" s="95" t="s">
        <v>2</v>
      </c>
      <c r="C2" s="5" t="s">
        <v>3</v>
      </c>
      <c r="D2" s="5" t="s">
        <v>4</v>
      </c>
      <c r="E2" s="6" t="s">
        <v>5</v>
      </c>
      <c r="F2" s="139" t="s">
        <v>1009</v>
      </c>
      <c r="G2" s="8"/>
      <c r="K2"/>
    </row>
    <row r="3" spans="2:11" ht="15.75" x14ac:dyDescent="0.25">
      <c r="B3" s="197">
        <v>43096</v>
      </c>
      <c r="C3" s="22">
        <v>15628</v>
      </c>
      <c r="D3" s="198" t="s">
        <v>14</v>
      </c>
      <c r="E3" s="199">
        <v>217.5</v>
      </c>
      <c r="F3" s="200">
        <v>9135</v>
      </c>
      <c r="K3"/>
    </row>
    <row r="4" spans="2:11" ht="15.75" x14ac:dyDescent="0.25">
      <c r="B4" s="118">
        <v>43096</v>
      </c>
      <c r="C4" s="15">
        <v>15629</v>
      </c>
      <c r="D4" s="119" t="s">
        <v>8</v>
      </c>
      <c r="E4" s="120">
        <f>208.1+50.7</f>
        <v>258.8</v>
      </c>
      <c r="F4" s="121">
        <v>9652.7999999999993</v>
      </c>
      <c r="K4"/>
    </row>
    <row r="5" spans="2:11" ht="15.75" x14ac:dyDescent="0.25">
      <c r="B5" s="118">
        <v>43096</v>
      </c>
      <c r="C5" s="15">
        <v>15630</v>
      </c>
      <c r="D5" s="119" t="s">
        <v>12</v>
      </c>
      <c r="E5" s="120">
        <v>25.6</v>
      </c>
      <c r="F5" s="121">
        <v>1664</v>
      </c>
      <c r="K5"/>
    </row>
    <row r="6" spans="2:11" ht="15.75" x14ac:dyDescent="0.25">
      <c r="B6" s="118">
        <v>43096</v>
      </c>
      <c r="C6" s="15">
        <v>15631</v>
      </c>
      <c r="D6" s="119" t="s">
        <v>0</v>
      </c>
      <c r="E6" s="120">
        <f>78.7+79.6+12.4</f>
        <v>170.70000000000002</v>
      </c>
      <c r="F6" s="121">
        <v>4286</v>
      </c>
      <c r="G6" t="s">
        <v>9</v>
      </c>
      <c r="K6" s="3">
        <f t="shared" ref="K6:K20" si="0">J6*I6</f>
        <v>0</v>
      </c>
    </row>
    <row r="7" spans="2:11" ht="15.75" x14ac:dyDescent="0.25">
      <c r="B7" s="118">
        <v>43096</v>
      </c>
      <c r="C7" s="15">
        <v>15632</v>
      </c>
      <c r="D7" s="119" t="s">
        <v>0</v>
      </c>
      <c r="E7" s="120">
        <f>24.6+53.5</f>
        <v>78.099999999999994</v>
      </c>
      <c r="F7" s="121">
        <v>4159.6000000000004</v>
      </c>
      <c r="K7" s="3">
        <f t="shared" si="0"/>
        <v>0</v>
      </c>
    </row>
    <row r="8" spans="2:11" ht="15.75" x14ac:dyDescent="0.25">
      <c r="B8" s="118">
        <v>43097</v>
      </c>
      <c r="C8" s="15">
        <v>15782</v>
      </c>
      <c r="D8" s="119" t="s">
        <v>8</v>
      </c>
      <c r="E8" s="120">
        <v>316</v>
      </c>
      <c r="F8" s="121">
        <v>13272</v>
      </c>
      <c r="K8" s="3">
        <f t="shared" si="0"/>
        <v>0</v>
      </c>
    </row>
    <row r="9" spans="2:11" ht="15.75" x14ac:dyDescent="0.25">
      <c r="B9" s="118">
        <v>43097</v>
      </c>
      <c r="C9" s="15">
        <v>15783</v>
      </c>
      <c r="D9" s="119" t="s">
        <v>14</v>
      </c>
      <c r="E9" s="120">
        <v>231.5</v>
      </c>
      <c r="F9" s="121">
        <v>9723</v>
      </c>
      <c r="K9" s="3">
        <f t="shared" si="0"/>
        <v>0</v>
      </c>
    </row>
    <row r="10" spans="2:11" ht="15.75" x14ac:dyDescent="0.25">
      <c r="B10" s="118">
        <v>43097</v>
      </c>
      <c r="C10" s="15">
        <v>15784</v>
      </c>
      <c r="D10" s="119" t="s">
        <v>0</v>
      </c>
      <c r="E10" s="120">
        <f>962.97+9</f>
        <v>971.97</v>
      </c>
      <c r="F10" s="121">
        <v>33334.980000000003</v>
      </c>
      <c r="K10" s="3">
        <f t="shared" si="0"/>
        <v>0</v>
      </c>
    </row>
    <row r="11" spans="2:11" ht="15.75" x14ac:dyDescent="0.25">
      <c r="B11" s="118">
        <v>43097</v>
      </c>
      <c r="C11" s="15">
        <v>15785</v>
      </c>
      <c r="D11" s="119" t="s">
        <v>11</v>
      </c>
      <c r="E11" s="120">
        <f>948.91+478.1</f>
        <v>1427.01</v>
      </c>
      <c r="F11" s="121">
        <v>52343.14</v>
      </c>
      <c r="K11" s="3">
        <f t="shared" si="0"/>
        <v>0</v>
      </c>
    </row>
    <row r="12" spans="2:11" ht="15.75" x14ac:dyDescent="0.25">
      <c r="B12" s="118">
        <v>43097</v>
      </c>
      <c r="C12" s="15">
        <v>15786</v>
      </c>
      <c r="D12" s="119" t="s">
        <v>0</v>
      </c>
      <c r="E12" s="120">
        <v>98.4</v>
      </c>
      <c r="F12" s="121">
        <v>7872</v>
      </c>
      <c r="K12" s="3">
        <f t="shared" si="0"/>
        <v>0</v>
      </c>
    </row>
    <row r="13" spans="2:11" ht="15.75" x14ac:dyDescent="0.25">
      <c r="B13" s="118">
        <v>43097</v>
      </c>
      <c r="C13" s="15">
        <v>15787</v>
      </c>
      <c r="D13" s="119" t="s">
        <v>0</v>
      </c>
      <c r="E13" s="120">
        <v>35.799999999999997</v>
      </c>
      <c r="F13" s="121">
        <v>1575.2</v>
      </c>
    </row>
    <row r="14" spans="2:11" ht="15.75" x14ac:dyDescent="0.25">
      <c r="B14" s="118">
        <v>43097</v>
      </c>
      <c r="C14" s="15">
        <v>15788</v>
      </c>
      <c r="D14" s="119" t="s">
        <v>12</v>
      </c>
      <c r="E14" s="120">
        <v>63.4</v>
      </c>
      <c r="F14" s="121">
        <v>3360.2</v>
      </c>
    </row>
    <row r="15" spans="2:11" ht="15.75" x14ac:dyDescent="0.25">
      <c r="B15" s="118">
        <v>43098</v>
      </c>
      <c r="C15" s="15">
        <v>15949</v>
      </c>
      <c r="D15" s="119" t="s">
        <v>8</v>
      </c>
      <c r="E15" s="120">
        <f>24.7+53.2+392.9</f>
        <v>470.79999999999995</v>
      </c>
      <c r="F15" s="121">
        <v>21179.200000000001</v>
      </c>
    </row>
    <row r="16" spans="2:11" ht="15.75" x14ac:dyDescent="0.25">
      <c r="B16" s="118">
        <v>43098</v>
      </c>
      <c r="C16" s="15">
        <v>15950</v>
      </c>
      <c r="D16" s="119" t="s">
        <v>14</v>
      </c>
      <c r="E16" s="120">
        <f>187.8+114.4</f>
        <v>302.20000000000005</v>
      </c>
      <c r="F16" s="121">
        <v>18015.599999999999</v>
      </c>
    </row>
    <row r="17" spans="2:11" ht="15.75" x14ac:dyDescent="0.25">
      <c r="B17" s="118">
        <v>43098</v>
      </c>
      <c r="C17" s="15">
        <v>15951</v>
      </c>
      <c r="D17" s="119" t="s">
        <v>11</v>
      </c>
      <c r="E17" s="120">
        <v>125.2</v>
      </c>
      <c r="F17" s="121">
        <v>8012.8</v>
      </c>
    </row>
    <row r="18" spans="2:11" ht="15.75" x14ac:dyDescent="0.25">
      <c r="B18" s="118">
        <v>43098</v>
      </c>
      <c r="C18" s="15">
        <v>15952</v>
      </c>
      <c r="D18" s="119" t="s">
        <v>0</v>
      </c>
      <c r="E18" s="120">
        <f>950.7+53.2+30.1+81.6+10.4</f>
        <v>1126</v>
      </c>
      <c r="F18" s="121">
        <v>41205</v>
      </c>
      <c r="K18" s="3">
        <f t="shared" si="0"/>
        <v>0</v>
      </c>
    </row>
    <row r="19" spans="2:11" ht="15.75" x14ac:dyDescent="0.25">
      <c r="B19" s="118">
        <v>43098</v>
      </c>
      <c r="C19" s="15">
        <v>15953</v>
      </c>
      <c r="D19" s="119" t="s">
        <v>0</v>
      </c>
      <c r="E19" s="120">
        <f>928+117.4</f>
        <v>1045.4000000000001</v>
      </c>
      <c r="F19" s="121">
        <v>39065.599999999999</v>
      </c>
      <c r="K19" s="3">
        <f t="shared" si="0"/>
        <v>0</v>
      </c>
    </row>
    <row r="20" spans="2:11" ht="15.75" x14ac:dyDescent="0.25">
      <c r="B20" s="118">
        <v>43098</v>
      </c>
      <c r="C20" s="15">
        <v>15954</v>
      </c>
      <c r="D20" s="119" t="s">
        <v>12</v>
      </c>
      <c r="E20" s="120">
        <f>284.8+24.9</f>
        <v>309.7</v>
      </c>
      <c r="F20" s="121">
        <v>11970.9</v>
      </c>
      <c r="K20" s="3">
        <f t="shared" si="0"/>
        <v>0</v>
      </c>
    </row>
    <row r="21" spans="2:11" ht="15.75" x14ac:dyDescent="0.25">
      <c r="B21" s="118">
        <v>43098</v>
      </c>
      <c r="C21" s="15">
        <v>15955</v>
      </c>
      <c r="D21" s="119" t="s">
        <v>1012</v>
      </c>
      <c r="E21" s="120">
        <f>82.9+51.3+1+8.1</f>
        <v>143.29999999999998</v>
      </c>
      <c r="F21" s="121">
        <v>7780.7</v>
      </c>
    </row>
    <row r="22" spans="2:11" ht="15.75" x14ac:dyDescent="0.25">
      <c r="B22" s="118">
        <v>43098</v>
      </c>
      <c r="C22" s="15">
        <v>15957</v>
      </c>
      <c r="D22" s="119" t="s">
        <v>0</v>
      </c>
      <c r="E22" s="120">
        <f>51.6+2</f>
        <v>53.6</v>
      </c>
      <c r="F22" s="121">
        <v>4774.3999999999996</v>
      </c>
    </row>
    <row r="23" spans="2:11" ht="15.75" x14ac:dyDescent="0.25">
      <c r="B23" s="118">
        <v>43099</v>
      </c>
      <c r="C23" s="15">
        <v>16126</v>
      </c>
      <c r="D23" s="119" t="s">
        <v>0</v>
      </c>
      <c r="E23" s="120">
        <v>970.52</v>
      </c>
      <c r="F23" s="121">
        <v>32997.68</v>
      </c>
    </row>
    <row r="24" spans="2:11" ht="15.75" hidden="1" x14ac:dyDescent="0.25">
      <c r="B24" s="118"/>
      <c r="C24" s="15"/>
      <c r="D24" s="119"/>
      <c r="E24" s="120"/>
      <c r="F24" s="121"/>
    </row>
    <row r="25" spans="2:11" ht="15.75" hidden="1" x14ac:dyDescent="0.25">
      <c r="B25" s="118"/>
      <c r="C25" s="15"/>
      <c r="D25" s="119"/>
      <c r="E25" s="120"/>
      <c r="F25" s="121"/>
    </row>
    <row r="26" spans="2:11" ht="15.75" hidden="1" x14ac:dyDescent="0.25">
      <c r="B26" s="118"/>
      <c r="C26" s="15"/>
      <c r="D26" s="119"/>
      <c r="E26" s="120"/>
      <c r="F26" s="121"/>
      <c r="I26" s="3">
        <f>SUM(I6:I20)</f>
        <v>0</v>
      </c>
      <c r="J26" s="3"/>
      <c r="K26" s="3">
        <f>SUM(K6:K20)</f>
        <v>0</v>
      </c>
    </row>
    <row r="27" spans="2:11" ht="15.75" hidden="1" x14ac:dyDescent="0.25">
      <c r="B27" s="118"/>
      <c r="C27" s="15"/>
      <c r="D27" s="119"/>
      <c r="E27" s="120"/>
      <c r="F27" s="121"/>
      <c r="I27" s="3"/>
      <c r="J27" s="3"/>
    </row>
    <row r="28" spans="2:11" ht="15.75" hidden="1" x14ac:dyDescent="0.25">
      <c r="B28" s="118"/>
      <c r="C28" s="15"/>
      <c r="D28" s="119"/>
      <c r="E28" s="120"/>
      <c r="F28" s="121"/>
      <c r="I28" s="3"/>
      <c r="J28" s="3"/>
    </row>
    <row r="29" spans="2:11" ht="15.75" hidden="1" x14ac:dyDescent="0.25">
      <c r="B29" s="118"/>
      <c r="C29" s="15"/>
      <c r="D29" s="119"/>
      <c r="E29" s="120"/>
      <c r="F29" s="121"/>
      <c r="I29" s="3"/>
      <c r="J29" s="3"/>
    </row>
    <row r="30" spans="2:11" ht="15.75" hidden="1" x14ac:dyDescent="0.25">
      <c r="B30" s="118"/>
      <c r="C30" s="15"/>
      <c r="D30" s="119"/>
      <c r="E30" s="120"/>
      <c r="F30" s="121"/>
      <c r="I30" s="3"/>
      <c r="J30" s="3"/>
    </row>
    <row r="31" spans="2:11" ht="15.75" hidden="1" x14ac:dyDescent="0.25">
      <c r="B31" s="118"/>
      <c r="C31" s="15"/>
      <c r="D31" s="119"/>
      <c r="E31" s="120"/>
      <c r="F31" s="121"/>
      <c r="I31" s="3"/>
      <c r="J31" s="3"/>
    </row>
    <row r="32" spans="2:11" ht="15.75" hidden="1" x14ac:dyDescent="0.25">
      <c r="B32" s="118"/>
      <c r="C32" s="15"/>
      <c r="D32" s="119"/>
      <c r="E32" s="120"/>
      <c r="F32" s="121"/>
      <c r="I32" s="3"/>
      <c r="J32" s="3"/>
    </row>
    <row r="33" spans="2:10" ht="15.75" hidden="1" x14ac:dyDescent="0.25">
      <c r="B33" s="118"/>
      <c r="C33" s="15"/>
      <c r="D33" s="119"/>
      <c r="E33" s="120"/>
      <c r="F33" s="121"/>
      <c r="I33" s="3"/>
      <c r="J33" s="3"/>
    </row>
    <row r="34" spans="2:10" ht="15.75" hidden="1" x14ac:dyDescent="0.25">
      <c r="B34" s="118"/>
      <c r="C34" s="15"/>
      <c r="D34" s="119"/>
      <c r="E34" s="120"/>
      <c r="F34" s="121"/>
      <c r="I34" s="3"/>
      <c r="J34" s="3"/>
    </row>
    <row r="35" spans="2:10" ht="15.75" hidden="1" x14ac:dyDescent="0.25">
      <c r="B35" s="118"/>
      <c r="C35" s="15"/>
      <c r="D35" s="119"/>
      <c r="E35" s="120"/>
      <c r="F35" s="121"/>
      <c r="I35" s="3"/>
      <c r="J35" s="3"/>
    </row>
    <row r="36" spans="2:10" ht="15.75" hidden="1" x14ac:dyDescent="0.25">
      <c r="B36" s="118"/>
      <c r="C36" s="15"/>
      <c r="D36" s="119"/>
      <c r="E36" s="120"/>
      <c r="F36" s="121"/>
      <c r="I36" s="3"/>
      <c r="J36" s="3"/>
    </row>
    <row r="37" spans="2:10" ht="15.75" hidden="1" x14ac:dyDescent="0.25">
      <c r="B37" s="118"/>
      <c r="C37" s="15"/>
      <c r="D37" s="119"/>
      <c r="E37" s="120"/>
      <c r="F37" s="121"/>
      <c r="I37" s="3"/>
      <c r="J37" s="3"/>
    </row>
    <row r="38" spans="2:10" ht="15.75" x14ac:dyDescent="0.25">
      <c r="B38" s="118">
        <v>43099</v>
      </c>
      <c r="C38" s="15">
        <v>16129</v>
      </c>
      <c r="D38" s="119" t="s">
        <v>14</v>
      </c>
      <c r="E38" s="120">
        <v>658.4</v>
      </c>
      <c r="F38" s="121">
        <v>34895.199999999997</v>
      </c>
      <c r="I38" s="3"/>
      <c r="J38" s="3"/>
    </row>
    <row r="39" spans="2:10" ht="15.75" x14ac:dyDescent="0.25">
      <c r="B39" s="118">
        <v>43099</v>
      </c>
      <c r="C39" s="15">
        <v>16130</v>
      </c>
      <c r="D39" s="119" t="s">
        <v>0</v>
      </c>
      <c r="E39" s="120">
        <f>35.6+41+71.9</f>
        <v>148.5</v>
      </c>
      <c r="F39" s="121">
        <v>5203.7</v>
      </c>
      <c r="I39" s="3"/>
      <c r="J39" s="3"/>
    </row>
    <row r="40" spans="2:10" ht="15.75" x14ac:dyDescent="0.25">
      <c r="B40" s="118">
        <v>43099</v>
      </c>
      <c r="C40" s="15">
        <v>16131</v>
      </c>
      <c r="D40" s="119" t="s">
        <v>34</v>
      </c>
      <c r="E40" s="120">
        <f>658.1+56.3+333.7</f>
        <v>1048.0999999999999</v>
      </c>
      <c r="F40" s="121">
        <v>52839.6</v>
      </c>
      <c r="I40" s="3"/>
      <c r="J40" s="3"/>
    </row>
    <row r="41" spans="2:10" ht="15.75" x14ac:dyDescent="0.25">
      <c r="B41" s="118">
        <v>43099</v>
      </c>
      <c r="C41" s="15">
        <v>16132</v>
      </c>
      <c r="D41" s="119" t="s">
        <v>6</v>
      </c>
      <c r="E41" s="120">
        <f>141.1+21.4+32.6+28.3</f>
        <v>223.4</v>
      </c>
      <c r="F41" s="121">
        <v>8774.5</v>
      </c>
      <c r="I41" s="3"/>
      <c r="J41" s="3"/>
    </row>
    <row r="42" spans="2:10" ht="15.75" x14ac:dyDescent="0.25">
      <c r="B42" s="118">
        <v>43099</v>
      </c>
      <c r="C42" s="15">
        <v>16134</v>
      </c>
      <c r="D42" s="119" t="s">
        <v>0</v>
      </c>
      <c r="E42" s="120">
        <v>94.4</v>
      </c>
      <c r="F42" s="121">
        <v>3304</v>
      </c>
      <c r="I42" s="3"/>
      <c r="J42" s="3"/>
    </row>
    <row r="43" spans="2:10" ht="15.75" x14ac:dyDescent="0.25">
      <c r="B43" s="118">
        <v>43099</v>
      </c>
      <c r="C43" s="15">
        <v>16135</v>
      </c>
      <c r="D43" s="119" t="s">
        <v>12</v>
      </c>
      <c r="E43" s="120">
        <v>40.600999999999999</v>
      </c>
      <c r="F43" s="121">
        <v>2801.4</v>
      </c>
      <c r="I43" s="3"/>
      <c r="J43" s="3"/>
    </row>
    <row r="44" spans="2:10" ht="15.75" x14ac:dyDescent="0.25">
      <c r="B44" s="118">
        <v>43099</v>
      </c>
      <c r="C44" s="15">
        <v>16140</v>
      </c>
      <c r="D44" s="119" t="s">
        <v>34</v>
      </c>
      <c r="E44" s="120">
        <f>114+110.6</f>
        <v>224.6</v>
      </c>
      <c r="F44" s="121">
        <v>12128.4</v>
      </c>
      <c r="I44" s="3"/>
      <c r="J44" s="3"/>
    </row>
    <row r="45" spans="2:10" ht="15.75" x14ac:dyDescent="0.25">
      <c r="B45" s="118">
        <v>43100</v>
      </c>
      <c r="C45" s="15">
        <v>16266</v>
      </c>
      <c r="D45" s="119" t="s">
        <v>0</v>
      </c>
      <c r="E45" s="120">
        <v>928.04</v>
      </c>
      <c r="F45" s="121">
        <v>31553.360000000001</v>
      </c>
      <c r="I45" s="3"/>
      <c r="J45" s="3"/>
    </row>
    <row r="46" spans="2:10" ht="15.75" x14ac:dyDescent="0.25">
      <c r="B46" s="118">
        <v>43100</v>
      </c>
      <c r="C46" s="15">
        <v>16268</v>
      </c>
      <c r="D46" s="119" t="s">
        <v>0</v>
      </c>
      <c r="E46" s="120">
        <v>4.9000000000000004</v>
      </c>
      <c r="F46" s="121">
        <v>392</v>
      </c>
      <c r="I46" s="3"/>
      <c r="J46" s="3"/>
    </row>
    <row r="47" spans="2:10" ht="15.75" x14ac:dyDescent="0.25">
      <c r="B47" s="118"/>
      <c r="C47" s="15"/>
      <c r="D47" s="119"/>
      <c r="E47" s="120"/>
      <c r="F47" s="121"/>
      <c r="I47" s="3"/>
      <c r="J47" s="3"/>
    </row>
    <row r="48" spans="2:10" ht="15.75" x14ac:dyDescent="0.25">
      <c r="B48" s="118"/>
      <c r="C48" s="15"/>
      <c r="D48" s="119"/>
      <c r="E48" s="120"/>
      <c r="F48" s="121"/>
      <c r="I48" s="3"/>
      <c r="J48" s="3"/>
    </row>
    <row r="49" spans="1:13" ht="15.75" x14ac:dyDescent="0.25">
      <c r="B49" s="118"/>
      <c r="C49" s="15"/>
      <c r="D49" s="119"/>
      <c r="E49" s="120"/>
      <c r="F49" s="121"/>
      <c r="I49" s="3"/>
      <c r="J49" s="3"/>
    </row>
    <row r="50" spans="1:13" ht="15.75" x14ac:dyDescent="0.25">
      <c r="B50" s="118"/>
      <c r="C50" s="15"/>
      <c r="D50" s="119"/>
      <c r="E50" s="120"/>
      <c r="F50" s="121"/>
      <c r="I50" s="3"/>
      <c r="J50" s="3"/>
    </row>
    <row r="51" spans="1:13" ht="16.5" thickBot="1" x14ac:dyDescent="0.3">
      <c r="B51" s="118"/>
      <c r="C51" s="15"/>
      <c r="D51" s="119"/>
      <c r="E51" s="120"/>
      <c r="F51" s="121"/>
      <c r="I51" s="3"/>
      <c r="J51" s="3"/>
    </row>
    <row r="52" spans="1:13" ht="15.75" thickBot="1" x14ac:dyDescent="0.3">
      <c r="B52" s="29"/>
      <c r="C52" s="66"/>
      <c r="D52" s="31"/>
      <c r="E52" s="32">
        <v>0</v>
      </c>
      <c r="F52" s="33">
        <f>SUM(F3:F51)</f>
        <v>487271.96000000014</v>
      </c>
      <c r="K52" s="3">
        <f t="shared" ref="K52:K59" si="1">J52*I52</f>
        <v>0</v>
      </c>
    </row>
    <row r="53" spans="1:13" ht="19.5" thickBot="1" x14ac:dyDescent="0.35">
      <c r="B53" s="34"/>
      <c r="C53" s="67"/>
      <c r="D53" s="36" t="s">
        <v>5</v>
      </c>
      <c r="E53" s="37">
        <f>SUM(E3:E52)</f>
        <v>11812.441000000001</v>
      </c>
      <c r="K53" s="3">
        <f t="shared" si="1"/>
        <v>0</v>
      </c>
    </row>
    <row r="54" spans="1:13" x14ac:dyDescent="0.25">
      <c r="B54" s="34"/>
      <c r="C54" s="67"/>
      <c r="D54" s="26"/>
      <c r="E54" s="39"/>
      <c r="K54" s="3">
        <f t="shared" si="1"/>
        <v>0</v>
      </c>
    </row>
    <row r="55" spans="1:13" ht="19.5" thickBot="1" x14ac:dyDescent="0.35">
      <c r="B55" s="40"/>
      <c r="C55" s="41" t="s">
        <v>15</v>
      </c>
      <c r="D55" s="149">
        <f>E53*0.3</f>
        <v>3543.7323000000001</v>
      </c>
      <c r="F55"/>
      <c r="K55" s="3">
        <f t="shared" si="1"/>
        <v>0</v>
      </c>
    </row>
    <row r="56" spans="1:13" ht="21.75" thickBot="1" x14ac:dyDescent="0.4">
      <c r="C56" s="41" t="s">
        <v>16</v>
      </c>
      <c r="D56" s="44">
        <v>3428</v>
      </c>
      <c r="E56" s="45"/>
      <c r="F56" s="258">
        <f>D55+D56</f>
        <v>6971.7322999999997</v>
      </c>
      <c r="G56" s="259"/>
      <c r="K56" s="3">
        <f t="shared" si="1"/>
        <v>0</v>
      </c>
      <c r="L56" s="46"/>
      <c r="M56" s="13"/>
    </row>
    <row r="57" spans="1:13" ht="22.5" thickTop="1" thickBot="1" x14ac:dyDescent="0.4">
      <c r="B57" s="34"/>
      <c r="C57" s="67"/>
      <c r="D57" s="146"/>
      <c r="E57" s="47" t="s">
        <v>258</v>
      </c>
      <c r="F57" s="203"/>
      <c r="G57" s="201">
        <v>-4000</v>
      </c>
      <c r="H57" s="202"/>
      <c r="L57" s="46"/>
      <c r="M57" s="13"/>
    </row>
    <row r="58" spans="1:13" ht="19.5" thickBot="1" x14ac:dyDescent="0.35">
      <c r="A58" s="26"/>
      <c r="B58" s="245"/>
      <c r="C58" s="244"/>
      <c r="D58" s="180" t="s">
        <v>9</v>
      </c>
      <c r="E58" s="47" t="s">
        <v>258</v>
      </c>
      <c r="F58" s="142"/>
      <c r="G58" s="160">
        <v>-2972</v>
      </c>
      <c r="K58" s="3">
        <f t="shared" si="1"/>
        <v>0</v>
      </c>
      <c r="L58" s="49"/>
      <c r="M58" s="49"/>
    </row>
    <row r="59" spans="1:13" ht="21.75" customHeight="1" thickTop="1" thickBot="1" x14ac:dyDescent="0.35">
      <c r="B59" s="283" t="s">
        <v>626</v>
      </c>
      <c r="C59" s="284"/>
      <c r="D59" s="243" t="s">
        <v>1016</v>
      </c>
      <c r="E59" s="47" t="s">
        <v>258</v>
      </c>
      <c r="F59" s="125"/>
      <c r="G59" s="169">
        <v>0</v>
      </c>
      <c r="K59" s="3">
        <f t="shared" si="1"/>
        <v>0</v>
      </c>
      <c r="L59" s="49"/>
      <c r="M59" s="49"/>
    </row>
    <row r="60" spans="1:13" ht="20.25" customHeight="1" thickTop="1" thickBot="1" x14ac:dyDescent="0.35">
      <c r="B60" s="285"/>
      <c r="C60" s="286"/>
      <c r="D60" s="243">
        <v>0</v>
      </c>
      <c r="E60" s="47" t="s">
        <v>307</v>
      </c>
      <c r="F60" s="124"/>
      <c r="G60" s="170">
        <v>0</v>
      </c>
      <c r="L60" s="49"/>
      <c r="M60" s="49"/>
    </row>
    <row r="61" spans="1:13" ht="17.25" customHeight="1" thickTop="1" thickBot="1" x14ac:dyDescent="0.4">
      <c r="C61" s="22"/>
      <c r="D61" s="246"/>
      <c r="E61" s="4" t="s">
        <v>258</v>
      </c>
      <c r="F61" s="263">
        <f>SUM(F56:G60)</f>
        <v>-0.26770000000033178</v>
      </c>
      <c r="G61" s="264"/>
      <c r="L61" s="49"/>
      <c r="M61" s="49"/>
    </row>
    <row r="62" spans="1:13" ht="19.5" customHeight="1" x14ac:dyDescent="0.35">
      <c r="C62" s="109"/>
      <c r="D62" s="136"/>
      <c r="F62" s="148"/>
      <c r="G62" s="148"/>
    </row>
    <row r="63" spans="1:13" x14ac:dyDescent="0.25">
      <c r="F63" s="27"/>
      <c r="G63" s="26"/>
    </row>
    <row r="64" spans="1:13" x14ac:dyDescent="0.25">
      <c r="D64" t="s">
        <v>9</v>
      </c>
    </row>
    <row r="65" spans="9:11" x14ac:dyDescent="0.25">
      <c r="I65" s="3">
        <f>SUM(I52:I59)</f>
        <v>0</v>
      </c>
      <c r="J65" s="3"/>
      <c r="K65" s="3">
        <f>SUM(K52:K59)</f>
        <v>0</v>
      </c>
    </row>
  </sheetData>
  <mergeCells count="4">
    <mergeCell ref="B1:C1"/>
    <mergeCell ref="F56:G56"/>
    <mergeCell ref="B59:C60"/>
    <mergeCell ref="F61:G61"/>
  </mergeCells>
  <pageMargins left="0.70866141732283472" right="0.70866141732283472" top="0.74803149606299213" bottom="0.74803149606299213" header="0.31496062992125984" footer="0.31496062992125984"/>
  <pageSetup scale="85" orientation="portrait" horizontalDpi="0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60"/>
  <sheetViews>
    <sheetView workbookViewId="0">
      <selection activeCell="F3" sqref="F3"/>
    </sheetView>
  </sheetViews>
  <sheetFormatPr baseColWidth="10" defaultRowHeight="15" x14ac:dyDescent="0.25"/>
  <cols>
    <col min="1" max="1" width="3.42578125" customWidth="1"/>
    <col min="2" max="2" width="13.42578125" bestFit="1" customWidth="1"/>
    <col min="3" max="3" width="13.7109375" style="41" customWidth="1"/>
    <col min="4" max="4" width="33.5703125" customWidth="1"/>
    <col min="5" max="5" width="12" bestFit="1" customWidth="1"/>
    <col min="6" max="6" width="14.140625" style="3" bestFit="1" customWidth="1"/>
    <col min="7" max="7" width="15.7109375" customWidth="1"/>
    <col min="11" max="11" width="11.42578125" style="3"/>
  </cols>
  <sheetData>
    <row r="1" spans="2:11" ht="19.5" thickBot="1" x14ac:dyDescent="0.35">
      <c r="B1" s="257">
        <v>42783</v>
      </c>
      <c r="C1" s="257"/>
      <c r="D1" s="1" t="s">
        <v>0</v>
      </c>
      <c r="E1" s="2" t="s">
        <v>1</v>
      </c>
      <c r="K1"/>
    </row>
    <row r="2" spans="2:11" ht="19.5" thickBot="1" x14ac:dyDescent="0.35">
      <c r="B2" s="4" t="s">
        <v>2</v>
      </c>
      <c r="C2" s="5" t="s">
        <v>3</v>
      </c>
      <c r="D2" s="5" t="s">
        <v>4</v>
      </c>
      <c r="E2" s="6" t="s">
        <v>5</v>
      </c>
      <c r="F2" s="7" t="s">
        <v>159</v>
      </c>
      <c r="G2" s="8"/>
      <c r="K2"/>
    </row>
    <row r="3" spans="2:11" ht="15.75" x14ac:dyDescent="0.25">
      <c r="B3" s="68">
        <v>42766</v>
      </c>
      <c r="C3" s="69">
        <v>24275</v>
      </c>
      <c r="D3" s="70" t="s">
        <v>12</v>
      </c>
      <c r="E3" s="76">
        <f>196.7+12.7</f>
        <v>209.39999999999998</v>
      </c>
      <c r="F3" s="71">
        <v>8744.2999999999993</v>
      </c>
      <c r="K3"/>
    </row>
    <row r="4" spans="2:11" ht="15.75" x14ac:dyDescent="0.25">
      <c r="B4" s="75">
        <v>42772</v>
      </c>
      <c r="C4" s="73">
        <v>24876</v>
      </c>
      <c r="D4" s="72" t="s">
        <v>86</v>
      </c>
      <c r="E4" s="77">
        <f>882.09+27.24</f>
        <v>909.33</v>
      </c>
      <c r="F4" s="74">
        <v>33035.519999999997</v>
      </c>
      <c r="K4"/>
    </row>
    <row r="5" spans="2:11" ht="15.75" x14ac:dyDescent="0.25">
      <c r="B5" s="75">
        <v>42772</v>
      </c>
      <c r="C5" s="73" t="s">
        <v>110</v>
      </c>
      <c r="D5" s="72" t="s">
        <v>10</v>
      </c>
      <c r="E5" s="77">
        <f>73.1+32.6</f>
        <v>105.69999999999999</v>
      </c>
      <c r="F5" s="74">
        <v>4660.7</v>
      </c>
      <c r="K5"/>
    </row>
    <row r="6" spans="2:11" ht="15.75" x14ac:dyDescent="0.25">
      <c r="B6" s="75">
        <v>42772</v>
      </c>
      <c r="C6" s="73" t="s">
        <v>111</v>
      </c>
      <c r="D6" s="72" t="s">
        <v>11</v>
      </c>
      <c r="E6" s="77">
        <v>70.5</v>
      </c>
      <c r="F6" s="74">
        <v>2608.5</v>
      </c>
      <c r="G6" t="s">
        <v>9</v>
      </c>
      <c r="K6" s="3">
        <f t="shared" ref="K6:K16" si="0">J6*I6</f>
        <v>0</v>
      </c>
    </row>
    <row r="7" spans="2:11" ht="15.75" x14ac:dyDescent="0.25">
      <c r="B7" s="75">
        <v>42772</v>
      </c>
      <c r="C7" s="73" t="s">
        <v>112</v>
      </c>
      <c r="D7" s="72" t="s">
        <v>12</v>
      </c>
      <c r="E7" s="77">
        <f>66.4+12.3</f>
        <v>78.7</v>
      </c>
      <c r="F7" s="74">
        <v>4119.5</v>
      </c>
      <c r="K7" s="3">
        <f t="shared" si="0"/>
        <v>0</v>
      </c>
    </row>
    <row r="8" spans="2:11" ht="15.75" x14ac:dyDescent="0.25">
      <c r="B8" s="75">
        <v>42772</v>
      </c>
      <c r="C8" s="73" t="s">
        <v>113</v>
      </c>
      <c r="D8" s="72" t="s">
        <v>91</v>
      </c>
      <c r="E8" s="77">
        <v>57.8</v>
      </c>
      <c r="F8" s="74">
        <v>2890</v>
      </c>
      <c r="K8" s="3">
        <f t="shared" si="0"/>
        <v>0</v>
      </c>
    </row>
    <row r="9" spans="2:11" ht="15.75" x14ac:dyDescent="0.25">
      <c r="B9" s="75">
        <v>42772</v>
      </c>
      <c r="C9" s="73" t="s">
        <v>114</v>
      </c>
      <c r="D9" s="72" t="s">
        <v>8</v>
      </c>
      <c r="E9" s="77">
        <f>61.5+54.8+37.4+266.5</f>
        <v>420.2</v>
      </c>
      <c r="F9" s="74">
        <v>19071.099999999999</v>
      </c>
      <c r="K9" s="3">
        <f t="shared" si="0"/>
        <v>0</v>
      </c>
    </row>
    <row r="10" spans="2:11" ht="15.75" x14ac:dyDescent="0.25">
      <c r="B10" s="75">
        <v>42773</v>
      </c>
      <c r="C10" s="73" t="s">
        <v>115</v>
      </c>
      <c r="D10" s="72" t="s">
        <v>8</v>
      </c>
      <c r="E10" s="77">
        <v>437.9</v>
      </c>
      <c r="F10" s="74">
        <v>16202.3</v>
      </c>
      <c r="K10" s="3">
        <f t="shared" si="0"/>
        <v>0</v>
      </c>
    </row>
    <row r="11" spans="2:11" ht="15.75" x14ac:dyDescent="0.25">
      <c r="B11" s="75">
        <v>42773</v>
      </c>
      <c r="C11" s="73" t="s">
        <v>116</v>
      </c>
      <c r="D11" s="72" t="s">
        <v>12</v>
      </c>
      <c r="E11" s="77">
        <v>89.1</v>
      </c>
      <c r="F11" s="74">
        <v>3296.7</v>
      </c>
      <c r="K11" s="3">
        <f t="shared" si="0"/>
        <v>0</v>
      </c>
    </row>
    <row r="12" spans="2:11" ht="15.75" x14ac:dyDescent="0.25">
      <c r="B12" s="75">
        <v>42773</v>
      </c>
      <c r="C12" s="73" t="s">
        <v>117</v>
      </c>
      <c r="D12" s="72" t="s">
        <v>10</v>
      </c>
      <c r="E12" s="77">
        <v>86.3</v>
      </c>
      <c r="F12" s="74">
        <v>3193.1</v>
      </c>
      <c r="K12" s="3">
        <f t="shared" si="0"/>
        <v>0</v>
      </c>
    </row>
    <row r="13" spans="2:11" ht="15.75" x14ac:dyDescent="0.25">
      <c r="B13" s="75">
        <v>42773</v>
      </c>
      <c r="C13" s="73" t="s">
        <v>118</v>
      </c>
      <c r="D13" s="72" t="s">
        <v>91</v>
      </c>
      <c r="E13" s="77">
        <f>90.5+56.4</f>
        <v>146.9</v>
      </c>
      <c r="F13" s="74">
        <v>4758.5</v>
      </c>
      <c r="K13" s="3">
        <f t="shared" si="0"/>
        <v>0</v>
      </c>
    </row>
    <row r="14" spans="2:11" ht="15.75" x14ac:dyDescent="0.25">
      <c r="B14" s="75">
        <v>42773</v>
      </c>
      <c r="C14" s="73" t="s">
        <v>119</v>
      </c>
      <c r="D14" s="72" t="s">
        <v>6</v>
      </c>
      <c r="E14" s="77">
        <v>11.7</v>
      </c>
      <c r="F14" s="74">
        <v>889.2</v>
      </c>
      <c r="K14" s="3">
        <f t="shared" si="0"/>
        <v>0</v>
      </c>
    </row>
    <row r="15" spans="2:11" ht="15.75" x14ac:dyDescent="0.25">
      <c r="B15" s="75">
        <v>42774</v>
      </c>
      <c r="C15" s="73" t="s">
        <v>120</v>
      </c>
      <c r="D15" s="72" t="s">
        <v>7</v>
      </c>
      <c r="E15" s="77">
        <v>75.3</v>
      </c>
      <c r="F15" s="74">
        <v>2786.1</v>
      </c>
      <c r="K15" s="3">
        <f t="shared" si="0"/>
        <v>0</v>
      </c>
    </row>
    <row r="16" spans="2:11" ht="15.75" x14ac:dyDescent="0.25">
      <c r="B16" s="75">
        <v>42774</v>
      </c>
      <c r="C16" s="73" t="s">
        <v>121</v>
      </c>
      <c r="D16" s="72" t="s">
        <v>14</v>
      </c>
      <c r="E16" s="77">
        <v>409</v>
      </c>
      <c r="F16" s="74">
        <v>15133</v>
      </c>
      <c r="K16" s="3">
        <f t="shared" si="0"/>
        <v>0</v>
      </c>
    </row>
    <row r="17" spans="2:11" ht="15.75" x14ac:dyDescent="0.25">
      <c r="B17" s="75">
        <v>42774</v>
      </c>
      <c r="C17" s="73" t="s">
        <v>122</v>
      </c>
      <c r="D17" s="72" t="s">
        <v>11</v>
      </c>
      <c r="E17" s="77">
        <v>86.7</v>
      </c>
      <c r="F17" s="74">
        <v>3207.9</v>
      </c>
      <c r="I17" s="3">
        <f t="shared" ref="I17" si="1">SUM(I6:I16)</f>
        <v>0</v>
      </c>
      <c r="J17" s="3"/>
      <c r="K17" s="3">
        <f>SUM(K6:K16)</f>
        <v>0</v>
      </c>
    </row>
    <row r="18" spans="2:11" ht="15.75" x14ac:dyDescent="0.25">
      <c r="B18" s="75">
        <v>42774</v>
      </c>
      <c r="C18" s="73" t="s">
        <v>123</v>
      </c>
      <c r="D18" s="72" t="s">
        <v>6</v>
      </c>
      <c r="E18" s="77">
        <v>80</v>
      </c>
      <c r="F18" s="74">
        <v>3120</v>
      </c>
      <c r="I18" s="3"/>
      <c r="J18" s="3"/>
    </row>
    <row r="19" spans="2:11" ht="15.75" x14ac:dyDescent="0.25">
      <c r="B19" s="75">
        <v>42774</v>
      </c>
      <c r="C19" s="73" t="s">
        <v>124</v>
      </c>
      <c r="D19" s="72" t="s">
        <v>91</v>
      </c>
      <c r="E19" s="77">
        <f>27+930.3+18.7</f>
        <v>976</v>
      </c>
      <c r="F19" s="74">
        <v>34525.300000000003</v>
      </c>
      <c r="I19" s="3"/>
      <c r="J19" s="3"/>
    </row>
    <row r="20" spans="2:11" ht="15.75" x14ac:dyDescent="0.25">
      <c r="B20" s="75">
        <v>42774</v>
      </c>
      <c r="C20" s="73" t="s">
        <v>125</v>
      </c>
      <c r="D20" s="72" t="s">
        <v>10</v>
      </c>
      <c r="E20" s="77">
        <f>37.2+51.3</f>
        <v>88.5</v>
      </c>
      <c r="F20" s="74">
        <v>4130.1000000000004</v>
      </c>
      <c r="I20" s="3"/>
      <c r="J20" s="3"/>
    </row>
    <row r="21" spans="2:11" ht="15.75" x14ac:dyDescent="0.25">
      <c r="B21" s="75">
        <v>42774</v>
      </c>
      <c r="C21" s="73" t="s">
        <v>126</v>
      </c>
      <c r="D21" s="72" t="s">
        <v>8</v>
      </c>
      <c r="E21" s="77">
        <f>52.9+421+43.3</f>
        <v>517.19999999999993</v>
      </c>
      <c r="F21" s="74">
        <v>19656</v>
      </c>
      <c r="I21" s="3"/>
      <c r="J21" s="3"/>
    </row>
    <row r="22" spans="2:11" ht="15.75" x14ac:dyDescent="0.25">
      <c r="B22" s="75">
        <v>42774</v>
      </c>
      <c r="C22" s="73" t="s">
        <v>127</v>
      </c>
      <c r="D22" s="72" t="s">
        <v>13</v>
      </c>
      <c r="E22" s="77">
        <f>12.5+171</f>
        <v>183.5</v>
      </c>
      <c r="F22" s="74">
        <v>7139.5</v>
      </c>
      <c r="I22" s="3"/>
      <c r="J22" s="3"/>
    </row>
    <row r="23" spans="2:11" ht="15.75" x14ac:dyDescent="0.25">
      <c r="B23" s="75">
        <v>42774</v>
      </c>
      <c r="C23" s="73" t="s">
        <v>128</v>
      </c>
      <c r="D23" s="72" t="s">
        <v>12</v>
      </c>
      <c r="E23" s="77">
        <f>14.5+169.9</f>
        <v>184.4</v>
      </c>
      <c r="F23" s="74">
        <v>7228.8</v>
      </c>
      <c r="I23" s="3"/>
      <c r="J23" s="3"/>
    </row>
    <row r="24" spans="2:11" ht="15.75" x14ac:dyDescent="0.25">
      <c r="B24" s="75">
        <v>42775</v>
      </c>
      <c r="C24" s="73" t="s">
        <v>129</v>
      </c>
      <c r="D24" s="72" t="s">
        <v>10</v>
      </c>
      <c r="E24" s="77">
        <v>32.299999999999997</v>
      </c>
      <c r="F24" s="74">
        <v>1938</v>
      </c>
      <c r="I24" s="3"/>
      <c r="J24" s="3"/>
    </row>
    <row r="25" spans="2:11" ht="15.75" x14ac:dyDescent="0.25">
      <c r="B25" s="75">
        <v>42775</v>
      </c>
      <c r="C25" s="73" t="s">
        <v>130</v>
      </c>
      <c r="D25" s="72" t="s">
        <v>6</v>
      </c>
      <c r="E25" s="77">
        <v>86.7</v>
      </c>
      <c r="F25" s="74">
        <v>3207.9</v>
      </c>
      <c r="I25" s="3"/>
      <c r="J25" s="3"/>
    </row>
    <row r="26" spans="2:11" ht="15.75" x14ac:dyDescent="0.25">
      <c r="B26" s="75">
        <v>42775</v>
      </c>
      <c r="C26" s="73" t="s">
        <v>131</v>
      </c>
      <c r="D26" s="72" t="s">
        <v>14</v>
      </c>
      <c r="E26" s="77">
        <v>327.9</v>
      </c>
      <c r="F26" s="74">
        <v>12132.3</v>
      </c>
      <c r="I26" s="3"/>
      <c r="J26" s="3"/>
    </row>
    <row r="27" spans="2:11" ht="15.75" x14ac:dyDescent="0.25">
      <c r="B27" s="75">
        <v>42775</v>
      </c>
      <c r="C27" s="73" t="s">
        <v>132</v>
      </c>
      <c r="D27" s="72" t="s">
        <v>11</v>
      </c>
      <c r="E27" s="77">
        <v>66.5</v>
      </c>
      <c r="F27" s="74">
        <v>2460.5</v>
      </c>
      <c r="I27" s="3"/>
      <c r="J27" s="3"/>
    </row>
    <row r="28" spans="2:11" ht="15.75" x14ac:dyDescent="0.25">
      <c r="B28" s="75">
        <v>42775</v>
      </c>
      <c r="C28" s="73" t="s">
        <v>133</v>
      </c>
      <c r="D28" s="72" t="s">
        <v>0</v>
      </c>
      <c r="E28" s="77">
        <f>103.5+13.5</f>
        <v>117</v>
      </c>
      <c r="F28" s="74">
        <v>4855.5</v>
      </c>
      <c r="I28" s="3"/>
      <c r="J28" s="3"/>
    </row>
    <row r="29" spans="2:11" ht="15.75" x14ac:dyDescent="0.25">
      <c r="B29" s="75">
        <v>42775</v>
      </c>
      <c r="C29" s="73" t="s">
        <v>134</v>
      </c>
      <c r="D29" s="72" t="s">
        <v>8</v>
      </c>
      <c r="E29" s="77">
        <f>57.3+337.3</f>
        <v>394.6</v>
      </c>
      <c r="F29" s="74">
        <v>14600.2</v>
      </c>
      <c r="I29" s="3"/>
      <c r="J29" s="3"/>
    </row>
    <row r="30" spans="2:11" ht="15.75" x14ac:dyDescent="0.25">
      <c r="B30" s="75">
        <v>42776</v>
      </c>
      <c r="C30" s="73" t="s">
        <v>135</v>
      </c>
      <c r="D30" s="72" t="s">
        <v>0</v>
      </c>
      <c r="E30" s="77">
        <v>357.3</v>
      </c>
      <c r="F30" s="74">
        <v>13220.1</v>
      </c>
      <c r="I30" s="3"/>
      <c r="J30" s="3"/>
    </row>
    <row r="31" spans="2:11" ht="15.75" x14ac:dyDescent="0.25">
      <c r="B31" s="75">
        <v>42776</v>
      </c>
      <c r="C31" s="73" t="s">
        <v>136</v>
      </c>
      <c r="D31" s="72" t="s">
        <v>14</v>
      </c>
      <c r="E31" s="77">
        <v>436.3</v>
      </c>
      <c r="F31" s="74">
        <v>16143.1</v>
      </c>
      <c r="I31" s="3"/>
      <c r="J31" s="3"/>
    </row>
    <row r="32" spans="2:11" ht="15.75" x14ac:dyDescent="0.25">
      <c r="B32" s="75">
        <v>42776</v>
      </c>
      <c r="C32" s="73" t="s">
        <v>137</v>
      </c>
      <c r="D32" s="72" t="s">
        <v>13</v>
      </c>
      <c r="E32" s="77">
        <v>90.4</v>
      </c>
      <c r="F32" s="74">
        <v>3344.8</v>
      </c>
      <c r="I32" s="3"/>
      <c r="J32" s="3"/>
    </row>
    <row r="33" spans="2:10" ht="15.75" x14ac:dyDescent="0.25">
      <c r="B33" s="75">
        <v>42776</v>
      </c>
      <c r="C33" s="73" t="s">
        <v>138</v>
      </c>
      <c r="D33" s="72" t="s">
        <v>91</v>
      </c>
      <c r="E33" s="77">
        <v>78.7</v>
      </c>
      <c r="F33" s="74">
        <v>2911.9</v>
      </c>
      <c r="I33" s="3"/>
      <c r="J33" s="3"/>
    </row>
    <row r="34" spans="2:10" ht="15.75" x14ac:dyDescent="0.25">
      <c r="B34" s="75">
        <v>42776</v>
      </c>
      <c r="C34" s="73" t="s">
        <v>139</v>
      </c>
      <c r="D34" s="72" t="s">
        <v>12</v>
      </c>
      <c r="E34" s="77">
        <f>1+281.6</f>
        <v>282.60000000000002</v>
      </c>
      <c r="F34" s="74">
        <v>11189.2</v>
      </c>
      <c r="I34" s="3"/>
      <c r="J34" s="3"/>
    </row>
    <row r="35" spans="2:10" ht="15.75" x14ac:dyDescent="0.25">
      <c r="B35" s="75">
        <v>42776</v>
      </c>
      <c r="C35" s="73" t="s">
        <v>140</v>
      </c>
      <c r="D35" s="72" t="s">
        <v>8</v>
      </c>
      <c r="E35" s="77">
        <f>60.4+442.1</f>
        <v>502.5</v>
      </c>
      <c r="F35" s="74">
        <v>20283.7</v>
      </c>
      <c r="I35" s="3"/>
      <c r="J35" s="3"/>
    </row>
    <row r="36" spans="2:10" ht="15.75" x14ac:dyDescent="0.25">
      <c r="B36" s="75">
        <v>42776</v>
      </c>
      <c r="C36" s="73" t="s">
        <v>141</v>
      </c>
      <c r="D36" s="72" t="s">
        <v>11</v>
      </c>
      <c r="E36" s="77">
        <v>78.8</v>
      </c>
      <c r="F36" s="74">
        <v>2915.6</v>
      </c>
      <c r="I36" s="3"/>
      <c r="J36" s="3"/>
    </row>
    <row r="37" spans="2:10" ht="15.75" x14ac:dyDescent="0.25">
      <c r="B37" s="75">
        <v>42776</v>
      </c>
      <c r="C37" s="73" t="s">
        <v>142</v>
      </c>
      <c r="D37" s="72" t="s">
        <v>10</v>
      </c>
      <c r="E37" s="77">
        <f>68.1+38.3</f>
        <v>106.39999999999999</v>
      </c>
      <c r="F37" s="74">
        <v>4817.7</v>
      </c>
      <c r="I37" s="3"/>
      <c r="J37" s="3"/>
    </row>
    <row r="38" spans="2:10" ht="15.75" x14ac:dyDescent="0.25">
      <c r="B38" s="75">
        <v>42776</v>
      </c>
      <c r="C38" s="73" t="s">
        <v>143</v>
      </c>
      <c r="D38" s="72" t="s">
        <v>7</v>
      </c>
      <c r="E38" s="77">
        <v>113.4</v>
      </c>
      <c r="F38" s="74">
        <v>4195.8</v>
      </c>
      <c r="I38" s="3"/>
      <c r="J38" s="3"/>
    </row>
    <row r="39" spans="2:10" ht="15.75" x14ac:dyDescent="0.25">
      <c r="B39" s="75">
        <v>42776</v>
      </c>
      <c r="C39" s="73" t="s">
        <v>144</v>
      </c>
      <c r="D39" s="72" t="s">
        <v>11</v>
      </c>
      <c r="E39" s="77">
        <f>377.9+231+11.6</f>
        <v>620.5</v>
      </c>
      <c r="F39" s="74">
        <v>22830.9</v>
      </c>
      <c r="I39" s="3"/>
      <c r="J39" s="3"/>
    </row>
    <row r="40" spans="2:10" ht="15.75" x14ac:dyDescent="0.25">
      <c r="B40" s="75">
        <v>42776</v>
      </c>
      <c r="C40" s="73" t="s">
        <v>145</v>
      </c>
      <c r="D40" s="72" t="s">
        <v>6</v>
      </c>
      <c r="E40" s="77">
        <f>176.6+79.4+59.7+24.3+12+11.7</f>
        <v>363.7</v>
      </c>
      <c r="F40" s="74">
        <v>16861</v>
      </c>
      <c r="I40" s="3"/>
      <c r="J40" s="3"/>
    </row>
    <row r="41" spans="2:10" ht="15.75" x14ac:dyDescent="0.25">
      <c r="B41" s="75">
        <v>42776</v>
      </c>
      <c r="C41" s="73" t="s">
        <v>146</v>
      </c>
      <c r="D41" s="72" t="s">
        <v>8</v>
      </c>
      <c r="E41" s="77">
        <v>111</v>
      </c>
      <c r="F41" s="74">
        <v>1887</v>
      </c>
      <c r="I41" s="3"/>
      <c r="J41" s="3"/>
    </row>
    <row r="42" spans="2:10" ht="15.75" x14ac:dyDescent="0.25">
      <c r="B42" s="75">
        <v>42776</v>
      </c>
      <c r="C42" s="73" t="s">
        <v>147</v>
      </c>
      <c r="D42" s="72" t="s">
        <v>6</v>
      </c>
      <c r="E42" s="77">
        <v>1</v>
      </c>
      <c r="F42" s="74">
        <v>185</v>
      </c>
      <c r="I42" s="3"/>
      <c r="J42" s="3"/>
    </row>
    <row r="43" spans="2:10" ht="15.75" x14ac:dyDescent="0.25">
      <c r="B43" s="75">
        <v>42777</v>
      </c>
      <c r="C43" s="73" t="s">
        <v>148</v>
      </c>
      <c r="D43" s="72" t="s">
        <v>14</v>
      </c>
      <c r="E43" s="77">
        <v>397.2</v>
      </c>
      <c r="F43" s="74">
        <v>14696.4</v>
      </c>
      <c r="I43" s="3"/>
      <c r="J43" s="3"/>
    </row>
    <row r="44" spans="2:10" ht="15.75" x14ac:dyDescent="0.25">
      <c r="B44" s="75">
        <v>42777</v>
      </c>
      <c r="C44" s="73" t="s">
        <v>149</v>
      </c>
      <c r="D44" s="72" t="s">
        <v>7</v>
      </c>
      <c r="E44" s="77">
        <v>412.2</v>
      </c>
      <c r="F44" s="74">
        <v>15251.4</v>
      </c>
      <c r="I44" s="3"/>
      <c r="J44" s="3"/>
    </row>
    <row r="45" spans="2:10" ht="15.75" x14ac:dyDescent="0.25">
      <c r="B45" s="75">
        <v>42777</v>
      </c>
      <c r="C45" s="73" t="s">
        <v>150</v>
      </c>
      <c r="D45" s="72" t="s">
        <v>12</v>
      </c>
      <c r="E45" s="77">
        <f>13.61+27.24</f>
        <v>40.849999999999994</v>
      </c>
      <c r="F45" s="74">
        <v>2124.1</v>
      </c>
      <c r="I45" s="3"/>
      <c r="J45" s="3"/>
    </row>
    <row r="46" spans="2:10" ht="15.75" x14ac:dyDescent="0.25">
      <c r="B46" s="75">
        <v>42777</v>
      </c>
      <c r="C46" s="73" t="s">
        <v>151</v>
      </c>
      <c r="D46" s="72" t="s">
        <v>77</v>
      </c>
      <c r="E46" s="77">
        <v>392.8</v>
      </c>
      <c r="F46" s="74">
        <v>14337.2</v>
      </c>
      <c r="I46" s="3"/>
      <c r="J46" s="3"/>
    </row>
    <row r="47" spans="2:10" ht="15.75" x14ac:dyDescent="0.25">
      <c r="B47" s="75">
        <v>42777</v>
      </c>
      <c r="C47" s="73" t="s">
        <v>152</v>
      </c>
      <c r="D47" s="72" t="s">
        <v>91</v>
      </c>
      <c r="E47" s="77">
        <f>939.84+88.7+40.4+29.4</f>
        <v>1098.3400000000001</v>
      </c>
      <c r="F47" s="74">
        <v>33912.54</v>
      </c>
      <c r="I47" s="3"/>
      <c r="J47" s="3"/>
    </row>
    <row r="48" spans="2:10" ht="15.75" x14ac:dyDescent="0.25">
      <c r="B48" s="75">
        <v>42777</v>
      </c>
      <c r="C48" s="73" t="s">
        <v>153</v>
      </c>
      <c r="D48" s="72" t="s">
        <v>8</v>
      </c>
      <c r="E48" s="77">
        <f>417.5+63.6</f>
        <v>481.1</v>
      </c>
      <c r="F48" s="74">
        <v>19581.5</v>
      </c>
      <c r="I48" s="3"/>
      <c r="J48" s="3"/>
    </row>
    <row r="49" spans="2:13" ht="15.75" x14ac:dyDescent="0.25">
      <c r="B49" s="75">
        <v>42777</v>
      </c>
      <c r="C49" s="73" t="s">
        <v>154</v>
      </c>
      <c r="D49" s="72" t="s">
        <v>10</v>
      </c>
      <c r="E49" s="77">
        <v>86.4</v>
      </c>
      <c r="F49" s="74">
        <v>3196.8</v>
      </c>
      <c r="I49" s="3"/>
      <c r="J49" s="3"/>
    </row>
    <row r="50" spans="2:13" ht="15.75" x14ac:dyDescent="0.25">
      <c r="B50" s="75">
        <v>42777</v>
      </c>
      <c r="C50" s="73" t="s">
        <v>155</v>
      </c>
      <c r="D50" s="72" t="s">
        <v>13</v>
      </c>
      <c r="E50" s="77">
        <f>45.4+1</f>
        <v>46.4</v>
      </c>
      <c r="F50" s="74">
        <v>2129.8000000000002</v>
      </c>
      <c r="I50" s="3"/>
      <c r="J50" s="3"/>
    </row>
    <row r="51" spans="2:13" ht="16.5" thickBot="1" x14ac:dyDescent="0.3">
      <c r="B51" s="75">
        <v>42777</v>
      </c>
      <c r="C51" s="73" t="s">
        <v>156</v>
      </c>
      <c r="D51" s="72" t="s">
        <v>91</v>
      </c>
      <c r="E51" s="77">
        <v>4.38</v>
      </c>
      <c r="F51" s="74">
        <v>456</v>
      </c>
      <c r="I51" s="3"/>
      <c r="J51" s="3"/>
    </row>
    <row r="52" spans="2:13" ht="15.75" thickBot="1" x14ac:dyDescent="0.3">
      <c r="B52" s="29" t="s">
        <v>9</v>
      </c>
      <c r="C52" s="66"/>
      <c r="D52" s="31"/>
      <c r="E52" s="32">
        <v>0</v>
      </c>
      <c r="F52" s="33">
        <f>SUM(F3:F51)</f>
        <v>466062.06</v>
      </c>
      <c r="K52" s="3">
        <f t="shared" ref="K52:K53" si="2">J52*I52</f>
        <v>0</v>
      </c>
    </row>
    <row r="53" spans="2:13" ht="19.5" thickBot="1" x14ac:dyDescent="0.35">
      <c r="B53" s="34"/>
      <c r="C53" s="67"/>
      <c r="D53" s="36" t="s">
        <v>5</v>
      </c>
      <c r="E53" s="37">
        <f>SUM(E3:E52)</f>
        <v>12351.400000000001</v>
      </c>
      <c r="I53" s="38"/>
      <c r="J53" s="38"/>
      <c r="K53" s="3">
        <f t="shared" si="2"/>
        <v>0</v>
      </c>
    </row>
    <row r="54" spans="2:13" x14ac:dyDescent="0.25">
      <c r="B54" s="34"/>
      <c r="C54" s="67"/>
      <c r="D54" s="26"/>
      <c r="E54" s="39"/>
      <c r="I54" s="38">
        <f>SUM(I52:I53)</f>
        <v>0</v>
      </c>
      <c r="J54" s="38"/>
      <c r="K54" s="38">
        <f>SUM(K52:K53)</f>
        <v>0</v>
      </c>
    </row>
    <row r="55" spans="2:13" ht="21.75" thickBot="1" x14ac:dyDescent="0.4">
      <c r="B55" s="40"/>
      <c r="C55" s="41" t="s">
        <v>15</v>
      </c>
      <c r="D55" s="42">
        <f>E53*0.2</f>
        <v>2470.2800000000007</v>
      </c>
      <c r="F55"/>
      <c r="K55"/>
    </row>
    <row r="56" spans="2:13" ht="21.75" thickBot="1" x14ac:dyDescent="0.4">
      <c r="C56" s="41" t="s">
        <v>16</v>
      </c>
      <c r="D56" s="44">
        <v>3400</v>
      </c>
      <c r="E56" s="45"/>
      <c r="F56" s="258">
        <f>D55+D56</f>
        <v>5870.2800000000007</v>
      </c>
      <c r="G56" s="259"/>
      <c r="I56" s="46"/>
      <c r="J56" s="46"/>
      <c r="K56" s="46"/>
      <c r="L56" s="46"/>
      <c r="M56" s="46"/>
    </row>
    <row r="57" spans="2:13" ht="17.25" thickTop="1" thickBot="1" x14ac:dyDescent="0.3">
      <c r="E57" s="47" t="s">
        <v>17</v>
      </c>
      <c r="G57" s="48">
        <v>-3400</v>
      </c>
      <c r="I57" s="46"/>
      <c r="J57" s="46"/>
      <c r="K57" s="49"/>
      <c r="L57" s="49"/>
      <c r="M57" s="49"/>
    </row>
    <row r="58" spans="2:13" ht="19.5" thickBot="1" x14ac:dyDescent="0.35">
      <c r="C58" s="50" t="s">
        <v>94</v>
      </c>
      <c r="D58" s="51" t="s">
        <v>157</v>
      </c>
      <c r="E58" s="47" t="s">
        <v>17</v>
      </c>
      <c r="F58" s="260">
        <v>-2470</v>
      </c>
      <c r="G58" s="260"/>
      <c r="I58" s="46"/>
      <c r="J58" s="46"/>
      <c r="K58" s="49"/>
      <c r="L58" s="49"/>
      <c r="M58" s="49"/>
    </row>
    <row r="59" spans="2:13" ht="17.25" thickTop="1" thickBot="1" x14ac:dyDescent="0.3">
      <c r="C59" s="52" t="s">
        <v>18</v>
      </c>
      <c r="D59" s="94" t="s">
        <v>158</v>
      </c>
      <c r="F59" s="261" t="s">
        <v>9</v>
      </c>
      <c r="G59" s="261"/>
      <c r="I59" s="46"/>
      <c r="J59" s="46"/>
      <c r="K59" s="49"/>
      <c r="L59" s="49"/>
      <c r="M59" s="49"/>
    </row>
    <row r="60" spans="2:13" ht="19.5" thickBot="1" x14ac:dyDescent="0.35">
      <c r="E60" s="2" t="s">
        <v>19</v>
      </c>
      <c r="F60" s="262"/>
      <c r="G60" s="262"/>
      <c r="K60"/>
    </row>
  </sheetData>
  <mergeCells count="4">
    <mergeCell ref="B1:C1"/>
    <mergeCell ref="F56:G56"/>
    <mergeCell ref="F58:G58"/>
    <mergeCell ref="F59:G60"/>
  </mergeCells>
  <pageMargins left="0.31496062992125984" right="0.11811023622047245" top="0.74803149606299213" bottom="0.74803149606299213" header="0.31496062992125984" footer="0.31496062992125984"/>
  <pageSetup scale="90" orientation="portrait" horizontalDpi="0" verticalDpi="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2" sqref="F22"/>
    </sheetView>
  </sheetViews>
  <sheetFormatPr baseColWidth="10" defaultRowHeight="15" x14ac:dyDescent="0.25"/>
  <sheetData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63"/>
  <sheetViews>
    <sheetView topLeftCell="A10" workbookViewId="0">
      <selection activeCell="C28" sqref="C28"/>
    </sheetView>
  </sheetViews>
  <sheetFormatPr baseColWidth="10" defaultRowHeight="15.75" x14ac:dyDescent="0.25"/>
  <cols>
    <col min="1" max="1" width="18.7109375" bestFit="1" customWidth="1"/>
    <col min="2" max="2" width="14.85546875" bestFit="1" customWidth="1"/>
    <col min="3" max="3" width="45" bestFit="1" customWidth="1"/>
    <col min="4" max="4" width="20" style="48" bestFit="1" customWidth="1"/>
  </cols>
  <sheetData>
    <row r="1" spans="1:4" ht="21" x14ac:dyDescent="0.35">
      <c r="A1" s="213"/>
      <c r="B1" s="213"/>
      <c r="C1" s="213"/>
      <c r="D1" s="214"/>
    </row>
    <row r="2" spans="1:4" ht="21" x14ac:dyDescent="0.35">
      <c r="A2" s="215">
        <v>42961</v>
      </c>
      <c r="B2" s="216" t="s">
        <v>775</v>
      </c>
      <c r="C2" s="217" t="s">
        <v>248</v>
      </c>
      <c r="D2" s="214">
        <v>3522.7</v>
      </c>
    </row>
    <row r="3" spans="1:4" ht="21" x14ac:dyDescent="0.35">
      <c r="A3" s="218">
        <v>42972</v>
      </c>
      <c r="B3" s="219" t="s">
        <v>776</v>
      </c>
      <c r="C3" s="220" t="s">
        <v>248</v>
      </c>
      <c r="D3" s="214">
        <v>1003.75</v>
      </c>
    </row>
    <row r="4" spans="1:4" ht="21.75" thickBot="1" x14ac:dyDescent="0.4">
      <c r="A4" s="221">
        <v>42908</v>
      </c>
      <c r="B4" s="222" t="s">
        <v>858</v>
      </c>
      <c r="C4" s="223" t="s">
        <v>77</v>
      </c>
      <c r="D4" s="214">
        <v>1240.55</v>
      </c>
    </row>
    <row r="5" spans="1:4" ht="27" customHeight="1" thickTop="1" thickBot="1" x14ac:dyDescent="0.4">
      <c r="A5" s="224"/>
      <c r="B5" s="213"/>
      <c r="C5" s="225" t="s">
        <v>859</v>
      </c>
      <c r="D5" s="226">
        <f>SUM(D2:D4)</f>
        <v>5767</v>
      </c>
    </row>
    <row r="6" spans="1:4" ht="21" x14ac:dyDescent="0.35">
      <c r="A6" s="227"/>
      <c r="B6" s="213"/>
      <c r="C6" s="213"/>
      <c r="D6" s="214"/>
    </row>
    <row r="7" spans="1:4" ht="27" customHeight="1" thickBot="1" x14ac:dyDescent="0.4">
      <c r="A7" s="275" t="s">
        <v>772</v>
      </c>
      <c r="B7" s="276"/>
      <c r="C7" s="297" t="s">
        <v>870</v>
      </c>
      <c r="D7" s="298"/>
    </row>
    <row r="8" spans="1:4" ht="21.75" thickBot="1" x14ac:dyDescent="0.4">
      <c r="A8" s="275" t="s">
        <v>772</v>
      </c>
      <c r="B8" s="276"/>
      <c r="C8" s="297" t="s">
        <v>871</v>
      </c>
      <c r="D8" s="298"/>
    </row>
    <row r="9" spans="1:4" x14ac:dyDescent="0.25">
      <c r="A9" s="234"/>
    </row>
    <row r="10" spans="1:4" x14ac:dyDescent="0.25">
      <c r="A10" s="197"/>
      <c r="B10" s="26"/>
      <c r="C10" s="26"/>
    </row>
    <row r="11" spans="1:4" x14ac:dyDescent="0.25">
      <c r="A11" s="197"/>
      <c r="B11" s="26"/>
      <c r="C11" s="26"/>
    </row>
    <row r="12" spans="1:4" x14ac:dyDescent="0.25">
      <c r="A12" s="235"/>
    </row>
    <row r="13" spans="1:4" ht="21" x14ac:dyDescent="0.35">
      <c r="A13" s="228">
        <v>42983</v>
      </c>
      <c r="B13" s="229" t="s">
        <v>866</v>
      </c>
      <c r="C13" s="217" t="s">
        <v>869</v>
      </c>
      <c r="D13" s="214">
        <v>3436.5</v>
      </c>
    </row>
    <row r="14" spans="1:4" ht="21" x14ac:dyDescent="0.35">
      <c r="A14" s="230">
        <v>42983</v>
      </c>
      <c r="B14" s="231" t="s">
        <v>867</v>
      </c>
      <c r="C14" s="220" t="s">
        <v>868</v>
      </c>
      <c r="D14" s="214">
        <v>2720.5</v>
      </c>
    </row>
    <row r="15" spans="1:4" ht="21" x14ac:dyDescent="0.35">
      <c r="A15" s="236"/>
      <c r="B15" s="237"/>
      <c r="C15" s="238"/>
      <c r="D15" s="214"/>
    </row>
    <row r="16" spans="1:4" ht="21" x14ac:dyDescent="0.35">
      <c r="A16" s="236"/>
      <c r="B16" s="237"/>
      <c r="C16" s="238" t="s">
        <v>874</v>
      </c>
      <c r="D16" s="214">
        <v>1044.5999999999999</v>
      </c>
    </row>
    <row r="17" spans="1:4" ht="21.75" thickBot="1" x14ac:dyDescent="0.4">
      <c r="A17" s="232"/>
      <c r="B17" s="233"/>
      <c r="C17" s="223" t="s">
        <v>875</v>
      </c>
      <c r="D17" s="214"/>
    </row>
    <row r="18" spans="1:4" ht="22.5" thickTop="1" thickBot="1" x14ac:dyDescent="0.4">
      <c r="A18" s="224"/>
      <c r="B18" s="213"/>
      <c r="C18" s="225" t="s">
        <v>859</v>
      </c>
      <c r="D18" s="226">
        <f>SUM(D13:D17)</f>
        <v>7201.6</v>
      </c>
    </row>
    <row r="19" spans="1:4" ht="21" x14ac:dyDescent="0.35">
      <c r="A19" s="227"/>
      <c r="B19" s="213"/>
      <c r="C19" s="213"/>
      <c r="D19" s="214"/>
    </row>
    <row r="20" spans="1:4" ht="27" customHeight="1" thickBot="1" x14ac:dyDescent="0.4">
      <c r="A20" s="293" t="s">
        <v>772</v>
      </c>
      <c r="B20" s="294"/>
      <c r="C20" s="295" t="s">
        <v>872</v>
      </c>
      <c r="D20" s="296"/>
    </row>
    <row r="21" spans="1:4" ht="21.75" thickBot="1" x14ac:dyDescent="0.4">
      <c r="A21" s="293" t="s">
        <v>772</v>
      </c>
      <c r="B21" s="294"/>
      <c r="C21" s="295" t="s">
        <v>873</v>
      </c>
      <c r="D21" s="296"/>
    </row>
    <row r="22" spans="1:4" x14ac:dyDescent="0.25">
      <c r="A22" s="234"/>
    </row>
    <row r="23" spans="1:4" x14ac:dyDescent="0.25">
      <c r="A23" s="197"/>
    </row>
    <row r="24" spans="1:4" x14ac:dyDescent="0.25">
      <c r="A24" s="197">
        <v>43040</v>
      </c>
      <c r="B24" t="s">
        <v>944</v>
      </c>
      <c r="C24" s="240" t="s">
        <v>947</v>
      </c>
      <c r="D24" s="48">
        <v>2000</v>
      </c>
    </row>
    <row r="25" spans="1:4" ht="16.5" thickBot="1" x14ac:dyDescent="0.3">
      <c r="A25" s="197">
        <v>43040</v>
      </c>
      <c r="B25" t="s">
        <v>945</v>
      </c>
      <c r="C25" s="240" t="s">
        <v>946</v>
      </c>
      <c r="D25" s="242">
        <v>1162.3499999999999</v>
      </c>
    </row>
    <row r="26" spans="1:4" ht="19.5" thickTop="1" x14ac:dyDescent="0.3">
      <c r="A26" s="197"/>
      <c r="C26" s="241" t="s">
        <v>948</v>
      </c>
      <c r="D26" s="48">
        <v>3162.35</v>
      </c>
    </row>
    <row r="27" spans="1:4" x14ac:dyDescent="0.25">
      <c r="A27" s="197"/>
    </row>
    <row r="28" spans="1:4" x14ac:dyDescent="0.25">
      <c r="A28" s="197"/>
      <c r="C28" s="240" t="s">
        <v>949</v>
      </c>
    </row>
    <row r="29" spans="1:4" x14ac:dyDescent="0.25">
      <c r="A29" s="197"/>
    </row>
    <row r="30" spans="1:4" x14ac:dyDescent="0.25">
      <c r="A30" s="197"/>
    </row>
    <row r="31" spans="1:4" x14ac:dyDescent="0.25">
      <c r="A31" s="197"/>
    </row>
    <row r="32" spans="1:4" x14ac:dyDescent="0.25">
      <c r="A32" s="197"/>
    </row>
    <row r="33" spans="1:1" x14ac:dyDescent="0.25">
      <c r="A33" s="197"/>
    </row>
    <row r="34" spans="1:1" x14ac:dyDescent="0.25">
      <c r="A34" s="197"/>
    </row>
    <row r="35" spans="1:1" x14ac:dyDescent="0.25">
      <c r="A35" s="197"/>
    </row>
    <row r="36" spans="1:1" x14ac:dyDescent="0.25">
      <c r="A36" s="197"/>
    </row>
    <row r="37" spans="1:1" x14ac:dyDescent="0.25">
      <c r="A37" s="197"/>
    </row>
    <row r="38" spans="1:1" x14ac:dyDescent="0.25">
      <c r="A38" s="197"/>
    </row>
    <row r="39" spans="1:1" x14ac:dyDescent="0.25">
      <c r="A39" s="197"/>
    </row>
    <row r="40" spans="1:1" x14ac:dyDescent="0.25">
      <c r="A40" s="197"/>
    </row>
    <row r="41" spans="1:1" x14ac:dyDescent="0.25">
      <c r="A41" s="197"/>
    </row>
    <row r="42" spans="1:1" x14ac:dyDescent="0.25">
      <c r="A42" s="197"/>
    </row>
    <row r="43" spans="1:1" x14ac:dyDescent="0.25">
      <c r="A43" s="197"/>
    </row>
    <row r="44" spans="1:1" x14ac:dyDescent="0.25">
      <c r="A44" s="197"/>
    </row>
    <row r="45" spans="1:1" x14ac:dyDescent="0.25">
      <c r="A45" s="197"/>
    </row>
    <row r="46" spans="1:1" x14ac:dyDescent="0.25">
      <c r="A46" s="197"/>
    </row>
    <row r="47" spans="1:1" x14ac:dyDescent="0.25">
      <c r="A47" s="197"/>
    </row>
    <row r="48" spans="1:1" x14ac:dyDescent="0.25">
      <c r="A48" s="197"/>
    </row>
    <row r="49" spans="1:1" x14ac:dyDescent="0.25">
      <c r="A49" s="197"/>
    </row>
    <row r="50" spans="1:1" x14ac:dyDescent="0.25">
      <c r="A50" s="197"/>
    </row>
    <row r="51" spans="1:1" x14ac:dyDescent="0.25">
      <c r="A51" s="197"/>
    </row>
    <row r="52" spans="1:1" x14ac:dyDescent="0.25">
      <c r="A52" s="197"/>
    </row>
    <row r="53" spans="1:1" x14ac:dyDescent="0.25">
      <c r="A53" s="197"/>
    </row>
    <row r="54" spans="1:1" x14ac:dyDescent="0.25">
      <c r="A54" s="197"/>
    </row>
    <row r="55" spans="1:1" x14ac:dyDescent="0.25">
      <c r="A55" s="197"/>
    </row>
    <row r="56" spans="1:1" x14ac:dyDescent="0.25">
      <c r="A56" s="197"/>
    </row>
    <row r="57" spans="1:1" x14ac:dyDescent="0.25">
      <c r="A57" s="197"/>
    </row>
    <row r="58" spans="1:1" x14ac:dyDescent="0.25">
      <c r="A58" s="197"/>
    </row>
    <row r="59" spans="1:1" x14ac:dyDescent="0.25">
      <c r="A59" s="197"/>
    </row>
    <row r="60" spans="1:1" x14ac:dyDescent="0.25">
      <c r="A60" s="197"/>
    </row>
    <row r="61" spans="1:1" x14ac:dyDescent="0.25">
      <c r="A61" s="197"/>
    </row>
    <row r="62" spans="1:1" x14ac:dyDescent="0.25">
      <c r="A62" s="26"/>
    </row>
    <row r="63" spans="1:1" x14ac:dyDescent="0.25">
      <c r="A63" s="26"/>
    </row>
  </sheetData>
  <mergeCells count="8">
    <mergeCell ref="A7:B7"/>
    <mergeCell ref="A8:B8"/>
    <mergeCell ref="A20:B20"/>
    <mergeCell ref="A21:B21"/>
    <mergeCell ref="C20:D20"/>
    <mergeCell ref="C21:D21"/>
    <mergeCell ref="C7:D7"/>
    <mergeCell ref="C8:D8"/>
  </mergeCells>
  <pageMargins left="0.70866141732283472" right="0.70866141732283472" top="0.74803149606299213" bottom="0.74803149606299213" header="0.31496062992125984" footer="0.31496062992125984"/>
  <pageSetup scale="90" orientation="landscape" horizontalDpi="0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CC00"/>
  </sheetPr>
  <dimension ref="A1:Y59"/>
  <sheetViews>
    <sheetView topLeftCell="A13" workbookViewId="0">
      <selection activeCell="C28" sqref="C28"/>
    </sheetView>
  </sheetViews>
  <sheetFormatPr baseColWidth="10" defaultRowHeight="15.75" x14ac:dyDescent="0.25"/>
  <cols>
    <col min="1" max="1" width="4" style="55" customWidth="1"/>
    <col min="2" max="2" width="11" style="58" customWidth="1"/>
    <col min="3" max="3" width="17.140625" style="3" customWidth="1"/>
    <col min="4" max="4" width="3.5703125" customWidth="1"/>
    <col min="6" max="6" width="3.5703125" customWidth="1"/>
    <col min="8" max="9" width="11.42578125" style="3"/>
    <col min="12" max="13" width="14.42578125" customWidth="1"/>
    <col min="15" max="15" width="4" style="55" customWidth="1"/>
    <col min="16" max="16" width="11" style="58" customWidth="1"/>
    <col min="17" max="17" width="17.140625" style="3" customWidth="1"/>
    <col min="18" max="18" width="3.5703125" customWidth="1"/>
    <col min="20" max="20" width="3.5703125" customWidth="1"/>
    <col min="22" max="23" width="11.42578125" style="3"/>
    <col min="25" max="25" width="11.42578125" style="57"/>
  </cols>
  <sheetData>
    <row r="1" spans="1:25" ht="18.75" x14ac:dyDescent="0.3">
      <c r="B1" s="98" t="s">
        <v>20</v>
      </c>
      <c r="K1" s="299" t="s">
        <v>171</v>
      </c>
      <c r="L1" s="299"/>
      <c r="M1" s="116"/>
      <c r="P1" s="98" t="s">
        <v>20</v>
      </c>
      <c r="X1" s="56" t="s">
        <v>21</v>
      </c>
      <c r="Y1" s="57">
        <v>70000</v>
      </c>
    </row>
    <row r="2" spans="1:25" x14ac:dyDescent="0.25">
      <c r="K2" s="105">
        <v>42712</v>
      </c>
      <c r="L2" s="57">
        <f>4500+2500</f>
        <v>7000</v>
      </c>
      <c r="M2" s="57" t="s">
        <v>312</v>
      </c>
      <c r="X2" s="20">
        <v>42712</v>
      </c>
      <c r="Y2" s="57">
        <f>4500+2500</f>
        <v>7000</v>
      </c>
    </row>
    <row r="3" spans="1:25" ht="32.25" thickBot="1" x14ac:dyDescent="0.3">
      <c r="A3" s="59"/>
      <c r="B3" s="60" t="s">
        <v>2</v>
      </c>
      <c r="C3" s="97" t="s">
        <v>22</v>
      </c>
      <c r="D3" s="61"/>
      <c r="E3" s="79" t="s">
        <v>99</v>
      </c>
      <c r="F3" s="61"/>
      <c r="G3" s="61"/>
      <c r="H3" s="97" t="s">
        <v>22</v>
      </c>
      <c r="I3" s="97" t="s">
        <v>23</v>
      </c>
      <c r="K3" s="105">
        <v>42714</v>
      </c>
      <c r="L3" s="57">
        <v>2500</v>
      </c>
      <c r="M3" s="57" t="s">
        <v>312</v>
      </c>
      <c r="O3" s="59"/>
      <c r="P3" s="60" t="s">
        <v>2</v>
      </c>
      <c r="Q3" s="54" t="s">
        <v>22</v>
      </c>
      <c r="R3" s="61"/>
      <c r="S3" s="79" t="s">
        <v>99</v>
      </c>
      <c r="T3" s="61"/>
      <c r="U3" s="61"/>
      <c r="V3" s="54" t="s">
        <v>22</v>
      </c>
      <c r="W3" s="54" t="s">
        <v>23</v>
      </c>
      <c r="X3" s="20">
        <v>42714</v>
      </c>
      <c r="Y3" s="57">
        <v>2500</v>
      </c>
    </row>
    <row r="4" spans="1:25" ht="17.25" thickTop="1" thickBot="1" x14ac:dyDescent="0.3">
      <c r="A4" s="55">
        <v>1</v>
      </c>
      <c r="B4" s="80">
        <v>42726</v>
      </c>
      <c r="C4" s="81">
        <v>3643</v>
      </c>
      <c r="D4" s="82"/>
      <c r="E4" s="80"/>
      <c r="F4" s="62">
        <v>41</v>
      </c>
      <c r="G4" s="58"/>
      <c r="I4" s="3">
        <f>C45+H4</f>
        <v>30404</v>
      </c>
      <c r="K4" s="106">
        <v>42719</v>
      </c>
      <c r="L4" s="64">
        <v>9000</v>
      </c>
      <c r="M4" s="126" t="s">
        <v>312</v>
      </c>
      <c r="O4" s="55">
        <v>1</v>
      </c>
      <c r="P4" s="58">
        <v>42375</v>
      </c>
      <c r="Q4" s="78">
        <v>12000</v>
      </c>
      <c r="R4" s="62"/>
      <c r="S4" s="58"/>
      <c r="T4" s="62">
        <v>41</v>
      </c>
      <c r="U4" s="58"/>
      <c r="W4" s="3">
        <f>Q45+V4</f>
        <v>70000</v>
      </c>
      <c r="X4" s="63">
        <v>42719</v>
      </c>
      <c r="Y4" s="64">
        <v>9000</v>
      </c>
    </row>
    <row r="5" spans="1:25" ht="16.5" thickTop="1" x14ac:dyDescent="0.25">
      <c r="A5" s="55">
        <v>2</v>
      </c>
      <c r="B5" s="108">
        <v>42790</v>
      </c>
      <c r="C5" s="13">
        <v>1500</v>
      </c>
      <c r="D5" s="109"/>
      <c r="E5" s="108"/>
      <c r="F5" s="62">
        <v>42</v>
      </c>
      <c r="G5" s="58"/>
      <c r="I5" s="3">
        <f>I4+H5</f>
        <v>30404</v>
      </c>
      <c r="K5" s="105"/>
      <c r="L5" s="57">
        <f>SUM(L1:L4)</f>
        <v>18500</v>
      </c>
      <c r="M5" s="57"/>
      <c r="O5" s="55">
        <v>2</v>
      </c>
      <c r="P5" s="58">
        <v>42390</v>
      </c>
      <c r="Q5" s="78">
        <v>1500</v>
      </c>
      <c r="R5" s="62"/>
      <c r="S5" s="58"/>
      <c r="T5" s="62">
        <v>42</v>
      </c>
      <c r="U5" s="58"/>
      <c r="W5" s="3">
        <f>W4+V5</f>
        <v>70000</v>
      </c>
      <c r="Y5" s="57">
        <f>SUM(Y1:Y4)</f>
        <v>88500</v>
      </c>
    </row>
    <row r="6" spans="1:25" ht="16.5" thickBot="1" x14ac:dyDescent="0.3">
      <c r="A6" s="55">
        <v>3</v>
      </c>
      <c r="B6" s="108">
        <v>42804</v>
      </c>
      <c r="C6" s="13">
        <v>1500</v>
      </c>
      <c r="D6" s="109"/>
      <c r="E6" s="108"/>
      <c r="F6" s="62">
        <v>43</v>
      </c>
      <c r="G6" s="58"/>
      <c r="I6" s="3">
        <f t="shared" ref="I6:I43" si="0">I5+H6</f>
        <v>30404</v>
      </c>
      <c r="K6" s="107">
        <v>42782</v>
      </c>
      <c r="L6" s="93">
        <v>35000</v>
      </c>
      <c r="M6" s="100" t="s">
        <v>311</v>
      </c>
      <c r="O6" s="55">
        <v>3</v>
      </c>
      <c r="P6" s="58">
        <v>42403</v>
      </c>
      <c r="Q6" s="78">
        <v>1500</v>
      </c>
      <c r="R6" s="62"/>
      <c r="S6" s="58"/>
      <c r="T6" s="62">
        <v>43</v>
      </c>
      <c r="U6" s="58"/>
      <c r="W6" s="3">
        <f t="shared" ref="W6:W43" si="1">W5+V6</f>
        <v>70000</v>
      </c>
      <c r="Y6" s="64">
        <v>-73643</v>
      </c>
    </row>
    <row r="7" spans="1:25" x14ac:dyDescent="0.25">
      <c r="A7" s="55">
        <v>4</v>
      </c>
      <c r="B7" s="108">
        <v>42804</v>
      </c>
      <c r="C7" s="13">
        <v>1500</v>
      </c>
      <c r="D7" s="109"/>
      <c r="E7" s="108"/>
      <c r="F7" s="62">
        <v>44</v>
      </c>
      <c r="G7" s="58"/>
      <c r="I7" s="3">
        <f t="shared" si="0"/>
        <v>30404</v>
      </c>
      <c r="K7" s="99"/>
      <c r="L7" s="100">
        <f>SUM(L5:L6)</f>
        <v>53500</v>
      </c>
      <c r="M7" s="100"/>
      <c r="O7" s="55">
        <v>4</v>
      </c>
      <c r="P7" s="58">
        <v>42404</v>
      </c>
      <c r="Q7" s="78">
        <v>1500</v>
      </c>
      <c r="R7" s="62"/>
      <c r="S7" s="58">
        <v>42389</v>
      </c>
      <c r="T7" s="62">
        <v>44</v>
      </c>
      <c r="U7" s="58"/>
      <c r="W7" s="3">
        <f t="shared" si="1"/>
        <v>70000</v>
      </c>
      <c r="X7" s="90"/>
      <c r="Y7" s="91">
        <f>Y6+Y5</f>
        <v>14857</v>
      </c>
    </row>
    <row r="8" spans="1:25" ht="16.5" thickBot="1" x14ac:dyDescent="0.3">
      <c r="A8" s="55">
        <v>5</v>
      </c>
      <c r="B8" s="108">
        <v>42825</v>
      </c>
      <c r="C8" s="13">
        <v>1500</v>
      </c>
      <c r="D8" s="109"/>
      <c r="E8" s="108"/>
      <c r="F8" s="62">
        <v>45</v>
      </c>
      <c r="G8" s="58"/>
      <c r="I8" s="3">
        <f t="shared" si="0"/>
        <v>30404</v>
      </c>
      <c r="K8" s="101"/>
      <c r="L8" s="102">
        <f>-I43</f>
        <v>-30404</v>
      </c>
      <c r="M8" s="100"/>
      <c r="O8" s="55">
        <v>5</v>
      </c>
      <c r="P8" s="58">
        <v>42415</v>
      </c>
      <c r="Q8" s="78">
        <v>1500</v>
      </c>
      <c r="R8" s="62"/>
      <c r="S8" s="58">
        <v>42411</v>
      </c>
      <c r="T8" s="62">
        <v>45</v>
      </c>
      <c r="U8" s="58"/>
      <c r="W8" s="3">
        <f t="shared" si="1"/>
        <v>70000</v>
      </c>
      <c r="X8" s="90"/>
      <c r="Y8" s="91">
        <v>0</v>
      </c>
    </row>
    <row r="9" spans="1:25" ht="20.25" thickTop="1" thickBot="1" x14ac:dyDescent="0.35">
      <c r="A9" s="55">
        <v>6</v>
      </c>
      <c r="B9" s="108">
        <v>42825</v>
      </c>
      <c r="C9" s="13">
        <v>300</v>
      </c>
      <c r="D9" s="144">
        <v>1</v>
      </c>
      <c r="E9" s="108"/>
      <c r="F9" s="62">
        <v>46</v>
      </c>
      <c r="G9" s="58"/>
      <c r="I9" s="3">
        <f t="shared" si="0"/>
        <v>30404</v>
      </c>
      <c r="K9" s="104" t="s">
        <v>302</v>
      </c>
      <c r="L9" s="103">
        <f>L7+L8</f>
        <v>23096</v>
      </c>
      <c r="M9" s="103"/>
      <c r="O9" s="55">
        <v>6</v>
      </c>
      <c r="P9" s="58">
        <v>42422</v>
      </c>
      <c r="Q9" s="78">
        <v>1500</v>
      </c>
      <c r="R9" s="62"/>
      <c r="S9" s="58">
        <v>42417</v>
      </c>
      <c r="T9" s="62">
        <v>46</v>
      </c>
      <c r="U9" s="58"/>
      <c r="W9" s="3">
        <f t="shared" si="1"/>
        <v>70000</v>
      </c>
      <c r="X9" s="92">
        <v>42782</v>
      </c>
      <c r="Y9" s="93">
        <v>35000</v>
      </c>
    </row>
    <row r="10" spans="1:25" ht="19.5" thickBot="1" x14ac:dyDescent="0.35">
      <c r="A10" s="55">
        <v>7</v>
      </c>
      <c r="B10" s="108">
        <v>42830</v>
      </c>
      <c r="C10" s="13">
        <v>1500</v>
      </c>
      <c r="D10" s="143"/>
      <c r="E10" s="108"/>
      <c r="F10" s="62">
        <v>47</v>
      </c>
      <c r="G10" s="58"/>
      <c r="I10" s="3">
        <f t="shared" si="0"/>
        <v>30404</v>
      </c>
      <c r="K10" s="128">
        <v>42811</v>
      </c>
      <c r="L10" s="102">
        <v>3000</v>
      </c>
      <c r="M10" s="127" t="s">
        <v>303</v>
      </c>
      <c r="O10" s="55">
        <v>7</v>
      </c>
      <c r="P10" s="58">
        <v>42425</v>
      </c>
      <c r="Q10" s="78">
        <v>1500</v>
      </c>
      <c r="R10" s="62"/>
      <c r="S10" s="58">
        <v>42425</v>
      </c>
      <c r="T10" s="62">
        <v>47</v>
      </c>
      <c r="U10" s="58"/>
      <c r="W10" s="3">
        <f t="shared" si="1"/>
        <v>70000</v>
      </c>
      <c r="Y10" s="57">
        <f>Y7+Y9</f>
        <v>49857</v>
      </c>
    </row>
    <row r="11" spans="1:25" ht="19.5" thickTop="1" x14ac:dyDescent="0.3">
      <c r="A11" s="55">
        <v>8</v>
      </c>
      <c r="B11" s="108">
        <v>42830</v>
      </c>
      <c r="C11" s="13">
        <v>300</v>
      </c>
      <c r="D11" s="144">
        <v>2</v>
      </c>
      <c r="E11" s="108"/>
      <c r="F11" s="62">
        <v>48</v>
      </c>
      <c r="G11" s="58"/>
      <c r="I11" s="3">
        <f t="shared" si="0"/>
        <v>30404</v>
      </c>
      <c r="K11" s="129" t="s">
        <v>23</v>
      </c>
      <c r="L11" s="130">
        <f>L9+L10</f>
        <v>26096</v>
      </c>
      <c r="M11" s="57"/>
      <c r="O11" s="55">
        <v>8</v>
      </c>
      <c r="P11" s="58">
        <v>42433</v>
      </c>
      <c r="Q11" s="78">
        <v>1500</v>
      </c>
      <c r="R11" s="62"/>
      <c r="S11" s="58">
        <v>42432</v>
      </c>
      <c r="T11" s="62">
        <v>48</v>
      </c>
      <c r="U11" s="58"/>
      <c r="W11" s="3">
        <f t="shared" si="1"/>
        <v>70000</v>
      </c>
    </row>
    <row r="12" spans="1:25" ht="18.75" x14ac:dyDescent="0.3">
      <c r="A12" s="55">
        <v>9</v>
      </c>
      <c r="B12" s="108">
        <v>42846</v>
      </c>
      <c r="C12" s="13">
        <v>1800</v>
      </c>
      <c r="D12" s="144">
        <v>3</v>
      </c>
      <c r="E12" s="108"/>
      <c r="F12" s="62">
        <v>49</v>
      </c>
      <c r="G12" s="58"/>
      <c r="I12" s="3">
        <f t="shared" si="0"/>
        <v>30404</v>
      </c>
      <c r="O12" s="55">
        <v>9</v>
      </c>
      <c r="P12" s="58">
        <v>42446</v>
      </c>
      <c r="Q12" s="78">
        <v>1500</v>
      </c>
      <c r="R12" s="62"/>
      <c r="S12" s="58">
        <v>42446</v>
      </c>
      <c r="T12" s="62">
        <v>49</v>
      </c>
      <c r="U12" s="58"/>
      <c r="W12" s="3">
        <f t="shared" si="1"/>
        <v>70000</v>
      </c>
    </row>
    <row r="13" spans="1:25" ht="18.75" x14ac:dyDescent="0.3">
      <c r="A13" s="55">
        <v>10</v>
      </c>
      <c r="B13" s="108">
        <v>42853</v>
      </c>
      <c r="C13" s="13">
        <v>1800</v>
      </c>
      <c r="D13" s="144">
        <v>4</v>
      </c>
      <c r="E13" s="108"/>
      <c r="F13" s="62">
        <v>50</v>
      </c>
      <c r="G13" s="58"/>
      <c r="I13" s="3">
        <f t="shared" si="0"/>
        <v>30404</v>
      </c>
      <c r="O13" s="55">
        <v>10</v>
      </c>
      <c r="P13" s="58">
        <v>42451</v>
      </c>
      <c r="Q13" s="78">
        <v>1500</v>
      </c>
      <c r="R13" s="62"/>
      <c r="S13" s="58">
        <v>42453</v>
      </c>
      <c r="T13" s="62">
        <v>50</v>
      </c>
      <c r="U13" s="58"/>
      <c r="W13" s="3">
        <f t="shared" si="1"/>
        <v>70000</v>
      </c>
    </row>
    <row r="14" spans="1:25" ht="18.75" x14ac:dyDescent="0.3">
      <c r="A14" s="55">
        <v>11</v>
      </c>
      <c r="B14" s="108">
        <v>42860</v>
      </c>
      <c r="C14" s="13">
        <v>1800</v>
      </c>
      <c r="D14" s="144">
        <v>5</v>
      </c>
      <c r="E14" s="108"/>
      <c r="F14" s="62">
        <v>51</v>
      </c>
      <c r="G14" s="58"/>
      <c r="I14" s="3">
        <f t="shared" si="0"/>
        <v>30404</v>
      </c>
      <c r="O14" s="55">
        <v>11</v>
      </c>
      <c r="P14" s="58">
        <v>42459</v>
      </c>
      <c r="Q14" s="78">
        <v>1500</v>
      </c>
      <c r="R14" s="62"/>
      <c r="S14" s="58">
        <v>42459</v>
      </c>
      <c r="T14" s="62">
        <v>51</v>
      </c>
      <c r="U14" s="58"/>
      <c r="W14" s="3">
        <f t="shared" si="1"/>
        <v>70000</v>
      </c>
    </row>
    <row r="15" spans="1:25" ht="18.75" x14ac:dyDescent="0.3">
      <c r="A15" s="55">
        <v>12</v>
      </c>
      <c r="B15" s="108">
        <v>42867</v>
      </c>
      <c r="C15" s="13">
        <v>761</v>
      </c>
      <c r="D15" s="143"/>
      <c r="E15" s="108"/>
      <c r="F15" s="62">
        <v>52</v>
      </c>
      <c r="G15" s="58"/>
      <c r="I15" s="3">
        <f t="shared" si="0"/>
        <v>30404</v>
      </c>
      <c r="O15" s="55">
        <v>12</v>
      </c>
      <c r="P15" s="58">
        <v>42460</v>
      </c>
      <c r="Q15" s="13">
        <v>1500</v>
      </c>
      <c r="R15" s="62"/>
      <c r="S15" s="58"/>
      <c r="T15" s="62">
        <v>52</v>
      </c>
      <c r="U15" s="58"/>
      <c r="W15" s="3">
        <f t="shared" si="1"/>
        <v>70000</v>
      </c>
    </row>
    <row r="16" spans="1:25" ht="18.75" x14ac:dyDescent="0.3">
      <c r="A16" s="55">
        <v>13</v>
      </c>
      <c r="B16" s="108">
        <v>42874</v>
      </c>
      <c r="C16" s="13">
        <v>1800</v>
      </c>
      <c r="D16" s="144">
        <v>6</v>
      </c>
      <c r="E16" s="108"/>
      <c r="F16" s="62">
        <v>53</v>
      </c>
      <c r="G16" s="58"/>
      <c r="I16" s="3">
        <f t="shared" si="0"/>
        <v>30404</v>
      </c>
      <c r="O16" s="55">
        <v>13</v>
      </c>
      <c r="P16" s="58">
        <v>42475</v>
      </c>
      <c r="Q16" s="78">
        <v>1500</v>
      </c>
      <c r="R16" s="62"/>
      <c r="S16" s="58">
        <v>42465</v>
      </c>
      <c r="T16" s="62">
        <v>53</v>
      </c>
      <c r="U16" s="58"/>
      <c r="W16" s="3">
        <f t="shared" si="1"/>
        <v>70000</v>
      </c>
    </row>
    <row r="17" spans="1:23" ht="18.75" x14ac:dyDescent="0.3">
      <c r="A17" s="55">
        <v>14</v>
      </c>
      <c r="B17" s="108">
        <v>42820</v>
      </c>
      <c r="C17" s="13">
        <v>300</v>
      </c>
      <c r="D17" s="144">
        <v>7</v>
      </c>
      <c r="E17" s="108"/>
      <c r="F17" s="62">
        <v>54</v>
      </c>
      <c r="G17" s="58"/>
      <c r="I17" s="3">
        <f t="shared" si="0"/>
        <v>30404</v>
      </c>
      <c r="O17" s="55">
        <v>14</v>
      </c>
      <c r="P17" s="58">
        <v>42475</v>
      </c>
      <c r="Q17" s="78">
        <v>1500</v>
      </c>
      <c r="R17" s="62"/>
      <c r="S17" s="58">
        <v>42474</v>
      </c>
      <c r="T17" s="62">
        <v>54</v>
      </c>
      <c r="U17" s="58"/>
      <c r="W17" s="3">
        <f t="shared" si="1"/>
        <v>70000</v>
      </c>
    </row>
    <row r="18" spans="1:23" ht="18.75" x14ac:dyDescent="0.3">
      <c r="A18" s="55">
        <v>15</v>
      </c>
      <c r="B18" s="108">
        <v>42889</v>
      </c>
      <c r="C18" s="13">
        <v>300</v>
      </c>
      <c r="D18" s="144">
        <v>8</v>
      </c>
      <c r="E18" s="108"/>
      <c r="F18" s="62">
        <v>55</v>
      </c>
      <c r="G18" s="58"/>
      <c r="I18" s="3">
        <f t="shared" si="0"/>
        <v>30404</v>
      </c>
      <c r="O18" s="55">
        <v>15</v>
      </c>
      <c r="P18" s="58">
        <v>42483</v>
      </c>
      <c r="Q18" s="78">
        <v>1500</v>
      </c>
      <c r="R18" s="62"/>
      <c r="S18" s="58">
        <v>42480</v>
      </c>
      <c r="T18" s="62">
        <v>55</v>
      </c>
      <c r="U18" s="58"/>
      <c r="W18" s="3">
        <f t="shared" si="1"/>
        <v>70000</v>
      </c>
    </row>
    <row r="19" spans="1:23" ht="18.75" x14ac:dyDescent="0.3">
      <c r="A19" s="55">
        <v>16</v>
      </c>
      <c r="B19" s="108">
        <v>42893</v>
      </c>
      <c r="C19" s="13">
        <v>300</v>
      </c>
      <c r="D19" s="144">
        <v>9</v>
      </c>
      <c r="E19" s="108"/>
      <c r="F19" s="62">
        <v>56</v>
      </c>
      <c r="G19" s="58"/>
      <c r="I19" s="3">
        <f t="shared" si="0"/>
        <v>30404</v>
      </c>
      <c r="O19" s="55">
        <v>16</v>
      </c>
      <c r="P19" s="58">
        <v>42495</v>
      </c>
      <c r="Q19" s="78">
        <v>1500</v>
      </c>
      <c r="R19" s="62"/>
      <c r="S19" s="58">
        <v>42494</v>
      </c>
      <c r="T19" s="62">
        <v>56</v>
      </c>
      <c r="U19" s="58"/>
      <c r="W19" s="3">
        <f t="shared" si="1"/>
        <v>70000</v>
      </c>
    </row>
    <row r="20" spans="1:23" x14ac:dyDescent="0.25">
      <c r="A20" s="55">
        <v>17</v>
      </c>
      <c r="B20" s="108">
        <v>42895</v>
      </c>
      <c r="C20" s="13">
        <v>300</v>
      </c>
      <c r="D20" s="159">
        <v>10</v>
      </c>
      <c r="E20" s="108"/>
      <c r="F20" s="62">
        <v>57</v>
      </c>
      <c r="G20" s="58"/>
      <c r="I20" s="3">
        <f t="shared" si="0"/>
        <v>30404</v>
      </c>
      <c r="O20" s="55">
        <v>17</v>
      </c>
      <c r="P20" s="58">
        <v>42495</v>
      </c>
      <c r="Q20" s="78">
        <v>1500</v>
      </c>
      <c r="R20" s="62"/>
      <c r="S20" s="58">
        <v>42494</v>
      </c>
      <c r="T20" s="62">
        <v>57</v>
      </c>
      <c r="U20" s="58"/>
      <c r="W20" s="3">
        <f t="shared" si="1"/>
        <v>70000</v>
      </c>
    </row>
    <row r="21" spans="1:23" ht="18.75" x14ac:dyDescent="0.3">
      <c r="A21" s="55">
        <v>18</v>
      </c>
      <c r="B21" s="108">
        <v>42923</v>
      </c>
      <c r="C21" s="13">
        <v>500</v>
      </c>
      <c r="D21" s="143"/>
      <c r="E21" s="108"/>
      <c r="F21" s="62">
        <v>58</v>
      </c>
      <c r="G21" s="58"/>
      <c r="I21" s="3">
        <f t="shared" si="0"/>
        <v>30404</v>
      </c>
      <c r="O21" s="55">
        <v>18</v>
      </c>
      <c r="P21" s="58">
        <v>42503</v>
      </c>
      <c r="Q21" s="78">
        <v>1500</v>
      </c>
      <c r="R21" s="62"/>
      <c r="S21" s="58">
        <v>42501</v>
      </c>
      <c r="T21" s="62">
        <v>58</v>
      </c>
      <c r="U21" s="58"/>
      <c r="W21" s="3">
        <f t="shared" si="1"/>
        <v>70000</v>
      </c>
    </row>
    <row r="22" spans="1:23" ht="18.75" x14ac:dyDescent="0.3">
      <c r="A22" s="55">
        <v>19</v>
      </c>
      <c r="B22" s="108">
        <v>42951</v>
      </c>
      <c r="C22" s="13">
        <v>1500</v>
      </c>
      <c r="D22" s="143"/>
      <c r="E22" s="108"/>
      <c r="F22" s="62">
        <v>59</v>
      </c>
      <c r="G22" s="58"/>
      <c r="I22" s="3">
        <f t="shared" si="0"/>
        <v>30404</v>
      </c>
      <c r="O22" s="55">
        <v>19</v>
      </c>
      <c r="P22" s="58">
        <v>42517</v>
      </c>
      <c r="Q22" s="78">
        <v>1500</v>
      </c>
      <c r="R22" s="62"/>
      <c r="S22" s="58">
        <v>42515</v>
      </c>
      <c r="T22" s="62">
        <v>59</v>
      </c>
      <c r="U22" s="58"/>
      <c r="W22" s="3">
        <f t="shared" si="1"/>
        <v>70000</v>
      </c>
    </row>
    <row r="23" spans="1:23" ht="18.75" x14ac:dyDescent="0.3">
      <c r="A23" s="55">
        <v>20</v>
      </c>
      <c r="B23" s="108">
        <v>42959</v>
      </c>
      <c r="C23" s="13">
        <v>1500</v>
      </c>
      <c r="D23" s="143"/>
      <c r="E23" s="108"/>
      <c r="F23" s="62">
        <v>60</v>
      </c>
      <c r="G23" s="58"/>
      <c r="I23" s="3">
        <f t="shared" si="0"/>
        <v>30404</v>
      </c>
      <c r="O23" s="55">
        <v>20</v>
      </c>
      <c r="P23" s="58">
        <v>42530</v>
      </c>
      <c r="Q23" s="78">
        <v>1500</v>
      </c>
      <c r="R23" s="62"/>
      <c r="S23" s="58">
        <v>42528</v>
      </c>
      <c r="T23" s="62">
        <v>60</v>
      </c>
      <c r="U23" s="58"/>
      <c r="W23" s="3">
        <f t="shared" si="1"/>
        <v>70000</v>
      </c>
    </row>
    <row r="24" spans="1:23" ht="18.75" x14ac:dyDescent="0.3">
      <c r="A24" s="55">
        <v>21</v>
      </c>
      <c r="B24" s="108">
        <v>42965</v>
      </c>
      <c r="C24" s="13">
        <v>1500</v>
      </c>
      <c r="D24" s="143"/>
      <c r="E24" s="108"/>
      <c r="F24" s="62"/>
      <c r="G24" s="58"/>
      <c r="I24" s="3">
        <f t="shared" si="0"/>
        <v>30404</v>
      </c>
      <c r="O24" s="55">
        <v>21</v>
      </c>
      <c r="P24" s="58">
        <v>42545</v>
      </c>
      <c r="Q24" s="78">
        <v>1500</v>
      </c>
      <c r="R24" s="62"/>
      <c r="S24" s="58">
        <v>42544</v>
      </c>
      <c r="T24" s="62"/>
      <c r="U24" s="58"/>
      <c r="W24" s="3">
        <f t="shared" si="1"/>
        <v>70000</v>
      </c>
    </row>
    <row r="25" spans="1:23" x14ac:dyDescent="0.25">
      <c r="A25" s="55">
        <v>22</v>
      </c>
      <c r="B25" s="108">
        <v>42973</v>
      </c>
      <c r="C25" s="13">
        <v>1500</v>
      </c>
      <c r="D25" s="109" t="s">
        <v>9</v>
      </c>
      <c r="E25" s="108"/>
      <c r="F25" s="62"/>
      <c r="G25" s="58"/>
      <c r="I25" s="3">
        <f t="shared" si="0"/>
        <v>30404</v>
      </c>
      <c r="O25" s="55">
        <v>22</v>
      </c>
      <c r="P25" s="58">
        <v>42579</v>
      </c>
      <c r="Q25" s="78">
        <v>1500</v>
      </c>
      <c r="R25" s="62"/>
      <c r="S25" s="58">
        <v>42557</v>
      </c>
      <c r="T25" s="62"/>
      <c r="U25" s="58"/>
      <c r="W25" s="3">
        <f t="shared" si="1"/>
        <v>70000</v>
      </c>
    </row>
    <row r="26" spans="1:23" x14ac:dyDescent="0.25">
      <c r="A26" s="55">
        <v>24</v>
      </c>
      <c r="B26" s="108">
        <v>42989</v>
      </c>
      <c r="C26" s="13">
        <v>1500</v>
      </c>
      <c r="D26" s="109"/>
      <c r="E26" s="108"/>
      <c r="F26" s="62"/>
      <c r="G26" s="58"/>
      <c r="I26" s="3">
        <f t="shared" si="0"/>
        <v>30404</v>
      </c>
      <c r="O26" s="55">
        <v>24</v>
      </c>
      <c r="Q26" s="78">
        <v>1500</v>
      </c>
      <c r="R26" s="62"/>
      <c r="S26" s="58">
        <v>42579</v>
      </c>
      <c r="T26" s="62"/>
      <c r="U26" s="58"/>
      <c r="W26" s="3">
        <f t="shared" si="1"/>
        <v>70000</v>
      </c>
    </row>
    <row r="27" spans="1:23" x14ac:dyDescent="0.25">
      <c r="A27" s="55">
        <v>25</v>
      </c>
      <c r="B27" s="108">
        <v>42999</v>
      </c>
      <c r="C27" s="13">
        <v>1500</v>
      </c>
      <c r="D27" s="109"/>
      <c r="E27" s="108"/>
      <c r="F27" s="62"/>
      <c r="G27" s="58"/>
      <c r="I27" s="3">
        <f t="shared" si="0"/>
        <v>30404</v>
      </c>
      <c r="O27" s="55">
        <v>25</v>
      </c>
      <c r="P27" s="58">
        <v>42588</v>
      </c>
      <c r="Q27" s="78">
        <v>1500</v>
      </c>
      <c r="R27" s="62"/>
      <c r="S27" s="58">
        <v>42587</v>
      </c>
      <c r="T27" s="62"/>
      <c r="U27" s="58"/>
      <c r="W27" s="3">
        <f t="shared" si="1"/>
        <v>70000</v>
      </c>
    </row>
    <row r="28" spans="1:23" x14ac:dyDescent="0.25">
      <c r="A28" s="55">
        <v>26</v>
      </c>
      <c r="B28" s="108"/>
      <c r="C28" s="13"/>
      <c r="D28" s="109"/>
      <c r="E28" s="108"/>
      <c r="F28" s="62"/>
      <c r="G28" s="58"/>
      <c r="I28" s="3">
        <f t="shared" si="0"/>
        <v>30404</v>
      </c>
      <c r="O28" s="55">
        <v>26</v>
      </c>
      <c r="P28" s="58">
        <v>42608</v>
      </c>
      <c r="Q28" s="78">
        <v>1500</v>
      </c>
      <c r="R28" s="62"/>
      <c r="S28" s="58" t="s">
        <v>100</v>
      </c>
      <c r="T28" s="62"/>
      <c r="U28" s="58"/>
      <c r="W28" s="3">
        <f t="shared" si="1"/>
        <v>70000</v>
      </c>
    </row>
    <row r="29" spans="1:23" x14ac:dyDescent="0.25">
      <c r="A29" s="55">
        <v>27</v>
      </c>
      <c r="B29" s="108"/>
      <c r="C29" s="13"/>
      <c r="D29" s="109"/>
      <c r="E29" s="108"/>
      <c r="F29" s="62"/>
      <c r="G29" s="58"/>
      <c r="I29" s="3">
        <f t="shared" si="0"/>
        <v>30404</v>
      </c>
      <c r="O29" s="55">
        <v>27</v>
      </c>
      <c r="P29" s="58">
        <v>42618</v>
      </c>
      <c r="Q29" s="13">
        <v>1500</v>
      </c>
      <c r="R29" s="62"/>
      <c r="S29" s="58">
        <v>42614</v>
      </c>
      <c r="T29" s="62"/>
      <c r="U29" s="58"/>
      <c r="W29" s="3">
        <f t="shared" si="1"/>
        <v>70000</v>
      </c>
    </row>
    <row r="30" spans="1:23" x14ac:dyDescent="0.25">
      <c r="A30" s="55">
        <v>28</v>
      </c>
      <c r="B30" s="108"/>
      <c r="C30" s="13"/>
      <c r="D30" s="109"/>
      <c r="E30" s="108"/>
      <c r="F30" s="62"/>
      <c r="G30" s="58"/>
      <c r="I30" s="3">
        <f t="shared" si="0"/>
        <v>30404</v>
      </c>
      <c r="O30" s="55">
        <v>28</v>
      </c>
      <c r="P30" s="58">
        <v>42622</v>
      </c>
      <c r="Q30" s="13">
        <v>1500</v>
      </c>
      <c r="R30" s="62"/>
      <c r="S30" s="58">
        <v>42629</v>
      </c>
      <c r="T30" s="62"/>
      <c r="U30" s="58"/>
      <c r="W30" s="3">
        <f t="shared" si="1"/>
        <v>70000</v>
      </c>
    </row>
    <row r="31" spans="1:23" x14ac:dyDescent="0.25">
      <c r="A31" s="55">
        <v>29</v>
      </c>
      <c r="B31" s="108"/>
      <c r="C31" s="13"/>
      <c r="D31" s="109"/>
      <c r="E31" s="108"/>
      <c r="F31" s="62"/>
      <c r="G31" s="58"/>
      <c r="I31" s="3">
        <f t="shared" si="0"/>
        <v>30404</v>
      </c>
      <c r="O31" s="55">
        <v>29</v>
      </c>
      <c r="P31" s="58">
        <v>42634</v>
      </c>
      <c r="Q31" s="13">
        <v>1000</v>
      </c>
      <c r="R31" s="62"/>
      <c r="S31" s="58">
        <v>42621</v>
      </c>
      <c r="T31" s="62"/>
      <c r="U31" s="58"/>
      <c r="W31" s="3">
        <f t="shared" si="1"/>
        <v>70000</v>
      </c>
    </row>
    <row r="32" spans="1:23" x14ac:dyDescent="0.25">
      <c r="A32" s="55">
        <v>30</v>
      </c>
      <c r="B32" s="108"/>
      <c r="C32" s="13"/>
      <c r="D32" s="109"/>
      <c r="E32" s="108"/>
      <c r="F32" s="62"/>
      <c r="G32" s="58"/>
      <c r="I32" s="3">
        <f t="shared" si="0"/>
        <v>30404</v>
      </c>
      <c r="O32" s="55">
        <v>30</v>
      </c>
      <c r="P32" s="58">
        <v>42647</v>
      </c>
      <c r="Q32" s="13">
        <v>1500</v>
      </c>
      <c r="R32" s="62"/>
      <c r="S32" s="58">
        <v>42646</v>
      </c>
      <c r="T32" s="62"/>
      <c r="U32" s="58"/>
      <c r="W32" s="3">
        <f t="shared" si="1"/>
        <v>70000</v>
      </c>
    </row>
    <row r="33" spans="1:23" x14ac:dyDescent="0.25">
      <c r="A33" s="55">
        <v>31</v>
      </c>
      <c r="B33" s="108"/>
      <c r="C33" s="13"/>
      <c r="D33" s="109"/>
      <c r="E33" s="108"/>
      <c r="F33" s="62"/>
      <c r="G33" s="58"/>
      <c r="I33" s="3">
        <f t="shared" si="0"/>
        <v>30404</v>
      </c>
      <c r="O33" s="55">
        <v>31</v>
      </c>
      <c r="P33" s="58">
        <v>42657</v>
      </c>
      <c r="Q33" s="13">
        <v>1500</v>
      </c>
      <c r="R33" s="62"/>
      <c r="S33" s="58">
        <v>42650</v>
      </c>
      <c r="T33" s="62"/>
      <c r="U33" s="58"/>
      <c r="W33" s="3">
        <f t="shared" si="1"/>
        <v>70000</v>
      </c>
    </row>
    <row r="34" spans="1:23" x14ac:dyDescent="0.25">
      <c r="A34" s="55">
        <v>32</v>
      </c>
      <c r="B34" s="108"/>
      <c r="C34" s="13"/>
      <c r="D34" s="109"/>
      <c r="E34" s="108"/>
      <c r="F34" s="62"/>
      <c r="G34" s="58"/>
      <c r="I34" s="3">
        <f t="shared" si="0"/>
        <v>30404</v>
      </c>
      <c r="O34" s="55">
        <v>32</v>
      </c>
      <c r="P34" s="58">
        <v>42657</v>
      </c>
      <c r="Q34" s="13">
        <v>1500</v>
      </c>
      <c r="R34" s="62"/>
      <c r="S34" s="58">
        <v>42656</v>
      </c>
      <c r="T34" s="62"/>
      <c r="U34" s="58"/>
      <c r="W34" s="3">
        <f t="shared" si="1"/>
        <v>70000</v>
      </c>
    </row>
    <row r="35" spans="1:23" x14ac:dyDescent="0.25">
      <c r="A35" s="55">
        <v>33</v>
      </c>
      <c r="B35" s="108"/>
      <c r="C35" s="13"/>
      <c r="D35" s="109"/>
      <c r="E35" s="108"/>
      <c r="F35" s="62"/>
      <c r="G35" s="58"/>
      <c r="I35" s="3">
        <f t="shared" si="0"/>
        <v>30404</v>
      </c>
      <c r="O35" s="55">
        <v>33</v>
      </c>
      <c r="P35" s="58">
        <v>42664</v>
      </c>
      <c r="Q35" s="13">
        <v>1500</v>
      </c>
      <c r="R35" s="62"/>
      <c r="S35" s="58">
        <v>42663</v>
      </c>
      <c r="T35" s="62"/>
      <c r="U35" s="58"/>
      <c r="W35" s="3">
        <f t="shared" si="1"/>
        <v>70000</v>
      </c>
    </row>
    <row r="36" spans="1:23" x14ac:dyDescent="0.25">
      <c r="A36" s="55">
        <v>34</v>
      </c>
      <c r="B36" s="108"/>
      <c r="C36" s="13"/>
      <c r="D36" s="109"/>
      <c r="E36" s="108"/>
      <c r="F36" s="62"/>
      <c r="G36" s="58"/>
      <c r="I36" s="3">
        <f t="shared" si="0"/>
        <v>30404</v>
      </c>
      <c r="O36" s="55">
        <v>34</v>
      </c>
      <c r="P36" s="58">
        <v>42672</v>
      </c>
      <c r="Q36" s="13">
        <v>1500</v>
      </c>
      <c r="R36" s="62"/>
      <c r="S36" s="58">
        <v>42670</v>
      </c>
      <c r="T36" s="62"/>
      <c r="U36" s="58"/>
      <c r="W36" s="3">
        <f t="shared" si="1"/>
        <v>70000</v>
      </c>
    </row>
    <row r="37" spans="1:23" x14ac:dyDescent="0.25">
      <c r="A37" s="55">
        <v>35</v>
      </c>
      <c r="B37" s="108"/>
      <c r="C37" s="13"/>
      <c r="D37" s="109"/>
      <c r="E37" s="108"/>
      <c r="F37" s="62"/>
      <c r="G37" s="58"/>
      <c r="I37" s="3">
        <f t="shared" si="0"/>
        <v>30404</v>
      </c>
      <c r="O37" s="55">
        <v>35</v>
      </c>
      <c r="P37" s="58">
        <v>42678</v>
      </c>
      <c r="Q37" s="13">
        <v>1500</v>
      </c>
      <c r="R37" s="62"/>
      <c r="S37" s="58">
        <v>42678</v>
      </c>
      <c r="T37" s="62"/>
      <c r="U37" s="58"/>
      <c r="W37" s="3">
        <f t="shared" si="1"/>
        <v>70000</v>
      </c>
    </row>
    <row r="38" spans="1:23" x14ac:dyDescent="0.25">
      <c r="A38" s="55">
        <v>36</v>
      </c>
      <c r="B38" s="108"/>
      <c r="C38" s="13"/>
      <c r="D38" s="109"/>
      <c r="E38" s="108"/>
      <c r="F38" s="62"/>
      <c r="G38" s="58"/>
      <c r="I38" s="3">
        <f t="shared" si="0"/>
        <v>30404</v>
      </c>
      <c r="O38" s="55">
        <v>36</v>
      </c>
      <c r="P38" s="58">
        <v>42686</v>
      </c>
      <c r="Q38" s="13">
        <v>1500</v>
      </c>
      <c r="R38" s="62"/>
      <c r="S38" s="58">
        <v>42684</v>
      </c>
      <c r="T38" s="62"/>
      <c r="U38" s="58"/>
      <c r="W38" s="3">
        <f t="shared" si="1"/>
        <v>70000</v>
      </c>
    </row>
    <row r="39" spans="1:23" x14ac:dyDescent="0.25">
      <c r="A39" s="55">
        <v>37</v>
      </c>
      <c r="B39" s="108"/>
      <c r="C39" s="13"/>
      <c r="D39" s="109"/>
      <c r="E39" s="108"/>
      <c r="F39" s="62"/>
      <c r="G39" s="58"/>
      <c r="I39" s="3">
        <f t="shared" si="0"/>
        <v>30404</v>
      </c>
      <c r="O39" s="55">
        <v>37</v>
      </c>
      <c r="P39" s="58">
        <v>42718</v>
      </c>
      <c r="Q39" s="13">
        <v>3000</v>
      </c>
      <c r="R39" s="62"/>
      <c r="S39" s="58" t="s">
        <v>101</v>
      </c>
      <c r="T39" s="62"/>
      <c r="U39" s="58"/>
      <c r="W39" s="3">
        <f t="shared" si="1"/>
        <v>70000</v>
      </c>
    </row>
    <row r="40" spans="1:23" x14ac:dyDescent="0.25">
      <c r="A40" s="55">
        <v>38</v>
      </c>
      <c r="B40" s="108"/>
      <c r="C40" s="13"/>
      <c r="D40" s="109"/>
      <c r="E40" s="108"/>
      <c r="F40" s="62"/>
      <c r="G40" s="58"/>
      <c r="I40" s="3">
        <f t="shared" si="0"/>
        <v>30404</v>
      </c>
      <c r="O40" s="55">
        <v>38</v>
      </c>
      <c r="P40" s="58">
        <v>42726</v>
      </c>
      <c r="Q40" s="13">
        <v>1500</v>
      </c>
      <c r="R40" s="62"/>
      <c r="S40" s="58">
        <v>42720</v>
      </c>
      <c r="T40" s="62"/>
      <c r="U40" s="58"/>
      <c r="W40" s="3">
        <f t="shared" si="1"/>
        <v>70000</v>
      </c>
    </row>
    <row r="41" spans="1:23" x14ac:dyDescent="0.25">
      <c r="A41" s="55">
        <v>39</v>
      </c>
      <c r="B41" s="108"/>
      <c r="C41" s="13"/>
      <c r="D41" s="109"/>
      <c r="E41" s="108"/>
      <c r="F41" s="62"/>
      <c r="G41" s="58"/>
      <c r="I41" s="3">
        <f t="shared" si="0"/>
        <v>30404</v>
      </c>
      <c r="O41" s="55">
        <v>39</v>
      </c>
      <c r="P41" s="80">
        <v>42726</v>
      </c>
      <c r="Q41" s="81">
        <v>0</v>
      </c>
      <c r="R41" s="82"/>
      <c r="S41" s="80"/>
      <c r="T41" s="62"/>
      <c r="U41" s="58"/>
      <c r="W41" s="3">
        <f t="shared" si="1"/>
        <v>70000</v>
      </c>
    </row>
    <row r="42" spans="1:23" x14ac:dyDescent="0.25">
      <c r="A42" s="55">
        <v>40</v>
      </c>
      <c r="B42" s="110"/>
      <c r="C42" s="13"/>
      <c r="D42" s="41"/>
      <c r="E42" s="110"/>
      <c r="F42" s="62"/>
      <c r="G42" s="58"/>
      <c r="I42" s="3">
        <f t="shared" si="0"/>
        <v>30404</v>
      </c>
      <c r="O42" s="55">
        <v>40</v>
      </c>
      <c r="P42" s="58">
        <v>42732</v>
      </c>
      <c r="Q42" s="13">
        <v>1500</v>
      </c>
      <c r="R42" s="62"/>
      <c r="S42" s="58">
        <v>42727</v>
      </c>
      <c r="T42" s="62"/>
      <c r="U42" s="58"/>
      <c r="W42" s="3">
        <f t="shared" si="1"/>
        <v>70000</v>
      </c>
    </row>
    <row r="43" spans="1:23" x14ac:dyDescent="0.25">
      <c r="A43" s="55">
        <v>39</v>
      </c>
      <c r="B43" s="110"/>
      <c r="D43" s="41"/>
      <c r="E43" s="110"/>
      <c r="F43" s="62"/>
      <c r="I43" s="48">
        <f t="shared" si="0"/>
        <v>30404</v>
      </c>
      <c r="O43" s="55">
        <v>39</v>
      </c>
      <c r="P43" s="58">
        <v>42744</v>
      </c>
      <c r="Q43" s="3">
        <v>1500</v>
      </c>
      <c r="R43" s="62"/>
      <c r="S43" s="58">
        <v>42740</v>
      </c>
      <c r="T43" s="62"/>
      <c r="W43" s="3">
        <f t="shared" si="1"/>
        <v>70000</v>
      </c>
    </row>
    <row r="44" spans="1:23" x14ac:dyDescent="0.25">
      <c r="A44" s="55">
        <v>40</v>
      </c>
      <c r="B44" s="110"/>
      <c r="D44" s="111"/>
      <c r="E44" s="111"/>
      <c r="O44" s="55">
        <v>40</v>
      </c>
      <c r="Q44" s="3">
        <v>0</v>
      </c>
    </row>
    <row r="45" spans="1:23" x14ac:dyDescent="0.25">
      <c r="C45" s="48">
        <f>SUM(C4:C44)</f>
        <v>30404</v>
      </c>
      <c r="Q45" s="48">
        <f>SUM(Q4:Q44)</f>
        <v>70000</v>
      </c>
    </row>
    <row r="55" spans="5:19" x14ac:dyDescent="0.25">
      <c r="E55">
        <v>-1</v>
      </c>
      <c r="S55">
        <v>-1</v>
      </c>
    </row>
    <row r="59" spans="5:19" x14ac:dyDescent="0.25">
      <c r="E59">
        <v>-9</v>
      </c>
      <c r="S59">
        <v>-9</v>
      </c>
    </row>
  </sheetData>
  <mergeCells count="1">
    <mergeCell ref="K1:L1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3"/>
  <sheetViews>
    <sheetView topLeftCell="A13" workbookViewId="0">
      <selection activeCell="D16" sqref="D16"/>
    </sheetView>
  </sheetViews>
  <sheetFormatPr baseColWidth="10" defaultRowHeight="15" x14ac:dyDescent="0.25"/>
  <cols>
    <col min="1" max="1" width="3.42578125" customWidth="1"/>
    <col min="2" max="2" width="13.42578125" style="96" bestFit="1" customWidth="1"/>
    <col min="3" max="3" width="13.7109375" style="41" customWidth="1"/>
    <col min="4" max="4" width="33.5703125" customWidth="1"/>
    <col min="5" max="5" width="12" bestFit="1" customWidth="1"/>
    <col min="6" max="6" width="14.140625" style="3" bestFit="1" customWidth="1"/>
    <col min="7" max="7" width="15.7109375" customWidth="1"/>
    <col min="11" max="11" width="11.42578125" style="3"/>
  </cols>
  <sheetData>
    <row r="1" spans="2:11" ht="19.5" thickBot="1" x14ac:dyDescent="0.35">
      <c r="B1" s="257">
        <v>42789</v>
      </c>
      <c r="C1" s="257"/>
      <c r="D1" s="1" t="s">
        <v>0</v>
      </c>
      <c r="E1" s="2" t="s">
        <v>1</v>
      </c>
      <c r="K1"/>
    </row>
    <row r="2" spans="2:11" ht="19.5" thickBot="1" x14ac:dyDescent="0.35">
      <c r="B2" s="95" t="s">
        <v>2</v>
      </c>
      <c r="C2" s="5" t="s">
        <v>3</v>
      </c>
      <c r="D2" s="5" t="s">
        <v>4</v>
      </c>
      <c r="E2" s="6" t="s">
        <v>5</v>
      </c>
      <c r="F2" s="7" t="s">
        <v>160</v>
      </c>
      <c r="G2" s="8"/>
      <c r="K2"/>
    </row>
    <row r="3" spans="2:11" ht="15.75" x14ac:dyDescent="0.25">
      <c r="B3" s="83">
        <v>42779</v>
      </c>
      <c r="C3" s="69" t="s">
        <v>161</v>
      </c>
      <c r="D3" s="70" t="s">
        <v>8</v>
      </c>
      <c r="E3" s="76">
        <f>240+102.4+62.2+40.2</f>
        <v>444.79999999999995</v>
      </c>
      <c r="F3" s="71">
        <v>14892</v>
      </c>
      <c r="K3"/>
    </row>
    <row r="4" spans="2:11" ht="15.75" x14ac:dyDescent="0.25">
      <c r="B4" s="84">
        <v>42779</v>
      </c>
      <c r="C4" s="73" t="s">
        <v>162</v>
      </c>
      <c r="D4" s="72" t="s">
        <v>91</v>
      </c>
      <c r="E4" s="77">
        <f>62+35.3</f>
        <v>97.3</v>
      </c>
      <c r="F4" s="74">
        <v>3991.1</v>
      </c>
      <c r="K4"/>
    </row>
    <row r="5" spans="2:11" ht="15.75" x14ac:dyDescent="0.25">
      <c r="B5" s="84">
        <v>42779</v>
      </c>
      <c r="C5" s="73" t="s">
        <v>163</v>
      </c>
      <c r="D5" s="72" t="s">
        <v>12</v>
      </c>
      <c r="E5" s="77">
        <v>79.7</v>
      </c>
      <c r="F5" s="74">
        <v>2948.9</v>
      </c>
      <c r="K5"/>
    </row>
    <row r="6" spans="2:11" ht="15.75" x14ac:dyDescent="0.25">
      <c r="B6" s="84">
        <v>42779</v>
      </c>
      <c r="C6" s="73" t="s">
        <v>164</v>
      </c>
      <c r="D6" s="72" t="s">
        <v>14</v>
      </c>
      <c r="E6" s="77">
        <f>232.2+85.2</f>
        <v>317.39999999999998</v>
      </c>
      <c r="F6" s="74">
        <v>10380.6</v>
      </c>
      <c r="G6" t="s">
        <v>9</v>
      </c>
      <c r="K6" s="3">
        <f t="shared" ref="K6:K16" si="0">J6*I6</f>
        <v>0</v>
      </c>
    </row>
    <row r="7" spans="2:11" ht="15.75" x14ac:dyDescent="0.25">
      <c r="B7" s="84">
        <v>42780</v>
      </c>
      <c r="C7" s="73" t="s">
        <v>165</v>
      </c>
      <c r="D7" s="72" t="s">
        <v>13</v>
      </c>
      <c r="E7" s="77">
        <v>80.900000000000006</v>
      </c>
      <c r="F7" s="74">
        <v>2993.3</v>
      </c>
      <c r="K7" s="3">
        <f t="shared" si="0"/>
        <v>0</v>
      </c>
    </row>
    <row r="8" spans="2:11" ht="15.75" x14ac:dyDescent="0.25">
      <c r="B8" s="84">
        <v>42780</v>
      </c>
      <c r="C8" s="73" t="s">
        <v>166</v>
      </c>
      <c r="D8" s="72" t="s">
        <v>12</v>
      </c>
      <c r="E8" s="77">
        <f>174.1+95.2</f>
        <v>269.3</v>
      </c>
      <c r="F8" s="74">
        <v>13581.7</v>
      </c>
      <c r="K8" s="3">
        <f t="shared" si="0"/>
        <v>0</v>
      </c>
    </row>
    <row r="9" spans="2:11" ht="15.75" x14ac:dyDescent="0.25">
      <c r="B9" s="84">
        <v>42780</v>
      </c>
      <c r="C9" s="73" t="s">
        <v>167</v>
      </c>
      <c r="D9" s="72" t="s">
        <v>91</v>
      </c>
      <c r="E9" s="77">
        <f>932.6+18.8</f>
        <v>951.4</v>
      </c>
      <c r="F9" s="74">
        <v>33968.400000000001</v>
      </c>
      <c r="K9" s="3">
        <f t="shared" si="0"/>
        <v>0</v>
      </c>
    </row>
    <row r="10" spans="2:11" ht="15.75" x14ac:dyDescent="0.25">
      <c r="B10" s="84">
        <v>42780</v>
      </c>
      <c r="C10" s="73" t="s">
        <v>168</v>
      </c>
      <c r="D10" s="72" t="s">
        <v>10</v>
      </c>
      <c r="E10" s="77">
        <v>70.2</v>
      </c>
      <c r="F10" s="74">
        <v>2597.4</v>
      </c>
      <c r="K10" s="3">
        <f t="shared" si="0"/>
        <v>0</v>
      </c>
    </row>
    <row r="11" spans="2:11" ht="15.75" x14ac:dyDescent="0.25">
      <c r="B11" s="84">
        <v>42780</v>
      </c>
      <c r="C11" s="73">
        <v>1001</v>
      </c>
      <c r="D11" s="72" t="s">
        <v>8</v>
      </c>
      <c r="E11" s="77">
        <f>381.4+59.9</f>
        <v>441.29999999999995</v>
      </c>
      <c r="F11" s="74">
        <v>16328.1</v>
      </c>
      <c r="K11" s="3">
        <f t="shared" si="0"/>
        <v>0</v>
      </c>
    </row>
    <row r="12" spans="2:11" ht="15.75" x14ac:dyDescent="0.25">
      <c r="B12" s="84">
        <v>42780</v>
      </c>
      <c r="C12" s="73">
        <v>1002</v>
      </c>
      <c r="D12" s="72" t="s">
        <v>7</v>
      </c>
      <c r="E12" s="77">
        <f>79.8+23.3</f>
        <v>103.1</v>
      </c>
      <c r="F12" s="74">
        <v>3814.7</v>
      </c>
      <c r="K12" s="3">
        <f t="shared" si="0"/>
        <v>0</v>
      </c>
    </row>
    <row r="13" spans="2:11" ht="15.75" x14ac:dyDescent="0.25">
      <c r="B13" s="84">
        <v>42780</v>
      </c>
      <c r="C13" s="73">
        <v>1004</v>
      </c>
      <c r="D13" s="72" t="s">
        <v>0</v>
      </c>
      <c r="E13" s="77">
        <v>92</v>
      </c>
      <c r="F13" s="74">
        <v>3404</v>
      </c>
      <c r="K13" s="3">
        <f t="shared" si="0"/>
        <v>0</v>
      </c>
    </row>
    <row r="14" spans="2:11" ht="15.75" x14ac:dyDescent="0.25">
      <c r="B14" s="84">
        <v>42780</v>
      </c>
      <c r="C14" s="73">
        <v>1005</v>
      </c>
      <c r="D14" s="72" t="s">
        <v>0</v>
      </c>
      <c r="E14" s="77">
        <v>30.7</v>
      </c>
      <c r="F14" s="74">
        <v>2333.1999999999998</v>
      </c>
      <c r="K14" s="3">
        <f t="shared" si="0"/>
        <v>0</v>
      </c>
    </row>
    <row r="15" spans="2:11" ht="15.75" x14ac:dyDescent="0.25">
      <c r="B15" s="84">
        <v>42781</v>
      </c>
      <c r="C15" s="73">
        <v>1120</v>
      </c>
      <c r="D15" s="72" t="s">
        <v>8</v>
      </c>
      <c r="E15" s="77">
        <v>456</v>
      </c>
      <c r="F15" s="74">
        <v>16872</v>
      </c>
      <c r="K15" s="3">
        <f t="shared" si="0"/>
        <v>0</v>
      </c>
    </row>
    <row r="16" spans="2:11" ht="15.75" x14ac:dyDescent="0.25">
      <c r="B16" s="84">
        <v>42781</v>
      </c>
      <c r="C16" s="73">
        <v>1121</v>
      </c>
      <c r="D16" s="72" t="s">
        <v>14</v>
      </c>
      <c r="E16" s="77">
        <v>445.7</v>
      </c>
      <c r="F16" s="74">
        <v>16490.900000000001</v>
      </c>
      <c r="K16" s="3">
        <f t="shared" si="0"/>
        <v>0</v>
      </c>
    </row>
    <row r="17" spans="2:11" ht="15.75" x14ac:dyDescent="0.25">
      <c r="B17" s="84">
        <v>42781</v>
      </c>
      <c r="C17" s="73">
        <v>1122</v>
      </c>
      <c r="D17" s="72" t="s">
        <v>13</v>
      </c>
      <c r="E17" s="77">
        <v>97.3</v>
      </c>
      <c r="F17" s="74">
        <v>3600.1</v>
      </c>
      <c r="I17" s="3">
        <f t="shared" ref="I17" si="1">SUM(I6:I16)</f>
        <v>0</v>
      </c>
      <c r="J17" s="3"/>
      <c r="K17" s="3">
        <f>SUM(K6:K16)</f>
        <v>0</v>
      </c>
    </row>
    <row r="18" spans="2:11" ht="15.75" x14ac:dyDescent="0.25">
      <c r="B18" s="84">
        <v>42781</v>
      </c>
      <c r="C18" s="73">
        <v>1123</v>
      </c>
      <c r="D18" s="72" t="s">
        <v>10</v>
      </c>
      <c r="E18" s="77">
        <v>90.5</v>
      </c>
      <c r="F18" s="74">
        <v>3348.5</v>
      </c>
      <c r="I18" s="3"/>
      <c r="J18" s="3"/>
    </row>
    <row r="19" spans="2:11" ht="15.75" x14ac:dyDescent="0.25">
      <c r="B19" s="84">
        <v>42781</v>
      </c>
      <c r="C19" s="73">
        <v>1124</v>
      </c>
      <c r="D19" s="72" t="s">
        <v>6</v>
      </c>
      <c r="E19" s="77">
        <f>89.5+70.1</f>
        <v>159.6</v>
      </c>
      <c r="F19" s="74">
        <v>7957.5</v>
      </c>
      <c r="I19" s="3"/>
      <c r="J19" s="3"/>
    </row>
    <row r="20" spans="2:11" ht="15.75" x14ac:dyDescent="0.25">
      <c r="B20" s="84">
        <v>42781</v>
      </c>
      <c r="C20" s="73">
        <v>1125</v>
      </c>
      <c r="D20" s="72" t="s">
        <v>91</v>
      </c>
      <c r="E20" s="77">
        <v>47.8</v>
      </c>
      <c r="F20" s="74">
        <v>1290.5999999999999</v>
      </c>
      <c r="I20" s="3"/>
      <c r="J20" s="3"/>
    </row>
    <row r="21" spans="2:11" ht="15.75" x14ac:dyDescent="0.25">
      <c r="B21" s="84">
        <v>42781</v>
      </c>
      <c r="C21" s="73">
        <v>1130</v>
      </c>
      <c r="D21" s="72" t="s">
        <v>11</v>
      </c>
      <c r="E21" s="77">
        <v>119</v>
      </c>
      <c r="F21" s="74">
        <v>4403</v>
      </c>
      <c r="I21" s="3"/>
      <c r="J21" s="3"/>
    </row>
    <row r="22" spans="2:11" ht="15.75" x14ac:dyDescent="0.25">
      <c r="B22" s="84">
        <v>42781</v>
      </c>
      <c r="C22" s="73">
        <v>1139</v>
      </c>
      <c r="D22" s="72" t="s">
        <v>7</v>
      </c>
      <c r="E22" s="77">
        <f>99.6+100.4</f>
        <v>200</v>
      </c>
      <c r="F22" s="74">
        <v>9900.4</v>
      </c>
      <c r="I22" s="3"/>
      <c r="J22" s="3"/>
    </row>
    <row r="23" spans="2:11" ht="15.75" x14ac:dyDescent="0.25">
      <c r="B23" s="84">
        <v>42782</v>
      </c>
      <c r="C23" s="73">
        <v>1258</v>
      </c>
      <c r="D23" s="72" t="s">
        <v>7</v>
      </c>
      <c r="E23" s="77">
        <v>325.2</v>
      </c>
      <c r="F23" s="74">
        <v>12032.4</v>
      </c>
      <c r="I23" s="3"/>
      <c r="J23" s="3"/>
    </row>
    <row r="24" spans="2:11" ht="15.75" x14ac:dyDescent="0.25">
      <c r="B24" s="84">
        <v>42782</v>
      </c>
      <c r="C24" s="73">
        <v>1268</v>
      </c>
      <c r="D24" s="72" t="s">
        <v>11</v>
      </c>
      <c r="E24" s="77">
        <v>99.4</v>
      </c>
      <c r="F24" s="74">
        <v>3677.8</v>
      </c>
      <c r="I24" s="3"/>
      <c r="J24" s="3"/>
    </row>
    <row r="25" spans="2:11" ht="15.75" x14ac:dyDescent="0.25">
      <c r="B25" s="84">
        <v>42782</v>
      </c>
      <c r="C25" s="73">
        <v>1269</v>
      </c>
      <c r="D25" s="72" t="s">
        <v>77</v>
      </c>
      <c r="E25" s="77">
        <v>180.4</v>
      </c>
      <c r="F25" s="74">
        <v>6674.8</v>
      </c>
      <c r="I25" s="3"/>
      <c r="J25" s="3"/>
    </row>
    <row r="26" spans="2:11" ht="15.75" x14ac:dyDescent="0.25">
      <c r="B26" s="84">
        <v>42782</v>
      </c>
      <c r="C26" s="73">
        <v>1271</v>
      </c>
      <c r="D26" s="72" t="s">
        <v>10</v>
      </c>
      <c r="E26" s="77">
        <v>49.4</v>
      </c>
      <c r="F26" s="74">
        <v>1827.8</v>
      </c>
      <c r="I26" s="3"/>
      <c r="J26" s="3"/>
    </row>
    <row r="27" spans="2:11" ht="15.75" x14ac:dyDescent="0.25">
      <c r="B27" s="84">
        <v>42782</v>
      </c>
      <c r="C27" s="73">
        <v>1272</v>
      </c>
      <c r="D27" s="72" t="s">
        <v>8</v>
      </c>
      <c r="E27" s="77">
        <v>434.3</v>
      </c>
      <c r="F27" s="74">
        <v>16069.1</v>
      </c>
      <c r="I27" s="3"/>
      <c r="J27" s="3"/>
    </row>
    <row r="28" spans="2:11" ht="15.75" x14ac:dyDescent="0.25">
      <c r="B28" s="84">
        <v>42782</v>
      </c>
      <c r="C28" s="73">
        <v>1273</v>
      </c>
      <c r="D28" s="72" t="s">
        <v>14</v>
      </c>
      <c r="E28" s="77">
        <v>436.2</v>
      </c>
      <c r="F28" s="74">
        <v>16139.4</v>
      </c>
      <c r="I28" s="3"/>
      <c r="J28" s="3"/>
    </row>
    <row r="29" spans="2:11" ht="15.75" x14ac:dyDescent="0.25">
      <c r="B29" s="84">
        <v>42783</v>
      </c>
      <c r="C29" s="73">
        <v>1385</v>
      </c>
      <c r="D29" s="72" t="s">
        <v>7</v>
      </c>
      <c r="E29" s="77">
        <v>178.1</v>
      </c>
      <c r="F29" s="74">
        <v>6515.7</v>
      </c>
      <c r="I29" s="3"/>
      <c r="J29" s="3"/>
    </row>
    <row r="30" spans="2:11" ht="15.75" x14ac:dyDescent="0.25">
      <c r="B30" s="84">
        <v>42783</v>
      </c>
      <c r="C30" s="73">
        <v>1399</v>
      </c>
      <c r="D30" s="72" t="s">
        <v>11</v>
      </c>
      <c r="E30" s="77">
        <f>366.3+245</f>
        <v>611.29999999999995</v>
      </c>
      <c r="F30" s="74">
        <v>22618.1</v>
      </c>
      <c r="I30" s="3"/>
      <c r="J30" s="3"/>
    </row>
    <row r="31" spans="2:11" ht="15.75" x14ac:dyDescent="0.25">
      <c r="B31" s="84">
        <v>42783</v>
      </c>
      <c r="C31" s="73">
        <v>1400</v>
      </c>
      <c r="D31" s="72" t="s">
        <v>8</v>
      </c>
      <c r="E31" s="77">
        <f>424.6+122.8+103.4</f>
        <v>650.79999999999995</v>
      </c>
      <c r="F31" s="74">
        <v>22011.599999999999</v>
      </c>
      <c r="I31" s="3"/>
      <c r="J31" s="3"/>
    </row>
    <row r="32" spans="2:11" ht="15.75" x14ac:dyDescent="0.25">
      <c r="B32" s="84">
        <v>42783</v>
      </c>
      <c r="C32" s="73">
        <v>1414</v>
      </c>
      <c r="D32" s="72" t="s">
        <v>14</v>
      </c>
      <c r="E32" s="77">
        <f>422+34.1+28.2</f>
        <v>484.3</v>
      </c>
      <c r="F32" s="74">
        <v>17616.8</v>
      </c>
      <c r="I32" s="3"/>
      <c r="J32" s="3"/>
    </row>
    <row r="33" spans="2:11" ht="15.75" x14ac:dyDescent="0.25">
      <c r="B33" s="84">
        <v>42783</v>
      </c>
      <c r="C33" s="73">
        <v>1417</v>
      </c>
      <c r="D33" s="72" t="s">
        <v>77</v>
      </c>
      <c r="E33" s="77">
        <v>126.6</v>
      </c>
      <c r="F33" s="74">
        <v>4684.2</v>
      </c>
      <c r="I33" s="3"/>
      <c r="J33" s="3"/>
    </row>
    <row r="34" spans="2:11" ht="15.75" x14ac:dyDescent="0.25">
      <c r="B34" s="84">
        <v>42783</v>
      </c>
      <c r="C34" s="73">
        <v>1418</v>
      </c>
      <c r="D34" s="72" t="s">
        <v>11</v>
      </c>
      <c r="E34" s="77">
        <v>124.2</v>
      </c>
      <c r="F34" s="74">
        <v>4595.3999999999996</v>
      </c>
      <c r="I34" s="3"/>
      <c r="J34" s="3"/>
    </row>
    <row r="35" spans="2:11" ht="15.75" x14ac:dyDescent="0.25">
      <c r="B35" s="84">
        <v>42783</v>
      </c>
      <c r="C35" s="73">
        <v>1426</v>
      </c>
      <c r="D35" s="72" t="s">
        <v>91</v>
      </c>
      <c r="E35" s="77">
        <f>907.03+89.4+2+23.4+35.1+41.4</f>
        <v>1098.33</v>
      </c>
      <c r="F35" s="74">
        <v>38741.08</v>
      </c>
      <c r="I35" s="3"/>
      <c r="J35" s="3"/>
    </row>
    <row r="36" spans="2:11" ht="15.75" x14ac:dyDescent="0.25">
      <c r="B36" s="84">
        <v>42783</v>
      </c>
      <c r="C36" s="73">
        <v>1428</v>
      </c>
      <c r="D36" s="72" t="s">
        <v>6</v>
      </c>
      <c r="E36" s="77">
        <f>158.6+137.5+64.9+10+8.2+41.701</f>
        <v>420.90100000000001</v>
      </c>
      <c r="F36" s="74">
        <v>19918</v>
      </c>
      <c r="I36" s="3"/>
      <c r="J36" s="3"/>
    </row>
    <row r="37" spans="2:11" ht="15.75" x14ac:dyDescent="0.25">
      <c r="B37" s="84">
        <v>42784</v>
      </c>
      <c r="C37" s="73">
        <v>1537</v>
      </c>
      <c r="D37" s="72" t="s">
        <v>8</v>
      </c>
      <c r="E37" s="77">
        <v>405.6</v>
      </c>
      <c r="F37" s="74">
        <v>15007.2</v>
      </c>
      <c r="I37" s="3"/>
      <c r="J37" s="3"/>
    </row>
    <row r="38" spans="2:11" ht="15.75" x14ac:dyDescent="0.25">
      <c r="B38" s="84">
        <v>42784</v>
      </c>
      <c r="C38" s="73">
        <v>1538</v>
      </c>
      <c r="D38" s="72" t="s">
        <v>14</v>
      </c>
      <c r="E38" s="77">
        <v>434.6</v>
      </c>
      <c r="F38" s="74">
        <v>16080.2</v>
      </c>
      <c r="I38" s="3"/>
      <c r="J38" s="3"/>
    </row>
    <row r="39" spans="2:11" ht="15.75" x14ac:dyDescent="0.25">
      <c r="B39" s="84">
        <v>42784</v>
      </c>
      <c r="C39" s="73">
        <v>1539</v>
      </c>
      <c r="D39" s="72" t="s">
        <v>0</v>
      </c>
      <c r="E39" s="77">
        <v>84.4</v>
      </c>
      <c r="F39" s="74">
        <v>3122.38</v>
      </c>
      <c r="I39" s="3"/>
      <c r="J39" s="3"/>
    </row>
    <row r="40" spans="2:11" ht="15.75" x14ac:dyDescent="0.25">
      <c r="B40" s="84">
        <v>42784</v>
      </c>
      <c r="C40" s="73">
        <v>1541</v>
      </c>
      <c r="D40" s="72" t="s">
        <v>10</v>
      </c>
      <c r="E40" s="77">
        <f>8.3+1+27.24</f>
        <v>36.54</v>
      </c>
      <c r="F40" s="74">
        <v>2249.48</v>
      </c>
      <c r="I40" s="3"/>
      <c r="J40" s="3"/>
    </row>
    <row r="41" spans="2:11" ht="15.75" x14ac:dyDescent="0.25">
      <c r="B41" s="84">
        <v>42784</v>
      </c>
      <c r="C41" s="73">
        <v>1548</v>
      </c>
      <c r="D41" s="72" t="s">
        <v>12</v>
      </c>
      <c r="E41" s="77">
        <v>17.2</v>
      </c>
      <c r="F41" s="74">
        <v>447.2</v>
      </c>
      <c r="I41" s="3"/>
      <c r="J41" s="3"/>
    </row>
    <row r="42" spans="2:11" ht="15.75" x14ac:dyDescent="0.25">
      <c r="B42" s="84">
        <v>42784</v>
      </c>
      <c r="C42" s="73">
        <v>1549</v>
      </c>
      <c r="D42" s="72" t="s">
        <v>11</v>
      </c>
      <c r="E42" s="77">
        <f>93.5+48.7</f>
        <v>142.19999999999999</v>
      </c>
      <c r="F42" s="74">
        <v>5261.4</v>
      </c>
      <c r="I42" s="3"/>
      <c r="J42" s="3"/>
    </row>
    <row r="43" spans="2:11" ht="15.75" x14ac:dyDescent="0.25">
      <c r="B43" s="84">
        <v>42784</v>
      </c>
      <c r="C43" s="73">
        <v>1551</v>
      </c>
      <c r="D43" s="72" t="s">
        <v>91</v>
      </c>
      <c r="E43" s="77">
        <f>1+32.1+39</f>
        <v>72.099999999999994</v>
      </c>
      <c r="F43" s="74">
        <v>1965.6</v>
      </c>
      <c r="I43" s="3"/>
      <c r="J43" s="3"/>
    </row>
    <row r="44" spans="2:11" ht="16.5" thickBot="1" x14ac:dyDescent="0.3">
      <c r="B44" s="84">
        <v>42784</v>
      </c>
      <c r="C44" s="73">
        <v>1558</v>
      </c>
      <c r="D44" s="72" t="s">
        <v>86</v>
      </c>
      <c r="E44" s="77">
        <f>267.4+277.2+13+62.2</f>
        <v>619.79999999999995</v>
      </c>
      <c r="F44" s="74">
        <v>30506.6</v>
      </c>
      <c r="I44" s="3"/>
      <c r="J44" s="3"/>
    </row>
    <row r="45" spans="2:11" ht="15.75" thickBot="1" x14ac:dyDescent="0.3">
      <c r="B45" s="29" t="s">
        <v>9</v>
      </c>
      <c r="C45" s="66"/>
      <c r="D45" s="31"/>
      <c r="E45" s="32">
        <v>0</v>
      </c>
      <c r="F45" s="33">
        <f>SUM(F3:F44)</f>
        <v>442858.64</v>
      </c>
      <c r="K45" s="3">
        <f t="shared" ref="K45:K46" si="2">J45*I45</f>
        <v>0</v>
      </c>
    </row>
    <row r="46" spans="2:11" ht="19.5" thickBot="1" x14ac:dyDescent="0.35">
      <c r="B46" s="34"/>
      <c r="C46" s="67"/>
      <c r="D46" s="36" t="s">
        <v>5</v>
      </c>
      <c r="E46" s="37">
        <f>SUM(E3:E45)</f>
        <v>11625.871000000001</v>
      </c>
      <c r="I46" s="38"/>
      <c r="J46" s="38"/>
      <c r="K46" s="3">
        <f t="shared" si="2"/>
        <v>0</v>
      </c>
    </row>
    <row r="47" spans="2:11" x14ac:dyDescent="0.25">
      <c r="B47" s="34"/>
      <c r="C47" s="67"/>
      <c r="D47" s="26"/>
      <c r="E47" s="39"/>
      <c r="I47" s="38">
        <f>SUM(I45:I46)</f>
        <v>0</v>
      </c>
      <c r="J47" s="38"/>
      <c r="K47" s="38">
        <f>SUM(K45:K46)</f>
        <v>0</v>
      </c>
    </row>
    <row r="48" spans="2:11" ht="21.75" thickBot="1" x14ac:dyDescent="0.4">
      <c r="B48" s="40"/>
      <c r="C48" s="41" t="s">
        <v>15</v>
      </c>
      <c r="D48" s="42">
        <f>E46*0.2</f>
        <v>2325.1742000000004</v>
      </c>
      <c r="F48"/>
      <c r="K48"/>
    </row>
    <row r="49" spans="3:13" ht="21.75" thickBot="1" x14ac:dyDescent="0.4">
      <c r="C49" s="41" t="s">
        <v>16</v>
      </c>
      <c r="D49" s="44">
        <v>3400</v>
      </c>
      <c r="E49" s="45"/>
      <c r="F49" s="258">
        <f>D48+D49</f>
        <v>5725.1742000000004</v>
      </c>
      <c r="G49" s="259"/>
      <c r="I49" s="46"/>
      <c r="J49" s="46"/>
      <c r="K49" s="46"/>
      <c r="L49" s="46"/>
      <c r="M49" s="46"/>
    </row>
    <row r="50" spans="3:13" ht="17.25" thickTop="1" thickBot="1" x14ac:dyDescent="0.3">
      <c r="E50" s="47" t="s">
        <v>17</v>
      </c>
      <c r="G50" s="48">
        <v>-1500</v>
      </c>
      <c r="I50" s="46"/>
      <c r="J50" s="46"/>
      <c r="K50" s="49"/>
      <c r="L50" s="49"/>
      <c r="M50" s="49"/>
    </row>
    <row r="51" spans="3:13" ht="19.5" thickBot="1" x14ac:dyDescent="0.35">
      <c r="C51" s="50" t="s">
        <v>94</v>
      </c>
      <c r="D51" s="51" t="s">
        <v>170</v>
      </c>
      <c r="E51" s="47" t="s">
        <v>17</v>
      </c>
      <c r="F51" s="260">
        <v>0</v>
      </c>
      <c r="G51" s="260"/>
      <c r="I51" s="46"/>
      <c r="J51" s="46"/>
      <c r="K51" s="49"/>
      <c r="L51" s="49"/>
      <c r="M51" s="49"/>
    </row>
    <row r="52" spans="3:13" ht="17.25" thickTop="1" thickBot="1" x14ac:dyDescent="0.3">
      <c r="C52" s="52" t="s">
        <v>18</v>
      </c>
      <c r="D52" s="94" t="s">
        <v>169</v>
      </c>
      <c r="F52" s="261">
        <f>SUM(F49:G51)</f>
        <v>4225.1742000000004</v>
      </c>
      <c r="G52" s="261"/>
      <c r="I52" s="46"/>
      <c r="J52" s="46"/>
      <c r="K52" s="49"/>
      <c r="L52" s="49"/>
      <c r="M52" s="49"/>
    </row>
    <row r="53" spans="3:13" ht="15.75" customHeight="1" thickBot="1" x14ac:dyDescent="0.35">
      <c r="E53" s="2" t="s">
        <v>19</v>
      </c>
      <c r="F53" s="262"/>
      <c r="G53" s="262"/>
      <c r="K53"/>
    </row>
  </sheetData>
  <mergeCells count="4">
    <mergeCell ref="B1:C1"/>
    <mergeCell ref="F49:G49"/>
    <mergeCell ref="F51:G51"/>
    <mergeCell ref="F52:G53"/>
  </mergeCells>
  <pageMargins left="0.31496062992125984" right="0.11811023622047245" top="0.35433070866141736" bottom="0.15748031496062992" header="0.31496062992125984" footer="0.31496062992125984"/>
  <pageSetup scale="9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62"/>
  <sheetViews>
    <sheetView workbookViewId="0">
      <selection activeCell="D61" sqref="D61"/>
    </sheetView>
  </sheetViews>
  <sheetFormatPr baseColWidth="10" defaultRowHeight="15" x14ac:dyDescent="0.25"/>
  <cols>
    <col min="1" max="1" width="3.42578125" customWidth="1"/>
    <col min="2" max="2" width="13.42578125" style="96" bestFit="1" customWidth="1"/>
    <col min="3" max="3" width="13.7109375" style="41" customWidth="1"/>
    <col min="4" max="4" width="33.5703125" customWidth="1"/>
    <col min="5" max="5" width="12" bestFit="1" customWidth="1"/>
    <col min="6" max="6" width="14.140625" style="3" bestFit="1" customWidth="1"/>
    <col min="7" max="7" width="15.7109375" customWidth="1"/>
    <col min="11" max="11" width="11.42578125" style="3"/>
  </cols>
  <sheetData>
    <row r="1" spans="2:11" ht="19.5" thickBot="1" x14ac:dyDescent="0.35">
      <c r="B1" s="257">
        <v>42801</v>
      </c>
      <c r="C1" s="257"/>
      <c r="D1" s="112" t="s">
        <v>0</v>
      </c>
      <c r="E1" s="2" t="s">
        <v>1</v>
      </c>
      <c r="K1"/>
    </row>
    <row r="2" spans="2:11" ht="19.5" thickBot="1" x14ac:dyDescent="0.35">
      <c r="B2" s="95" t="s">
        <v>2</v>
      </c>
      <c r="C2" s="5" t="s">
        <v>3</v>
      </c>
      <c r="D2" s="5" t="s">
        <v>4</v>
      </c>
      <c r="E2" s="6" t="s">
        <v>5</v>
      </c>
      <c r="F2" s="7" t="s">
        <v>222</v>
      </c>
      <c r="G2" s="8"/>
      <c r="K2"/>
    </row>
    <row r="3" spans="2:11" ht="15.75" x14ac:dyDescent="0.25">
      <c r="B3" s="83">
        <v>42782</v>
      </c>
      <c r="C3" s="69" t="s">
        <v>172</v>
      </c>
      <c r="D3" s="70" t="s">
        <v>12</v>
      </c>
      <c r="E3" s="76">
        <f>96.9+13.7</f>
        <v>110.60000000000001</v>
      </c>
      <c r="F3" s="71">
        <v>4475.8</v>
      </c>
      <c r="K3"/>
    </row>
    <row r="4" spans="2:11" ht="15.75" x14ac:dyDescent="0.25">
      <c r="B4" s="84">
        <v>42783</v>
      </c>
      <c r="C4" s="73" t="s">
        <v>173</v>
      </c>
      <c r="D4" s="72" t="s">
        <v>12</v>
      </c>
      <c r="E4" s="77">
        <v>397.9</v>
      </c>
      <c r="F4" s="74">
        <v>14722.9</v>
      </c>
      <c r="K4"/>
    </row>
    <row r="5" spans="2:11" ht="15.75" x14ac:dyDescent="0.25">
      <c r="B5" s="84">
        <v>42784</v>
      </c>
      <c r="C5" s="73" t="s">
        <v>174</v>
      </c>
      <c r="D5" s="72" t="s">
        <v>13</v>
      </c>
      <c r="E5" s="77">
        <f>5.1+1+267.5</f>
        <v>273.60000000000002</v>
      </c>
      <c r="F5" s="74">
        <v>10215.1</v>
      </c>
      <c r="K5"/>
    </row>
    <row r="6" spans="2:11" ht="15.75" x14ac:dyDescent="0.25">
      <c r="B6" s="84">
        <v>42786</v>
      </c>
      <c r="C6" s="73" t="s">
        <v>175</v>
      </c>
      <c r="D6" s="72" t="s">
        <v>8</v>
      </c>
      <c r="E6" s="77">
        <v>318.10000000000002</v>
      </c>
      <c r="F6" s="74">
        <v>11769.7</v>
      </c>
      <c r="G6" t="s">
        <v>9</v>
      </c>
      <c r="K6" s="3">
        <f t="shared" ref="K6:K16" si="0">J6*I6</f>
        <v>0</v>
      </c>
    </row>
    <row r="7" spans="2:11" ht="15.75" x14ac:dyDescent="0.25">
      <c r="B7" s="84">
        <v>42786</v>
      </c>
      <c r="C7" s="73" t="s">
        <v>176</v>
      </c>
      <c r="D7" s="72" t="s">
        <v>10</v>
      </c>
      <c r="E7" s="77">
        <v>80.099999999999994</v>
      </c>
      <c r="F7" s="74">
        <v>2963.7</v>
      </c>
      <c r="K7" s="3">
        <f t="shared" si="0"/>
        <v>0</v>
      </c>
    </row>
    <row r="8" spans="2:11" ht="15.75" x14ac:dyDescent="0.25">
      <c r="B8" s="84">
        <v>42786</v>
      </c>
      <c r="C8" s="73" t="s">
        <v>177</v>
      </c>
      <c r="D8" s="72" t="s">
        <v>13</v>
      </c>
      <c r="E8" s="77">
        <f>65.2+2</f>
        <v>67.2</v>
      </c>
      <c r="F8" s="74">
        <v>3434.4</v>
      </c>
      <c r="K8" s="3">
        <f t="shared" si="0"/>
        <v>0</v>
      </c>
    </row>
    <row r="9" spans="2:11" ht="15.75" x14ac:dyDescent="0.25">
      <c r="B9" s="84">
        <v>42786</v>
      </c>
      <c r="C9" s="73" t="s">
        <v>178</v>
      </c>
      <c r="D9" s="72" t="s">
        <v>7</v>
      </c>
      <c r="E9" s="77">
        <f>71.8+37.2</f>
        <v>109</v>
      </c>
      <c r="F9" s="74">
        <v>4816.8</v>
      </c>
      <c r="K9" s="3">
        <f t="shared" si="0"/>
        <v>0</v>
      </c>
    </row>
    <row r="10" spans="2:11" ht="15.75" x14ac:dyDescent="0.25">
      <c r="B10" s="84">
        <v>42786</v>
      </c>
      <c r="C10" s="73" t="s">
        <v>179</v>
      </c>
      <c r="D10" s="72" t="s">
        <v>14</v>
      </c>
      <c r="E10" s="77">
        <f>117.4+251.7</f>
        <v>369.1</v>
      </c>
      <c r="F10" s="74">
        <v>13539.2</v>
      </c>
      <c r="K10" s="3">
        <f t="shared" si="0"/>
        <v>0</v>
      </c>
    </row>
    <row r="11" spans="2:11" ht="15.75" x14ac:dyDescent="0.25">
      <c r="B11" s="84">
        <v>42786</v>
      </c>
      <c r="C11" s="73" t="s">
        <v>180</v>
      </c>
      <c r="D11" s="72" t="s">
        <v>11</v>
      </c>
      <c r="E11" s="77">
        <f>8.4+47.9</f>
        <v>56.3</v>
      </c>
      <c r="F11" s="74">
        <v>2354.4</v>
      </c>
      <c r="K11" s="3">
        <f t="shared" si="0"/>
        <v>0</v>
      </c>
    </row>
    <row r="12" spans="2:11" ht="15.75" x14ac:dyDescent="0.25">
      <c r="B12" s="84">
        <v>42786</v>
      </c>
      <c r="C12" s="73" t="s">
        <v>181</v>
      </c>
      <c r="D12" s="72" t="s">
        <v>12</v>
      </c>
      <c r="E12" s="77">
        <v>21.4</v>
      </c>
      <c r="F12" s="74">
        <v>1391</v>
      </c>
      <c r="K12" s="3">
        <f t="shared" si="0"/>
        <v>0</v>
      </c>
    </row>
    <row r="13" spans="2:11" ht="15.75" x14ac:dyDescent="0.25">
      <c r="B13" s="84">
        <v>42787</v>
      </c>
      <c r="C13" s="73" t="s">
        <v>182</v>
      </c>
      <c r="D13" s="72" t="s">
        <v>12</v>
      </c>
      <c r="E13" s="77">
        <v>176.4</v>
      </c>
      <c r="F13" s="74">
        <v>6526.8</v>
      </c>
      <c r="K13" s="3">
        <f t="shared" si="0"/>
        <v>0</v>
      </c>
    </row>
    <row r="14" spans="2:11" ht="15.75" x14ac:dyDescent="0.25">
      <c r="B14" s="84">
        <v>42787</v>
      </c>
      <c r="C14" s="73" t="s">
        <v>183</v>
      </c>
      <c r="D14" s="72" t="s">
        <v>8</v>
      </c>
      <c r="E14" s="77">
        <f>371.3+99.6</f>
        <v>470.9</v>
      </c>
      <c r="F14" s="74">
        <v>15829.7</v>
      </c>
      <c r="K14" s="3">
        <f t="shared" si="0"/>
        <v>0</v>
      </c>
    </row>
    <row r="15" spans="2:11" ht="15.75" x14ac:dyDescent="0.25">
      <c r="B15" s="84">
        <v>42787</v>
      </c>
      <c r="C15" s="73" t="s">
        <v>184</v>
      </c>
      <c r="D15" s="72" t="s">
        <v>91</v>
      </c>
      <c r="E15" s="77">
        <f>907.2+38.7+36.7+13.61</f>
        <v>996.21000000000015</v>
      </c>
      <c r="F15" s="74">
        <v>34428.379999999997</v>
      </c>
      <c r="K15" s="3">
        <f t="shared" si="0"/>
        <v>0</v>
      </c>
    </row>
    <row r="16" spans="2:11" ht="15.75" x14ac:dyDescent="0.25">
      <c r="B16" s="84">
        <v>42787</v>
      </c>
      <c r="C16" s="73" t="s">
        <v>185</v>
      </c>
      <c r="D16" s="72" t="s">
        <v>10</v>
      </c>
      <c r="E16" s="77">
        <v>82.1</v>
      </c>
      <c r="F16" s="74">
        <v>3037.7</v>
      </c>
      <c r="K16" s="3">
        <f t="shared" si="0"/>
        <v>0</v>
      </c>
    </row>
    <row r="17" spans="2:11" ht="15.75" x14ac:dyDescent="0.25">
      <c r="B17" s="84">
        <v>42787</v>
      </c>
      <c r="C17" s="73" t="s">
        <v>186</v>
      </c>
      <c r="D17" s="72" t="s">
        <v>11</v>
      </c>
      <c r="E17" s="77">
        <v>126.2</v>
      </c>
      <c r="F17" s="74">
        <v>4543.2</v>
      </c>
      <c r="I17" s="3">
        <f t="shared" ref="I17" si="1">SUM(I6:I16)</f>
        <v>0</v>
      </c>
      <c r="J17" s="3"/>
      <c r="K17" s="3">
        <f>SUM(K6:K16)</f>
        <v>0</v>
      </c>
    </row>
    <row r="18" spans="2:11" ht="15.75" x14ac:dyDescent="0.25">
      <c r="B18" s="84">
        <v>42787</v>
      </c>
      <c r="C18" s="73" t="s">
        <v>187</v>
      </c>
      <c r="D18" s="72" t="s">
        <v>14</v>
      </c>
      <c r="E18" s="77">
        <f>357.6+53.5</f>
        <v>411.1</v>
      </c>
      <c r="F18" s="74">
        <v>14140.7</v>
      </c>
      <c r="I18" s="3"/>
      <c r="J18" s="3"/>
    </row>
    <row r="19" spans="2:11" ht="15.75" x14ac:dyDescent="0.25">
      <c r="B19" s="84">
        <v>42787</v>
      </c>
      <c r="C19" s="73" t="s">
        <v>188</v>
      </c>
      <c r="D19" s="72" t="s">
        <v>13</v>
      </c>
      <c r="E19" s="77">
        <v>169.3</v>
      </c>
      <c r="F19" s="74">
        <v>6433.4</v>
      </c>
      <c r="I19" s="3"/>
      <c r="J19" s="3"/>
    </row>
    <row r="20" spans="2:11" ht="15.75" x14ac:dyDescent="0.25">
      <c r="B20" s="84">
        <v>42787</v>
      </c>
      <c r="C20" s="73" t="s">
        <v>189</v>
      </c>
      <c r="D20" s="72" t="s">
        <v>6</v>
      </c>
      <c r="E20" s="77">
        <v>16.420000000000002</v>
      </c>
      <c r="F20" s="74">
        <v>1247.92</v>
      </c>
      <c r="I20" s="3"/>
      <c r="J20" s="3"/>
    </row>
    <row r="21" spans="2:11" ht="15.75" x14ac:dyDescent="0.25">
      <c r="B21" s="84">
        <v>42788</v>
      </c>
      <c r="C21" s="73" t="s">
        <v>190</v>
      </c>
      <c r="D21" s="72" t="s">
        <v>8</v>
      </c>
      <c r="E21" s="77">
        <v>233.7</v>
      </c>
      <c r="F21" s="74">
        <v>8646.9</v>
      </c>
      <c r="I21" s="3"/>
      <c r="J21" s="3"/>
    </row>
    <row r="22" spans="2:11" ht="15.75" x14ac:dyDescent="0.25">
      <c r="B22" s="84">
        <v>42788</v>
      </c>
      <c r="C22" s="73" t="s">
        <v>191</v>
      </c>
      <c r="D22" s="72" t="s">
        <v>14</v>
      </c>
      <c r="E22" s="77">
        <f>168.2+137.2</f>
        <v>305.39999999999998</v>
      </c>
      <c r="F22" s="74">
        <v>11025.4</v>
      </c>
      <c r="I22" s="3"/>
      <c r="J22" s="3"/>
    </row>
    <row r="23" spans="2:11" ht="15.75" x14ac:dyDescent="0.25">
      <c r="B23" s="84">
        <v>42788</v>
      </c>
      <c r="C23" s="73" t="s">
        <v>192</v>
      </c>
      <c r="D23" s="72" t="s">
        <v>7</v>
      </c>
      <c r="E23" s="77">
        <v>159.6</v>
      </c>
      <c r="F23" s="74">
        <v>5905.2</v>
      </c>
      <c r="I23" s="3"/>
      <c r="J23" s="3"/>
    </row>
    <row r="24" spans="2:11" ht="15.75" x14ac:dyDescent="0.25">
      <c r="B24" s="84">
        <v>42788</v>
      </c>
      <c r="C24" s="73" t="s">
        <v>193</v>
      </c>
      <c r="D24" s="72" t="s">
        <v>77</v>
      </c>
      <c r="E24" s="77">
        <f>399.3+97.7</f>
        <v>497</v>
      </c>
      <c r="F24" s="74">
        <v>21982.7</v>
      </c>
      <c r="I24" s="3"/>
      <c r="J24" s="3"/>
    </row>
    <row r="25" spans="2:11" ht="15.75" x14ac:dyDescent="0.25">
      <c r="B25" s="84">
        <v>42788</v>
      </c>
      <c r="C25" s="73" t="s">
        <v>194</v>
      </c>
      <c r="D25" s="72" t="s">
        <v>6</v>
      </c>
      <c r="E25" s="77">
        <f>64.2+82.3+7.4+10.3</f>
        <v>164.20000000000002</v>
      </c>
      <c r="F25" s="74">
        <v>8115.9</v>
      </c>
      <c r="I25" s="3"/>
      <c r="J25" s="3"/>
    </row>
    <row r="26" spans="2:11" ht="15.75" x14ac:dyDescent="0.25">
      <c r="B26" s="84">
        <v>42788</v>
      </c>
      <c r="C26" s="73" t="s">
        <v>195</v>
      </c>
      <c r="D26" s="72" t="s">
        <v>91</v>
      </c>
      <c r="E26" s="77">
        <v>6.2</v>
      </c>
      <c r="F26" s="74">
        <v>260.39999999999998</v>
      </c>
      <c r="I26" s="3"/>
      <c r="J26" s="3"/>
    </row>
    <row r="27" spans="2:11" ht="15.75" x14ac:dyDescent="0.25">
      <c r="B27" s="84">
        <v>42789</v>
      </c>
      <c r="C27" s="73" t="s">
        <v>196</v>
      </c>
      <c r="D27" s="72" t="s">
        <v>7</v>
      </c>
      <c r="E27" s="77">
        <v>199.4</v>
      </c>
      <c r="F27" s="74">
        <v>6979</v>
      </c>
      <c r="I27" s="3"/>
      <c r="J27" s="3"/>
    </row>
    <row r="28" spans="2:11" ht="15.75" x14ac:dyDescent="0.25">
      <c r="B28" s="84">
        <v>42789</v>
      </c>
      <c r="C28" s="73" t="s">
        <v>197</v>
      </c>
      <c r="D28" s="72" t="s">
        <v>14</v>
      </c>
      <c r="E28" s="77">
        <v>373.5</v>
      </c>
      <c r="F28" s="74">
        <v>13819.5</v>
      </c>
      <c r="I28" s="3"/>
      <c r="J28" s="3"/>
    </row>
    <row r="29" spans="2:11" ht="15.75" x14ac:dyDescent="0.25">
      <c r="B29" s="84">
        <v>42789</v>
      </c>
      <c r="C29" s="73" t="s">
        <v>198</v>
      </c>
      <c r="D29" s="72" t="s">
        <v>91</v>
      </c>
      <c r="E29" s="77">
        <v>89.4</v>
      </c>
      <c r="F29" s="74">
        <v>3307.8</v>
      </c>
      <c r="I29" s="3"/>
      <c r="J29" s="3"/>
    </row>
    <row r="30" spans="2:11" ht="15.75" x14ac:dyDescent="0.25">
      <c r="B30" s="84">
        <v>42789</v>
      </c>
      <c r="C30" s="73" t="s">
        <v>199</v>
      </c>
      <c r="D30" s="72" t="s">
        <v>12</v>
      </c>
      <c r="E30" s="77">
        <v>98.3</v>
      </c>
      <c r="F30" s="74">
        <v>3637.1</v>
      </c>
      <c r="I30" s="3"/>
      <c r="J30" s="3"/>
    </row>
    <row r="31" spans="2:11" ht="15.75" x14ac:dyDescent="0.25">
      <c r="B31" s="84">
        <v>42789</v>
      </c>
      <c r="C31" s="73" t="s">
        <v>200</v>
      </c>
      <c r="D31" s="72" t="s">
        <v>8</v>
      </c>
      <c r="E31" s="77">
        <f>345.7+106.6+12.9</f>
        <v>465.19999999999993</v>
      </c>
      <c r="F31" s="74">
        <v>14938.5</v>
      </c>
      <c r="I31" s="3"/>
      <c r="J31" s="3"/>
    </row>
    <row r="32" spans="2:11" ht="15.75" x14ac:dyDescent="0.25">
      <c r="B32" s="84">
        <v>42789</v>
      </c>
      <c r="C32" s="73" t="s">
        <v>201</v>
      </c>
      <c r="D32" s="72" t="s">
        <v>13</v>
      </c>
      <c r="E32" s="77">
        <v>191.1</v>
      </c>
      <c r="F32" s="74">
        <v>7070.7</v>
      </c>
      <c r="I32" s="3"/>
      <c r="J32" s="3"/>
    </row>
    <row r="33" spans="2:10" ht="15.75" x14ac:dyDescent="0.25">
      <c r="B33" s="84">
        <v>42790</v>
      </c>
      <c r="C33" s="73" t="s">
        <v>202</v>
      </c>
      <c r="D33" s="72" t="s">
        <v>8</v>
      </c>
      <c r="E33" s="77">
        <v>394</v>
      </c>
      <c r="F33" s="74">
        <v>14578</v>
      </c>
      <c r="I33" s="3"/>
      <c r="J33" s="3"/>
    </row>
    <row r="34" spans="2:10" ht="15.75" x14ac:dyDescent="0.25">
      <c r="B34" s="84">
        <v>42790</v>
      </c>
      <c r="C34" s="73" t="s">
        <v>203</v>
      </c>
      <c r="D34" s="72" t="s">
        <v>14</v>
      </c>
      <c r="E34" s="77">
        <v>405.8</v>
      </c>
      <c r="F34" s="74">
        <v>15014.6</v>
      </c>
      <c r="I34" s="3"/>
      <c r="J34" s="3"/>
    </row>
    <row r="35" spans="2:10" ht="15.75" x14ac:dyDescent="0.25">
      <c r="B35" s="84">
        <v>42790</v>
      </c>
      <c r="C35" s="73" t="s">
        <v>204</v>
      </c>
      <c r="D35" s="72" t="s">
        <v>7</v>
      </c>
      <c r="E35" s="77">
        <v>395.4</v>
      </c>
      <c r="F35" s="74">
        <v>14629.8</v>
      </c>
      <c r="I35" s="3"/>
      <c r="J35" s="3"/>
    </row>
    <row r="36" spans="2:10" ht="15.75" x14ac:dyDescent="0.25">
      <c r="B36" s="84">
        <v>42790</v>
      </c>
      <c r="C36" s="73" t="s">
        <v>205</v>
      </c>
      <c r="D36" s="72" t="s">
        <v>12</v>
      </c>
      <c r="E36" s="77">
        <v>347.2</v>
      </c>
      <c r="F36" s="74">
        <v>12846.4</v>
      </c>
      <c r="I36" s="3"/>
      <c r="J36" s="3"/>
    </row>
    <row r="37" spans="2:10" ht="15.75" x14ac:dyDescent="0.25">
      <c r="B37" s="84">
        <v>42790</v>
      </c>
      <c r="C37" s="73" t="s">
        <v>206</v>
      </c>
      <c r="D37" s="72" t="s">
        <v>11</v>
      </c>
      <c r="E37" s="77">
        <v>74.8</v>
      </c>
      <c r="F37" s="74">
        <v>2767.6</v>
      </c>
      <c r="I37" s="3"/>
      <c r="J37" s="3"/>
    </row>
    <row r="38" spans="2:10" ht="15.75" x14ac:dyDescent="0.25">
      <c r="B38" s="84">
        <v>42790</v>
      </c>
      <c r="C38" s="73" t="s">
        <v>207</v>
      </c>
      <c r="D38" s="72" t="s">
        <v>8</v>
      </c>
      <c r="E38" s="77">
        <v>212.8</v>
      </c>
      <c r="F38" s="74">
        <v>3617.6</v>
      </c>
      <c r="I38" s="3"/>
      <c r="J38" s="3"/>
    </row>
    <row r="39" spans="2:10" ht="15.75" x14ac:dyDescent="0.25">
      <c r="B39" s="84">
        <v>42790</v>
      </c>
      <c r="C39" s="73" t="s">
        <v>208</v>
      </c>
      <c r="D39" s="72" t="s">
        <v>10</v>
      </c>
      <c r="E39" s="77">
        <f>1+1</f>
        <v>2</v>
      </c>
      <c r="F39" s="74">
        <v>905</v>
      </c>
      <c r="I39" s="3"/>
      <c r="J39" s="3"/>
    </row>
    <row r="40" spans="2:10" ht="15.75" x14ac:dyDescent="0.25">
      <c r="B40" s="84">
        <v>42790</v>
      </c>
      <c r="C40" s="73" t="s">
        <v>209</v>
      </c>
      <c r="D40" s="72" t="s">
        <v>6</v>
      </c>
      <c r="E40" s="77">
        <f>64.9+29.6+159.2+74.2+11.1</f>
        <v>339</v>
      </c>
      <c r="F40" s="74">
        <v>15001.6</v>
      </c>
      <c r="I40" s="3"/>
      <c r="J40" s="3"/>
    </row>
    <row r="41" spans="2:10" ht="15.75" x14ac:dyDescent="0.25">
      <c r="B41" s="84">
        <v>42790</v>
      </c>
      <c r="C41" s="73" t="s">
        <v>210</v>
      </c>
      <c r="D41" s="72" t="s">
        <v>77</v>
      </c>
      <c r="E41" s="77">
        <v>112.4</v>
      </c>
      <c r="F41" s="74">
        <v>3934</v>
      </c>
      <c r="I41" s="3"/>
      <c r="J41" s="3"/>
    </row>
    <row r="42" spans="2:10" ht="15.75" x14ac:dyDescent="0.25">
      <c r="B42" s="84">
        <v>42790</v>
      </c>
      <c r="C42" s="73" t="s">
        <v>211</v>
      </c>
      <c r="D42" s="72" t="s">
        <v>13</v>
      </c>
      <c r="E42" s="77">
        <v>17.100000000000001</v>
      </c>
      <c r="F42" s="74">
        <v>444.6</v>
      </c>
      <c r="I42" s="3"/>
      <c r="J42" s="3"/>
    </row>
    <row r="43" spans="2:10" ht="15.75" x14ac:dyDescent="0.25">
      <c r="B43" s="84">
        <v>42790</v>
      </c>
      <c r="C43" s="73" t="s">
        <v>212</v>
      </c>
      <c r="D43" s="72" t="s">
        <v>91</v>
      </c>
      <c r="E43" s="77">
        <f>41.9+53.2+23.8</f>
        <v>118.89999999999999</v>
      </c>
      <c r="F43" s="74">
        <v>2751.6</v>
      </c>
      <c r="I43" s="3"/>
      <c r="J43" s="3"/>
    </row>
    <row r="44" spans="2:10" ht="15.75" x14ac:dyDescent="0.25">
      <c r="B44" s="84">
        <v>42791</v>
      </c>
      <c r="C44" s="73" t="s">
        <v>213</v>
      </c>
      <c r="D44" s="72" t="s">
        <v>8</v>
      </c>
      <c r="E44" s="77">
        <v>375.3</v>
      </c>
      <c r="F44" s="74">
        <v>13886.1</v>
      </c>
      <c r="I44" s="3"/>
      <c r="J44" s="3"/>
    </row>
    <row r="45" spans="2:10" ht="15.75" x14ac:dyDescent="0.25">
      <c r="B45" s="84">
        <v>42791</v>
      </c>
      <c r="C45" s="73" t="s">
        <v>214</v>
      </c>
      <c r="D45" s="72" t="s">
        <v>14</v>
      </c>
      <c r="E45" s="77">
        <v>387.3</v>
      </c>
      <c r="F45" s="74">
        <v>14330.1</v>
      </c>
      <c r="I45" s="3"/>
      <c r="J45" s="3"/>
    </row>
    <row r="46" spans="2:10" ht="15.75" x14ac:dyDescent="0.25">
      <c r="B46" s="84">
        <v>42791</v>
      </c>
      <c r="C46" s="73" t="s">
        <v>215</v>
      </c>
      <c r="D46" s="72" t="s">
        <v>10</v>
      </c>
      <c r="E46" s="77">
        <v>85.3</v>
      </c>
      <c r="F46" s="74">
        <v>3156.1</v>
      </c>
      <c r="I46" s="3"/>
      <c r="J46" s="3"/>
    </row>
    <row r="47" spans="2:10" ht="15.75" x14ac:dyDescent="0.25">
      <c r="B47" s="84">
        <v>42791</v>
      </c>
      <c r="C47" s="73" t="s">
        <v>216</v>
      </c>
      <c r="D47" s="72" t="s">
        <v>13</v>
      </c>
      <c r="E47" s="77">
        <v>75.7</v>
      </c>
      <c r="F47" s="74">
        <v>2800.9</v>
      </c>
      <c r="I47" s="3"/>
      <c r="J47" s="3"/>
    </row>
    <row r="48" spans="2:10" ht="15.75" x14ac:dyDescent="0.25">
      <c r="B48" s="84">
        <v>42791</v>
      </c>
      <c r="C48" s="73" t="s">
        <v>217</v>
      </c>
      <c r="D48" s="72" t="s">
        <v>91</v>
      </c>
      <c r="E48" s="77">
        <f>929.9+62.8+43.2</f>
        <v>1035.8999999999999</v>
      </c>
      <c r="F48" s="74">
        <v>34137</v>
      </c>
      <c r="I48" s="3"/>
      <c r="J48" s="3"/>
    </row>
    <row r="49" spans="2:13" ht="15.75" x14ac:dyDescent="0.25">
      <c r="B49" s="84">
        <v>42791</v>
      </c>
      <c r="C49" s="73" t="s">
        <v>218</v>
      </c>
      <c r="D49" s="72" t="s">
        <v>77</v>
      </c>
      <c r="E49" s="77">
        <f>174+69.7</f>
        <v>243.7</v>
      </c>
      <c r="F49" s="74">
        <v>9505.2999999999993</v>
      </c>
      <c r="I49" s="3"/>
      <c r="J49" s="3"/>
    </row>
    <row r="50" spans="2:13" ht="15.75" x14ac:dyDescent="0.25">
      <c r="B50" s="84">
        <v>42791</v>
      </c>
      <c r="C50" s="73" t="s">
        <v>219</v>
      </c>
      <c r="D50" s="72" t="s">
        <v>8</v>
      </c>
      <c r="E50" s="77">
        <v>17.399999999999999</v>
      </c>
      <c r="F50" s="74">
        <v>452.4</v>
      </c>
      <c r="I50" s="3"/>
      <c r="J50" s="3"/>
    </row>
    <row r="51" spans="2:13" ht="15.75" x14ac:dyDescent="0.25">
      <c r="B51" s="84">
        <v>42791</v>
      </c>
      <c r="C51" s="73" t="s">
        <v>220</v>
      </c>
      <c r="D51" s="72" t="s">
        <v>6</v>
      </c>
      <c r="E51" s="77">
        <f>20.56+94.7+10.1+8.6</f>
        <v>133.96</v>
      </c>
      <c r="F51" s="74">
        <v>6148.12</v>
      </c>
      <c r="I51" s="3"/>
      <c r="J51" s="3"/>
    </row>
    <row r="52" spans="2:13" ht="15.75" x14ac:dyDescent="0.25">
      <c r="B52" s="84">
        <v>42791</v>
      </c>
      <c r="C52" s="73" t="s">
        <v>221</v>
      </c>
      <c r="D52" s="72" t="s">
        <v>8</v>
      </c>
      <c r="E52" s="77">
        <v>127.4</v>
      </c>
      <c r="F52" s="74">
        <v>4459</v>
      </c>
      <c r="I52" s="3"/>
      <c r="J52" s="3"/>
    </row>
    <row r="53" spans="2:13" ht="16.5" thickBot="1" x14ac:dyDescent="0.3">
      <c r="B53" s="84">
        <v>42791</v>
      </c>
      <c r="C53" s="73" t="s">
        <v>223</v>
      </c>
      <c r="D53" s="72" t="s">
        <v>7</v>
      </c>
      <c r="E53" s="77">
        <v>116.4</v>
      </c>
      <c r="F53" s="74">
        <v>2328</v>
      </c>
      <c r="I53" s="3"/>
      <c r="J53" s="3"/>
    </row>
    <row r="54" spans="2:13" ht="15.75" thickBot="1" x14ac:dyDescent="0.3">
      <c r="B54" s="29" t="s">
        <v>9</v>
      </c>
      <c r="C54" s="66"/>
      <c r="D54" s="31"/>
      <c r="E54" s="32">
        <v>0</v>
      </c>
      <c r="F54" s="33">
        <f>SUM(F3:F53)</f>
        <v>439253.71999999986</v>
      </c>
      <c r="K54" s="3">
        <f t="shared" ref="K54:K55" si="2">J54*I54</f>
        <v>0</v>
      </c>
    </row>
    <row r="55" spans="2:13" ht="19.5" thickBot="1" x14ac:dyDescent="0.35">
      <c r="B55" s="34"/>
      <c r="C55" s="67"/>
      <c r="D55" s="36" t="s">
        <v>5</v>
      </c>
      <c r="E55" s="37">
        <f>SUM(E3:E54)</f>
        <v>12052.689999999995</v>
      </c>
      <c r="I55" s="38"/>
      <c r="J55" s="38"/>
      <c r="K55" s="3">
        <f t="shared" si="2"/>
        <v>0</v>
      </c>
    </row>
    <row r="56" spans="2:13" x14ac:dyDescent="0.25">
      <c r="B56" s="34"/>
      <c r="C56" s="67"/>
      <c r="D56" s="26"/>
      <c r="E56" s="39"/>
      <c r="I56" s="38">
        <f>SUM(I54:I55)</f>
        <v>0</v>
      </c>
      <c r="J56" s="38"/>
      <c r="K56" s="38">
        <f>SUM(K54:K55)</f>
        <v>0</v>
      </c>
    </row>
    <row r="57" spans="2:13" ht="21.75" thickBot="1" x14ac:dyDescent="0.4">
      <c r="B57" s="40"/>
      <c r="C57" s="41" t="s">
        <v>15</v>
      </c>
      <c r="D57" s="42">
        <f>E55*0.2</f>
        <v>2410.5379999999991</v>
      </c>
      <c r="F57"/>
      <c r="K57"/>
    </row>
    <row r="58" spans="2:13" ht="21.75" thickBot="1" x14ac:dyDescent="0.4">
      <c r="C58" s="41" t="s">
        <v>16</v>
      </c>
      <c r="D58" s="44">
        <v>3400</v>
      </c>
      <c r="E58" s="45"/>
      <c r="F58" s="258">
        <f>D57+D58</f>
        <v>5810.5379999999986</v>
      </c>
      <c r="G58" s="259"/>
      <c r="I58" s="46"/>
      <c r="J58" s="46"/>
      <c r="K58" s="46"/>
      <c r="L58" s="46"/>
      <c r="M58" s="46"/>
    </row>
    <row r="59" spans="2:13" ht="17.25" thickTop="1" thickBot="1" x14ac:dyDescent="0.3">
      <c r="E59" s="47" t="s">
        <v>17</v>
      </c>
      <c r="G59" s="48">
        <v>-3400</v>
      </c>
      <c r="I59" s="46"/>
      <c r="J59" s="46"/>
      <c r="K59" s="49"/>
      <c r="L59" s="49"/>
      <c r="M59" s="49"/>
    </row>
    <row r="60" spans="2:13" ht="19.5" thickBot="1" x14ac:dyDescent="0.35">
      <c r="C60" s="50" t="s">
        <v>94</v>
      </c>
      <c r="D60" s="51" t="s">
        <v>257</v>
      </c>
      <c r="E60" s="47" t="s">
        <v>17</v>
      </c>
      <c r="F60" s="260">
        <v>-1500</v>
      </c>
      <c r="G60" s="260"/>
      <c r="I60" s="46"/>
      <c r="J60" s="46"/>
      <c r="K60" s="49"/>
      <c r="L60" s="49"/>
      <c r="M60" s="49"/>
    </row>
    <row r="61" spans="2:13" ht="17.25" thickTop="1" thickBot="1" x14ac:dyDescent="0.3">
      <c r="C61" s="52" t="s">
        <v>18</v>
      </c>
      <c r="D61" s="94" t="s">
        <v>9</v>
      </c>
      <c r="F61" s="261">
        <f>SUM(F58:G60)</f>
        <v>910.53799999999865</v>
      </c>
      <c r="G61" s="261"/>
      <c r="I61" s="46"/>
      <c r="J61" s="46"/>
      <c r="K61" s="49"/>
      <c r="L61" s="49"/>
      <c r="M61" s="49"/>
    </row>
    <row r="62" spans="2:13" ht="15.75" customHeight="1" thickBot="1" x14ac:dyDescent="0.35">
      <c r="E62" s="2" t="s">
        <v>19</v>
      </c>
      <c r="F62" s="262"/>
      <c r="G62" s="262"/>
      <c r="K62"/>
    </row>
  </sheetData>
  <mergeCells count="4">
    <mergeCell ref="B1:C1"/>
    <mergeCell ref="F58:G58"/>
    <mergeCell ref="F60:G60"/>
    <mergeCell ref="F61:G62"/>
  </mergeCells>
  <pageMargins left="0.51181102362204722" right="0.11811023622047245" top="0.74803149606299213" bottom="0.74803149606299213" header="0.31496062992125984" footer="0.31496062992125984"/>
  <pageSetup scale="90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3"/>
  <sheetViews>
    <sheetView workbookViewId="0">
      <pane ySplit="2" topLeftCell="A3" activePane="bottomLeft" state="frozen"/>
      <selection pane="bottomLeft" activeCell="F3" sqref="F3"/>
    </sheetView>
  </sheetViews>
  <sheetFormatPr baseColWidth="10" defaultRowHeight="15" x14ac:dyDescent="0.25"/>
  <cols>
    <col min="1" max="1" width="3.42578125" customWidth="1"/>
    <col min="2" max="2" width="13.42578125" style="96" bestFit="1" customWidth="1"/>
    <col min="3" max="3" width="13.7109375" style="41" customWidth="1"/>
    <col min="4" max="4" width="33.5703125" customWidth="1"/>
    <col min="5" max="5" width="12" bestFit="1" customWidth="1"/>
    <col min="6" max="6" width="14.140625" style="3" bestFit="1" customWidth="1"/>
    <col min="7" max="7" width="15.7109375" customWidth="1"/>
    <col min="11" max="11" width="11.42578125" style="3"/>
  </cols>
  <sheetData>
    <row r="1" spans="2:11" ht="19.5" thickBot="1" x14ac:dyDescent="0.35">
      <c r="B1" s="257">
        <v>42803</v>
      </c>
      <c r="C1" s="257"/>
      <c r="D1" s="113" t="s">
        <v>0</v>
      </c>
      <c r="E1" s="2" t="s">
        <v>1</v>
      </c>
      <c r="K1"/>
    </row>
    <row r="2" spans="2:11" ht="19.5" thickBot="1" x14ac:dyDescent="0.35">
      <c r="B2" s="95" t="s">
        <v>2</v>
      </c>
      <c r="C2" s="5" t="s">
        <v>3</v>
      </c>
      <c r="D2" s="5" t="s">
        <v>4</v>
      </c>
      <c r="E2" s="6" t="s">
        <v>5</v>
      </c>
      <c r="F2" s="7" t="s">
        <v>259</v>
      </c>
      <c r="G2" s="8"/>
      <c r="K2"/>
    </row>
    <row r="3" spans="2:11" ht="15.75" x14ac:dyDescent="0.25">
      <c r="B3" s="83">
        <v>42793</v>
      </c>
      <c r="C3" s="69" t="s">
        <v>224</v>
      </c>
      <c r="D3" s="70" t="s">
        <v>86</v>
      </c>
      <c r="E3" s="76">
        <f>308.6+204.6+90.6</f>
        <v>603.80000000000007</v>
      </c>
      <c r="F3" s="71">
        <v>31545.200000000001</v>
      </c>
      <c r="K3"/>
    </row>
    <row r="4" spans="2:11" ht="15.75" x14ac:dyDescent="0.25">
      <c r="B4" s="84">
        <v>42793</v>
      </c>
      <c r="C4" s="73" t="s">
        <v>225</v>
      </c>
      <c r="D4" s="72" t="s">
        <v>34</v>
      </c>
      <c r="E4" s="77">
        <f>105.9+123.4</f>
        <v>229.3</v>
      </c>
      <c r="F4" s="74">
        <v>9190.4</v>
      </c>
      <c r="K4"/>
    </row>
    <row r="5" spans="2:11" ht="15.75" x14ac:dyDescent="0.25">
      <c r="B5" s="84">
        <v>42794</v>
      </c>
      <c r="C5" s="73" t="s">
        <v>226</v>
      </c>
      <c r="D5" s="72" t="s">
        <v>34</v>
      </c>
      <c r="E5" s="77">
        <v>438.5</v>
      </c>
      <c r="F5" s="74">
        <v>15786</v>
      </c>
      <c r="K5"/>
    </row>
    <row r="6" spans="2:11" ht="15.75" x14ac:dyDescent="0.25">
      <c r="B6" s="84">
        <v>42794</v>
      </c>
      <c r="C6" s="73" t="s">
        <v>227</v>
      </c>
      <c r="D6" s="72" t="s">
        <v>14</v>
      </c>
      <c r="E6" s="77">
        <v>443.1</v>
      </c>
      <c r="F6" s="74">
        <v>15951.6</v>
      </c>
      <c r="G6" t="s">
        <v>9</v>
      </c>
      <c r="K6" s="3">
        <f t="shared" ref="K6:K16" si="0">J6*I6</f>
        <v>0</v>
      </c>
    </row>
    <row r="7" spans="2:11" ht="15.75" x14ac:dyDescent="0.25">
      <c r="B7" s="84">
        <v>42794</v>
      </c>
      <c r="C7" s="73" t="s">
        <v>228</v>
      </c>
      <c r="D7" s="72" t="s">
        <v>7</v>
      </c>
      <c r="E7" s="77">
        <v>95.2</v>
      </c>
      <c r="F7" s="74">
        <v>1618.4</v>
      </c>
      <c r="K7" s="3">
        <f t="shared" si="0"/>
        <v>0</v>
      </c>
    </row>
    <row r="8" spans="2:11" ht="15.75" x14ac:dyDescent="0.25">
      <c r="B8" s="84">
        <v>42794</v>
      </c>
      <c r="C8" s="73" t="s">
        <v>229</v>
      </c>
      <c r="D8" s="72" t="s">
        <v>10</v>
      </c>
      <c r="E8" s="77">
        <v>35.299999999999997</v>
      </c>
      <c r="F8" s="74">
        <v>1906.2</v>
      </c>
      <c r="K8" s="3">
        <f t="shared" si="0"/>
        <v>0</v>
      </c>
    </row>
    <row r="9" spans="2:11" ht="15.75" x14ac:dyDescent="0.25">
      <c r="B9" s="84">
        <v>42794</v>
      </c>
      <c r="C9" s="73" t="s">
        <v>230</v>
      </c>
      <c r="D9" s="72" t="s">
        <v>24</v>
      </c>
      <c r="E9" s="77">
        <f>19.3+40.3+47.1</f>
        <v>106.69999999999999</v>
      </c>
      <c r="F9" s="74">
        <v>2469.4</v>
      </c>
      <c r="K9" s="3">
        <f t="shared" si="0"/>
        <v>0</v>
      </c>
    </row>
    <row r="10" spans="2:11" ht="15.75" x14ac:dyDescent="0.25">
      <c r="B10" s="84">
        <v>42796</v>
      </c>
      <c r="C10" s="73" t="s">
        <v>231</v>
      </c>
      <c r="D10" s="72" t="s">
        <v>34</v>
      </c>
      <c r="E10" s="77">
        <f>330.4+8.3</f>
        <v>338.7</v>
      </c>
      <c r="F10" s="74">
        <v>12707.8</v>
      </c>
      <c r="K10" s="3">
        <f t="shared" si="0"/>
        <v>0</v>
      </c>
    </row>
    <row r="11" spans="2:11" ht="15.75" x14ac:dyDescent="0.25">
      <c r="B11" s="84">
        <v>42796</v>
      </c>
      <c r="C11" s="73" t="s">
        <v>232</v>
      </c>
      <c r="D11" s="72" t="s">
        <v>14</v>
      </c>
      <c r="E11" s="77">
        <v>299.60000000000002</v>
      </c>
      <c r="F11" s="74">
        <v>11085.2</v>
      </c>
      <c r="K11" s="3">
        <f t="shared" si="0"/>
        <v>0</v>
      </c>
    </row>
    <row r="12" spans="2:11" ht="15.75" x14ac:dyDescent="0.25">
      <c r="B12" s="84">
        <v>42796</v>
      </c>
      <c r="C12" s="73" t="s">
        <v>233</v>
      </c>
      <c r="D12" s="72" t="s">
        <v>24</v>
      </c>
      <c r="E12" s="77">
        <f>882.7+12.6+50.6</f>
        <v>945.90000000000009</v>
      </c>
      <c r="F12" s="74">
        <v>30506.9</v>
      </c>
      <c r="K12" s="3">
        <f t="shared" si="0"/>
        <v>0</v>
      </c>
    </row>
    <row r="13" spans="2:11" ht="15.75" x14ac:dyDescent="0.25">
      <c r="B13" s="84">
        <v>42796</v>
      </c>
      <c r="C13" s="73" t="s">
        <v>234</v>
      </c>
      <c r="D13" s="72" t="s">
        <v>13</v>
      </c>
      <c r="E13" s="77">
        <v>83.4</v>
      </c>
      <c r="F13" s="74">
        <v>3002.4</v>
      </c>
      <c r="K13" s="3">
        <f t="shared" si="0"/>
        <v>0</v>
      </c>
    </row>
    <row r="14" spans="2:11" ht="15.75" x14ac:dyDescent="0.25">
      <c r="B14" s="84">
        <v>42796</v>
      </c>
      <c r="C14" s="73" t="s">
        <v>235</v>
      </c>
      <c r="D14" s="72" t="s">
        <v>12</v>
      </c>
      <c r="E14" s="77">
        <v>268.10000000000002</v>
      </c>
      <c r="F14" s="74">
        <v>9651.6</v>
      </c>
      <c r="K14" s="3">
        <f t="shared" si="0"/>
        <v>0</v>
      </c>
    </row>
    <row r="15" spans="2:11" ht="15.75" x14ac:dyDescent="0.25">
      <c r="B15" s="84">
        <v>42796</v>
      </c>
      <c r="C15" s="73" t="s">
        <v>236</v>
      </c>
      <c r="D15" s="72" t="s">
        <v>77</v>
      </c>
      <c r="E15" s="77">
        <v>118.8</v>
      </c>
      <c r="F15" s="74">
        <v>4039.2</v>
      </c>
      <c r="K15" s="3">
        <f t="shared" si="0"/>
        <v>0</v>
      </c>
    </row>
    <row r="16" spans="2:11" ht="15.75" x14ac:dyDescent="0.25">
      <c r="B16" s="84">
        <v>42796</v>
      </c>
      <c r="C16" s="73" t="s">
        <v>237</v>
      </c>
      <c r="D16" s="72" t="s">
        <v>10</v>
      </c>
      <c r="E16" s="77">
        <v>13.1</v>
      </c>
      <c r="F16" s="74">
        <v>1283.8</v>
      </c>
      <c r="K16" s="3">
        <f t="shared" si="0"/>
        <v>0</v>
      </c>
    </row>
    <row r="17" spans="2:11" ht="15.75" x14ac:dyDescent="0.25">
      <c r="B17" s="84">
        <v>42796</v>
      </c>
      <c r="C17" s="73" t="s">
        <v>238</v>
      </c>
      <c r="D17" s="72" t="s">
        <v>7</v>
      </c>
      <c r="E17" s="77">
        <f>101.4+131.4</f>
        <v>232.8</v>
      </c>
      <c r="F17" s="74">
        <v>9132</v>
      </c>
      <c r="I17" s="3">
        <f t="shared" ref="I17" si="1">SUM(I6:I16)</f>
        <v>0</v>
      </c>
      <c r="J17" s="3"/>
      <c r="K17" s="3">
        <f>SUM(K6:K16)</f>
        <v>0</v>
      </c>
    </row>
    <row r="18" spans="2:11" ht="15.75" x14ac:dyDescent="0.25">
      <c r="B18" s="84">
        <v>42797</v>
      </c>
      <c r="C18" s="73" t="s">
        <v>239</v>
      </c>
      <c r="D18" s="72" t="s">
        <v>34</v>
      </c>
      <c r="E18" s="77">
        <v>392.3</v>
      </c>
      <c r="F18" s="74">
        <v>14122.8</v>
      </c>
      <c r="I18" s="3"/>
      <c r="J18" s="3"/>
    </row>
    <row r="19" spans="2:11" ht="15.75" x14ac:dyDescent="0.25">
      <c r="B19" s="84">
        <v>42797</v>
      </c>
      <c r="C19" s="73" t="s">
        <v>240</v>
      </c>
      <c r="D19" s="72" t="s">
        <v>14</v>
      </c>
      <c r="E19" s="77">
        <v>372.7</v>
      </c>
      <c r="F19" s="74">
        <v>13417.2</v>
      </c>
      <c r="I19" s="3"/>
      <c r="J19" s="3"/>
    </row>
    <row r="20" spans="2:11" ht="15.75" x14ac:dyDescent="0.25">
      <c r="B20" s="84">
        <v>42797</v>
      </c>
      <c r="C20" s="73" t="s">
        <v>241</v>
      </c>
      <c r="D20" s="72" t="s">
        <v>10</v>
      </c>
      <c r="E20" s="77">
        <v>79.5</v>
      </c>
      <c r="F20" s="74">
        <v>2862</v>
      </c>
      <c r="I20" s="3"/>
      <c r="J20" s="3"/>
    </row>
    <row r="21" spans="2:11" ht="15.75" x14ac:dyDescent="0.25">
      <c r="B21" s="84">
        <v>42797</v>
      </c>
      <c r="C21" s="73" t="s">
        <v>242</v>
      </c>
      <c r="D21" s="72" t="s">
        <v>13</v>
      </c>
      <c r="E21" s="77">
        <v>82.6</v>
      </c>
      <c r="F21" s="74">
        <v>2973.6</v>
      </c>
      <c r="I21" s="3"/>
      <c r="J21" s="3"/>
    </row>
    <row r="22" spans="2:11" ht="15.75" x14ac:dyDescent="0.25">
      <c r="B22" s="84">
        <v>42797</v>
      </c>
      <c r="C22" s="73" t="s">
        <v>243</v>
      </c>
      <c r="D22" s="72" t="s">
        <v>24</v>
      </c>
      <c r="E22" s="77">
        <f>71.7+13.61</f>
        <v>85.31</v>
      </c>
      <c r="F22" s="74">
        <v>3370.58</v>
      </c>
      <c r="I22" s="3"/>
      <c r="J22" s="3"/>
    </row>
    <row r="23" spans="2:11" ht="15.75" x14ac:dyDescent="0.25">
      <c r="B23" s="84">
        <v>42797</v>
      </c>
      <c r="C23" s="73" t="s">
        <v>244</v>
      </c>
      <c r="D23" s="72" t="s">
        <v>77</v>
      </c>
      <c r="E23" s="77">
        <f>233.2+39.3</f>
        <v>272.5</v>
      </c>
      <c r="F23" s="74">
        <v>10713.9</v>
      </c>
      <c r="I23" s="3"/>
      <c r="J23" s="3"/>
    </row>
    <row r="24" spans="2:11" ht="15.75" x14ac:dyDescent="0.25">
      <c r="B24" s="84">
        <v>42797</v>
      </c>
      <c r="C24" s="73" t="s">
        <v>245</v>
      </c>
      <c r="D24" s="72" t="s">
        <v>6</v>
      </c>
      <c r="E24" s="77">
        <f>214.5+80.9+9.8+15.5</f>
        <v>320.7</v>
      </c>
      <c r="F24" s="74">
        <v>14117.6</v>
      </c>
      <c r="I24" s="3"/>
      <c r="J24" s="3"/>
    </row>
    <row r="25" spans="2:11" ht="15.75" x14ac:dyDescent="0.25">
      <c r="B25" s="84">
        <v>42797</v>
      </c>
      <c r="C25" s="73" t="s">
        <v>246</v>
      </c>
      <c r="D25" s="72" t="s">
        <v>7</v>
      </c>
      <c r="E25" s="77">
        <f>85.2+125.8+95+36.4</f>
        <v>342.4</v>
      </c>
      <c r="F25" s="74">
        <v>12832.6</v>
      </c>
      <c r="I25" s="3"/>
      <c r="J25" s="3"/>
    </row>
    <row r="26" spans="2:11" ht="15.75" x14ac:dyDescent="0.25">
      <c r="B26" s="84">
        <v>42797</v>
      </c>
      <c r="C26" s="73" t="s">
        <v>247</v>
      </c>
      <c r="D26" s="72" t="s">
        <v>248</v>
      </c>
      <c r="E26" s="77">
        <f>174+42.2</f>
        <v>216.2</v>
      </c>
      <c r="F26" s="74">
        <v>7983.8</v>
      </c>
      <c r="I26" s="3"/>
      <c r="J26" s="3"/>
    </row>
    <row r="27" spans="2:11" ht="15.75" x14ac:dyDescent="0.25">
      <c r="B27" s="84">
        <v>42798</v>
      </c>
      <c r="C27" s="73" t="s">
        <v>249</v>
      </c>
      <c r="D27" s="72" t="s">
        <v>34</v>
      </c>
      <c r="E27" s="77">
        <v>187.7</v>
      </c>
      <c r="F27" s="74">
        <v>6757.2</v>
      </c>
      <c r="I27" s="3"/>
      <c r="J27" s="3"/>
    </row>
    <row r="28" spans="2:11" ht="15.75" x14ac:dyDescent="0.25">
      <c r="B28" s="84">
        <v>42798</v>
      </c>
      <c r="C28" s="73" t="s">
        <v>250</v>
      </c>
      <c r="D28" s="72" t="s">
        <v>34</v>
      </c>
      <c r="E28" s="77">
        <f>961.4+62.8</f>
        <v>1024.2</v>
      </c>
      <c r="F28" s="74">
        <v>38755.199999999997</v>
      </c>
      <c r="I28" s="3"/>
      <c r="J28" s="3"/>
    </row>
    <row r="29" spans="2:11" ht="15.75" x14ac:dyDescent="0.25">
      <c r="B29" s="84">
        <v>42800</v>
      </c>
      <c r="C29" s="73" t="s">
        <v>251</v>
      </c>
      <c r="D29" s="72" t="s">
        <v>34</v>
      </c>
      <c r="E29" s="77">
        <f>197.96+113.6</f>
        <v>311.56</v>
      </c>
      <c r="F29" s="74">
        <v>12968.56</v>
      </c>
      <c r="I29" s="3"/>
      <c r="J29" s="3"/>
    </row>
    <row r="30" spans="2:11" ht="15.75" x14ac:dyDescent="0.25">
      <c r="B30" s="84">
        <v>42800</v>
      </c>
      <c r="C30" s="73" t="s">
        <v>252</v>
      </c>
      <c r="D30" s="72" t="s">
        <v>24</v>
      </c>
      <c r="E30" s="77">
        <v>468.4</v>
      </c>
      <c r="F30" s="74">
        <v>15691.4</v>
      </c>
      <c r="I30" s="3"/>
      <c r="J30" s="3"/>
    </row>
    <row r="31" spans="2:11" ht="15.75" x14ac:dyDescent="0.25">
      <c r="B31" s="84">
        <v>42800</v>
      </c>
      <c r="C31" s="73" t="s">
        <v>253</v>
      </c>
      <c r="D31" s="72" t="s">
        <v>248</v>
      </c>
      <c r="E31" s="77">
        <f>143.4+53.4</f>
        <v>196.8</v>
      </c>
      <c r="F31" s="74">
        <v>7545.6</v>
      </c>
      <c r="I31" s="3"/>
      <c r="J31" s="3"/>
    </row>
    <row r="32" spans="2:11" ht="15.75" x14ac:dyDescent="0.25">
      <c r="B32" s="84">
        <v>42801</v>
      </c>
      <c r="C32" s="73" t="s">
        <v>254</v>
      </c>
      <c r="D32" s="72" t="s">
        <v>34</v>
      </c>
      <c r="E32" s="77">
        <v>420.7</v>
      </c>
      <c r="F32" s="74">
        <v>15145.2</v>
      </c>
      <c r="I32" s="3"/>
      <c r="J32" s="3"/>
    </row>
    <row r="33" spans="2:13" ht="15.75" x14ac:dyDescent="0.25">
      <c r="B33" s="84">
        <v>42801</v>
      </c>
      <c r="C33" s="73" t="s">
        <v>255</v>
      </c>
      <c r="D33" s="72" t="s">
        <v>10</v>
      </c>
      <c r="E33" s="77">
        <v>83.9</v>
      </c>
      <c r="F33" s="74">
        <v>3020.4</v>
      </c>
      <c r="I33" s="3"/>
      <c r="J33" s="3"/>
    </row>
    <row r="34" spans="2:13" ht="16.5" thickBot="1" x14ac:dyDescent="0.3">
      <c r="B34" s="84">
        <v>42801</v>
      </c>
      <c r="C34" s="73" t="s">
        <v>256</v>
      </c>
      <c r="D34" s="72" t="s">
        <v>13</v>
      </c>
      <c r="E34" s="77">
        <v>13.7</v>
      </c>
      <c r="F34" s="74">
        <v>808.3</v>
      </c>
      <c r="I34" s="3"/>
      <c r="J34" s="3"/>
    </row>
    <row r="35" spans="2:13" ht="15.75" thickBot="1" x14ac:dyDescent="0.3">
      <c r="B35" s="29" t="s">
        <v>9</v>
      </c>
      <c r="C35" s="66"/>
      <c r="D35" s="31"/>
      <c r="E35" s="32">
        <v>0</v>
      </c>
      <c r="F35" s="33">
        <f>SUM(F3:F34)</f>
        <v>342962.04</v>
      </c>
      <c r="K35" s="3">
        <f t="shared" ref="K35:K36" si="2">J35*I35</f>
        <v>0</v>
      </c>
    </row>
    <row r="36" spans="2:13" ht="19.5" thickBot="1" x14ac:dyDescent="0.35">
      <c r="B36" s="34"/>
      <c r="C36" s="67"/>
      <c r="D36" s="36" t="s">
        <v>5</v>
      </c>
      <c r="E36" s="37">
        <f>SUM(E3:E35)</f>
        <v>9123.4700000000012</v>
      </c>
      <c r="I36" s="38"/>
      <c r="J36" s="38"/>
      <c r="K36" s="3">
        <f t="shared" si="2"/>
        <v>0</v>
      </c>
    </row>
    <row r="37" spans="2:13" x14ac:dyDescent="0.25">
      <c r="B37" s="34"/>
      <c r="C37" s="67"/>
      <c r="D37" s="26"/>
      <c r="E37" s="39"/>
      <c r="I37" s="38">
        <f>SUM(I35:I36)</f>
        <v>0</v>
      </c>
      <c r="J37" s="38"/>
      <c r="K37" s="38">
        <f>SUM(K35:K36)</f>
        <v>0</v>
      </c>
    </row>
    <row r="38" spans="2:13" ht="21.75" thickBot="1" x14ac:dyDescent="0.4">
      <c r="B38" s="40"/>
      <c r="C38" s="41" t="s">
        <v>15</v>
      </c>
      <c r="D38" s="42">
        <f>E36*0.2</f>
        <v>1824.6940000000004</v>
      </c>
      <c r="F38"/>
      <c r="K38"/>
    </row>
    <row r="39" spans="2:13" ht="21.75" thickBot="1" x14ac:dyDescent="0.4">
      <c r="C39" s="41" t="s">
        <v>16</v>
      </c>
      <c r="D39" s="44">
        <v>3400</v>
      </c>
      <c r="E39" s="45"/>
      <c r="F39" s="258">
        <f>D38+D39</f>
        <v>5224.6940000000004</v>
      </c>
      <c r="G39" s="259"/>
      <c r="I39" s="46"/>
      <c r="J39" s="46"/>
      <c r="K39" s="46"/>
      <c r="L39" s="46"/>
      <c r="M39" s="46"/>
    </row>
    <row r="40" spans="2:13" ht="17.25" thickTop="1" thickBot="1" x14ac:dyDescent="0.3">
      <c r="E40" s="47" t="s">
        <v>17</v>
      </c>
      <c r="G40" s="48">
        <v>-1500</v>
      </c>
      <c r="I40" s="46"/>
      <c r="J40" s="46"/>
      <c r="K40" s="49"/>
      <c r="L40" s="49"/>
      <c r="M40" s="49"/>
    </row>
    <row r="41" spans="2:13" ht="19.5" thickBot="1" x14ac:dyDescent="0.35">
      <c r="C41" s="50" t="s">
        <v>94</v>
      </c>
      <c r="D41" s="51"/>
      <c r="E41" s="47" t="s">
        <v>258</v>
      </c>
      <c r="F41" s="260">
        <v>-3724</v>
      </c>
      <c r="G41" s="260"/>
      <c r="I41" s="46"/>
      <c r="J41" s="46"/>
      <c r="K41" s="49"/>
      <c r="L41" s="49"/>
      <c r="M41" s="49"/>
    </row>
    <row r="42" spans="2:13" ht="17.25" thickTop="1" thickBot="1" x14ac:dyDescent="0.3">
      <c r="C42" s="52" t="s">
        <v>18</v>
      </c>
      <c r="D42" s="94"/>
      <c r="F42" s="261">
        <f>SUM(F39:G41)</f>
        <v>0.69400000000041473</v>
      </c>
      <c r="G42" s="261"/>
      <c r="I42" s="46"/>
      <c r="J42" s="46"/>
      <c r="K42" s="49"/>
      <c r="L42" s="49"/>
      <c r="M42" s="49"/>
    </row>
    <row r="43" spans="2:13" ht="15.75" customHeight="1" thickBot="1" x14ac:dyDescent="0.35">
      <c r="E43" s="2" t="s">
        <v>19</v>
      </c>
      <c r="F43" s="262"/>
      <c r="G43" s="262"/>
      <c r="K43"/>
    </row>
  </sheetData>
  <mergeCells count="4">
    <mergeCell ref="B1:C1"/>
    <mergeCell ref="F39:G39"/>
    <mergeCell ref="F41:G41"/>
    <mergeCell ref="F42:G43"/>
  </mergeCells>
  <pageMargins left="0.31496062992125984" right="0.11811023622047245" top="0.35433070866141736" bottom="0.15748031496062992" header="0.31496062992125984" footer="0.31496062992125984"/>
  <pageSetup scale="9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63</vt:i4>
      </vt:variant>
    </vt:vector>
  </HeadingPairs>
  <TitlesOfParts>
    <vt:vector size="63" baseType="lpstr">
      <vt:lpstr>SEMANA 01</vt:lpstr>
      <vt:lpstr>SEMANA 02</vt:lpstr>
      <vt:lpstr>SEMANA 03</vt:lpstr>
      <vt:lpstr>SEMANA 04</vt:lpstr>
      <vt:lpstr>SEMANA 05</vt:lpstr>
      <vt:lpstr>SEMANA 06</vt:lpstr>
      <vt:lpstr>SEMANA 07</vt:lpstr>
      <vt:lpstr>SEMANA 08</vt:lpstr>
      <vt:lpstr>SEMANA 09    </vt:lpstr>
      <vt:lpstr>SEMANA 10</vt:lpstr>
      <vt:lpstr>SEMANA 11     </vt:lpstr>
      <vt:lpstr>SEMANA 12    </vt:lpstr>
      <vt:lpstr>SEMANA 13</vt:lpstr>
      <vt:lpstr>SEMANA 14</vt:lpstr>
      <vt:lpstr>SEMANA  15   </vt:lpstr>
      <vt:lpstr>SEMANA 16</vt:lpstr>
      <vt:lpstr>SEMANA 17</vt:lpstr>
      <vt:lpstr>SEMANA 18</vt:lpstr>
      <vt:lpstr>SEMANA 19</vt:lpstr>
      <vt:lpstr>SEMANA 20  </vt:lpstr>
      <vt:lpstr>SEMANA 21</vt:lpstr>
      <vt:lpstr>SEMANA 22     </vt:lpstr>
      <vt:lpstr>SEMANA 23</vt:lpstr>
      <vt:lpstr>SEMANA 24</vt:lpstr>
      <vt:lpstr>SEMANA 25    </vt:lpstr>
      <vt:lpstr>SEMANA 26      </vt:lpstr>
      <vt:lpstr>SEMANA 27</vt:lpstr>
      <vt:lpstr>SEMAMANA 28      </vt:lpstr>
      <vt:lpstr>SEMANA  29  </vt:lpstr>
      <vt:lpstr>SEMANA    30   </vt:lpstr>
      <vt:lpstr>SEMANA  31    </vt:lpstr>
      <vt:lpstr>SEMANA 32      </vt:lpstr>
      <vt:lpstr>SEMANA 33   </vt:lpstr>
      <vt:lpstr>SEMANA 34</vt:lpstr>
      <vt:lpstr>SEMANA 35       </vt:lpstr>
      <vt:lpstr>SEMANA 36         </vt:lpstr>
      <vt:lpstr>SEMANA      37        </vt:lpstr>
      <vt:lpstr>SEMANA    38     </vt:lpstr>
      <vt:lpstr>SEMANA 39</vt:lpstr>
      <vt:lpstr>SEMANA 40    </vt:lpstr>
      <vt:lpstr>SEMANA   41      </vt:lpstr>
      <vt:lpstr>SEMANA   42     </vt:lpstr>
      <vt:lpstr>SEMANA    43      </vt:lpstr>
      <vt:lpstr>SEMANA      44     </vt:lpstr>
      <vt:lpstr>SEMANA    45    </vt:lpstr>
      <vt:lpstr>SEMANA   46    </vt:lpstr>
      <vt:lpstr>SEMANA  47     </vt:lpstr>
      <vt:lpstr>SEMANA    48     </vt:lpstr>
      <vt:lpstr>SEMANA  49    </vt:lpstr>
      <vt:lpstr>SEMANA     50     </vt:lpstr>
      <vt:lpstr>SEMANA    51</vt:lpstr>
      <vt:lpstr>SEMANA  52    </vt:lpstr>
      <vt:lpstr>Hoja3</vt:lpstr>
      <vt:lpstr>Hoja10</vt:lpstr>
      <vt:lpstr>Hoja11</vt:lpstr>
      <vt:lpstr>Hoja12</vt:lpstr>
      <vt:lpstr>Hoja5</vt:lpstr>
      <vt:lpstr>Hoja7</vt:lpstr>
      <vt:lpstr>Hoja8</vt:lpstr>
      <vt:lpstr>Hoja1</vt:lpstr>
      <vt:lpstr>Hoja6</vt:lpstr>
      <vt:lpstr>pagos de notas </vt:lpstr>
      <vt:lpstr>PRESTAMOS 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2018-01-05T16:43:51Z</cp:lastPrinted>
  <dcterms:created xsi:type="dcterms:W3CDTF">2017-01-12T22:22:31Z</dcterms:created>
  <dcterms:modified xsi:type="dcterms:W3CDTF">2018-02-21T22:14:32Z</dcterms:modified>
</cp:coreProperties>
</file>