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480" windowHeight="10035" firstSheet="28" activeTab="35"/>
  </bookViews>
  <sheets>
    <sheet name="SEMANA # 18" sheetId="1" r:id="rId1"/>
    <sheet name="SEMANA # 19" sheetId="2" r:id="rId2"/>
    <sheet name="SEMANA 20" sheetId="3" r:id="rId3"/>
    <sheet name="SEMANA 21" sheetId="4" r:id="rId4"/>
    <sheet name="SEMANA 22" sheetId="5" r:id="rId5"/>
    <sheet name="SEMANA 23" sheetId="6" r:id="rId6"/>
    <sheet name="SEMANA 24" sheetId="7" r:id="rId7"/>
    <sheet name="SEMANA 25" sheetId="8" r:id="rId8"/>
    <sheet name="SEMANA 26" sheetId="9" r:id="rId9"/>
    <sheet name="SEMANA 27" sheetId="10" r:id="rId10"/>
    <sheet name="SEMANA 28" sheetId="11" r:id="rId11"/>
    <sheet name="SEMANA 29" sheetId="12" r:id="rId12"/>
    <sheet name="SEMANA 30" sheetId="13" r:id="rId13"/>
    <sheet name="SEMANA 31" sheetId="14" r:id="rId14"/>
    <sheet name="SEMANA 32" sheetId="15" r:id="rId15"/>
    <sheet name="SEMANA 33" sheetId="16" r:id="rId16"/>
    <sheet name="SEMANA 34" sheetId="17" r:id="rId17"/>
    <sheet name="SEMANA 35" sheetId="18" r:id="rId18"/>
    <sheet name="SEMANA 36" sheetId="19" r:id="rId19"/>
    <sheet name="SEMANA 37" sheetId="20" r:id="rId20"/>
    <sheet name="SEMANA 38" sheetId="21" r:id="rId21"/>
    <sheet name="SEMANA 39" sheetId="22" r:id="rId22"/>
    <sheet name="SEMANA 40" sheetId="23" r:id="rId23"/>
    <sheet name="SEMANA 41" sheetId="24" r:id="rId24"/>
    <sheet name="SEMANA 42" sheetId="25" r:id="rId25"/>
    <sheet name="SEMANA 43" sheetId="26" r:id="rId26"/>
    <sheet name="SEMANA 44" sheetId="27" r:id="rId27"/>
    <sheet name="SEMANA 45" sheetId="28" r:id="rId28"/>
    <sheet name="SEMANA 46" sheetId="29" r:id="rId29"/>
    <sheet name="SEMANA 47" sheetId="30" r:id="rId30"/>
    <sheet name="SEMANA 48" sheetId="31" r:id="rId31"/>
    <sheet name="SEMANA 49" sheetId="32" r:id="rId32"/>
    <sheet name="SEMANA 50" sheetId="33" r:id="rId33"/>
    <sheet name="SEMANA 51" sheetId="34" r:id="rId34"/>
    <sheet name="SEMANA 52" sheetId="35" r:id="rId35"/>
    <sheet name="SEMANA 53" sheetId="36" r:id="rId36"/>
    <sheet name="Hoja3" sheetId="37" r:id="rId37"/>
  </sheets>
  <calcPr calcId="144525"/>
</workbook>
</file>

<file path=xl/calcChain.xml><?xml version="1.0" encoding="utf-8"?>
<calcChain xmlns="http://schemas.openxmlformats.org/spreadsheetml/2006/main">
  <c r="E57" i="36" l="1"/>
  <c r="E56" i="36"/>
  <c r="K50" i="36"/>
  <c r="E55" i="36"/>
  <c r="E52" i="36"/>
  <c r="E50" i="36"/>
  <c r="K48" i="36"/>
  <c r="K49" i="36"/>
  <c r="K51" i="36"/>
  <c r="K52" i="36"/>
  <c r="K53" i="36"/>
  <c r="K54" i="36"/>
  <c r="K55" i="36"/>
  <c r="K56" i="36"/>
  <c r="K57" i="36"/>
  <c r="K58" i="36"/>
  <c r="E49" i="36"/>
  <c r="E40" i="36"/>
  <c r="E46" i="36"/>
  <c r="K45" i="36"/>
  <c r="K46" i="36"/>
  <c r="K47" i="36"/>
  <c r="E45" i="36"/>
  <c r="E43" i="36"/>
  <c r="E42" i="36"/>
  <c r="E41" i="36"/>
  <c r="E35" i="36"/>
  <c r="E33" i="36"/>
  <c r="E30" i="36"/>
  <c r="E29" i="36"/>
  <c r="E27" i="36"/>
  <c r="E25" i="36"/>
  <c r="E24" i="36"/>
  <c r="E21" i="36"/>
  <c r="E16" i="36"/>
  <c r="E13" i="36"/>
  <c r="E12" i="36"/>
  <c r="E7" i="36"/>
  <c r="E3" i="36"/>
  <c r="K59" i="36"/>
  <c r="F59" i="36"/>
  <c r="K44" i="36"/>
  <c r="K43" i="36"/>
  <c r="K42" i="36"/>
  <c r="K41" i="36"/>
  <c r="K40" i="36"/>
  <c r="K39" i="36"/>
  <c r="K38" i="36"/>
  <c r="K37" i="36"/>
  <c r="K36" i="36"/>
  <c r="K35" i="36"/>
  <c r="K34" i="36"/>
  <c r="K60" i="36" s="1"/>
  <c r="K18" i="36"/>
  <c r="K17" i="36"/>
  <c r="K16" i="36"/>
  <c r="K15" i="36"/>
  <c r="K14" i="36"/>
  <c r="K13" i="36"/>
  <c r="K12" i="36"/>
  <c r="K11" i="36"/>
  <c r="K10" i="36"/>
  <c r="K9" i="36"/>
  <c r="K8" i="36"/>
  <c r="K7" i="36"/>
  <c r="K6" i="36"/>
  <c r="K19" i="36" s="1"/>
  <c r="E60" i="36"/>
  <c r="D62" i="36" s="1"/>
  <c r="F63" i="36" s="1"/>
  <c r="F66" i="36" s="1"/>
  <c r="K50" i="35" l="1"/>
  <c r="E47" i="35"/>
  <c r="E45" i="35"/>
  <c r="E44" i="35"/>
  <c r="K38" i="35"/>
  <c r="E36" i="35"/>
  <c r="E33" i="35"/>
  <c r="E31" i="35"/>
  <c r="E29" i="35"/>
  <c r="E24" i="35"/>
  <c r="E23" i="35"/>
  <c r="E22" i="35"/>
  <c r="E20" i="35"/>
  <c r="E19" i="35"/>
  <c r="E18" i="35"/>
  <c r="E17" i="35"/>
  <c r="E16" i="35"/>
  <c r="E9" i="35"/>
  <c r="E7" i="35"/>
  <c r="E5" i="35"/>
  <c r="E4" i="35"/>
  <c r="K49" i="35"/>
  <c r="F49" i="35"/>
  <c r="K48" i="35"/>
  <c r="K44" i="35"/>
  <c r="K43" i="35"/>
  <c r="K42" i="35"/>
  <c r="K41" i="35"/>
  <c r="K40" i="35"/>
  <c r="K39" i="35"/>
  <c r="K37" i="35"/>
  <c r="K36" i="35"/>
  <c r="K35" i="35"/>
  <c r="K34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19" i="35" s="1"/>
  <c r="E50" i="35"/>
  <c r="D52" i="35" s="1"/>
  <c r="F53" i="35" s="1"/>
  <c r="F56" i="35" s="1"/>
  <c r="E44" i="34"/>
  <c r="E41" i="34"/>
  <c r="E39" i="34"/>
  <c r="E37" i="34"/>
  <c r="E35" i="34"/>
  <c r="E34" i="34"/>
  <c r="E30" i="34"/>
  <c r="E29" i="34"/>
  <c r="E27" i="34"/>
  <c r="E25" i="34"/>
  <c r="E24" i="34"/>
  <c r="E23" i="34"/>
  <c r="E22" i="34"/>
  <c r="E21" i="34"/>
  <c r="E20" i="34"/>
  <c r="E16" i="34"/>
  <c r="E15" i="34"/>
  <c r="E12" i="34"/>
  <c r="E4" i="34"/>
  <c r="E3" i="34"/>
  <c r="K47" i="34"/>
  <c r="F47" i="34"/>
  <c r="K46" i="34"/>
  <c r="K44" i="34"/>
  <c r="K43" i="34"/>
  <c r="K42" i="34"/>
  <c r="K41" i="34"/>
  <c r="K40" i="34"/>
  <c r="K39" i="34"/>
  <c r="K38" i="34"/>
  <c r="K37" i="34"/>
  <c r="K36" i="34"/>
  <c r="K35" i="34"/>
  <c r="K34" i="34"/>
  <c r="K48" i="34" s="1"/>
  <c r="K18" i="34"/>
  <c r="K17" i="34"/>
  <c r="K16" i="34"/>
  <c r="K15" i="34"/>
  <c r="K14" i="34"/>
  <c r="K13" i="34"/>
  <c r="K12" i="34"/>
  <c r="K11" i="34"/>
  <c r="K10" i="34"/>
  <c r="K9" i="34"/>
  <c r="K8" i="34"/>
  <c r="E48" i="34"/>
  <c r="D50" i="34" s="1"/>
  <c r="F51" i="34" s="1"/>
  <c r="F54" i="34" s="1"/>
  <c r="K7" i="34"/>
  <c r="K6" i="34"/>
  <c r="K19" i="34" s="1"/>
  <c r="E43" i="33" l="1"/>
  <c r="E42" i="33"/>
  <c r="E41" i="33"/>
  <c r="E32" i="33"/>
  <c r="E40" i="33"/>
  <c r="E39" i="33"/>
  <c r="E37" i="33"/>
  <c r="K18" i="33"/>
  <c r="E35" i="33"/>
  <c r="E31" i="33"/>
  <c r="E27" i="33"/>
  <c r="E25" i="33"/>
  <c r="E23" i="33"/>
  <c r="E15" i="33"/>
  <c r="E14" i="33"/>
  <c r="E12" i="33"/>
  <c r="E10" i="33"/>
  <c r="E18" i="33"/>
  <c r="E22" i="33"/>
  <c r="E21" i="33"/>
  <c r="E8" i="33"/>
  <c r="E9" i="33"/>
  <c r="K47" i="33"/>
  <c r="F47" i="33"/>
  <c r="K46" i="33"/>
  <c r="K44" i="33"/>
  <c r="K43" i="33"/>
  <c r="K42" i="33"/>
  <c r="K41" i="33"/>
  <c r="K40" i="33"/>
  <c r="K39" i="33"/>
  <c r="K38" i="33"/>
  <c r="K37" i="33"/>
  <c r="K36" i="33"/>
  <c r="K35" i="33"/>
  <c r="K34" i="33"/>
  <c r="K48" i="33" s="1"/>
  <c r="K17" i="33"/>
  <c r="K16" i="33"/>
  <c r="K15" i="33"/>
  <c r="K14" i="33"/>
  <c r="K13" i="33"/>
  <c r="K12" i="33"/>
  <c r="K11" i="33"/>
  <c r="K10" i="33"/>
  <c r="K9" i="33"/>
  <c r="K8" i="33"/>
  <c r="K7" i="33"/>
  <c r="K6" i="33"/>
  <c r="K19" i="33" s="1"/>
  <c r="E48" i="33"/>
  <c r="D50" i="33" s="1"/>
  <c r="F51" i="33" s="1"/>
  <c r="F54" i="33" s="1"/>
  <c r="E51" i="32" l="1"/>
  <c r="E50" i="32"/>
  <c r="E49" i="32"/>
  <c r="E48" i="32"/>
  <c r="E45" i="32"/>
  <c r="E44" i="32"/>
  <c r="E43" i="32"/>
  <c r="E42" i="32"/>
  <c r="E41" i="32"/>
  <c r="E39" i="32"/>
  <c r="E35" i="32"/>
  <c r="E33" i="32"/>
  <c r="E32" i="32"/>
  <c r="E31" i="32"/>
  <c r="E28" i="32"/>
  <c r="E27" i="32"/>
  <c r="E24" i="32"/>
  <c r="K17" i="32"/>
  <c r="E23" i="32"/>
  <c r="E21" i="32"/>
  <c r="E16" i="32"/>
  <c r="E13" i="32"/>
  <c r="E12" i="32"/>
  <c r="E10" i="32"/>
  <c r="E9" i="32"/>
  <c r="E7" i="32"/>
  <c r="E6" i="32"/>
  <c r="E5" i="32"/>
  <c r="E3" i="32"/>
  <c r="K53" i="32" l="1"/>
  <c r="F53" i="32"/>
  <c r="K52" i="32"/>
  <c r="K51" i="32"/>
  <c r="K50" i="32"/>
  <c r="K49" i="32"/>
  <c r="K44" i="32"/>
  <c r="K43" i="32"/>
  <c r="K42" i="32"/>
  <c r="K41" i="32"/>
  <c r="K40" i="32"/>
  <c r="K39" i="32"/>
  <c r="K38" i="32"/>
  <c r="K37" i="32"/>
  <c r="K36" i="32"/>
  <c r="K35" i="32"/>
  <c r="K34" i="32"/>
  <c r="K54" i="32" s="1"/>
  <c r="K18" i="32"/>
  <c r="K16" i="32"/>
  <c r="K15" i="32"/>
  <c r="K14" i="32"/>
  <c r="K13" i="32"/>
  <c r="K12" i="32"/>
  <c r="K11" i="32"/>
  <c r="K10" i="32"/>
  <c r="K9" i="32"/>
  <c r="K8" i="32"/>
  <c r="K7" i="32"/>
  <c r="K6" i="32"/>
  <c r="K19" i="32" s="1"/>
  <c r="E54" i="32"/>
  <c r="D56" i="32" s="1"/>
  <c r="F57" i="32" s="1"/>
  <c r="F60" i="32" s="1"/>
  <c r="E44" i="31" l="1"/>
  <c r="E41" i="31"/>
  <c r="E40" i="31"/>
  <c r="E39" i="31"/>
  <c r="E38" i="31"/>
  <c r="E37" i="31"/>
  <c r="E35" i="31"/>
  <c r="E34" i="31"/>
  <c r="K16" i="31"/>
  <c r="E24" i="31"/>
  <c r="E29" i="31"/>
  <c r="E32" i="31"/>
  <c r="E23" i="31"/>
  <c r="E19" i="31"/>
  <c r="E15" i="31"/>
  <c r="E14" i="31"/>
  <c r="E10" i="31"/>
  <c r="E9" i="31"/>
  <c r="E5" i="31"/>
  <c r="E4" i="31" l="1"/>
  <c r="K49" i="31"/>
  <c r="F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50" i="31" s="1"/>
  <c r="K18" i="31"/>
  <c r="K17" i="31"/>
  <c r="K15" i="31"/>
  <c r="K14" i="31"/>
  <c r="K13" i="31"/>
  <c r="K12" i="31"/>
  <c r="K11" i="31"/>
  <c r="K10" i="31"/>
  <c r="K9" i="31"/>
  <c r="K8" i="31"/>
  <c r="K7" i="31"/>
  <c r="K6" i="31"/>
  <c r="K19" i="31" s="1"/>
  <c r="E50" i="31"/>
  <c r="D52" i="31" s="1"/>
  <c r="F53" i="31" s="1"/>
  <c r="F56" i="31" s="1"/>
  <c r="E47" i="30" l="1"/>
  <c r="E46" i="30"/>
  <c r="E45" i="30"/>
  <c r="K43" i="30"/>
  <c r="K44" i="30"/>
  <c r="K45" i="30"/>
  <c r="K46" i="30"/>
  <c r="K47" i="30"/>
  <c r="K48" i="30"/>
  <c r="K49" i="30"/>
  <c r="E44" i="30"/>
  <c r="E43" i="30"/>
  <c r="E42" i="30"/>
  <c r="E40" i="30"/>
  <c r="E39" i="30"/>
  <c r="E35" i="30"/>
  <c r="E34" i="30"/>
  <c r="E33" i="30"/>
  <c r="E32" i="30"/>
  <c r="E31" i="30"/>
  <c r="E29" i="30"/>
  <c r="E25" i="30"/>
  <c r="E24" i="30"/>
  <c r="E22" i="30"/>
  <c r="E19" i="30"/>
  <c r="E18" i="30"/>
  <c r="E15" i="30"/>
  <c r="E14" i="30"/>
  <c r="E9" i="30"/>
  <c r="E8" i="30"/>
  <c r="E7" i="30"/>
  <c r="E6" i="30"/>
  <c r="E4" i="30"/>
  <c r="E3" i="30"/>
  <c r="F49" i="30"/>
  <c r="K42" i="30"/>
  <c r="K41" i="30"/>
  <c r="K40" i="30"/>
  <c r="K39" i="30"/>
  <c r="K38" i="30"/>
  <c r="K37" i="30"/>
  <c r="K36" i="30"/>
  <c r="K35" i="30"/>
  <c r="K34" i="30"/>
  <c r="K50" i="30" s="1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19" i="30" s="1"/>
  <c r="E50" i="30"/>
  <c r="D52" i="30" s="1"/>
  <c r="F53" i="30" s="1"/>
  <c r="F56" i="30" s="1"/>
  <c r="M51" i="29" l="1"/>
  <c r="E42" i="29" l="1"/>
  <c r="E41" i="29"/>
  <c r="E37" i="29"/>
  <c r="E33" i="29"/>
  <c r="E29" i="29"/>
  <c r="E28" i="29"/>
  <c r="E25" i="29"/>
  <c r="K34" i="29"/>
  <c r="K35" i="29"/>
  <c r="K36" i="29"/>
  <c r="K37" i="29"/>
  <c r="K38" i="29"/>
  <c r="K39" i="29"/>
  <c r="K40" i="29"/>
  <c r="E23" i="29"/>
  <c r="E22" i="29"/>
  <c r="E21" i="29"/>
  <c r="E20" i="29"/>
  <c r="E17" i="29"/>
  <c r="E13" i="29"/>
  <c r="E12" i="29"/>
  <c r="E8" i="29"/>
  <c r="E6" i="29"/>
  <c r="E5" i="29"/>
  <c r="E4" i="29"/>
  <c r="F46" i="29"/>
  <c r="K45" i="29"/>
  <c r="K44" i="29"/>
  <c r="K43" i="29"/>
  <c r="K42" i="29"/>
  <c r="K41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19" i="29" s="1"/>
  <c r="E47" i="29"/>
  <c r="D49" i="29" s="1"/>
  <c r="F50" i="29" s="1"/>
  <c r="F53" i="29" s="1"/>
  <c r="K47" i="29" l="1"/>
  <c r="E32" i="28"/>
  <c r="E30" i="28" l="1"/>
  <c r="E28" i="28"/>
  <c r="E27" i="28"/>
  <c r="E26" i="28"/>
  <c r="E24" i="28"/>
  <c r="E22" i="28"/>
  <c r="E18" i="28"/>
  <c r="E17" i="28"/>
  <c r="E16" i="28"/>
  <c r="E14" i="28"/>
  <c r="E12" i="28"/>
  <c r="E11" i="28"/>
  <c r="E10" i="28"/>
  <c r="E8" i="28"/>
  <c r="E5" i="28"/>
  <c r="E4" i="28"/>
  <c r="E3" i="28"/>
  <c r="F35" i="28"/>
  <c r="K34" i="28"/>
  <c r="K33" i="28"/>
  <c r="K32" i="28"/>
  <c r="K31" i="28"/>
  <c r="K30" i="28"/>
  <c r="K35" i="28" s="1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19" i="28" s="1"/>
  <c r="E36" i="28"/>
  <c r="D38" i="28" s="1"/>
  <c r="F39" i="28" s="1"/>
  <c r="F42" i="28" s="1"/>
  <c r="E43" i="27" l="1"/>
  <c r="E42" i="27"/>
  <c r="E39" i="27"/>
  <c r="K34" i="27"/>
  <c r="K35" i="27"/>
  <c r="K36" i="27"/>
  <c r="K37" i="27"/>
  <c r="K38" i="27"/>
  <c r="K39" i="27"/>
  <c r="K40" i="27"/>
  <c r="E32" i="27"/>
  <c r="E29" i="27"/>
  <c r="E28" i="27"/>
  <c r="E27" i="27"/>
  <c r="E25" i="27"/>
  <c r="E24" i="27"/>
  <c r="E22" i="27"/>
  <c r="E21" i="27"/>
  <c r="E20" i="27"/>
  <c r="E14" i="27"/>
  <c r="E13" i="27"/>
  <c r="E11" i="27"/>
  <c r="E10" i="27"/>
  <c r="E7" i="27"/>
  <c r="E6" i="27"/>
  <c r="E5" i="27"/>
  <c r="E4" i="27"/>
  <c r="F44" i="27"/>
  <c r="K43" i="27"/>
  <c r="K41" i="27"/>
  <c r="K33" i="27"/>
  <c r="K32" i="27"/>
  <c r="K31" i="27"/>
  <c r="K30" i="27"/>
  <c r="K44" i="27" s="1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19" i="27" s="1"/>
  <c r="E45" i="27"/>
  <c r="D47" i="27" s="1"/>
  <c r="F48" i="27" s="1"/>
  <c r="F51" i="27" s="1"/>
  <c r="E34" i="26" l="1"/>
  <c r="E33" i="26"/>
  <c r="E32" i="26"/>
  <c r="E30" i="26"/>
  <c r="E29" i="26"/>
  <c r="E28" i="26"/>
  <c r="E27" i="26"/>
  <c r="E25" i="26"/>
  <c r="E22" i="26"/>
  <c r="E21" i="26"/>
  <c r="E18" i="26"/>
  <c r="E17" i="26"/>
  <c r="E16" i="26"/>
  <c r="E15" i="26"/>
  <c r="E11" i="26"/>
  <c r="E10" i="26"/>
  <c r="E9" i="26"/>
  <c r="E6" i="26"/>
  <c r="E4" i="26"/>
  <c r="E3" i="26"/>
  <c r="F36" i="26"/>
  <c r="K35" i="26"/>
  <c r="K34" i="26"/>
  <c r="K33" i="26"/>
  <c r="K32" i="26"/>
  <c r="K31" i="26"/>
  <c r="K30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19" i="26" s="1"/>
  <c r="E37" i="26"/>
  <c r="D39" i="26" s="1"/>
  <c r="F40" i="26" s="1"/>
  <c r="F43" i="26" s="1"/>
  <c r="E46" i="25" l="1"/>
  <c r="E45" i="25"/>
  <c r="E44" i="25"/>
  <c r="E42" i="25"/>
  <c r="E40" i="25"/>
  <c r="E39" i="25"/>
  <c r="E37" i="25"/>
  <c r="E34" i="25"/>
  <c r="E33" i="25"/>
  <c r="E31" i="25"/>
  <c r="E30" i="25"/>
  <c r="E29" i="25"/>
  <c r="E28" i="25"/>
  <c r="E27" i="25"/>
  <c r="E26" i="25"/>
  <c r="E25" i="25"/>
  <c r="E22" i="25"/>
  <c r="E20" i="25"/>
  <c r="E19" i="25"/>
  <c r="E3" i="25"/>
  <c r="E18" i="25"/>
  <c r="E17" i="25"/>
  <c r="E16" i="25"/>
  <c r="E15" i="25"/>
  <c r="E14" i="25"/>
  <c r="E13" i="25"/>
  <c r="E12" i="25"/>
  <c r="E8" i="25"/>
  <c r="K6" i="25"/>
  <c r="E7" i="25"/>
  <c r="E5" i="25"/>
  <c r="F49" i="25"/>
  <c r="K38" i="25"/>
  <c r="K37" i="25"/>
  <c r="K36" i="25"/>
  <c r="K35" i="25"/>
  <c r="K34" i="25"/>
  <c r="K33" i="25"/>
  <c r="K32" i="25"/>
  <c r="K31" i="25"/>
  <c r="K30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19" i="25"/>
  <c r="E50" i="25"/>
  <c r="D52" i="25" s="1"/>
  <c r="F53" i="25" s="1"/>
  <c r="F56" i="25" s="1"/>
  <c r="K39" i="25" l="1"/>
  <c r="E35" i="24"/>
  <c r="E34" i="24"/>
  <c r="E33" i="24"/>
  <c r="E32" i="24"/>
  <c r="E31" i="24"/>
  <c r="E30" i="24"/>
  <c r="E29" i="24"/>
  <c r="E28" i="24"/>
  <c r="E26" i="24"/>
  <c r="E25" i="24"/>
  <c r="E24" i="24"/>
  <c r="E23" i="24"/>
  <c r="E22" i="24"/>
  <c r="E16" i="24"/>
  <c r="E15" i="24"/>
  <c r="E14" i="24"/>
  <c r="E8" i="24"/>
  <c r="E5" i="24"/>
  <c r="E4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19" i="24" s="1"/>
  <c r="E3" i="24"/>
  <c r="F42" i="24"/>
  <c r="K38" i="24"/>
  <c r="K37" i="24"/>
  <c r="K36" i="24"/>
  <c r="K35" i="24"/>
  <c r="K34" i="24"/>
  <c r="K33" i="24"/>
  <c r="K32" i="24"/>
  <c r="K31" i="24"/>
  <c r="K30" i="24"/>
  <c r="E43" i="24"/>
  <c r="D45" i="24" s="1"/>
  <c r="F46" i="24" s="1"/>
  <c r="F49" i="24" s="1"/>
  <c r="E39" i="23" l="1"/>
  <c r="E36" i="23"/>
  <c r="E35" i="23"/>
  <c r="E32" i="23"/>
  <c r="E31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30" i="23"/>
  <c r="K43" i="23" s="1"/>
  <c r="E30" i="23"/>
  <c r="E29" i="23"/>
  <c r="E23" i="23"/>
  <c r="E22" i="23"/>
  <c r="E14" i="23"/>
  <c r="E12" i="23"/>
  <c r="E11" i="23"/>
  <c r="E10" i="23"/>
  <c r="E9" i="23"/>
  <c r="E8" i="23"/>
  <c r="E7" i="23"/>
  <c r="E4" i="23"/>
  <c r="F50" i="23"/>
  <c r="E51" i="23"/>
  <c r="D53" i="23" s="1"/>
  <c r="F54" i="23" s="1"/>
  <c r="F57" i="23" s="1"/>
  <c r="E45" i="22" l="1"/>
  <c r="E44" i="22"/>
  <c r="E43" i="22"/>
  <c r="E42" i="22"/>
  <c r="E40" i="22"/>
  <c r="E38" i="22"/>
  <c r="E36" i="22"/>
  <c r="E35" i="22"/>
  <c r="E34" i="22"/>
  <c r="E32" i="22"/>
  <c r="E31" i="22"/>
  <c r="E30" i="22"/>
  <c r="E27" i="22"/>
  <c r="E26" i="22"/>
  <c r="E25" i="22"/>
  <c r="E24" i="22"/>
  <c r="E23" i="22"/>
  <c r="E14" i="22"/>
  <c r="E9" i="22"/>
  <c r="E6" i="22"/>
  <c r="E4" i="22"/>
  <c r="F50" i="22" l="1"/>
  <c r="E51" i="22"/>
  <c r="D53" i="22" s="1"/>
  <c r="F54" i="22" s="1"/>
  <c r="F57" i="22" s="1"/>
  <c r="E45" i="21" l="1"/>
  <c r="E44" i="21"/>
  <c r="E43" i="21"/>
  <c r="E41" i="21"/>
  <c r="E35" i="21"/>
  <c r="E34" i="21"/>
  <c r="E32" i="21"/>
  <c r="E30" i="21" l="1"/>
  <c r="E29" i="21"/>
  <c r="E28" i="21"/>
  <c r="E21" i="21"/>
  <c r="E20" i="21"/>
  <c r="E19" i="21"/>
  <c r="E18" i="21"/>
  <c r="E17" i="21" l="1"/>
  <c r="E15" i="21"/>
  <c r="E12" i="21"/>
  <c r="E11" i="21"/>
  <c r="E9" i="21"/>
  <c r="E8" i="21"/>
  <c r="E5" i="21"/>
  <c r="E47" i="20" l="1"/>
  <c r="E46" i="20"/>
  <c r="E45" i="20"/>
  <c r="E44" i="20"/>
  <c r="E43" i="20"/>
  <c r="E41" i="20" l="1"/>
  <c r="E40" i="20"/>
  <c r="E37" i="20"/>
  <c r="E36" i="20"/>
  <c r="E35" i="20"/>
  <c r="E34" i="20"/>
  <c r="E32" i="20"/>
  <c r="E30" i="20"/>
  <c r="E29" i="20"/>
  <c r="E27" i="20"/>
  <c r="E22" i="20"/>
  <c r="E18" i="20"/>
  <c r="E16" i="20"/>
  <c r="E14" i="20"/>
  <c r="E11" i="20"/>
  <c r="E9" i="20"/>
  <c r="E8" i="20"/>
  <c r="E6" i="20"/>
  <c r="E5" i="20"/>
  <c r="E4" i="20"/>
  <c r="E51" i="21" l="1"/>
  <c r="D53" i="21" s="1"/>
  <c r="F54" i="21" s="1"/>
  <c r="F57" i="21" s="1"/>
  <c r="F50" i="21"/>
  <c r="F50" i="20"/>
  <c r="E51" i="20"/>
  <c r="D53" i="20" s="1"/>
  <c r="F54" i="20" s="1"/>
  <c r="F57" i="20" s="1"/>
  <c r="E44" i="19" l="1"/>
  <c r="E43" i="19"/>
  <c r="E40" i="19"/>
  <c r="E39" i="19"/>
  <c r="E38" i="19"/>
  <c r="E37" i="19"/>
  <c r="E36" i="19"/>
  <c r="E34" i="19"/>
  <c r="E31" i="19"/>
  <c r="E29" i="19"/>
  <c r="E27" i="19"/>
  <c r="E26" i="19"/>
  <c r="E21" i="19"/>
  <c r="E19" i="19"/>
  <c r="E12" i="19" l="1"/>
  <c r="E6" i="19"/>
  <c r="E5" i="19"/>
  <c r="F50" i="19"/>
  <c r="E51" i="19"/>
  <c r="D53" i="19" s="1"/>
  <c r="F54" i="19" s="1"/>
  <c r="E43" i="18" l="1"/>
  <c r="E32" i="18"/>
  <c r="E41" i="18"/>
  <c r="E39" i="18"/>
  <c r="E36" i="18"/>
  <c r="E34" i="18"/>
  <c r="E33" i="18"/>
  <c r="E29" i="18"/>
  <c r="E28" i="18"/>
  <c r="E26" i="18"/>
  <c r="E25" i="18"/>
  <c r="E24" i="18"/>
  <c r="E23" i="18"/>
  <c r="E21" i="18"/>
  <c r="E17" i="18"/>
  <c r="E16" i="18"/>
  <c r="E15" i="18"/>
  <c r="E14" i="18"/>
  <c r="E13" i="18"/>
  <c r="E6" i="18"/>
  <c r="E4" i="18" l="1"/>
  <c r="F46" i="18"/>
  <c r="E47" i="18"/>
  <c r="D49" i="18" s="1"/>
  <c r="E41" i="17" l="1"/>
  <c r="E39" i="17"/>
  <c r="E35" i="17"/>
  <c r="E33" i="17"/>
  <c r="E32" i="17"/>
  <c r="E31" i="17" l="1"/>
  <c r="E30" i="17"/>
  <c r="E29" i="17"/>
  <c r="E27" i="17"/>
  <c r="E23" i="17" l="1"/>
  <c r="E19" i="17"/>
  <c r="E14" i="17"/>
  <c r="E13" i="17"/>
  <c r="E7" i="17"/>
  <c r="E5" i="17"/>
  <c r="F46" i="17"/>
  <c r="E47" i="17"/>
  <c r="D49" i="17" s="1"/>
  <c r="E40" i="16" l="1"/>
  <c r="E38" i="16"/>
  <c r="E36" i="16"/>
  <c r="E35" i="16"/>
  <c r="E34" i="16"/>
  <c r="E33" i="16"/>
  <c r="E32" i="16"/>
  <c r="E30" i="16"/>
  <c r="E29" i="16"/>
  <c r="E27" i="16"/>
  <c r="E24" i="16" l="1"/>
  <c r="E22" i="16"/>
  <c r="E18" i="16"/>
  <c r="E15" i="16" l="1"/>
  <c r="E14" i="16"/>
  <c r="E8" i="16"/>
  <c r="E7" i="16"/>
  <c r="E5" i="16"/>
  <c r="E4" i="16"/>
  <c r="E3" i="16"/>
  <c r="F44" i="16"/>
  <c r="E45" i="16"/>
  <c r="D47" i="16" s="1"/>
  <c r="E43" i="15" l="1"/>
  <c r="E42" i="15"/>
  <c r="E41" i="15"/>
  <c r="E40" i="15"/>
  <c r="E38" i="15"/>
  <c r="E35" i="15"/>
  <c r="E34" i="15"/>
  <c r="E33" i="15"/>
  <c r="E30" i="15"/>
  <c r="E29" i="15"/>
  <c r="E27" i="15"/>
  <c r="E24" i="15"/>
  <c r="E18" i="15"/>
  <c r="E17" i="15"/>
  <c r="E13" i="15"/>
  <c r="E12" i="15"/>
  <c r="E10" i="15"/>
  <c r="E4" i="15"/>
  <c r="E3" i="15"/>
  <c r="F44" i="15"/>
  <c r="E45" i="15"/>
  <c r="D47" i="15" s="1"/>
  <c r="E37" i="14" l="1"/>
  <c r="E36" i="14"/>
  <c r="E35" i="14"/>
  <c r="E34" i="14"/>
  <c r="E33" i="14"/>
  <c r="E32" i="14"/>
  <c r="E29" i="14"/>
  <c r="E28" i="14"/>
  <c r="E23" i="14"/>
  <c r="E22" i="14"/>
  <c r="E17" i="14"/>
  <c r="E14" i="14"/>
  <c r="E13" i="14"/>
  <c r="E12" i="14"/>
  <c r="E5" i="14"/>
  <c r="F42" i="14"/>
  <c r="E43" i="14"/>
  <c r="D45" i="14" s="1"/>
  <c r="E37" i="13" l="1"/>
  <c r="E35" i="13"/>
  <c r="E33" i="13"/>
  <c r="E31" i="13"/>
  <c r="E30" i="13"/>
  <c r="E27" i="13"/>
  <c r="E26" i="13"/>
  <c r="E24" i="13"/>
  <c r="E22" i="13"/>
  <c r="E18" i="13"/>
  <c r="E15" i="13"/>
  <c r="E14" i="13"/>
  <c r="E12" i="13"/>
  <c r="E10" i="13"/>
  <c r="E5" i="13"/>
  <c r="E4" i="13"/>
  <c r="E3" i="13"/>
  <c r="F42" i="13"/>
  <c r="E43" i="13"/>
  <c r="D45" i="13" s="1"/>
  <c r="E35" i="12" l="1"/>
  <c r="E37" i="12"/>
  <c r="E34" i="12"/>
  <c r="E33" i="12"/>
  <c r="E30" i="12"/>
  <c r="E25" i="12"/>
  <c r="E24" i="12"/>
  <c r="E23" i="12"/>
  <c r="E21" i="12"/>
  <c r="E19" i="12"/>
  <c r="E18" i="12"/>
  <c r="E17" i="12"/>
  <c r="E16" i="12"/>
  <c r="E15" i="12"/>
  <c r="E13" i="12"/>
  <c r="E12" i="12"/>
  <c r="E10" i="12"/>
  <c r="E8" i="12"/>
  <c r="E6" i="12"/>
  <c r="E4" i="12"/>
  <c r="E3" i="12"/>
  <c r="E5" i="12"/>
  <c r="F42" i="12"/>
  <c r="E43" i="12"/>
  <c r="D45" i="12" s="1"/>
  <c r="E25" i="11" l="1"/>
  <c r="E41" i="11"/>
  <c r="E40" i="11"/>
  <c r="E39" i="11"/>
  <c r="E38" i="11"/>
  <c r="E37" i="11"/>
  <c r="E36" i="11"/>
  <c r="E33" i="11"/>
  <c r="E32" i="11"/>
  <c r="E29" i="11"/>
  <c r="E28" i="11"/>
  <c r="E26" i="11"/>
  <c r="E24" i="11"/>
  <c r="E22" i="11" l="1"/>
  <c r="E21" i="11"/>
  <c r="E19" i="11"/>
  <c r="E13" i="11" l="1"/>
  <c r="E10" i="11"/>
  <c r="E6" i="11"/>
  <c r="F42" i="11"/>
  <c r="E43" i="11"/>
  <c r="D45" i="11" s="1"/>
  <c r="E36" i="10" l="1"/>
  <c r="E35" i="10"/>
  <c r="E34" i="10"/>
  <c r="E31" i="10"/>
  <c r="E25" i="10"/>
  <c r="E21" i="10"/>
  <c r="E17" i="10"/>
  <c r="E14" i="10"/>
  <c r="E13" i="10"/>
  <c r="E9" i="10"/>
  <c r="E8" i="10"/>
  <c r="E7" i="10"/>
  <c r="E3" i="10" l="1"/>
  <c r="F38" i="10"/>
  <c r="E39" i="10"/>
  <c r="D41" i="10" s="1"/>
  <c r="E32" i="9" l="1"/>
  <c r="E31" i="9"/>
  <c r="E30" i="9"/>
  <c r="E29" i="9"/>
  <c r="E28" i="9"/>
  <c r="E3" i="9"/>
  <c r="E26" i="9"/>
  <c r="E24" i="9"/>
  <c r="E21" i="9"/>
  <c r="E12" i="9"/>
  <c r="E10" i="9"/>
  <c r="E5" i="9"/>
  <c r="F38" i="9"/>
  <c r="E39" i="9"/>
  <c r="D41" i="9" s="1"/>
  <c r="E35" i="8" l="1"/>
  <c r="E34" i="8"/>
  <c r="E33" i="8"/>
  <c r="E32" i="8"/>
  <c r="E31" i="8"/>
  <c r="E26" i="8"/>
  <c r="E24" i="8"/>
  <c r="E22" i="8"/>
  <c r="E21" i="8"/>
  <c r="E19" i="8"/>
  <c r="E17" i="8"/>
  <c r="E10" i="8"/>
  <c r="E4" i="8"/>
  <c r="F38" i="8"/>
  <c r="E39" i="8"/>
  <c r="D41" i="8" s="1"/>
  <c r="E32" i="7" l="1"/>
  <c r="E31" i="7"/>
  <c r="E30" i="7"/>
  <c r="E29" i="7"/>
  <c r="E27" i="7" l="1"/>
  <c r="E26" i="7"/>
  <c r="E24" i="7"/>
  <c r="E20" i="7"/>
  <c r="E19" i="7"/>
  <c r="E18" i="7"/>
  <c r="E8" i="7"/>
  <c r="F38" i="7"/>
  <c r="E39" i="7"/>
  <c r="D41" i="7" s="1"/>
  <c r="F38" i="6" l="1"/>
  <c r="E37" i="6"/>
  <c r="E33" i="6"/>
  <c r="E32" i="6"/>
  <c r="E29" i="6" l="1"/>
  <c r="E27" i="6"/>
  <c r="E26" i="6"/>
  <c r="E25" i="6"/>
  <c r="E22" i="6"/>
  <c r="E20" i="6"/>
  <c r="E19" i="6"/>
  <c r="E17" i="6"/>
  <c r="E16" i="6"/>
  <c r="E13" i="6"/>
  <c r="E11" i="6"/>
  <c r="E10" i="6"/>
  <c r="E9" i="6"/>
  <c r="E8" i="6"/>
  <c r="E4" i="6"/>
  <c r="E3" i="6"/>
  <c r="E39" i="6"/>
  <c r="D41" i="6" s="1"/>
  <c r="E21" i="5" l="1"/>
  <c r="E10" i="5"/>
  <c r="E9" i="5"/>
  <c r="E8" i="5"/>
  <c r="E3" i="5"/>
  <c r="E22" i="5" l="1"/>
  <c r="E13" i="5"/>
  <c r="F37" i="5"/>
  <c r="E39" i="5"/>
  <c r="D41" i="5" s="1"/>
  <c r="F37" i="4" l="1"/>
  <c r="E33" i="4"/>
  <c r="E31" i="4"/>
  <c r="E29" i="4"/>
  <c r="E28" i="4"/>
  <c r="E26" i="4"/>
  <c r="E25" i="4"/>
  <c r="E21" i="4"/>
  <c r="E8" i="4"/>
  <c r="E4" i="4"/>
  <c r="E3" i="4"/>
  <c r="E39" i="4"/>
  <c r="D41" i="4" s="1"/>
  <c r="E32" i="3" l="1"/>
  <c r="E30" i="3"/>
  <c r="E28" i="3"/>
  <c r="E25" i="3"/>
  <c r="E24" i="3"/>
  <c r="E23" i="3"/>
  <c r="E20" i="3"/>
  <c r="E19" i="3"/>
  <c r="E13" i="3"/>
  <c r="E10" i="3"/>
  <c r="E9" i="3"/>
  <c r="E8" i="3"/>
  <c r="E5" i="3"/>
  <c r="E39" i="3"/>
  <c r="D41" i="3" s="1"/>
  <c r="E33" i="2" l="1"/>
  <c r="E31" i="2"/>
  <c r="E36" i="2"/>
  <c r="E8" i="2"/>
  <c r="E29" i="2"/>
  <c r="E20" i="2"/>
  <c r="E17" i="2"/>
  <c r="E12" i="2"/>
  <c r="E11" i="2"/>
  <c r="E13" i="2"/>
  <c r="E9" i="2"/>
  <c r="E4" i="2"/>
  <c r="E39" i="2"/>
  <c r="D41" i="2" s="1"/>
  <c r="E28" i="1" l="1"/>
  <c r="E30" i="1"/>
  <c r="E25" i="1"/>
  <c r="E17" i="1"/>
  <c r="E18" i="1"/>
  <c r="E20" i="1"/>
  <c r="E19" i="1"/>
  <c r="E13" i="1"/>
  <c r="E11" i="1"/>
  <c r="E3" i="1"/>
  <c r="E4" i="1"/>
  <c r="E33" i="1" l="1"/>
  <c r="D35" i="1" s="1"/>
</calcChain>
</file>

<file path=xl/sharedStrings.xml><?xml version="1.0" encoding="utf-8"?>
<sst xmlns="http://schemas.openxmlformats.org/spreadsheetml/2006/main" count="2352" uniqueCount="687">
  <si>
    <t>FECHA</t>
  </si>
  <si>
    <t>REMISION</t>
  </si>
  <si>
    <t>CLIENTE</t>
  </si>
  <si>
    <t>KILOS</t>
  </si>
  <si>
    <t>CARNES DIAZ</t>
  </si>
  <si>
    <t>CARNICERIA HUGO´S</t>
  </si>
  <si>
    <t>CARNICERIA SANTA ANA</t>
  </si>
  <si>
    <t>JULIO</t>
  </si>
  <si>
    <t>PACO DIAZ</t>
  </si>
  <si>
    <t>CARNES SELECTAS</t>
  </si>
  <si>
    <t>CARNICERIA BARBIE</t>
  </si>
  <si>
    <t>JAVIER</t>
  </si>
  <si>
    <t>LOMA VERDE</t>
  </si>
  <si>
    <t>TERMINAL</t>
  </si>
  <si>
    <t>JAVIER ROCHA</t>
  </si>
  <si>
    <t>FELIX SANCHEZ</t>
  </si>
  <si>
    <t>LA UNION</t>
  </si>
  <si>
    <t>RAUL</t>
  </si>
  <si>
    <t>COMISION</t>
  </si>
  <si>
    <t>CARNEZ DIAZ</t>
  </si>
  <si>
    <t xml:space="preserve">JAVIER </t>
  </si>
  <si>
    <t>29-MAYO .,2015</t>
  </si>
  <si>
    <t>06 .,JUNIO 2015</t>
  </si>
  <si>
    <t>13 .,JUNIO 2015</t>
  </si>
  <si>
    <t>RICARDO SANCHEZ</t>
  </si>
  <si>
    <t>20 .,JUNIO 2015</t>
  </si>
  <si>
    <t xml:space="preserve">JAVIER  </t>
  </si>
  <si>
    <t>27 .,JUNIO 2015</t>
  </si>
  <si>
    <t>0055 A</t>
  </si>
  <si>
    <t>0056 A</t>
  </si>
  <si>
    <t>0065 A</t>
  </si>
  <si>
    <t>0067 A</t>
  </si>
  <si>
    <t>0069 A</t>
  </si>
  <si>
    <t>0070 A</t>
  </si>
  <si>
    <t>0155 A</t>
  </si>
  <si>
    <t>0156 A</t>
  </si>
  <si>
    <t>0157 A</t>
  </si>
  <si>
    <t>0158 A</t>
  </si>
  <si>
    <t>0159 A</t>
  </si>
  <si>
    <t>0261 A</t>
  </si>
  <si>
    <t>0263 A</t>
  </si>
  <si>
    <t>0264 A</t>
  </si>
  <si>
    <t>0266 A</t>
  </si>
  <si>
    <t>0267 A</t>
  </si>
  <si>
    <t>0268 A</t>
  </si>
  <si>
    <t>0269 A</t>
  </si>
  <si>
    <t xml:space="preserve">JAVIER   </t>
  </si>
  <si>
    <t>0354 A</t>
  </si>
  <si>
    <t>JUIO</t>
  </si>
  <si>
    <t>0481 A</t>
  </si>
  <si>
    <t>0482 A</t>
  </si>
  <si>
    <t>0483 A</t>
  </si>
  <si>
    <t>0484 A</t>
  </si>
  <si>
    <t>0485 A</t>
  </si>
  <si>
    <t>04 .,JULIO 2015</t>
  </si>
  <si>
    <t>665 A</t>
  </si>
  <si>
    <t>666 A</t>
  </si>
  <si>
    <t>662 A</t>
  </si>
  <si>
    <t>672 A</t>
  </si>
  <si>
    <t>679 A</t>
  </si>
  <si>
    <t>680A</t>
  </si>
  <si>
    <t>849 A</t>
  </si>
  <si>
    <t>852 A</t>
  </si>
  <si>
    <t>853 A</t>
  </si>
  <si>
    <t>854 A</t>
  </si>
  <si>
    <t>855 A</t>
  </si>
  <si>
    <t>856 A</t>
  </si>
  <si>
    <t>857 A</t>
  </si>
  <si>
    <t>858 A</t>
  </si>
  <si>
    <t>955 A</t>
  </si>
  <si>
    <t>956 A</t>
  </si>
  <si>
    <t>957 A</t>
  </si>
  <si>
    <t>958 A</t>
  </si>
  <si>
    <t>1059 A</t>
  </si>
  <si>
    <t>1060 A</t>
  </si>
  <si>
    <t>1061 A</t>
  </si>
  <si>
    <t>1062 A</t>
  </si>
  <si>
    <t>1063 A</t>
  </si>
  <si>
    <t>1064 A</t>
  </si>
  <si>
    <t>1068 A</t>
  </si>
  <si>
    <t>1069 A</t>
  </si>
  <si>
    <t>LA SELECTA</t>
  </si>
  <si>
    <t>1070 A</t>
  </si>
  <si>
    <t>1072 A</t>
  </si>
  <si>
    <t>1192 A</t>
  </si>
  <si>
    <t>1194 A</t>
  </si>
  <si>
    <t>1195 A</t>
  </si>
  <si>
    <t>1197 A</t>
  </si>
  <si>
    <t>1199 A</t>
  </si>
  <si>
    <t>1200 A</t>
  </si>
  <si>
    <t>13 .,JULIO 2015</t>
  </si>
  <si>
    <t>1382 A</t>
  </si>
  <si>
    <t>1383 A</t>
  </si>
  <si>
    <t xml:space="preserve">CARNICERIA SANTA ANA </t>
  </si>
  <si>
    <t>1513 A</t>
  </si>
  <si>
    <t>1515 A</t>
  </si>
  <si>
    <t>CARNICERIA SELECTAS</t>
  </si>
  <si>
    <t>1516 A</t>
  </si>
  <si>
    <t>1517 A</t>
  </si>
  <si>
    <t>1519 A</t>
  </si>
  <si>
    <t>1520 A</t>
  </si>
  <si>
    <t>1585 A</t>
  </si>
  <si>
    <t>1586 A</t>
  </si>
  <si>
    <t>1588 A</t>
  </si>
  <si>
    <t>1589 A</t>
  </si>
  <si>
    <t>1590 A</t>
  </si>
  <si>
    <t>1591 A</t>
  </si>
  <si>
    <t>1593 A</t>
  </si>
  <si>
    <t>1684 A</t>
  </si>
  <si>
    <t>1685 A</t>
  </si>
  <si>
    <t>1689 A</t>
  </si>
  <si>
    <t>1695 A</t>
  </si>
  <si>
    <t>1696 A</t>
  </si>
  <si>
    <t>1814 A</t>
  </si>
  <si>
    <t>1815 A</t>
  </si>
  <si>
    <t>1816 A</t>
  </si>
  <si>
    <t>1817 A</t>
  </si>
  <si>
    <t>1823 A</t>
  </si>
  <si>
    <t>1824 A</t>
  </si>
  <si>
    <t>1896 A</t>
  </si>
  <si>
    <t>1897 A</t>
  </si>
  <si>
    <t>1900 A</t>
  </si>
  <si>
    <t>1909 A</t>
  </si>
  <si>
    <t>1938 A</t>
  </si>
  <si>
    <t>1947 A</t>
  </si>
  <si>
    <t>1948 A</t>
  </si>
  <si>
    <t>1949 A</t>
  </si>
  <si>
    <t>1951 A</t>
  </si>
  <si>
    <t>1952 A</t>
  </si>
  <si>
    <t>1953 A</t>
  </si>
  <si>
    <t>1966 A</t>
  </si>
  <si>
    <t>1683 A</t>
  </si>
  <si>
    <t>21 .,JULIO 2015</t>
  </si>
  <si>
    <t>CARNIERIA BARBIE</t>
  </si>
  <si>
    <t>25 .,JULIO 2015</t>
  </si>
  <si>
    <t>2911 A</t>
  </si>
  <si>
    <t>2912 A</t>
  </si>
  <si>
    <t>2913 A</t>
  </si>
  <si>
    <t>2914 A</t>
  </si>
  <si>
    <t>2915 A</t>
  </si>
  <si>
    <t>2916 A</t>
  </si>
  <si>
    <t>3032 A</t>
  </si>
  <si>
    <t>3033 A</t>
  </si>
  <si>
    <t>3034 A</t>
  </si>
  <si>
    <t>3035 A</t>
  </si>
  <si>
    <t>3037 A</t>
  </si>
  <si>
    <t xml:space="preserve">CARNES SELECTAS </t>
  </si>
  <si>
    <t>3038 A</t>
  </si>
  <si>
    <t>3130 A</t>
  </si>
  <si>
    <t>3131 A</t>
  </si>
  <si>
    <t>3133 A</t>
  </si>
  <si>
    <t>3134 A</t>
  </si>
  <si>
    <t>3239 A</t>
  </si>
  <si>
    <t>3240 A</t>
  </si>
  <si>
    <t>3241 A</t>
  </si>
  <si>
    <t>3242 A</t>
  </si>
  <si>
    <t>3243 A</t>
  </si>
  <si>
    <t>3375 A</t>
  </si>
  <si>
    <t>3377 A</t>
  </si>
  <si>
    <t>3378 A</t>
  </si>
  <si>
    <t>3379 A</t>
  </si>
  <si>
    <t>3380 A</t>
  </si>
  <si>
    <t>3381 A</t>
  </si>
  <si>
    <t>3385 A</t>
  </si>
  <si>
    <t>3376 A</t>
  </si>
  <si>
    <t>3500A</t>
  </si>
  <si>
    <t>3501 A</t>
  </si>
  <si>
    <t>3502 A</t>
  </si>
  <si>
    <t>3503 A</t>
  </si>
  <si>
    <t>3504 A</t>
  </si>
  <si>
    <t xml:space="preserve">CARNES SANTA ANA </t>
  </si>
  <si>
    <t>3505 A</t>
  </si>
  <si>
    <t>3597 A</t>
  </si>
  <si>
    <t>3598 A</t>
  </si>
  <si>
    <t>3707 A</t>
  </si>
  <si>
    <t>3709 A</t>
  </si>
  <si>
    <t>3715 A</t>
  </si>
  <si>
    <t>3799 A</t>
  </si>
  <si>
    <t>3800 A</t>
  </si>
  <si>
    <t>3801 A</t>
  </si>
  <si>
    <t>3802 A</t>
  </si>
  <si>
    <t xml:space="preserve">RAUL </t>
  </si>
  <si>
    <t>3838 A</t>
  </si>
  <si>
    <t>3880 A</t>
  </si>
  <si>
    <t>3881 A</t>
  </si>
  <si>
    <t>3882 A</t>
  </si>
  <si>
    <t>3883 A</t>
  </si>
  <si>
    <t>3884 A</t>
  </si>
  <si>
    <t>3885 A</t>
  </si>
  <si>
    <t>3886 A</t>
  </si>
  <si>
    <t>3887 A</t>
  </si>
  <si>
    <t>3948 A</t>
  </si>
  <si>
    <t>3988 A</t>
  </si>
  <si>
    <t>3991 A</t>
  </si>
  <si>
    <t>3992 A</t>
  </si>
  <si>
    <t>3993 A</t>
  </si>
  <si>
    <t>3994 A</t>
  </si>
  <si>
    <t>4095 A</t>
  </si>
  <si>
    <t>4114 A</t>
  </si>
  <si>
    <t>4115 A</t>
  </si>
  <si>
    <t>4116 A</t>
  </si>
  <si>
    <t>4118 A</t>
  </si>
  <si>
    <t>4121 A</t>
  </si>
  <si>
    <t>4123 A</t>
  </si>
  <si>
    <t>4125 A</t>
  </si>
  <si>
    <t>4127 A</t>
  </si>
  <si>
    <t>4248 A</t>
  </si>
  <si>
    <t>4249 A</t>
  </si>
  <si>
    <t>4250 A</t>
  </si>
  <si>
    <t>4252 A</t>
  </si>
  <si>
    <t>4254 A</t>
  </si>
  <si>
    <t>4412 A</t>
  </si>
  <si>
    <t>4413 A</t>
  </si>
  <si>
    <t>4415 A</t>
  </si>
  <si>
    <t>4416 A</t>
  </si>
  <si>
    <t>4417 A</t>
  </si>
  <si>
    <t>4418 A</t>
  </si>
  <si>
    <t>4514 A</t>
  </si>
  <si>
    <t>JAVIER 24</t>
  </si>
  <si>
    <t>4523 A</t>
  </si>
  <si>
    <t>4524 A</t>
  </si>
  <si>
    <t>4525 A</t>
  </si>
  <si>
    <t>4526 A</t>
  </si>
  <si>
    <t>4527 A</t>
  </si>
  <si>
    <t>4528 A</t>
  </si>
  <si>
    <t>4599 A</t>
  </si>
  <si>
    <t>4614 A</t>
  </si>
  <si>
    <t>4615 A</t>
  </si>
  <si>
    <t>4619 A</t>
  </si>
  <si>
    <t>4620 A</t>
  </si>
  <si>
    <t>4622 A</t>
  </si>
  <si>
    <t>4621 A</t>
  </si>
  <si>
    <t>4711 A</t>
  </si>
  <si>
    <t>4712 A</t>
  </si>
  <si>
    <t>4714 A</t>
  </si>
  <si>
    <t>4715 A</t>
  </si>
  <si>
    <t>4717 A</t>
  </si>
  <si>
    <t>4825 A</t>
  </si>
  <si>
    <t>4827 A</t>
  </si>
  <si>
    <t>4828 A</t>
  </si>
  <si>
    <t>4829A</t>
  </si>
  <si>
    <t>4830 A</t>
  </si>
  <si>
    <t>4831 A</t>
  </si>
  <si>
    <t>4930 A</t>
  </si>
  <si>
    <t>4932 A</t>
  </si>
  <si>
    <t>4957 A</t>
  </si>
  <si>
    <t>4958 A</t>
  </si>
  <si>
    <t>4960 A</t>
  </si>
  <si>
    <t>4969 A</t>
  </si>
  <si>
    <t>4970 A</t>
  </si>
  <si>
    <t>4975 A</t>
  </si>
  <si>
    <t>4981 A</t>
  </si>
  <si>
    <t>4983 A</t>
  </si>
  <si>
    <t>4251 A</t>
  </si>
  <si>
    <t>5270 A</t>
  </si>
  <si>
    <t>5271 A</t>
  </si>
  <si>
    <t>5274 A</t>
  </si>
  <si>
    <t>5276 A</t>
  </si>
  <si>
    <t>5277 A</t>
  </si>
  <si>
    <t>5278 A</t>
  </si>
  <si>
    <t>5279 A</t>
  </si>
  <si>
    <t>5316 A</t>
  </si>
  <si>
    <t>5317 A</t>
  </si>
  <si>
    <t>5389 A</t>
  </si>
  <si>
    <t>5390 A</t>
  </si>
  <si>
    <t>5391 A</t>
  </si>
  <si>
    <t>5392 A</t>
  </si>
  <si>
    <t>5393 A</t>
  </si>
  <si>
    <t>5481 A</t>
  </si>
  <si>
    <t>5482 A</t>
  </si>
  <si>
    <t>5483 A</t>
  </si>
  <si>
    <t>5484 A</t>
  </si>
  <si>
    <t>5487 A</t>
  </si>
  <si>
    <t>5488 A</t>
  </si>
  <si>
    <t>5598 A</t>
  </si>
  <si>
    <t>5599 A</t>
  </si>
  <si>
    <t>5600 A</t>
  </si>
  <si>
    <t>5601 A</t>
  </si>
  <si>
    <t>5603 A</t>
  </si>
  <si>
    <t>5604 A</t>
  </si>
  <si>
    <t>5705 A</t>
  </si>
  <si>
    <t>5607 A</t>
  </si>
  <si>
    <t>5612 A</t>
  </si>
  <si>
    <t>5759 A</t>
  </si>
  <si>
    <t>5762 A</t>
  </si>
  <si>
    <t>5760 A</t>
  </si>
  <si>
    <t>5761 A</t>
  </si>
  <si>
    <t>5763 A</t>
  </si>
  <si>
    <t>5764 A</t>
  </si>
  <si>
    <t>5765 A</t>
  </si>
  <si>
    <t>5773 A</t>
  </si>
  <si>
    <t>5953 A</t>
  </si>
  <si>
    <t>5956 A</t>
  </si>
  <si>
    <t>5957 A</t>
  </si>
  <si>
    <t>5959 A</t>
  </si>
  <si>
    <t>6029 A</t>
  </si>
  <si>
    <t>6070 A</t>
  </si>
  <si>
    <t>6071-A</t>
  </si>
  <si>
    <t>6072 A</t>
  </si>
  <si>
    <t>6074 A</t>
  </si>
  <si>
    <t>6075 A</t>
  </si>
  <si>
    <t>6159 A</t>
  </si>
  <si>
    <t>6161 A</t>
  </si>
  <si>
    <t>6162 A</t>
  </si>
  <si>
    <t>6163 A</t>
  </si>
  <si>
    <t>6164 A</t>
  </si>
  <si>
    <t>6165 A</t>
  </si>
  <si>
    <t>6166 A</t>
  </si>
  <si>
    <t>6168 A</t>
  </si>
  <si>
    <t>6271 A</t>
  </si>
  <si>
    <t>6272 A</t>
  </si>
  <si>
    <t>6273 A</t>
  </si>
  <si>
    <t>6274 A</t>
  </si>
  <si>
    <t>6275 A</t>
  </si>
  <si>
    <t>6276 A</t>
  </si>
  <si>
    <t>6403 A</t>
  </si>
  <si>
    <t>6404 A</t>
  </si>
  <si>
    <t>6405 A</t>
  </si>
  <si>
    <t>6406 A</t>
  </si>
  <si>
    <t>6408 A</t>
  </si>
  <si>
    <t>6409 A</t>
  </si>
  <si>
    <t>6538 A</t>
  </si>
  <si>
    <t>6539 A</t>
  </si>
  <si>
    <t>6542 A</t>
  </si>
  <si>
    <t>6543 A</t>
  </si>
  <si>
    <t>6544 A</t>
  </si>
  <si>
    <t>6545 A</t>
  </si>
  <si>
    <t>6546 A</t>
  </si>
  <si>
    <t>6547 A</t>
  </si>
  <si>
    <t>6548 A</t>
  </si>
  <si>
    <t>6554 A</t>
  </si>
  <si>
    <t>6557 A</t>
  </si>
  <si>
    <t>6657 A</t>
  </si>
  <si>
    <t>6660 A</t>
  </si>
  <si>
    <t>5950 A</t>
  </si>
  <si>
    <t>5951 A</t>
  </si>
  <si>
    <t>5952 A</t>
  </si>
  <si>
    <t>5958 A</t>
  </si>
  <si>
    <t>6744 A</t>
  </si>
  <si>
    <t>6749 A</t>
  </si>
  <si>
    <t>6750 A</t>
  </si>
  <si>
    <t>6864 A</t>
  </si>
  <si>
    <t>6947 A</t>
  </si>
  <si>
    <t>7051 A</t>
  </si>
  <si>
    <t>7052 A</t>
  </si>
  <si>
    <t>7054 A</t>
  </si>
  <si>
    <t>7055 A</t>
  </si>
  <si>
    <t>7056 A</t>
  </si>
  <si>
    <t>7057 A</t>
  </si>
  <si>
    <t>7060 A</t>
  </si>
  <si>
    <t>7061 A</t>
  </si>
  <si>
    <t>7068 A</t>
  </si>
  <si>
    <t>7070 A</t>
  </si>
  <si>
    <t>7078 A</t>
  </si>
  <si>
    <t>7157 A</t>
  </si>
  <si>
    <t>7159 A</t>
  </si>
  <si>
    <t>7161 A</t>
  </si>
  <si>
    <t>7162 A</t>
  </si>
  <si>
    <t>7163 A</t>
  </si>
  <si>
    <t>7285 A</t>
  </si>
  <si>
    <t>7286 A</t>
  </si>
  <si>
    <t>7287 A</t>
  </si>
  <si>
    <t>7288 A</t>
  </si>
  <si>
    <t>7290 A</t>
  </si>
  <si>
    <t>7292 A</t>
  </si>
  <si>
    <t>7356 A</t>
  </si>
  <si>
    <t>7362 A</t>
  </si>
  <si>
    <t>7363 A</t>
  </si>
  <si>
    <t>7365 A</t>
  </si>
  <si>
    <t>7485 A</t>
  </si>
  <si>
    <t>7486 A</t>
  </si>
  <si>
    <t>7487 A</t>
  </si>
  <si>
    <t>7488 A</t>
  </si>
  <si>
    <t>7289 A</t>
  </si>
  <si>
    <t>7491 A</t>
  </si>
  <si>
    <t>6741 A</t>
  </si>
  <si>
    <t>6743 A</t>
  </si>
  <si>
    <t>6748 A</t>
  </si>
  <si>
    <t>6860 A</t>
  </si>
  <si>
    <t>6861 A</t>
  </si>
  <si>
    <t>6863 A</t>
  </si>
  <si>
    <t>6865 A</t>
  </si>
  <si>
    <t>6943 A</t>
  </si>
  <si>
    <t>6944 A</t>
  </si>
  <si>
    <t>6945 A</t>
  </si>
  <si>
    <t>6946 A</t>
  </si>
  <si>
    <t>6948 A</t>
  </si>
  <si>
    <t>6949 A</t>
  </si>
  <si>
    <t>7364 A</t>
  </si>
  <si>
    <t>7293 A</t>
  </si>
  <si>
    <t>7489 A</t>
  </si>
  <si>
    <t>7639 A</t>
  </si>
  <si>
    <t>7640 A</t>
  </si>
  <si>
    <t>7641 A</t>
  </si>
  <si>
    <t>7642 A</t>
  </si>
  <si>
    <t>7643 A</t>
  </si>
  <si>
    <t>7644 A</t>
  </si>
  <si>
    <t>7645 A</t>
  </si>
  <si>
    <t>7751 A</t>
  </si>
  <si>
    <t>7752 A</t>
  </si>
  <si>
    <t>7753 A</t>
  </si>
  <si>
    <t>7754 A</t>
  </si>
  <si>
    <t>7755 A</t>
  </si>
  <si>
    <t>7856 A</t>
  </si>
  <si>
    <t>7857 A</t>
  </si>
  <si>
    <t>7858 A</t>
  </si>
  <si>
    <t>7859 A</t>
  </si>
  <si>
    <t>7860 A</t>
  </si>
  <si>
    <t>7861 A</t>
  </si>
  <si>
    <t>7863 A</t>
  </si>
  <si>
    <t>8112-A</t>
  </si>
  <si>
    <t>8113 A</t>
  </si>
  <si>
    <t>8115 A</t>
  </si>
  <si>
    <t>8116 A</t>
  </si>
  <si>
    <t>8117 A</t>
  </si>
  <si>
    <t>8119 A</t>
  </si>
  <si>
    <t>8126 A</t>
  </si>
  <si>
    <t>8196 A</t>
  </si>
  <si>
    <t>8197 A</t>
  </si>
  <si>
    <t>8201 A</t>
  </si>
  <si>
    <t>8202 A</t>
  </si>
  <si>
    <t>8203 A</t>
  </si>
  <si>
    <t>SUELDO</t>
  </si>
  <si>
    <t>06 AL  12  DE  Septiembre</t>
  </si>
  <si>
    <t>7988 A</t>
  </si>
  <si>
    <t>7490 A</t>
  </si>
  <si>
    <t>7862 A</t>
  </si>
  <si>
    <t>7989 A</t>
  </si>
  <si>
    <t>7990 A</t>
  </si>
  <si>
    <t>7993 A</t>
  </si>
  <si>
    <t>7994 A</t>
  </si>
  <si>
    <t>7995 A</t>
  </si>
  <si>
    <t>8351 A</t>
  </si>
  <si>
    <t>8352 A</t>
  </si>
  <si>
    <t>8353 A</t>
  </si>
  <si>
    <t>8458 A</t>
  </si>
  <si>
    <t>8459 A</t>
  </si>
  <si>
    <t>8460 A</t>
  </si>
  <si>
    <t>8461 A</t>
  </si>
  <si>
    <t>8462 A</t>
  </si>
  <si>
    <t>8463 A</t>
  </si>
  <si>
    <t>8464 A</t>
  </si>
  <si>
    <t>8496 A</t>
  </si>
  <si>
    <t>8550 A</t>
  </si>
  <si>
    <t>8556 A</t>
  </si>
  <si>
    <t>8557 A</t>
  </si>
  <si>
    <t>8558 A</t>
  </si>
  <si>
    <t>8559 A</t>
  </si>
  <si>
    <t>8560 A</t>
  </si>
  <si>
    <t>8665 A</t>
  </si>
  <si>
    <t>8667 A</t>
  </si>
  <si>
    <t>8668 A</t>
  </si>
  <si>
    <t>CARNES SANTA ANA</t>
  </si>
  <si>
    <t>8669 A</t>
  </si>
  <si>
    <t>8670 A</t>
  </si>
  <si>
    <t>8671 A</t>
  </si>
  <si>
    <t>8802 A</t>
  </si>
  <si>
    <t>8803 A</t>
  </si>
  <si>
    <t>8804 A</t>
  </si>
  <si>
    <t>8805 A</t>
  </si>
  <si>
    <t>8806 A</t>
  </si>
  <si>
    <t>8933 A</t>
  </si>
  <si>
    <t>8934 A</t>
  </si>
  <si>
    <t>8935 A</t>
  </si>
  <si>
    <t>8936 A</t>
  </si>
  <si>
    <t>8937 A</t>
  </si>
  <si>
    <t>8938 A</t>
  </si>
  <si>
    <t>8945 A</t>
  </si>
  <si>
    <t>8946 A</t>
  </si>
  <si>
    <t>9052 A</t>
  </si>
  <si>
    <t xml:space="preserve">ANTICIPO DE </t>
  </si>
  <si>
    <t>PAGO</t>
  </si>
  <si>
    <t>13  al 19 SEPTIEMBRE</t>
  </si>
  <si>
    <t>9053 A</t>
  </si>
  <si>
    <t>9054 A</t>
  </si>
  <si>
    <t>9147 A</t>
  </si>
  <si>
    <t>9148 A</t>
  </si>
  <si>
    <t>9150 A</t>
  </si>
  <si>
    <t>9151 A</t>
  </si>
  <si>
    <t>JAVIIER</t>
  </si>
  <si>
    <t>9152 A</t>
  </si>
  <si>
    <t>9153 A</t>
  </si>
  <si>
    <t>9154 A</t>
  </si>
  <si>
    <t>9155 A</t>
  </si>
  <si>
    <t>9156 A</t>
  </si>
  <si>
    <t>9157 A</t>
  </si>
  <si>
    <t>9216 A</t>
  </si>
  <si>
    <t>9217 A</t>
  </si>
  <si>
    <t>9219 A</t>
  </si>
  <si>
    <t>9317 A</t>
  </si>
  <si>
    <t>9318 A</t>
  </si>
  <si>
    <t>9320 A</t>
  </si>
  <si>
    <t>9322 A</t>
  </si>
  <si>
    <t>9323 A</t>
  </si>
  <si>
    <t>9324 A</t>
  </si>
  <si>
    <t>9325 A</t>
  </si>
  <si>
    <t>9534 A</t>
  </si>
  <si>
    <t>9535 A</t>
  </si>
  <si>
    <t>9536 A</t>
  </si>
  <si>
    <t>9537 A</t>
  </si>
  <si>
    <t>9538 A</t>
  </si>
  <si>
    <t>9539 A</t>
  </si>
  <si>
    <t>9602 A</t>
  </si>
  <si>
    <t>9603 A</t>
  </si>
  <si>
    <t>9604 A</t>
  </si>
  <si>
    <t>9605 A</t>
  </si>
  <si>
    <t>9606 A</t>
  </si>
  <si>
    <t>9612 A</t>
  </si>
  <si>
    <t>9616 A</t>
  </si>
  <si>
    <t>9618 A</t>
  </si>
  <si>
    <t>9622 A</t>
  </si>
  <si>
    <t>9749 A</t>
  </si>
  <si>
    <t>9750 A</t>
  </si>
  <si>
    <t>9752 A</t>
  </si>
  <si>
    <t>9754 A</t>
  </si>
  <si>
    <t>9757 A</t>
  </si>
  <si>
    <t>9756 A</t>
  </si>
  <si>
    <t>20  al 26 SEPTIEMBRE</t>
  </si>
  <si>
    <t>8807 A</t>
  </si>
  <si>
    <t>9755 A</t>
  </si>
  <si>
    <t>9850 A</t>
  </si>
  <si>
    <t>VENTA DE MOSTRADOR</t>
  </si>
  <si>
    <t>9945 A</t>
  </si>
  <si>
    <t>9948 A</t>
  </si>
  <si>
    <t>9949 A</t>
  </si>
  <si>
    <t>9950 A</t>
  </si>
  <si>
    <t>9951 A</t>
  </si>
  <si>
    <t>9953 A</t>
  </si>
  <si>
    <t>9958 A</t>
  </si>
  <si>
    <t>10021 A</t>
  </si>
  <si>
    <t>10022 A</t>
  </si>
  <si>
    <t>10023 A</t>
  </si>
  <si>
    <t>10088 A</t>
  </si>
  <si>
    <t>10089 A</t>
  </si>
  <si>
    <t>10091 A</t>
  </si>
  <si>
    <t>10092 A</t>
  </si>
  <si>
    <t>10093 A</t>
  </si>
  <si>
    <t>10094 A</t>
  </si>
  <si>
    <t>10095 A</t>
  </si>
  <si>
    <t>10112 A</t>
  </si>
  <si>
    <t>10188 A</t>
  </si>
  <si>
    <t>10189 A</t>
  </si>
  <si>
    <t>10190 A</t>
  </si>
  <si>
    <t>10191 A</t>
  </si>
  <si>
    <t>10192 A</t>
  </si>
  <si>
    <t>10195 A</t>
  </si>
  <si>
    <t>10289 A</t>
  </si>
  <si>
    <t>10290 A</t>
  </si>
  <si>
    <t>10291 A</t>
  </si>
  <si>
    <t>10292 A</t>
  </si>
  <si>
    <t>10293 A</t>
  </si>
  <si>
    <t>10295 A</t>
  </si>
  <si>
    <t>CARNEICERIA BARBIE</t>
  </si>
  <si>
    <t>10427 A</t>
  </si>
  <si>
    <t>10429 A</t>
  </si>
  <si>
    <t>10430 A</t>
  </si>
  <si>
    <t>10431 A</t>
  </si>
  <si>
    <t>10434 A</t>
  </si>
  <si>
    <t>10435 A</t>
  </si>
  <si>
    <t>10436 A</t>
  </si>
  <si>
    <t>10568 A</t>
  </si>
  <si>
    <t>10570 A</t>
  </si>
  <si>
    <t>10571 A</t>
  </si>
  <si>
    <t>10572 A</t>
  </si>
  <si>
    <t>10573 A</t>
  </si>
  <si>
    <t>10575 A</t>
  </si>
  <si>
    <t>10576 A</t>
  </si>
  <si>
    <t xml:space="preserve">del 27 al 03 de Octubre </t>
  </si>
  <si>
    <t>SERGIO HERRERIAS</t>
  </si>
  <si>
    <t>CARNICERIA HUGOS</t>
  </si>
  <si>
    <t xml:space="preserve">del 04 al 10 de Octubre </t>
  </si>
  <si>
    <t>CARNES SELECTAs</t>
  </si>
  <si>
    <t xml:space="preserve">del 11 al 17 de Octubre </t>
  </si>
  <si>
    <t>CHEMA</t>
  </si>
  <si>
    <t>CARNICERIA SDAN</t>
  </si>
  <si>
    <t xml:space="preserve">del 18 al 24     de Octubre </t>
  </si>
  <si>
    <t>GABRIEL TUXPAN</t>
  </si>
  <si>
    <t xml:space="preserve">del 26 al 31     de Octubre </t>
  </si>
  <si>
    <t xml:space="preserve">del 02 al  07    de Noviembre  </t>
  </si>
  <si>
    <t xml:space="preserve">del 09 al   15 de Noviembre  </t>
  </si>
  <si>
    <t xml:space="preserve">  </t>
  </si>
  <si>
    <t xml:space="preserve">REMISION PENDIENTE </t>
  </si>
  <si>
    <t>PACO DIAZ  #  8353-A</t>
  </si>
  <si>
    <t xml:space="preserve">del 16     al  21   de Noviembre  </t>
  </si>
  <si>
    <t>CANICERIA BARBIE</t>
  </si>
  <si>
    <t>17811 ( 17822 )</t>
  </si>
  <si>
    <t xml:space="preserve">del 23     al  29  de Noviembre  </t>
  </si>
  <si>
    <t>del 30     al  06 DE DICIEMBRE 2015</t>
  </si>
  <si>
    <t>A 19124</t>
  </si>
  <si>
    <t xml:space="preserve">CARNES DIAZ </t>
  </si>
  <si>
    <t>A 19125</t>
  </si>
  <si>
    <t>A 19126</t>
  </si>
  <si>
    <t>A 19127</t>
  </si>
  <si>
    <t>A 19128</t>
  </si>
  <si>
    <t>A 19129</t>
  </si>
  <si>
    <t>A 19130</t>
  </si>
  <si>
    <t>A 19131</t>
  </si>
  <si>
    <t>A 19268</t>
  </si>
  <si>
    <t>A 19269</t>
  </si>
  <si>
    <t>A 19270</t>
  </si>
  <si>
    <t>A 19272</t>
  </si>
  <si>
    <t>A 19408</t>
  </si>
  <si>
    <t>A 19409</t>
  </si>
  <si>
    <t>A 19410</t>
  </si>
  <si>
    <t>A 19411</t>
  </si>
  <si>
    <t>A 19412</t>
  </si>
  <si>
    <t>A 19413</t>
  </si>
  <si>
    <t>A 19414</t>
  </si>
  <si>
    <t>A 19416</t>
  </si>
  <si>
    <t>A 19520</t>
  </si>
  <si>
    <t>A 19521</t>
  </si>
  <si>
    <t>A 19522</t>
  </si>
  <si>
    <t>A 19523</t>
  </si>
  <si>
    <t>A 19524</t>
  </si>
  <si>
    <t>A 19525</t>
  </si>
  <si>
    <t>A 19526</t>
  </si>
  <si>
    <t>A 19583</t>
  </si>
  <si>
    <t>A 19588</t>
  </si>
  <si>
    <t>A 19675</t>
  </si>
  <si>
    <t>A 19677</t>
  </si>
  <si>
    <t>A 19678</t>
  </si>
  <si>
    <t>A 19680</t>
  </si>
  <si>
    <t>A 19682</t>
  </si>
  <si>
    <t>A 19683</t>
  </si>
  <si>
    <t>A 19684</t>
  </si>
  <si>
    <t>A 19686</t>
  </si>
  <si>
    <t>A 19861</t>
  </si>
  <si>
    <t>A 19862</t>
  </si>
  <si>
    <t>A 19863</t>
  </si>
  <si>
    <t>A 19864</t>
  </si>
  <si>
    <t>A 19865</t>
  </si>
  <si>
    <t>A 19866</t>
  </si>
  <si>
    <t>A 19867</t>
  </si>
  <si>
    <t>A 19868</t>
  </si>
  <si>
    <t>A 19869</t>
  </si>
  <si>
    <t>A 19975</t>
  </si>
  <si>
    <t>A 20034</t>
  </si>
  <si>
    <t>A 20035</t>
  </si>
  <si>
    <t>del 7 al  12 DE DICIEMBRE 2015</t>
  </si>
  <si>
    <t>A 20106</t>
  </si>
  <si>
    <t>A 20107</t>
  </si>
  <si>
    <t>A 20108</t>
  </si>
  <si>
    <t>A 20109</t>
  </si>
  <si>
    <t>A 20110</t>
  </si>
  <si>
    <t>A 20112</t>
  </si>
  <si>
    <t>A 20111</t>
  </si>
  <si>
    <t>A 20430</t>
  </si>
  <si>
    <t>A 20431</t>
  </si>
  <si>
    <t>VENTA MOSTRADOR</t>
  </si>
  <si>
    <t>A 20435</t>
  </si>
  <si>
    <t>A 20439</t>
  </si>
  <si>
    <t>A 20432</t>
  </si>
  <si>
    <t>A 20340</t>
  </si>
  <si>
    <t>A 20342</t>
  </si>
  <si>
    <t>A 20343</t>
  </si>
  <si>
    <t>A 20344</t>
  </si>
  <si>
    <t>A 20345</t>
  </si>
  <si>
    <t>A 20346</t>
  </si>
  <si>
    <t>A 20590</t>
  </si>
  <si>
    <t>A 20591</t>
  </si>
  <si>
    <t>A 20592</t>
  </si>
  <si>
    <t>A 20593</t>
  </si>
  <si>
    <t>A 20595</t>
  </si>
  <si>
    <t>A 20594</t>
  </si>
  <si>
    <t>A 20697</t>
  </si>
  <si>
    <t>A 20754</t>
  </si>
  <si>
    <t>A 20755</t>
  </si>
  <si>
    <t>A 20757</t>
  </si>
  <si>
    <t>A 20758</t>
  </si>
  <si>
    <t>A 20759</t>
  </si>
  <si>
    <t>A 20862</t>
  </si>
  <si>
    <t>A 20945</t>
  </si>
  <si>
    <t>A 20946</t>
  </si>
  <si>
    <t>A 20948</t>
  </si>
  <si>
    <t>A 20949</t>
  </si>
  <si>
    <t>A 20756</t>
  </si>
  <si>
    <t>A 20951</t>
  </si>
  <si>
    <t>A 20952</t>
  </si>
  <si>
    <t>A 20954</t>
  </si>
  <si>
    <t>A 20958</t>
  </si>
  <si>
    <t>A 20434</t>
  </si>
  <si>
    <t>A 20433</t>
  </si>
  <si>
    <t>del 14 al  20 DE DICIEMBRE 2015</t>
  </si>
  <si>
    <t xml:space="preserve">CARNICARIA SANTA ANA </t>
  </si>
  <si>
    <t>del 21     al  27     DE DICIEMBRE 2015</t>
  </si>
  <si>
    <t>del 28     al    03  ENERO  2016</t>
  </si>
  <si>
    <t>CARNES  SELECTAS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</si>
</sst>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C0A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5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Fill="1" applyBorder="1"/>
    <xf numFmtId="16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4" fillId="0" borderId="8" xfId="0" applyFont="1" applyFill="1" applyBorder="1" applyAlignment="1">
      <alignment horizontal="right"/>
    </xf>
    <xf numFmtId="2" fontId="0" fillId="0" borderId="7" xfId="0" applyNumberFormat="1" applyBorder="1"/>
    <xf numFmtId="2" fontId="4" fillId="0" borderId="1" xfId="0" applyNumberFormat="1" applyFont="1" applyBorder="1"/>
    <xf numFmtId="44" fontId="5" fillId="2" borderId="0" xfId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164" fontId="2" fillId="0" borderId="6" xfId="0" applyNumberFormat="1" applyFont="1" applyBorder="1"/>
    <xf numFmtId="0" fontId="2" fillId="0" borderId="6" xfId="0" applyFont="1" applyBorder="1"/>
    <xf numFmtId="2" fontId="2" fillId="0" borderId="6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2" fontId="2" fillId="0" borderId="5" xfId="0" applyNumberFormat="1" applyFont="1" applyBorder="1"/>
    <xf numFmtId="0" fontId="2" fillId="0" borderId="5" xfId="0" applyFont="1" applyFill="1" applyBorder="1"/>
    <xf numFmtId="44" fontId="0" fillId="0" borderId="5" xfId="1" applyFont="1" applyBorder="1"/>
    <xf numFmtId="44" fontId="0" fillId="0" borderId="7" xfId="1" applyFont="1" applyBorder="1"/>
    <xf numFmtId="164" fontId="3" fillId="0" borderId="0" xfId="0" applyNumberFormat="1" applyFont="1"/>
    <xf numFmtId="164" fontId="4" fillId="0" borderId="0" xfId="0" applyNumberFormat="1" applyFont="1"/>
    <xf numFmtId="44" fontId="0" fillId="0" borderId="0" xfId="1" applyFont="1"/>
    <xf numFmtId="44" fontId="0" fillId="0" borderId="9" xfId="1" applyFont="1" applyBorder="1"/>
    <xf numFmtId="44" fontId="2" fillId="0" borderId="1" xfId="1" applyFont="1" applyBorder="1"/>
    <xf numFmtId="44" fontId="0" fillId="0" borderId="11" xfId="1" applyFont="1" applyBorder="1"/>
    <xf numFmtId="44" fontId="2" fillId="0" borderId="7" xfId="1" applyFont="1" applyBorder="1"/>
    <xf numFmtId="0" fontId="3" fillId="2" borderId="5" xfId="0" applyFont="1" applyFill="1" applyBorder="1" applyAlignment="1">
      <alignment horizontal="center"/>
    </xf>
    <xf numFmtId="0" fontId="4" fillId="0" borderId="0" xfId="0" applyFont="1"/>
    <xf numFmtId="164" fontId="2" fillId="0" borderId="6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2" fillId="0" borderId="6" xfId="0" applyFont="1" applyFill="1" applyBorder="1"/>
    <xf numFmtId="2" fontId="2" fillId="0" borderId="6" xfId="0" applyNumberFormat="1" applyFont="1" applyFill="1" applyBorder="1"/>
    <xf numFmtId="44" fontId="0" fillId="0" borderId="0" xfId="1" applyFont="1" applyFill="1"/>
    <xf numFmtId="164" fontId="2" fillId="0" borderId="5" xfId="0" applyNumberFormat="1" applyFont="1" applyFill="1" applyBorder="1"/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/>
    <xf numFmtId="0" fontId="2" fillId="0" borderId="5" xfId="0" applyFont="1" applyFill="1" applyBorder="1" applyAlignment="1">
      <alignment horizontal="center"/>
    </xf>
    <xf numFmtId="2" fontId="2" fillId="0" borderId="9" xfId="0" applyNumberFormat="1" applyFont="1" applyBorder="1"/>
    <xf numFmtId="44" fontId="2" fillId="0" borderId="9" xfId="1" applyFont="1" applyBorder="1"/>
    <xf numFmtId="2" fontId="2" fillId="0" borderId="9" xfId="0" applyNumberFormat="1" applyFont="1" applyFill="1" applyBorder="1"/>
    <xf numFmtId="0" fontId="2" fillId="2" borderId="5" xfId="0" applyFont="1" applyFill="1" applyBorder="1" applyAlignment="1">
      <alignment horizontal="center"/>
    </xf>
    <xf numFmtId="44" fontId="4" fillId="0" borderId="12" xfId="1" applyFont="1" applyBorder="1"/>
    <xf numFmtId="0" fontId="0" fillId="0" borderId="12" xfId="0" applyBorder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44" fontId="2" fillId="2" borderId="0" xfId="1" applyFont="1" applyFill="1"/>
    <xf numFmtId="0" fontId="3" fillId="0" borderId="0" xfId="0" applyFont="1" applyAlignment="1">
      <alignment horizontal="right"/>
    </xf>
    <xf numFmtId="44" fontId="0" fillId="0" borderId="0" xfId="0" applyNumberFormat="1"/>
    <xf numFmtId="44" fontId="2" fillId="4" borderId="0" xfId="1" applyFont="1" applyFill="1"/>
    <xf numFmtId="0" fontId="0" fillId="0" borderId="0" xfId="0" applyFill="1"/>
    <xf numFmtId="44" fontId="2" fillId="0" borderId="0" xfId="1" applyFont="1" applyFill="1"/>
    <xf numFmtId="16" fontId="0" fillId="0" borderId="0" xfId="0" applyNumberFormat="1"/>
    <xf numFmtId="14" fontId="0" fillId="0" borderId="0" xfId="0" applyNumberFormat="1"/>
    <xf numFmtId="2" fontId="2" fillId="5" borderId="5" xfId="0" applyNumberFormat="1" applyFont="1" applyFill="1" applyBorder="1"/>
    <xf numFmtId="0" fontId="3" fillId="0" borderId="10" xfId="0" applyFont="1" applyBorder="1" applyAlignment="1">
      <alignment horizontal="center"/>
    </xf>
    <xf numFmtId="16" fontId="3" fillId="0" borderId="10" xfId="0" applyNumberFormat="1" applyFont="1" applyBorder="1" applyAlignment="1">
      <alignment horizontal="center"/>
    </xf>
    <xf numFmtId="44" fontId="5" fillId="3" borderId="2" xfId="1" applyFont="1" applyFill="1" applyBorder="1" applyAlignment="1">
      <alignment horizontal="center"/>
    </xf>
    <xf numFmtId="44" fontId="5" fillId="3" borderId="4" xfId="1" applyFont="1" applyFill="1" applyBorder="1" applyAlignment="1">
      <alignment horizontal="center"/>
    </xf>
    <xf numFmtId="44" fontId="4" fillId="0" borderId="12" xfId="1" applyFont="1" applyBorder="1" applyAlignment="1">
      <alignment horizontal="center"/>
    </xf>
    <xf numFmtId="44" fontId="5" fillId="0" borderId="13" xfId="1" applyFont="1" applyBorder="1" applyAlignment="1">
      <alignment horizontal="center"/>
    </xf>
    <xf numFmtId="44" fontId="5" fillId="0" borderId="0" xfId="1" applyFont="1" applyAlignment="1">
      <alignment horizontal="center"/>
    </xf>
    <xf numFmtId="164" fontId="3" fillId="0" borderId="10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41"/>
  <sheetViews>
    <sheetView topLeftCell="A25" workbookViewId="0">
      <selection activeCell="C42" sqref="C41:C42"/>
    </sheetView>
  </sheetViews>
  <sheetFormatPr baseColWidth="10" defaultRowHeight="15" x14ac:dyDescent="0.25"/>
  <cols>
    <col min="1" max="1" width="6" customWidth="1"/>
    <col min="3" max="3" width="13.7109375" style="11" customWidth="1"/>
    <col min="4" max="4" width="33.5703125" customWidth="1"/>
  </cols>
  <sheetData>
    <row r="1" spans="2:5" ht="15.75" thickBot="1" x14ac:dyDescent="0.3"/>
    <row r="2" spans="2:5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5" ht="15.75" x14ac:dyDescent="0.25">
      <c r="B3" s="8">
        <v>42121</v>
      </c>
      <c r="C3" s="13">
        <v>19138</v>
      </c>
      <c r="D3" s="5" t="s">
        <v>6</v>
      </c>
      <c r="E3" s="6">
        <f>136.2+5+81.72</f>
        <v>222.92</v>
      </c>
    </row>
    <row r="4" spans="2:5" ht="15.75" x14ac:dyDescent="0.25">
      <c r="B4" s="9">
        <v>42121</v>
      </c>
      <c r="C4" s="14">
        <v>19139</v>
      </c>
      <c r="D4" s="4" t="s">
        <v>4</v>
      </c>
      <c r="E4" s="7">
        <f>116.3+260.5</f>
        <v>376.8</v>
      </c>
    </row>
    <row r="5" spans="2:5" ht="15.75" x14ac:dyDescent="0.25">
      <c r="B5" s="9">
        <v>42121</v>
      </c>
      <c r="C5" s="14">
        <v>19140</v>
      </c>
      <c r="D5" s="4" t="s">
        <v>8</v>
      </c>
      <c r="E5" s="7">
        <v>153.69999999999999</v>
      </c>
    </row>
    <row r="6" spans="2:5" ht="15.75" x14ac:dyDescent="0.25">
      <c r="B6" s="9">
        <v>42121</v>
      </c>
      <c r="C6" s="14">
        <v>19141</v>
      </c>
      <c r="D6" s="4" t="s">
        <v>5</v>
      </c>
      <c r="E6" s="7">
        <v>79.900000000000006</v>
      </c>
    </row>
    <row r="7" spans="2:5" ht="15.75" x14ac:dyDescent="0.25">
      <c r="B7" s="9">
        <v>42121</v>
      </c>
      <c r="C7" s="14">
        <v>19142</v>
      </c>
      <c r="D7" s="4" t="s">
        <v>7</v>
      </c>
      <c r="E7" s="7">
        <v>433</v>
      </c>
    </row>
    <row r="8" spans="2:5" ht="15.75" x14ac:dyDescent="0.25">
      <c r="B8" s="9">
        <v>42122</v>
      </c>
      <c r="C8" s="14">
        <v>19278</v>
      </c>
      <c r="D8" s="4" t="s">
        <v>5</v>
      </c>
      <c r="E8" s="7">
        <v>112.8</v>
      </c>
    </row>
    <row r="9" spans="2:5" ht="15.75" x14ac:dyDescent="0.25">
      <c r="B9" s="9">
        <v>42122</v>
      </c>
      <c r="C9" s="14">
        <v>19279</v>
      </c>
      <c r="D9" s="4" t="s">
        <v>9</v>
      </c>
      <c r="E9" s="7">
        <v>152.9</v>
      </c>
    </row>
    <row r="10" spans="2:5" ht="15.75" x14ac:dyDescent="0.25">
      <c r="B10" s="9">
        <v>42122</v>
      </c>
      <c r="C10" s="14">
        <v>19280</v>
      </c>
      <c r="D10" s="4" t="s">
        <v>6</v>
      </c>
      <c r="E10" s="7">
        <v>536.20000000000005</v>
      </c>
    </row>
    <row r="11" spans="2:5" ht="15.75" x14ac:dyDescent="0.25">
      <c r="B11" s="9">
        <v>42122</v>
      </c>
      <c r="C11" s="14">
        <v>19281</v>
      </c>
      <c r="D11" s="4" t="s">
        <v>10</v>
      </c>
      <c r="E11" s="7">
        <f>48.2+101.9</f>
        <v>150.10000000000002</v>
      </c>
    </row>
    <row r="12" spans="2:5" ht="15.75" x14ac:dyDescent="0.25">
      <c r="B12" s="9">
        <v>42122</v>
      </c>
      <c r="C12" s="14">
        <v>19282</v>
      </c>
      <c r="D12" s="4" t="s">
        <v>7</v>
      </c>
      <c r="E12" s="7">
        <v>207.6</v>
      </c>
    </row>
    <row r="13" spans="2:5" ht="15.75" x14ac:dyDescent="0.25">
      <c r="B13" s="9">
        <v>42123</v>
      </c>
      <c r="C13" s="14">
        <v>19374</v>
      </c>
      <c r="D13" s="4" t="s">
        <v>11</v>
      </c>
      <c r="E13" s="7">
        <f>15.7+66.4+13.5</f>
        <v>95.600000000000009</v>
      </c>
    </row>
    <row r="14" spans="2:5" ht="15.75" x14ac:dyDescent="0.25">
      <c r="B14" s="9">
        <v>42123</v>
      </c>
      <c r="C14" s="14">
        <v>19375</v>
      </c>
      <c r="D14" s="4" t="s">
        <v>9</v>
      </c>
      <c r="E14" s="7">
        <v>280.39999999999998</v>
      </c>
    </row>
    <row r="15" spans="2:5" ht="15.75" x14ac:dyDescent="0.25">
      <c r="B15" s="9">
        <v>42123</v>
      </c>
      <c r="C15" s="14">
        <v>19376</v>
      </c>
      <c r="D15" s="4" t="s">
        <v>12</v>
      </c>
      <c r="E15" s="7">
        <v>99.9</v>
      </c>
    </row>
    <row r="16" spans="2:5" ht="15.75" x14ac:dyDescent="0.25">
      <c r="B16" s="9">
        <v>42123</v>
      </c>
      <c r="C16" s="14">
        <v>19377</v>
      </c>
      <c r="D16" s="4" t="s">
        <v>6</v>
      </c>
      <c r="E16" s="7">
        <v>36.243000000000002</v>
      </c>
    </row>
    <row r="17" spans="2:5" ht="15.75" x14ac:dyDescent="0.25">
      <c r="B17" s="9">
        <v>42124</v>
      </c>
      <c r="C17" s="14">
        <v>19476</v>
      </c>
      <c r="D17" s="4" t="s">
        <v>11</v>
      </c>
      <c r="E17" s="7">
        <f>68.7+41.8</f>
        <v>110.5</v>
      </c>
    </row>
    <row r="18" spans="2:5" ht="15.75" x14ac:dyDescent="0.25">
      <c r="B18" s="9">
        <v>42124</v>
      </c>
      <c r="C18" s="14">
        <v>19477</v>
      </c>
      <c r="D18" s="4" t="s">
        <v>8</v>
      </c>
      <c r="E18" s="7">
        <f>71.9+75.7</f>
        <v>147.60000000000002</v>
      </c>
    </row>
    <row r="19" spans="2:5" ht="15.75" x14ac:dyDescent="0.25">
      <c r="B19" s="9">
        <v>42124</v>
      </c>
      <c r="C19" s="14">
        <v>19478</v>
      </c>
      <c r="D19" s="4" t="s">
        <v>7</v>
      </c>
      <c r="E19" s="7">
        <f>374.5+143.6</f>
        <v>518.1</v>
      </c>
    </row>
    <row r="20" spans="2:5" ht="15.75" x14ac:dyDescent="0.25">
      <c r="B20" s="9">
        <v>42124</v>
      </c>
      <c r="C20" s="14">
        <v>19479</v>
      </c>
      <c r="D20" s="4" t="s">
        <v>13</v>
      </c>
      <c r="E20" s="7">
        <f>12.7+82.5</f>
        <v>95.2</v>
      </c>
    </row>
    <row r="21" spans="2:5" ht="15.75" x14ac:dyDescent="0.25">
      <c r="B21" s="9">
        <v>42124</v>
      </c>
      <c r="C21" s="14">
        <v>19484</v>
      </c>
      <c r="D21" s="4" t="s">
        <v>6</v>
      </c>
      <c r="E21" s="7">
        <v>24.2</v>
      </c>
    </row>
    <row r="22" spans="2:5" ht="15.75" x14ac:dyDescent="0.25">
      <c r="B22" s="9">
        <v>42125</v>
      </c>
      <c r="C22" s="14">
        <v>19605</v>
      </c>
      <c r="D22" s="4" t="s">
        <v>11</v>
      </c>
      <c r="E22" s="7">
        <v>130.80000000000001</v>
      </c>
    </row>
    <row r="23" spans="2:5" ht="15.75" x14ac:dyDescent="0.25">
      <c r="B23" s="9">
        <v>42125</v>
      </c>
      <c r="C23" s="14">
        <v>19606</v>
      </c>
      <c r="D23" s="4" t="s">
        <v>4</v>
      </c>
      <c r="E23" s="7">
        <v>365.2</v>
      </c>
    </row>
    <row r="24" spans="2:5" ht="15.75" x14ac:dyDescent="0.25">
      <c r="B24" s="9">
        <v>42125</v>
      </c>
      <c r="C24" s="14">
        <v>19607</v>
      </c>
      <c r="D24" s="4" t="s">
        <v>7</v>
      </c>
      <c r="E24" s="7">
        <v>1371.4</v>
      </c>
    </row>
    <row r="25" spans="2:5" ht="15.75" x14ac:dyDescent="0.25">
      <c r="B25" s="9">
        <v>42125</v>
      </c>
      <c r="C25" s="14">
        <v>19608</v>
      </c>
      <c r="D25" s="4" t="s">
        <v>10</v>
      </c>
      <c r="E25" s="7">
        <f>76.3+8.9</f>
        <v>85.2</v>
      </c>
    </row>
    <row r="26" spans="2:5" ht="15.75" x14ac:dyDescent="0.25">
      <c r="B26" s="9">
        <v>42125</v>
      </c>
      <c r="C26" s="14">
        <v>19609</v>
      </c>
      <c r="D26" s="4" t="s">
        <v>6</v>
      </c>
      <c r="E26" s="7">
        <v>136.19999999999999</v>
      </c>
    </row>
    <row r="27" spans="2:5" ht="15.75" x14ac:dyDescent="0.25">
      <c r="B27" s="9">
        <v>42125</v>
      </c>
      <c r="C27" s="14">
        <v>19706</v>
      </c>
      <c r="D27" s="4" t="s">
        <v>7</v>
      </c>
      <c r="E27" s="7">
        <v>976.4</v>
      </c>
    </row>
    <row r="28" spans="2:5" x14ac:dyDescent="0.25">
      <c r="B28" s="9">
        <v>42126</v>
      </c>
      <c r="C28" s="12">
        <v>19709</v>
      </c>
      <c r="D28" s="15" t="s">
        <v>9</v>
      </c>
      <c r="E28" s="4">
        <f>385.2+85.4+95.4+119.4</f>
        <v>685.4</v>
      </c>
    </row>
    <row r="29" spans="2:5" ht="15.75" x14ac:dyDescent="0.25">
      <c r="B29" s="9">
        <v>42126</v>
      </c>
      <c r="C29" s="14">
        <v>19710</v>
      </c>
      <c r="D29" s="4" t="s">
        <v>6</v>
      </c>
      <c r="E29" s="7">
        <v>89.8</v>
      </c>
    </row>
    <row r="30" spans="2:5" ht="15.75" x14ac:dyDescent="0.25">
      <c r="B30" s="9">
        <v>42126</v>
      </c>
      <c r="C30" s="14">
        <v>19718</v>
      </c>
      <c r="D30" s="15" t="s">
        <v>14</v>
      </c>
      <c r="E30" s="7">
        <f>104.4+207.4</f>
        <v>311.8</v>
      </c>
    </row>
    <row r="31" spans="2:5" ht="15.75" x14ac:dyDescent="0.25">
      <c r="B31" s="9">
        <v>42126</v>
      </c>
      <c r="C31" s="14">
        <v>19719</v>
      </c>
      <c r="D31" s="4" t="s">
        <v>6</v>
      </c>
      <c r="E31" s="7">
        <v>83.2</v>
      </c>
    </row>
    <row r="32" spans="2:5" ht="15.75" thickBot="1" x14ac:dyDescent="0.3">
      <c r="B32" s="16"/>
      <c r="C32" s="17"/>
      <c r="D32" s="18"/>
      <c r="E32" s="24">
        <v>0</v>
      </c>
    </row>
    <row r="33" spans="2:5" ht="26.25" customHeight="1" thickBot="1" x14ac:dyDescent="0.35">
      <c r="B33" s="19"/>
      <c r="C33" s="20"/>
      <c r="D33" s="23" t="s">
        <v>3</v>
      </c>
      <c r="E33" s="25">
        <f>SUM(E3:E32)</f>
        <v>8069.0629999999992</v>
      </c>
    </row>
    <row r="34" spans="2:5" x14ac:dyDescent="0.25">
      <c r="B34" s="19"/>
      <c r="C34" s="20"/>
      <c r="D34" s="21"/>
      <c r="E34" s="22"/>
    </row>
    <row r="35" spans="2:5" ht="21" x14ac:dyDescent="0.35">
      <c r="B35" s="39">
        <v>42126</v>
      </c>
      <c r="D35" s="26">
        <f>E33*0.2</f>
        <v>1613.8126</v>
      </c>
    </row>
    <row r="36" spans="2:5" x14ac:dyDescent="0.25">
      <c r="B36" s="10"/>
    </row>
    <row r="37" spans="2:5" x14ac:dyDescent="0.25">
      <c r="B37" s="10"/>
    </row>
    <row r="38" spans="2:5" x14ac:dyDescent="0.25">
      <c r="B38" s="10"/>
    </row>
    <row r="39" spans="2:5" x14ac:dyDescent="0.25">
      <c r="B39" s="10"/>
    </row>
    <row r="40" spans="2:5" x14ac:dyDescent="0.25">
      <c r="B40" s="10"/>
    </row>
    <row r="41" spans="2:5" x14ac:dyDescent="0.25">
      <c r="B41" s="10"/>
    </row>
  </sheetData>
  <sortState ref="B3:E31">
    <sortCondition ref="C3:C31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F41"/>
  <sheetViews>
    <sheetView workbookViewId="0">
      <selection activeCell="C43" sqref="C4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54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42184</v>
      </c>
      <c r="C3" s="49" t="s">
        <v>57</v>
      </c>
      <c r="D3" s="50" t="s">
        <v>5</v>
      </c>
      <c r="E3" s="51">
        <f>218.2+82.4</f>
        <v>300.60000000000002</v>
      </c>
      <c r="F3" s="52">
        <v>9267.5</v>
      </c>
    </row>
    <row r="4" spans="2:6" ht="15.75" x14ac:dyDescent="0.25">
      <c r="B4" s="53">
        <v>42184</v>
      </c>
      <c r="C4" s="54" t="s">
        <v>55</v>
      </c>
      <c r="D4" s="36" t="s">
        <v>7</v>
      </c>
      <c r="E4" s="55">
        <v>258.60000000000002</v>
      </c>
      <c r="F4" s="52">
        <v>9568.2000000000007</v>
      </c>
    </row>
    <row r="5" spans="2:6" ht="15.75" x14ac:dyDescent="0.25">
      <c r="B5" s="53">
        <v>42184</v>
      </c>
      <c r="C5" s="54" t="s">
        <v>56</v>
      </c>
      <c r="D5" s="36" t="s">
        <v>6</v>
      </c>
      <c r="E5" s="55">
        <v>185.6</v>
      </c>
      <c r="F5" s="52">
        <v>3340.8</v>
      </c>
    </row>
    <row r="6" spans="2:6" ht="15.75" x14ac:dyDescent="0.25">
      <c r="B6" s="53">
        <v>42184</v>
      </c>
      <c r="C6" s="54" t="s">
        <v>58</v>
      </c>
      <c r="D6" s="36" t="s">
        <v>17</v>
      </c>
      <c r="E6" s="55">
        <v>441.4</v>
      </c>
      <c r="F6" s="52">
        <v>12800.6</v>
      </c>
    </row>
    <row r="7" spans="2:6" ht="15.75" x14ac:dyDescent="0.25">
      <c r="B7" s="53">
        <v>42184</v>
      </c>
      <c r="C7" s="54" t="s">
        <v>59</v>
      </c>
      <c r="D7" s="36" t="s">
        <v>10</v>
      </c>
      <c r="E7" s="55">
        <f>79+38.4</f>
        <v>117.4</v>
      </c>
      <c r="F7" s="52">
        <v>4612.6000000000004</v>
      </c>
    </row>
    <row r="8" spans="2:6" ht="15.75" x14ac:dyDescent="0.25">
      <c r="B8" s="53">
        <v>42184</v>
      </c>
      <c r="C8" s="54" t="s">
        <v>60</v>
      </c>
      <c r="D8" s="36" t="s">
        <v>17</v>
      </c>
      <c r="E8" s="55">
        <f>18.8+95</f>
        <v>113.8</v>
      </c>
      <c r="F8" s="52">
        <v>5885</v>
      </c>
    </row>
    <row r="9" spans="2:6" ht="15.75" x14ac:dyDescent="0.25">
      <c r="B9" s="53">
        <v>42186</v>
      </c>
      <c r="C9" s="54" t="s">
        <v>61</v>
      </c>
      <c r="D9" s="36" t="s">
        <v>9</v>
      </c>
      <c r="E9" s="55">
        <f>94+139.2+22.1+96</f>
        <v>351.29999999999995</v>
      </c>
      <c r="F9" s="52">
        <v>10831.6</v>
      </c>
    </row>
    <row r="10" spans="2:6" ht="15.75" x14ac:dyDescent="0.25">
      <c r="B10" s="53">
        <v>42186</v>
      </c>
      <c r="C10" s="54" t="s">
        <v>62</v>
      </c>
      <c r="D10" s="36" t="s">
        <v>16</v>
      </c>
      <c r="E10" s="55">
        <v>84.4</v>
      </c>
      <c r="F10" s="52">
        <v>3080.6</v>
      </c>
    </row>
    <row r="11" spans="2:6" ht="15.75" x14ac:dyDescent="0.25">
      <c r="B11" s="53">
        <v>42186</v>
      </c>
      <c r="C11" s="54" t="s">
        <v>63</v>
      </c>
      <c r="D11" s="36" t="s">
        <v>5</v>
      </c>
      <c r="E11" s="55">
        <v>173.6</v>
      </c>
      <c r="F11" s="52">
        <v>6336.4</v>
      </c>
    </row>
    <row r="12" spans="2:6" ht="15.75" x14ac:dyDescent="0.25">
      <c r="B12" s="53">
        <v>42186</v>
      </c>
      <c r="C12" s="54" t="s">
        <v>64</v>
      </c>
      <c r="D12" s="36" t="s">
        <v>7</v>
      </c>
      <c r="E12" s="55">
        <v>243</v>
      </c>
      <c r="F12" s="52">
        <v>8869.5</v>
      </c>
    </row>
    <row r="13" spans="2:6" ht="15.75" x14ac:dyDescent="0.25">
      <c r="B13" s="53">
        <v>42186</v>
      </c>
      <c r="C13" s="54" t="s">
        <v>65</v>
      </c>
      <c r="D13" s="36" t="s">
        <v>11</v>
      </c>
      <c r="E13" s="55">
        <f>80.2+56.8</f>
        <v>137</v>
      </c>
      <c r="F13" s="52">
        <v>5548.6</v>
      </c>
    </row>
    <row r="14" spans="2:6" ht="15.75" x14ac:dyDescent="0.25">
      <c r="B14" s="53">
        <v>42186</v>
      </c>
      <c r="C14" s="54" t="s">
        <v>66</v>
      </c>
      <c r="D14" s="36" t="s">
        <v>6</v>
      </c>
      <c r="E14" s="55">
        <f>136.1+5+22.68</f>
        <v>163.78</v>
      </c>
      <c r="F14" s="52">
        <v>11629.64</v>
      </c>
    </row>
    <row r="15" spans="2:6" ht="15.75" x14ac:dyDescent="0.25">
      <c r="B15" s="53">
        <v>42186</v>
      </c>
      <c r="C15" s="54" t="s">
        <v>67</v>
      </c>
      <c r="D15" s="36" t="s">
        <v>10</v>
      </c>
      <c r="E15" s="55">
        <v>94.8</v>
      </c>
      <c r="F15" s="52">
        <v>3507.6</v>
      </c>
    </row>
    <row r="16" spans="2:6" ht="15.75" x14ac:dyDescent="0.25">
      <c r="B16" s="53">
        <v>42186</v>
      </c>
      <c r="C16" s="54" t="s">
        <v>68</v>
      </c>
      <c r="D16" s="36" t="s">
        <v>10</v>
      </c>
      <c r="E16" s="55">
        <v>59.2</v>
      </c>
      <c r="F16" s="52">
        <v>2723.2</v>
      </c>
    </row>
    <row r="17" spans="2:6" ht="15.75" x14ac:dyDescent="0.25">
      <c r="B17" s="53">
        <v>42187</v>
      </c>
      <c r="C17" s="54" t="s">
        <v>69</v>
      </c>
      <c r="D17" s="36" t="s">
        <v>16</v>
      </c>
      <c r="E17" s="55">
        <f>81.4+65.6</f>
        <v>147</v>
      </c>
      <c r="F17" s="52">
        <v>5857.5</v>
      </c>
    </row>
    <row r="18" spans="2:6" ht="15.75" x14ac:dyDescent="0.25">
      <c r="B18" s="53">
        <v>42187</v>
      </c>
      <c r="C18" s="54" t="s">
        <v>70</v>
      </c>
      <c r="D18" s="36" t="s">
        <v>11</v>
      </c>
      <c r="E18" s="55">
        <v>242.6</v>
      </c>
      <c r="F18" s="52">
        <v>6671.5</v>
      </c>
    </row>
    <row r="19" spans="2:6" ht="15.75" x14ac:dyDescent="0.25">
      <c r="B19" s="53">
        <v>42187</v>
      </c>
      <c r="C19" s="54" t="s">
        <v>71</v>
      </c>
      <c r="D19" s="36" t="s">
        <v>10</v>
      </c>
      <c r="E19" s="55">
        <v>86.5</v>
      </c>
      <c r="F19" s="52">
        <v>3157.25</v>
      </c>
    </row>
    <row r="20" spans="2:6" ht="15.75" x14ac:dyDescent="0.25">
      <c r="B20" s="53">
        <v>42187</v>
      </c>
      <c r="C20" s="54" t="s">
        <v>72</v>
      </c>
      <c r="D20" s="36" t="s">
        <v>5</v>
      </c>
      <c r="E20" s="55">
        <v>448.6</v>
      </c>
      <c r="F20" s="52">
        <v>16373.9</v>
      </c>
    </row>
    <row r="21" spans="2:6" ht="15.75" x14ac:dyDescent="0.25">
      <c r="B21" s="53">
        <v>42188</v>
      </c>
      <c r="C21" s="54" t="s">
        <v>73</v>
      </c>
      <c r="D21" s="36" t="s">
        <v>4</v>
      </c>
      <c r="E21" s="55">
        <f>908.5+91.5</f>
        <v>1000</v>
      </c>
      <c r="F21" s="52">
        <v>26500</v>
      </c>
    </row>
    <row r="22" spans="2:6" x14ac:dyDescent="0.25">
      <c r="B22" s="53">
        <v>42188</v>
      </c>
      <c r="C22" s="56" t="s">
        <v>74</v>
      </c>
      <c r="D22" s="36" t="s">
        <v>17</v>
      </c>
      <c r="E22" s="55">
        <v>881.7</v>
      </c>
      <c r="F22" s="52">
        <v>23365.05</v>
      </c>
    </row>
    <row r="23" spans="2:6" ht="15.75" x14ac:dyDescent="0.25">
      <c r="B23" s="53">
        <v>42188</v>
      </c>
      <c r="C23" s="54" t="s">
        <v>75</v>
      </c>
      <c r="D23" s="36" t="s">
        <v>5</v>
      </c>
      <c r="E23" s="55">
        <v>423.2</v>
      </c>
      <c r="F23" s="52">
        <v>15446.8</v>
      </c>
    </row>
    <row r="24" spans="2:6" ht="15.75" x14ac:dyDescent="0.25">
      <c r="B24" s="53">
        <v>42188</v>
      </c>
      <c r="C24" s="54" t="s">
        <v>76</v>
      </c>
      <c r="D24" s="36" t="s">
        <v>7</v>
      </c>
      <c r="E24" s="55">
        <v>396</v>
      </c>
      <c r="F24" s="52">
        <v>14454</v>
      </c>
    </row>
    <row r="25" spans="2:6" ht="15.75" x14ac:dyDescent="0.25">
      <c r="B25" s="53">
        <v>42188</v>
      </c>
      <c r="C25" s="54" t="s">
        <v>77</v>
      </c>
      <c r="D25" s="36" t="s">
        <v>6</v>
      </c>
      <c r="E25" s="55">
        <f>219.8+27.2</f>
        <v>247</v>
      </c>
      <c r="F25" s="52">
        <v>7241.3</v>
      </c>
    </row>
    <row r="26" spans="2:6" ht="15.75" x14ac:dyDescent="0.25">
      <c r="B26" s="53">
        <v>42188</v>
      </c>
      <c r="C26" s="54" t="s">
        <v>78</v>
      </c>
      <c r="D26" s="36" t="s">
        <v>10</v>
      </c>
      <c r="E26" s="55">
        <v>31.8</v>
      </c>
      <c r="F26" s="52">
        <v>874.5</v>
      </c>
    </row>
    <row r="27" spans="2:6" ht="15.75" x14ac:dyDescent="0.25">
      <c r="B27" s="53">
        <v>42188</v>
      </c>
      <c r="C27" s="54" t="s">
        <v>79</v>
      </c>
      <c r="D27" s="36" t="s">
        <v>16</v>
      </c>
      <c r="E27" s="55">
        <v>63.1</v>
      </c>
      <c r="F27" s="52">
        <v>2776.4</v>
      </c>
    </row>
    <row r="28" spans="2:6" ht="15.75" x14ac:dyDescent="0.25">
      <c r="B28" s="53">
        <v>42188</v>
      </c>
      <c r="C28" s="54" t="s">
        <v>80</v>
      </c>
      <c r="D28" s="36" t="s">
        <v>81</v>
      </c>
      <c r="E28" s="55">
        <v>237.6</v>
      </c>
      <c r="F28" s="52">
        <v>8672.4</v>
      </c>
    </row>
    <row r="29" spans="2:6" ht="15.75" x14ac:dyDescent="0.25">
      <c r="B29" s="53">
        <v>42188</v>
      </c>
      <c r="C29" s="54" t="s">
        <v>82</v>
      </c>
      <c r="D29" s="36" t="s">
        <v>9</v>
      </c>
      <c r="E29" s="55">
        <v>57.4</v>
      </c>
      <c r="F29" s="52">
        <v>2611.6999999999998</v>
      </c>
    </row>
    <row r="30" spans="2:6" ht="15.75" x14ac:dyDescent="0.25">
      <c r="B30" s="53">
        <v>42188</v>
      </c>
      <c r="C30" s="54" t="s">
        <v>83</v>
      </c>
      <c r="D30" s="36" t="s">
        <v>9</v>
      </c>
      <c r="E30" s="55">
        <v>90.6</v>
      </c>
      <c r="F30" s="52">
        <v>1630.8</v>
      </c>
    </row>
    <row r="31" spans="2:6" x14ac:dyDescent="0.25">
      <c r="B31" s="53">
        <v>42189</v>
      </c>
      <c r="C31" s="56" t="s">
        <v>84</v>
      </c>
      <c r="D31" s="36" t="s">
        <v>11</v>
      </c>
      <c r="E31" s="55">
        <f>19.6+167.6</f>
        <v>187.2</v>
      </c>
      <c r="F31" s="52">
        <v>6572.6</v>
      </c>
    </row>
    <row r="32" spans="2:6" ht="15.75" x14ac:dyDescent="0.25">
      <c r="B32" s="53">
        <v>42189</v>
      </c>
      <c r="C32" s="54" t="s">
        <v>85</v>
      </c>
      <c r="D32" s="36" t="s">
        <v>16</v>
      </c>
      <c r="E32" s="55">
        <v>174.6</v>
      </c>
      <c r="F32" s="52">
        <v>6285.6</v>
      </c>
    </row>
    <row r="33" spans="2:6" x14ac:dyDescent="0.25">
      <c r="B33" s="53">
        <v>42189</v>
      </c>
      <c r="C33" s="56" t="s">
        <v>86</v>
      </c>
      <c r="D33" s="36" t="s">
        <v>7</v>
      </c>
      <c r="E33" s="55">
        <v>690.8</v>
      </c>
      <c r="F33" s="52">
        <v>24868.799999999999</v>
      </c>
    </row>
    <row r="34" spans="2:6" x14ac:dyDescent="0.25">
      <c r="B34" s="53">
        <v>42189</v>
      </c>
      <c r="C34" s="56" t="s">
        <v>87</v>
      </c>
      <c r="D34" s="36" t="s">
        <v>17</v>
      </c>
      <c r="E34" s="55">
        <f>38.5+42.2+147.8</f>
        <v>228.5</v>
      </c>
      <c r="F34" s="52">
        <v>8371.2000000000007</v>
      </c>
    </row>
    <row r="35" spans="2:6" x14ac:dyDescent="0.25">
      <c r="B35" s="33">
        <v>42189</v>
      </c>
      <c r="C35" s="12" t="s">
        <v>88</v>
      </c>
      <c r="D35" s="34" t="s">
        <v>9</v>
      </c>
      <c r="E35" s="35">
        <f>373.2+35.5+15+208.8</f>
        <v>632.5</v>
      </c>
      <c r="F35" s="41">
        <v>21616.2</v>
      </c>
    </row>
    <row r="36" spans="2:6" x14ac:dyDescent="0.25">
      <c r="B36" s="33">
        <v>42189</v>
      </c>
      <c r="C36" s="12" t="s">
        <v>89</v>
      </c>
      <c r="D36" s="34" t="s">
        <v>10</v>
      </c>
      <c r="E36" s="35">
        <f>19+1+13.3</f>
        <v>33.299999999999997</v>
      </c>
      <c r="F36" s="41">
        <v>1806.8</v>
      </c>
    </row>
    <row r="37" spans="2:6" ht="15.75" thickBot="1" x14ac:dyDescent="0.3">
      <c r="B37" s="9"/>
      <c r="C37" s="29"/>
      <c r="D37" s="4"/>
      <c r="E37" s="42"/>
      <c r="F37" s="45">
        <v>0</v>
      </c>
    </row>
    <row r="38" spans="2:6" ht="15.75" thickBot="1" x14ac:dyDescent="0.3">
      <c r="B38" s="16"/>
      <c r="C38" s="17"/>
      <c r="D38" s="18"/>
      <c r="E38" s="44">
        <v>0</v>
      </c>
      <c r="F38" s="43">
        <f>SUM(F3:F37)</f>
        <v>303156.13999999996</v>
      </c>
    </row>
    <row r="39" spans="2:6" ht="19.5" thickBot="1" x14ac:dyDescent="0.35">
      <c r="B39" s="19"/>
      <c r="C39" s="20"/>
      <c r="D39" s="23" t="s">
        <v>3</v>
      </c>
      <c r="E39" s="25">
        <f>SUM(E3:E38)</f>
        <v>9024.48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1804.896</v>
      </c>
    </row>
  </sheetData>
  <sortState ref="B3:F5">
    <sortCondition ref="C3:C5"/>
  </sortState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45"/>
  <sheetViews>
    <sheetView workbookViewId="0">
      <selection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90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42191</v>
      </c>
      <c r="C3" s="49" t="s">
        <v>91</v>
      </c>
      <c r="D3" s="50" t="s">
        <v>5</v>
      </c>
      <c r="E3" s="51">
        <v>371.6</v>
      </c>
      <c r="F3" s="52">
        <v>13377.6</v>
      </c>
    </row>
    <row r="4" spans="2:6" ht="15.75" x14ac:dyDescent="0.25">
      <c r="B4" s="53">
        <v>42191</v>
      </c>
      <c r="C4" s="54" t="s">
        <v>92</v>
      </c>
      <c r="D4" s="36" t="s">
        <v>93</v>
      </c>
      <c r="E4" s="55">
        <v>348.8</v>
      </c>
      <c r="F4" s="52">
        <v>12905.6</v>
      </c>
    </row>
    <row r="5" spans="2:6" ht="15.75" x14ac:dyDescent="0.25">
      <c r="B5" s="53">
        <v>42192</v>
      </c>
      <c r="C5" s="54" t="s">
        <v>94</v>
      </c>
      <c r="D5" s="36" t="s">
        <v>5</v>
      </c>
      <c r="E5" s="55">
        <v>355.8</v>
      </c>
      <c r="F5" s="52">
        <v>12453</v>
      </c>
    </row>
    <row r="6" spans="2:6" ht="15.75" x14ac:dyDescent="0.25">
      <c r="B6" s="53">
        <v>42192</v>
      </c>
      <c r="C6" s="54" t="s">
        <v>95</v>
      </c>
      <c r="D6" s="36" t="s">
        <v>96</v>
      </c>
      <c r="E6" s="55">
        <f>29.6+260.6+37.4</f>
        <v>327.60000000000002</v>
      </c>
      <c r="F6" s="52">
        <v>9774</v>
      </c>
    </row>
    <row r="7" spans="2:6" ht="15.75" x14ac:dyDescent="0.25">
      <c r="B7" s="53">
        <v>42192</v>
      </c>
      <c r="C7" s="54" t="s">
        <v>97</v>
      </c>
      <c r="D7" s="36" t="s">
        <v>93</v>
      </c>
      <c r="E7" s="55">
        <v>334.4</v>
      </c>
      <c r="F7" s="52">
        <v>12038.4</v>
      </c>
    </row>
    <row r="8" spans="2:6" ht="15.75" x14ac:dyDescent="0.25">
      <c r="B8" s="53">
        <v>42192</v>
      </c>
      <c r="C8" s="54" t="s">
        <v>98</v>
      </c>
      <c r="D8" s="36" t="s">
        <v>10</v>
      </c>
      <c r="E8" s="55">
        <v>86.8</v>
      </c>
      <c r="F8" s="52">
        <v>3038</v>
      </c>
    </row>
    <row r="9" spans="2:6" ht="15.75" x14ac:dyDescent="0.25">
      <c r="B9" s="53">
        <v>42192</v>
      </c>
      <c r="C9" s="54" t="s">
        <v>99</v>
      </c>
      <c r="D9" s="36" t="s">
        <v>11</v>
      </c>
      <c r="E9" s="55">
        <v>51.4</v>
      </c>
      <c r="F9" s="52">
        <v>2313</v>
      </c>
    </row>
    <row r="10" spans="2:6" ht="15.75" x14ac:dyDescent="0.25">
      <c r="B10" s="53">
        <v>42192</v>
      </c>
      <c r="C10" s="54" t="s">
        <v>100</v>
      </c>
      <c r="D10" s="36" t="s">
        <v>11</v>
      </c>
      <c r="E10" s="55">
        <f>7.1+86+50.4</f>
        <v>143.5</v>
      </c>
      <c r="F10" s="52">
        <v>5441.3</v>
      </c>
    </row>
    <row r="11" spans="2:6" ht="15.75" x14ac:dyDescent="0.25">
      <c r="B11" s="53">
        <v>42193</v>
      </c>
      <c r="C11" s="54" t="s">
        <v>101</v>
      </c>
      <c r="D11" s="36" t="s">
        <v>11</v>
      </c>
      <c r="E11" s="55">
        <v>73.599999999999994</v>
      </c>
      <c r="F11" s="52">
        <v>2649.6</v>
      </c>
    </row>
    <row r="12" spans="2:6" ht="15.75" x14ac:dyDescent="0.25">
      <c r="B12" s="53">
        <v>42193</v>
      </c>
      <c r="C12" s="54" t="s">
        <v>102</v>
      </c>
      <c r="D12" s="36" t="s">
        <v>11</v>
      </c>
      <c r="E12" s="55">
        <v>63.2</v>
      </c>
      <c r="F12" s="52">
        <v>2780.8</v>
      </c>
    </row>
    <row r="13" spans="2:6" ht="15.75" x14ac:dyDescent="0.25">
      <c r="B13" s="53">
        <v>42193</v>
      </c>
      <c r="C13" s="54" t="s">
        <v>103</v>
      </c>
      <c r="D13" s="36" t="s">
        <v>17</v>
      </c>
      <c r="E13" s="55">
        <f>382.6+19.7+159.6+127</f>
        <v>688.9</v>
      </c>
      <c r="F13" s="52">
        <v>21785.7</v>
      </c>
    </row>
    <row r="14" spans="2:6" ht="15.75" x14ac:dyDescent="0.25">
      <c r="B14" s="53">
        <v>42193</v>
      </c>
      <c r="C14" s="54" t="s">
        <v>104</v>
      </c>
      <c r="D14" s="36" t="s">
        <v>5</v>
      </c>
      <c r="E14" s="55">
        <v>311.8</v>
      </c>
      <c r="F14" s="52">
        <v>10913</v>
      </c>
    </row>
    <row r="15" spans="2:6" ht="15.75" x14ac:dyDescent="0.25">
      <c r="B15" s="53">
        <v>42193</v>
      </c>
      <c r="C15" s="54" t="s">
        <v>105</v>
      </c>
      <c r="D15" s="36" t="s">
        <v>93</v>
      </c>
      <c r="E15" s="55">
        <v>340.2</v>
      </c>
      <c r="F15" s="52">
        <v>11907</v>
      </c>
    </row>
    <row r="16" spans="2:6" ht="15.75" x14ac:dyDescent="0.25">
      <c r="B16" s="53">
        <v>42193</v>
      </c>
      <c r="C16" s="54" t="s">
        <v>106</v>
      </c>
      <c r="D16" s="36" t="s">
        <v>10</v>
      </c>
      <c r="E16" s="55">
        <v>27.24</v>
      </c>
      <c r="F16" s="52">
        <v>1253.04</v>
      </c>
    </row>
    <row r="17" spans="2:6" ht="15.75" x14ac:dyDescent="0.25">
      <c r="B17" s="53">
        <v>42193</v>
      </c>
      <c r="C17" s="54" t="s">
        <v>107</v>
      </c>
      <c r="D17" s="36" t="s">
        <v>11</v>
      </c>
      <c r="E17" s="55">
        <v>2</v>
      </c>
      <c r="F17" s="52">
        <v>350</v>
      </c>
    </row>
    <row r="18" spans="2:6" ht="15.75" x14ac:dyDescent="0.25">
      <c r="B18" s="53">
        <v>42194</v>
      </c>
      <c r="C18" s="54" t="s">
        <v>131</v>
      </c>
      <c r="D18" s="36" t="s">
        <v>4</v>
      </c>
      <c r="E18" s="55">
        <v>918.66</v>
      </c>
      <c r="F18" s="52">
        <v>22966.5</v>
      </c>
    </row>
    <row r="19" spans="2:6" ht="15.75" x14ac:dyDescent="0.25">
      <c r="B19" s="53">
        <v>42194</v>
      </c>
      <c r="C19" s="54" t="s">
        <v>108</v>
      </c>
      <c r="D19" s="36" t="s">
        <v>17</v>
      </c>
      <c r="E19" s="55">
        <f>617.8+159.6</f>
        <v>777.4</v>
      </c>
      <c r="F19" s="52">
        <v>21648.799999999999</v>
      </c>
    </row>
    <row r="20" spans="2:6" ht="15.75" x14ac:dyDescent="0.25">
      <c r="B20" s="53">
        <v>42194</v>
      </c>
      <c r="C20" s="54" t="s">
        <v>109</v>
      </c>
      <c r="D20" s="36" t="s">
        <v>10</v>
      </c>
      <c r="E20" s="55">
        <v>80.599999999999994</v>
      </c>
      <c r="F20" s="52">
        <v>2821</v>
      </c>
    </row>
    <row r="21" spans="2:6" ht="15.75" x14ac:dyDescent="0.25">
      <c r="B21" s="53">
        <v>42194</v>
      </c>
      <c r="C21" s="54" t="s">
        <v>110</v>
      </c>
      <c r="D21" s="36" t="s">
        <v>7</v>
      </c>
      <c r="E21" s="55">
        <f>454.4+349.8+108.8</f>
        <v>913</v>
      </c>
      <c r="F21" s="52">
        <v>27066</v>
      </c>
    </row>
    <row r="22" spans="2:6" x14ac:dyDescent="0.25">
      <c r="B22" s="53">
        <v>42194</v>
      </c>
      <c r="C22" s="56" t="s">
        <v>111</v>
      </c>
      <c r="D22" s="36" t="s">
        <v>93</v>
      </c>
      <c r="E22" s="55">
        <f>136.1+115+71.2+63.4</f>
        <v>385.7</v>
      </c>
      <c r="F22" s="52">
        <v>11744.6</v>
      </c>
    </row>
    <row r="23" spans="2:6" ht="15.75" x14ac:dyDescent="0.25">
      <c r="B23" s="53">
        <v>42194</v>
      </c>
      <c r="C23" s="54" t="s">
        <v>112</v>
      </c>
      <c r="D23" s="36" t="s">
        <v>11</v>
      </c>
      <c r="E23" s="55">
        <v>57.2</v>
      </c>
      <c r="F23" s="52">
        <v>2516.8000000000002</v>
      </c>
    </row>
    <row r="24" spans="2:6" ht="15.75" x14ac:dyDescent="0.25">
      <c r="B24" s="53">
        <v>42195</v>
      </c>
      <c r="C24" s="54" t="s">
        <v>113</v>
      </c>
      <c r="D24" s="36" t="s">
        <v>9</v>
      </c>
      <c r="E24" s="55">
        <f>208.2+180.2+37.7</f>
        <v>426.09999999999997</v>
      </c>
      <c r="F24" s="52">
        <v>12587.3</v>
      </c>
    </row>
    <row r="25" spans="2:6" ht="15.75" x14ac:dyDescent="0.25">
      <c r="B25" s="53">
        <v>42195</v>
      </c>
      <c r="C25" s="54" t="s">
        <v>114</v>
      </c>
      <c r="D25" s="36" t="s">
        <v>4</v>
      </c>
      <c r="E25" s="55">
        <f>81.66+54.44+950.7+942.6</f>
        <v>2029.4</v>
      </c>
      <c r="F25" s="52">
        <v>54430.87</v>
      </c>
    </row>
    <row r="26" spans="2:6" ht="15.75" x14ac:dyDescent="0.25">
      <c r="B26" s="53">
        <v>42195</v>
      </c>
      <c r="C26" s="54" t="s">
        <v>115</v>
      </c>
      <c r="D26" s="36" t="s">
        <v>10</v>
      </c>
      <c r="E26" s="55">
        <f>86.6+59</f>
        <v>145.6</v>
      </c>
      <c r="F26" s="52">
        <v>4580.6000000000004</v>
      </c>
    </row>
    <row r="27" spans="2:6" ht="15.75" x14ac:dyDescent="0.25">
      <c r="B27" s="53">
        <v>42195</v>
      </c>
      <c r="C27" s="54" t="s">
        <v>116</v>
      </c>
      <c r="D27" s="36" t="s">
        <v>16</v>
      </c>
      <c r="E27" s="55">
        <v>74</v>
      </c>
      <c r="F27" s="52">
        <v>2590</v>
      </c>
    </row>
    <row r="28" spans="2:6" ht="15.75" x14ac:dyDescent="0.25">
      <c r="B28" s="53">
        <v>42195</v>
      </c>
      <c r="C28" s="54" t="s">
        <v>117</v>
      </c>
      <c r="D28" s="36" t="s">
        <v>17</v>
      </c>
      <c r="E28" s="55">
        <f>54.44+172.8+150.6+99</f>
        <v>476.84000000000003</v>
      </c>
      <c r="F28" s="52">
        <v>23296.639999999999</v>
      </c>
    </row>
    <row r="29" spans="2:6" ht="15.75" x14ac:dyDescent="0.25">
      <c r="B29" s="53">
        <v>42195</v>
      </c>
      <c r="C29" s="54" t="s">
        <v>118</v>
      </c>
      <c r="D29" s="36" t="s">
        <v>7</v>
      </c>
      <c r="E29" s="55">
        <f>228.6+641</f>
        <v>869.6</v>
      </c>
      <c r="F29" s="52">
        <v>28378.6</v>
      </c>
    </row>
    <row r="30" spans="2:6" ht="15.75" x14ac:dyDescent="0.25">
      <c r="B30" s="53">
        <v>42195</v>
      </c>
      <c r="C30" s="54" t="s">
        <v>119</v>
      </c>
      <c r="D30" s="36" t="s">
        <v>16</v>
      </c>
      <c r="E30" s="55">
        <v>69.2</v>
      </c>
      <c r="F30" s="52">
        <v>2629.6</v>
      </c>
    </row>
    <row r="31" spans="2:6" x14ac:dyDescent="0.25">
      <c r="B31" s="53">
        <v>42195</v>
      </c>
      <c r="C31" s="56" t="s">
        <v>120</v>
      </c>
      <c r="D31" s="36" t="s">
        <v>5</v>
      </c>
      <c r="E31" s="55">
        <v>226.6</v>
      </c>
      <c r="F31" s="52">
        <v>5891.6</v>
      </c>
    </row>
    <row r="32" spans="2:6" ht="15.75" x14ac:dyDescent="0.25">
      <c r="B32" s="53">
        <v>42195</v>
      </c>
      <c r="C32" s="54" t="s">
        <v>121</v>
      </c>
      <c r="D32" s="36" t="s">
        <v>93</v>
      </c>
      <c r="E32" s="55">
        <f>225.4+52.7+93.4</f>
        <v>371.5</v>
      </c>
      <c r="F32" s="52">
        <v>8794.4</v>
      </c>
    </row>
    <row r="33" spans="2:6" x14ac:dyDescent="0.25">
      <c r="B33" s="53">
        <v>42195</v>
      </c>
      <c r="C33" s="56" t="s">
        <v>122</v>
      </c>
      <c r="D33" s="36" t="s">
        <v>7</v>
      </c>
      <c r="E33" s="55">
        <f>52.8+181.2+198.6</f>
        <v>432.6</v>
      </c>
      <c r="F33" s="52">
        <v>16030.8</v>
      </c>
    </row>
    <row r="34" spans="2:6" x14ac:dyDescent="0.25">
      <c r="B34" s="53">
        <v>42196</v>
      </c>
      <c r="C34" s="56" t="s">
        <v>123</v>
      </c>
      <c r="D34" s="36" t="s">
        <v>16</v>
      </c>
      <c r="E34" s="55">
        <v>66</v>
      </c>
      <c r="F34" s="52">
        <v>2904</v>
      </c>
    </row>
    <row r="35" spans="2:6" x14ac:dyDescent="0.25">
      <c r="B35" s="33">
        <v>42196</v>
      </c>
      <c r="C35" s="12" t="s">
        <v>124</v>
      </c>
      <c r="D35" s="34" t="s">
        <v>7</v>
      </c>
      <c r="E35" s="35">
        <v>430.8</v>
      </c>
      <c r="F35" s="41">
        <v>15078</v>
      </c>
    </row>
    <row r="36" spans="2:6" x14ac:dyDescent="0.25">
      <c r="B36" s="33">
        <v>42196</v>
      </c>
      <c r="C36" s="12" t="s">
        <v>125</v>
      </c>
      <c r="D36" s="34" t="s">
        <v>4</v>
      </c>
      <c r="E36" s="35">
        <f>927.1+911.7+49.2+126+99.2</f>
        <v>2113.2000000000003</v>
      </c>
      <c r="F36" s="41">
        <v>56374</v>
      </c>
    </row>
    <row r="37" spans="2:6" x14ac:dyDescent="0.25">
      <c r="B37" s="33">
        <v>42196</v>
      </c>
      <c r="C37" s="12" t="s">
        <v>126</v>
      </c>
      <c r="D37" s="34" t="s">
        <v>17</v>
      </c>
      <c r="E37" s="57">
        <f>224+143.4+142.4+20.1</f>
        <v>529.9</v>
      </c>
      <c r="F37" s="41">
        <v>17570.900000000001</v>
      </c>
    </row>
    <row r="38" spans="2:6" x14ac:dyDescent="0.25">
      <c r="B38" s="33">
        <v>42196</v>
      </c>
      <c r="C38" s="12" t="s">
        <v>127</v>
      </c>
      <c r="D38" s="34" t="s">
        <v>9</v>
      </c>
      <c r="E38" s="57">
        <f>31.1+228.6+157.6</f>
        <v>417.29999999999995</v>
      </c>
      <c r="F38" s="41">
        <v>14223.7</v>
      </c>
    </row>
    <row r="39" spans="2:6" x14ac:dyDescent="0.25">
      <c r="B39" s="33">
        <v>42196</v>
      </c>
      <c r="C39" s="12" t="s">
        <v>128</v>
      </c>
      <c r="D39" s="34" t="s">
        <v>93</v>
      </c>
      <c r="E39" s="57">
        <f>27.22+20.18+48+250.4</f>
        <v>345.8</v>
      </c>
      <c r="F39" s="41">
        <v>10338.120000000001</v>
      </c>
    </row>
    <row r="40" spans="2:6" x14ac:dyDescent="0.25">
      <c r="B40" s="33">
        <v>42196</v>
      </c>
      <c r="C40" s="12" t="s">
        <v>129</v>
      </c>
      <c r="D40" s="34" t="s">
        <v>16</v>
      </c>
      <c r="E40" s="57">
        <f>32.3+56</f>
        <v>88.3</v>
      </c>
      <c r="F40" s="41">
        <v>1492.5</v>
      </c>
    </row>
    <row r="41" spans="2:6" ht="15.75" thickBot="1" x14ac:dyDescent="0.3">
      <c r="B41" s="33">
        <v>42196</v>
      </c>
      <c r="C41" s="12" t="s">
        <v>130</v>
      </c>
      <c r="D41" s="34" t="s">
        <v>11</v>
      </c>
      <c r="E41" s="58">
        <f>9.4+77.2+51.8</f>
        <v>138.4</v>
      </c>
      <c r="F41" s="45">
        <v>5944</v>
      </c>
    </row>
    <row r="42" spans="2:6" ht="15.75" thickBot="1" x14ac:dyDescent="0.3">
      <c r="B42" s="16"/>
      <c r="C42" s="17"/>
      <c r="D42" s="18"/>
      <c r="E42" s="44">
        <v>0</v>
      </c>
      <c r="F42" s="43">
        <f>SUM(F3:F41)</f>
        <v>494879.36999999994</v>
      </c>
    </row>
    <row r="43" spans="2:6" ht="19.5" thickBot="1" x14ac:dyDescent="0.35">
      <c r="B43" s="19"/>
      <c r="C43" s="20"/>
      <c r="D43" s="23" t="s">
        <v>3</v>
      </c>
      <c r="E43" s="25">
        <f>SUM(E3:E42)</f>
        <v>15910.539999999999</v>
      </c>
    </row>
    <row r="44" spans="2:6" x14ac:dyDescent="0.25">
      <c r="B44" s="19"/>
      <c r="C44" s="20"/>
      <c r="D44" s="21"/>
      <c r="E44" s="22"/>
    </row>
    <row r="45" spans="2:6" ht="21" x14ac:dyDescent="0.35">
      <c r="B45" s="40">
        <v>42199</v>
      </c>
      <c r="C45" s="27" t="s">
        <v>18</v>
      </c>
      <c r="D45" s="26">
        <f>E43*0.2</f>
        <v>3182.1080000000002</v>
      </c>
    </row>
  </sheetData>
  <mergeCells count="1">
    <mergeCell ref="B1:C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F45"/>
  <sheetViews>
    <sheetView workbookViewId="0">
      <selection activeCell="H24" sqref="H24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132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42199</v>
      </c>
      <c r="C3" s="49">
        <v>2255</v>
      </c>
      <c r="D3" s="50" t="s">
        <v>4</v>
      </c>
      <c r="E3" s="51">
        <f>96.2+914.29</f>
        <v>1010.49</v>
      </c>
      <c r="F3" s="52">
        <v>24685.05</v>
      </c>
    </row>
    <row r="4" spans="2:6" ht="15.75" x14ac:dyDescent="0.25">
      <c r="B4" s="53">
        <v>42199</v>
      </c>
      <c r="C4" s="54">
        <v>2258</v>
      </c>
      <c r="D4" s="36" t="s">
        <v>10</v>
      </c>
      <c r="E4" s="55">
        <f>28.2+75</f>
        <v>103.2</v>
      </c>
      <c r="F4" s="52">
        <v>3095.1</v>
      </c>
    </row>
    <row r="5" spans="2:6" ht="15.75" x14ac:dyDescent="0.25">
      <c r="B5" s="53">
        <v>42199</v>
      </c>
      <c r="C5" s="54">
        <v>2259</v>
      </c>
      <c r="D5" s="36" t="s">
        <v>9</v>
      </c>
      <c r="E5" s="55">
        <f>46.5+119.2+83</f>
        <v>248.7</v>
      </c>
      <c r="F5" s="52">
        <v>8152.7</v>
      </c>
    </row>
    <row r="6" spans="2:6" ht="15.75" x14ac:dyDescent="0.25">
      <c r="B6" s="53">
        <v>42199</v>
      </c>
      <c r="C6" s="54">
        <v>2262</v>
      </c>
      <c r="D6" s="36" t="s">
        <v>17</v>
      </c>
      <c r="E6" s="55">
        <f>161.6+125.2+1</f>
        <v>287.8</v>
      </c>
      <c r="F6" s="52">
        <v>11804</v>
      </c>
    </row>
    <row r="7" spans="2:6" ht="15.75" x14ac:dyDescent="0.25">
      <c r="B7" s="53">
        <v>42199</v>
      </c>
      <c r="C7" s="54">
        <v>2263</v>
      </c>
      <c r="D7" s="36" t="s">
        <v>7</v>
      </c>
      <c r="E7" s="55">
        <v>648.6</v>
      </c>
      <c r="F7" s="52">
        <v>22376.7</v>
      </c>
    </row>
    <row r="8" spans="2:6" ht="15.75" x14ac:dyDescent="0.25">
      <c r="B8" s="53">
        <v>42199</v>
      </c>
      <c r="C8" s="54">
        <v>2265</v>
      </c>
      <c r="D8" s="36" t="s">
        <v>11</v>
      </c>
      <c r="E8" s="55">
        <f>5.5+50.4+63.8</f>
        <v>119.69999999999999</v>
      </c>
      <c r="F8" s="52">
        <v>5201.7</v>
      </c>
    </row>
    <row r="9" spans="2:6" ht="15.75" x14ac:dyDescent="0.25">
      <c r="B9" s="53">
        <v>42199</v>
      </c>
      <c r="C9" s="54">
        <v>2266</v>
      </c>
      <c r="D9" s="36" t="s">
        <v>16</v>
      </c>
      <c r="E9" s="55">
        <v>49.2</v>
      </c>
      <c r="F9" s="52">
        <v>2164.8000000000002</v>
      </c>
    </row>
    <row r="10" spans="2:6" ht="15.75" x14ac:dyDescent="0.25">
      <c r="B10" s="53">
        <v>42200</v>
      </c>
      <c r="C10" s="54">
        <v>2334</v>
      </c>
      <c r="D10" s="36" t="s">
        <v>17</v>
      </c>
      <c r="E10" s="55">
        <f>965.53+57.8</f>
        <v>1023.3299999999999</v>
      </c>
      <c r="F10" s="52">
        <v>27626.61</v>
      </c>
    </row>
    <row r="11" spans="2:6" ht="15.75" x14ac:dyDescent="0.25">
      <c r="B11" s="53">
        <v>42200</v>
      </c>
      <c r="C11" s="54">
        <v>2339</v>
      </c>
      <c r="D11" s="36" t="s">
        <v>9</v>
      </c>
      <c r="E11" s="55">
        <v>261.8</v>
      </c>
      <c r="F11" s="52">
        <v>6806.8</v>
      </c>
    </row>
    <row r="12" spans="2:6" ht="15.75" x14ac:dyDescent="0.25">
      <c r="B12" s="53">
        <v>42200</v>
      </c>
      <c r="C12" s="54">
        <v>2349</v>
      </c>
      <c r="D12" s="36" t="s">
        <v>6</v>
      </c>
      <c r="E12" s="55">
        <f>136.1+29</f>
        <v>165.1</v>
      </c>
      <c r="F12" s="52">
        <v>6811.6</v>
      </c>
    </row>
    <row r="13" spans="2:6" ht="15.75" x14ac:dyDescent="0.25">
      <c r="B13" s="53">
        <v>42200</v>
      </c>
      <c r="C13" s="54">
        <v>2350</v>
      </c>
      <c r="D13" s="36" t="s">
        <v>7</v>
      </c>
      <c r="E13" s="55">
        <f>243.2+32.4</f>
        <v>275.59999999999997</v>
      </c>
      <c r="F13" s="52">
        <v>9006</v>
      </c>
    </row>
    <row r="14" spans="2:6" ht="15.75" x14ac:dyDescent="0.25">
      <c r="B14" s="53">
        <v>42200</v>
      </c>
      <c r="C14" s="54">
        <v>2352</v>
      </c>
      <c r="D14" s="36" t="s">
        <v>133</v>
      </c>
      <c r="E14" s="55">
        <v>27.22</v>
      </c>
      <c r="F14" s="52">
        <v>1252.1199999999999</v>
      </c>
    </row>
    <row r="15" spans="2:6" ht="15.75" x14ac:dyDescent="0.25">
      <c r="B15" s="53">
        <v>42200</v>
      </c>
      <c r="C15" s="54">
        <v>2354</v>
      </c>
      <c r="D15" s="36" t="s">
        <v>16</v>
      </c>
      <c r="E15" s="55">
        <f>49.4</f>
        <v>49.4</v>
      </c>
      <c r="F15" s="52">
        <v>2223</v>
      </c>
    </row>
    <row r="16" spans="2:6" ht="15.75" x14ac:dyDescent="0.25">
      <c r="B16" s="53">
        <v>42200</v>
      </c>
      <c r="C16" s="54">
        <v>2355</v>
      </c>
      <c r="D16" s="36" t="s">
        <v>5</v>
      </c>
      <c r="E16" s="55">
        <f>48.6</f>
        <v>48.6</v>
      </c>
      <c r="F16" s="52">
        <v>2187</v>
      </c>
    </row>
    <row r="17" spans="2:6" ht="15.75" x14ac:dyDescent="0.25">
      <c r="B17" s="53">
        <v>42200</v>
      </c>
      <c r="C17" s="54">
        <v>2356</v>
      </c>
      <c r="D17" s="36" t="s">
        <v>11</v>
      </c>
      <c r="E17" s="55">
        <f>13+11.4</f>
        <v>24.4</v>
      </c>
      <c r="F17" s="52">
        <v>1173</v>
      </c>
    </row>
    <row r="18" spans="2:6" ht="15.75" x14ac:dyDescent="0.25">
      <c r="B18" s="53">
        <v>42201</v>
      </c>
      <c r="C18" s="54">
        <v>2450</v>
      </c>
      <c r="D18" s="36" t="s">
        <v>6</v>
      </c>
      <c r="E18" s="55">
        <f>104.8+27.2+136.2</f>
        <v>268.2</v>
      </c>
      <c r="F18" s="52">
        <v>9453.2000000000007</v>
      </c>
    </row>
    <row r="19" spans="2:6" ht="15.75" x14ac:dyDescent="0.25">
      <c r="B19" s="53">
        <v>42201</v>
      </c>
      <c r="C19" s="54">
        <v>2451</v>
      </c>
      <c r="D19" s="36" t="s">
        <v>4</v>
      </c>
      <c r="E19" s="55">
        <f>106+27.2+910.2+83.6</f>
        <v>1127</v>
      </c>
      <c r="F19" s="52">
        <v>28850</v>
      </c>
    </row>
    <row r="20" spans="2:6" ht="15.75" x14ac:dyDescent="0.25">
      <c r="B20" s="53">
        <v>42201</v>
      </c>
      <c r="C20" s="54">
        <v>2452</v>
      </c>
      <c r="D20" s="36" t="s">
        <v>10</v>
      </c>
      <c r="E20" s="55">
        <v>77.599999999999994</v>
      </c>
      <c r="F20" s="52">
        <v>2677.2</v>
      </c>
    </row>
    <row r="21" spans="2:6" ht="15.75" x14ac:dyDescent="0.25">
      <c r="B21" s="53">
        <v>42201</v>
      </c>
      <c r="C21" s="54">
        <v>2453</v>
      </c>
      <c r="D21" s="36" t="s">
        <v>17</v>
      </c>
      <c r="E21" s="55">
        <f>87.6+68.8</f>
        <v>156.39999999999998</v>
      </c>
      <c r="F21" s="52">
        <v>5980.6</v>
      </c>
    </row>
    <row r="22" spans="2:6" x14ac:dyDescent="0.25">
      <c r="B22" s="53">
        <v>42201</v>
      </c>
      <c r="C22" s="56">
        <v>2454</v>
      </c>
      <c r="D22" s="36" t="s">
        <v>5</v>
      </c>
      <c r="E22" s="55">
        <v>62.4</v>
      </c>
      <c r="F22" s="52">
        <v>2683.2</v>
      </c>
    </row>
    <row r="23" spans="2:6" ht="15.75" x14ac:dyDescent="0.25">
      <c r="B23" s="53">
        <v>42201</v>
      </c>
      <c r="C23" s="54">
        <v>2458</v>
      </c>
      <c r="D23" s="36" t="s">
        <v>11</v>
      </c>
      <c r="E23" s="55">
        <f>22+19.5+6</f>
        <v>47.5</v>
      </c>
      <c r="F23" s="52">
        <v>2085.5</v>
      </c>
    </row>
    <row r="24" spans="2:6" ht="15.75" x14ac:dyDescent="0.25">
      <c r="B24" s="53">
        <v>42202</v>
      </c>
      <c r="C24" s="54">
        <v>2577</v>
      </c>
      <c r="D24" s="36" t="s">
        <v>4</v>
      </c>
      <c r="E24" s="55">
        <f>962.5+46.1+56.2</f>
        <v>1064.8</v>
      </c>
      <c r="F24" s="52">
        <v>27437.1</v>
      </c>
    </row>
    <row r="25" spans="2:6" ht="15.75" x14ac:dyDescent="0.25">
      <c r="B25" s="53">
        <v>42202</v>
      </c>
      <c r="C25" s="54">
        <v>2578</v>
      </c>
      <c r="D25" s="36" t="s">
        <v>7</v>
      </c>
      <c r="E25" s="55">
        <f>380+6.5+99.2+513.8</f>
        <v>999.5</v>
      </c>
      <c r="F25" s="52">
        <v>29643.5</v>
      </c>
    </row>
    <row r="26" spans="2:6" ht="15.75" x14ac:dyDescent="0.25">
      <c r="B26" s="53">
        <v>42202</v>
      </c>
      <c r="C26" s="54">
        <v>2579</v>
      </c>
      <c r="D26" s="36" t="s">
        <v>17</v>
      </c>
      <c r="E26" s="55">
        <v>332.8</v>
      </c>
      <c r="F26" s="52">
        <v>113080.4</v>
      </c>
    </row>
    <row r="27" spans="2:6" ht="15.75" x14ac:dyDescent="0.25">
      <c r="B27" s="53">
        <v>42202</v>
      </c>
      <c r="C27" s="54">
        <v>2580</v>
      </c>
      <c r="D27" s="36" t="s">
        <v>10</v>
      </c>
      <c r="E27" s="55">
        <v>33.299999999999997</v>
      </c>
      <c r="F27" s="52">
        <v>1731.6</v>
      </c>
    </row>
    <row r="28" spans="2:6" ht="15.75" x14ac:dyDescent="0.25">
      <c r="B28" s="53">
        <v>42202</v>
      </c>
      <c r="C28" s="54">
        <v>2582</v>
      </c>
      <c r="D28" s="36" t="s">
        <v>11</v>
      </c>
      <c r="E28" s="55">
        <v>87</v>
      </c>
      <c r="F28" s="52">
        <v>2958</v>
      </c>
    </row>
    <row r="29" spans="2:6" ht="15.75" x14ac:dyDescent="0.25">
      <c r="B29" s="53">
        <v>42202</v>
      </c>
      <c r="C29" s="54">
        <v>2583</v>
      </c>
      <c r="D29" s="36" t="s">
        <v>5</v>
      </c>
      <c r="E29" s="55">
        <v>349</v>
      </c>
      <c r="F29" s="52">
        <v>11866</v>
      </c>
    </row>
    <row r="30" spans="2:6" ht="15.75" x14ac:dyDescent="0.25">
      <c r="B30" s="53">
        <v>42202</v>
      </c>
      <c r="C30" s="54">
        <v>2584</v>
      </c>
      <c r="D30" s="36" t="s">
        <v>16</v>
      </c>
      <c r="E30" s="55">
        <f>89.8+89</f>
        <v>178.8</v>
      </c>
      <c r="F30" s="52">
        <v>6079.2</v>
      </c>
    </row>
    <row r="31" spans="2:6" x14ac:dyDescent="0.25">
      <c r="B31" s="53">
        <v>42202</v>
      </c>
      <c r="C31" s="56">
        <v>2585</v>
      </c>
      <c r="D31" s="36" t="s">
        <v>17</v>
      </c>
      <c r="E31" s="55">
        <v>54.48</v>
      </c>
      <c r="F31" s="52">
        <v>2506.08</v>
      </c>
    </row>
    <row r="32" spans="2:6" ht="15.75" x14ac:dyDescent="0.25">
      <c r="B32" s="53">
        <v>42202</v>
      </c>
      <c r="C32" s="54">
        <v>2588</v>
      </c>
      <c r="D32" s="36" t="s">
        <v>6</v>
      </c>
      <c r="E32" s="55">
        <v>204.8</v>
      </c>
      <c r="F32" s="52">
        <v>5324.8</v>
      </c>
    </row>
    <row r="33" spans="2:6" x14ac:dyDescent="0.25">
      <c r="B33" s="53">
        <v>42203</v>
      </c>
      <c r="C33" s="56">
        <v>2736</v>
      </c>
      <c r="D33" s="36" t="s">
        <v>7</v>
      </c>
      <c r="E33" s="55">
        <f>279.6+470.8+188.6+254.8</f>
        <v>1193.8000000000002</v>
      </c>
      <c r="F33" s="52">
        <v>41317.199999999997</v>
      </c>
    </row>
    <row r="34" spans="2:6" x14ac:dyDescent="0.25">
      <c r="B34" s="53">
        <v>42203</v>
      </c>
      <c r="C34" s="56">
        <v>2735</v>
      </c>
      <c r="D34" s="36" t="s">
        <v>9</v>
      </c>
      <c r="E34" s="55">
        <f>30+212+294.6+34.5</f>
        <v>571.1</v>
      </c>
      <c r="F34" s="52">
        <v>18710.599999999999</v>
      </c>
    </row>
    <row r="35" spans="2:6" x14ac:dyDescent="0.25">
      <c r="B35" s="33">
        <v>42203</v>
      </c>
      <c r="C35" s="12">
        <v>2737</v>
      </c>
      <c r="D35" s="34" t="s">
        <v>4</v>
      </c>
      <c r="E35" s="35">
        <f>136.4+980+924.4+35.2+50.6+139.4</f>
        <v>2266</v>
      </c>
      <c r="F35" s="41">
        <v>56921.599999999999</v>
      </c>
    </row>
    <row r="36" spans="2:6" x14ac:dyDescent="0.25">
      <c r="B36" s="33">
        <v>42204</v>
      </c>
      <c r="C36" s="12">
        <v>2825</v>
      </c>
      <c r="D36" s="34" t="s">
        <v>9</v>
      </c>
      <c r="E36" s="35">
        <v>244.6</v>
      </c>
      <c r="F36" s="41">
        <v>6359.6</v>
      </c>
    </row>
    <row r="37" spans="2:6" x14ac:dyDescent="0.25">
      <c r="B37" s="33">
        <v>42204</v>
      </c>
      <c r="C37" s="12">
        <v>2831</v>
      </c>
      <c r="D37" s="34" t="s">
        <v>4</v>
      </c>
      <c r="E37" s="57">
        <f>921.7+183.6</f>
        <v>1105.3</v>
      </c>
      <c r="F37" s="41">
        <v>29284.9</v>
      </c>
    </row>
    <row r="38" spans="2:6" x14ac:dyDescent="0.25">
      <c r="B38" s="33"/>
      <c r="C38" s="12"/>
      <c r="D38" s="34"/>
      <c r="E38" s="57"/>
    </row>
    <row r="39" spans="2:6" x14ac:dyDescent="0.25">
      <c r="B39" s="33"/>
      <c r="C39" s="12"/>
      <c r="D39" s="34"/>
      <c r="E39" s="57"/>
    </row>
    <row r="40" spans="2:6" x14ac:dyDescent="0.25">
      <c r="B40" s="33"/>
      <c r="C40" s="12"/>
      <c r="D40" s="34"/>
      <c r="E40" s="57"/>
    </row>
    <row r="41" spans="2:6" ht="15.75" thickBot="1" x14ac:dyDescent="0.3">
      <c r="B41" s="33"/>
      <c r="C41" s="12"/>
      <c r="D41" s="34"/>
      <c r="E41" s="58"/>
      <c r="F41" s="45"/>
    </row>
    <row r="42" spans="2:6" ht="15.75" thickBot="1" x14ac:dyDescent="0.3">
      <c r="B42" s="16"/>
      <c r="C42" s="17"/>
      <c r="D42" s="18"/>
      <c r="E42" s="44">
        <v>0</v>
      </c>
      <c r="F42" s="43">
        <f>SUM(F3:F41)</f>
        <v>539516.46</v>
      </c>
    </row>
    <row r="43" spans="2:6" ht="19.5" thickBot="1" x14ac:dyDescent="0.35">
      <c r="B43" s="19"/>
      <c r="C43" s="20"/>
      <c r="D43" s="23" t="s">
        <v>3</v>
      </c>
      <c r="E43" s="25">
        <f>SUM(E3:E42)</f>
        <v>14767.519999999997</v>
      </c>
    </row>
    <row r="44" spans="2:6" x14ac:dyDescent="0.25">
      <c r="B44" s="19"/>
      <c r="C44" s="20"/>
      <c r="D44" s="21"/>
      <c r="E44" s="22"/>
    </row>
    <row r="45" spans="2:6" ht="21" x14ac:dyDescent="0.35">
      <c r="B45" s="40"/>
      <c r="C45" s="27" t="s">
        <v>18</v>
      </c>
      <c r="D45" s="26">
        <f>E43*0.2</f>
        <v>2953.5039999999995</v>
      </c>
    </row>
  </sheetData>
  <sortState ref="B3:F5">
    <sortCondition ref="C3:C5"/>
  </sortState>
  <mergeCells count="1">
    <mergeCell ref="B1:C1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45"/>
  <sheetViews>
    <sheetView topLeftCell="A28" workbookViewId="0">
      <selection activeCell="G53" sqref="G5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134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42205</v>
      </c>
      <c r="C3" s="49" t="s">
        <v>135</v>
      </c>
      <c r="D3" s="50" t="s">
        <v>17</v>
      </c>
      <c r="E3" s="51">
        <f>924.4+1</f>
        <v>925.4</v>
      </c>
      <c r="F3" s="52">
        <v>23830</v>
      </c>
    </row>
    <row r="4" spans="2:6" ht="15.75" x14ac:dyDescent="0.25">
      <c r="B4" s="53">
        <v>42205</v>
      </c>
      <c r="C4" s="54" t="s">
        <v>136</v>
      </c>
      <c r="D4" s="36" t="s">
        <v>4</v>
      </c>
      <c r="E4" s="55">
        <f>943.5+13.6</f>
        <v>957.1</v>
      </c>
      <c r="F4" s="52">
        <v>24185.9</v>
      </c>
    </row>
    <row r="5" spans="2:6" ht="15.75" x14ac:dyDescent="0.25">
      <c r="B5" s="53">
        <v>42205</v>
      </c>
      <c r="C5" s="54" t="s">
        <v>137</v>
      </c>
      <c r="D5" s="36" t="s">
        <v>11</v>
      </c>
      <c r="E5" s="55">
        <f>13.1+6.5+51.2</f>
        <v>70.800000000000011</v>
      </c>
      <c r="F5" s="52">
        <v>2580.4</v>
      </c>
    </row>
    <row r="6" spans="2:6" ht="15.75" x14ac:dyDescent="0.25">
      <c r="B6" s="53">
        <v>42205</v>
      </c>
      <c r="C6" s="54" t="s">
        <v>138</v>
      </c>
      <c r="D6" s="36" t="s">
        <v>7</v>
      </c>
      <c r="E6" s="55">
        <v>150</v>
      </c>
      <c r="F6" s="52">
        <v>6900</v>
      </c>
    </row>
    <row r="7" spans="2:6" ht="15.75" x14ac:dyDescent="0.25">
      <c r="B7" s="53">
        <v>42205</v>
      </c>
      <c r="C7" s="54" t="s">
        <v>139</v>
      </c>
      <c r="D7" s="36" t="s">
        <v>16</v>
      </c>
      <c r="E7" s="55">
        <v>108.4</v>
      </c>
      <c r="F7" s="52">
        <v>4661.2</v>
      </c>
    </row>
    <row r="8" spans="2:6" ht="15.75" x14ac:dyDescent="0.25">
      <c r="B8" s="53">
        <v>42205</v>
      </c>
      <c r="C8" s="54" t="s">
        <v>140</v>
      </c>
      <c r="D8" s="36" t="s">
        <v>10</v>
      </c>
      <c r="E8" s="55">
        <v>77.400000000000006</v>
      </c>
      <c r="F8" s="52">
        <v>2592.9</v>
      </c>
    </row>
    <row r="9" spans="2:6" ht="15.75" x14ac:dyDescent="0.25">
      <c r="B9" s="53">
        <v>42206</v>
      </c>
      <c r="C9" s="54" t="s">
        <v>141</v>
      </c>
      <c r="D9" s="36" t="s">
        <v>7</v>
      </c>
      <c r="E9" s="55">
        <v>325.60000000000002</v>
      </c>
      <c r="F9" s="52">
        <v>10744.8</v>
      </c>
    </row>
    <row r="10" spans="2:6" ht="15.75" x14ac:dyDescent="0.25">
      <c r="B10" s="53">
        <v>42206</v>
      </c>
      <c r="C10" s="54" t="s">
        <v>142</v>
      </c>
      <c r="D10" s="36" t="s">
        <v>5</v>
      </c>
      <c r="E10" s="55">
        <f>264.2+174</f>
        <v>438.2</v>
      </c>
      <c r="F10" s="52">
        <v>12611.2</v>
      </c>
    </row>
    <row r="11" spans="2:6" ht="15.75" x14ac:dyDescent="0.25">
      <c r="B11" s="53">
        <v>42206</v>
      </c>
      <c r="C11" s="54" t="s">
        <v>143</v>
      </c>
      <c r="D11" s="36" t="s">
        <v>93</v>
      </c>
      <c r="E11" s="55">
        <v>174</v>
      </c>
      <c r="F11" s="52">
        <v>4524</v>
      </c>
    </row>
    <row r="12" spans="2:6" ht="15.75" x14ac:dyDescent="0.25">
      <c r="B12" s="53">
        <v>42206</v>
      </c>
      <c r="C12" s="54" t="s">
        <v>144</v>
      </c>
      <c r="D12" s="36" t="s">
        <v>16</v>
      </c>
      <c r="E12" s="55">
        <f>93.6+18</f>
        <v>111.6</v>
      </c>
      <c r="F12" s="52">
        <v>2775.6</v>
      </c>
    </row>
    <row r="13" spans="2:6" ht="15.75" x14ac:dyDescent="0.25">
      <c r="B13" s="53">
        <v>42206</v>
      </c>
      <c r="C13" s="54" t="s">
        <v>145</v>
      </c>
      <c r="D13" s="36" t="s">
        <v>146</v>
      </c>
      <c r="E13" s="55">
        <v>20.2</v>
      </c>
      <c r="F13" s="52">
        <v>1090.8</v>
      </c>
    </row>
    <row r="14" spans="2:6" ht="15.75" x14ac:dyDescent="0.25">
      <c r="B14" s="53">
        <v>42206</v>
      </c>
      <c r="C14" s="54" t="s">
        <v>147</v>
      </c>
      <c r="D14" s="36" t="s">
        <v>11</v>
      </c>
      <c r="E14" s="55">
        <f>53.4+17.9</f>
        <v>71.3</v>
      </c>
      <c r="F14" s="52">
        <v>2363.1999999999998</v>
      </c>
    </row>
    <row r="15" spans="2:6" ht="15.75" x14ac:dyDescent="0.25">
      <c r="B15" s="53">
        <v>42207</v>
      </c>
      <c r="C15" s="54" t="s">
        <v>148</v>
      </c>
      <c r="D15" s="36" t="s">
        <v>4</v>
      </c>
      <c r="E15" s="55">
        <f>39.6+86.9</f>
        <v>126.5</v>
      </c>
      <c r="F15" s="52">
        <v>6355.8</v>
      </c>
    </row>
    <row r="16" spans="2:6" ht="15.75" x14ac:dyDescent="0.25">
      <c r="B16" s="53">
        <v>42207</v>
      </c>
      <c r="C16" s="54" t="s">
        <v>149</v>
      </c>
      <c r="D16" s="36" t="s">
        <v>93</v>
      </c>
      <c r="E16" s="55">
        <v>136.19999999999999</v>
      </c>
      <c r="F16" s="52">
        <v>6265.2</v>
      </c>
    </row>
    <row r="17" spans="2:6" ht="15.75" x14ac:dyDescent="0.25">
      <c r="B17" s="53">
        <v>42207</v>
      </c>
      <c r="C17" s="54" t="s">
        <v>150</v>
      </c>
      <c r="D17" s="36" t="s">
        <v>7</v>
      </c>
      <c r="E17" s="55">
        <v>399.6</v>
      </c>
      <c r="F17" s="52">
        <v>13186.8</v>
      </c>
    </row>
    <row r="18" spans="2:6" ht="15.75" x14ac:dyDescent="0.25">
      <c r="B18" s="53">
        <v>42207</v>
      </c>
      <c r="C18" s="54" t="s">
        <v>151</v>
      </c>
      <c r="D18" s="36" t="s">
        <v>146</v>
      </c>
      <c r="E18" s="55">
        <f>39.9+116.5+122</f>
        <v>278.39999999999998</v>
      </c>
      <c r="F18" s="52">
        <v>9577.0499999999993</v>
      </c>
    </row>
    <row r="19" spans="2:6" ht="15.75" x14ac:dyDescent="0.25">
      <c r="B19" s="53">
        <v>42208</v>
      </c>
      <c r="C19" s="54" t="s">
        <v>152</v>
      </c>
      <c r="D19" s="36" t="s">
        <v>10</v>
      </c>
      <c r="E19" s="55">
        <v>90</v>
      </c>
      <c r="F19" s="52">
        <v>2970</v>
      </c>
    </row>
    <row r="20" spans="2:6" ht="15.75" x14ac:dyDescent="0.25">
      <c r="B20" s="53">
        <v>42208</v>
      </c>
      <c r="C20" s="54" t="s">
        <v>153</v>
      </c>
      <c r="D20" s="36" t="s">
        <v>16</v>
      </c>
      <c r="E20" s="55">
        <v>49</v>
      </c>
      <c r="F20" s="52">
        <v>2009</v>
      </c>
    </row>
    <row r="21" spans="2:6" ht="15.75" x14ac:dyDescent="0.25">
      <c r="B21" s="53">
        <v>42208</v>
      </c>
      <c r="C21" s="54" t="s">
        <v>154</v>
      </c>
      <c r="D21" s="36" t="s">
        <v>4</v>
      </c>
      <c r="E21" s="55">
        <v>974.15</v>
      </c>
      <c r="F21" s="52">
        <v>25620.14</v>
      </c>
    </row>
    <row r="22" spans="2:6" x14ac:dyDescent="0.25">
      <c r="B22" s="53">
        <v>42208</v>
      </c>
      <c r="C22" s="56" t="s">
        <v>155</v>
      </c>
      <c r="D22" s="36" t="s">
        <v>93</v>
      </c>
      <c r="E22" s="55">
        <f>5+38</f>
        <v>43</v>
      </c>
      <c r="F22" s="52">
        <v>6564</v>
      </c>
    </row>
    <row r="23" spans="2:6" ht="15.75" x14ac:dyDescent="0.25">
      <c r="B23" s="53">
        <v>42208</v>
      </c>
      <c r="C23" s="54" t="s">
        <v>156</v>
      </c>
      <c r="D23" s="36" t="s">
        <v>7</v>
      </c>
      <c r="E23" s="55">
        <v>394</v>
      </c>
      <c r="F23" s="52">
        <v>13002</v>
      </c>
    </row>
    <row r="24" spans="2:6" ht="15.75" x14ac:dyDescent="0.25">
      <c r="B24" s="53">
        <v>42209</v>
      </c>
      <c r="C24" s="54" t="s">
        <v>157</v>
      </c>
      <c r="D24" s="36" t="s">
        <v>146</v>
      </c>
      <c r="E24" s="55">
        <f>31.1+216.2+115.2</f>
        <v>362.5</v>
      </c>
      <c r="F24" s="52">
        <v>11928.9</v>
      </c>
    </row>
    <row r="25" spans="2:6" ht="15.75" x14ac:dyDescent="0.25">
      <c r="B25" s="53">
        <v>42209</v>
      </c>
      <c r="C25" s="54" t="s">
        <v>158</v>
      </c>
      <c r="D25" s="36" t="s">
        <v>16</v>
      </c>
      <c r="E25" s="55">
        <v>60</v>
      </c>
      <c r="F25" s="52">
        <v>2520</v>
      </c>
    </row>
    <row r="26" spans="2:6" ht="15.75" x14ac:dyDescent="0.25">
      <c r="B26" s="53">
        <v>42209</v>
      </c>
      <c r="C26" s="54" t="s">
        <v>159</v>
      </c>
      <c r="D26" s="36" t="s">
        <v>4</v>
      </c>
      <c r="E26" s="55">
        <f>939.8+40.83+27.24</f>
        <v>1007.87</v>
      </c>
      <c r="F26" s="52">
        <v>27954.26</v>
      </c>
    </row>
    <row r="27" spans="2:6" ht="15.75" x14ac:dyDescent="0.25">
      <c r="B27" s="53">
        <v>42209</v>
      </c>
      <c r="C27" s="54" t="s">
        <v>160</v>
      </c>
      <c r="D27" s="36" t="s">
        <v>11</v>
      </c>
      <c r="E27" s="55">
        <f>82.4+62.4</f>
        <v>144.80000000000001</v>
      </c>
      <c r="F27" s="52">
        <v>4840.8</v>
      </c>
    </row>
    <row r="28" spans="2:6" ht="15.75" x14ac:dyDescent="0.25">
      <c r="B28" s="53">
        <v>42209</v>
      </c>
      <c r="C28" s="54" t="s">
        <v>161</v>
      </c>
      <c r="D28" s="36" t="s">
        <v>10</v>
      </c>
      <c r="E28" s="55">
        <v>71.2</v>
      </c>
      <c r="F28" s="52">
        <v>2349.6</v>
      </c>
    </row>
    <row r="29" spans="2:6" ht="15.75" x14ac:dyDescent="0.25">
      <c r="B29" s="53">
        <v>42209</v>
      </c>
      <c r="C29" s="54" t="s">
        <v>162</v>
      </c>
      <c r="D29" s="36" t="s">
        <v>5</v>
      </c>
      <c r="E29" s="55">
        <v>304.2</v>
      </c>
      <c r="F29" s="52">
        <v>10038.6</v>
      </c>
    </row>
    <row r="30" spans="2:6" ht="15.75" x14ac:dyDescent="0.25">
      <c r="B30" s="53">
        <v>42209</v>
      </c>
      <c r="C30" s="54" t="s">
        <v>163</v>
      </c>
      <c r="D30" s="36" t="s">
        <v>17</v>
      </c>
      <c r="E30" s="55">
        <f>16.4+850.2+113.4</f>
        <v>980</v>
      </c>
      <c r="F30" s="52">
        <v>12244.4</v>
      </c>
    </row>
    <row r="31" spans="2:6" x14ac:dyDescent="0.25">
      <c r="B31" s="53">
        <v>42209</v>
      </c>
      <c r="C31" s="56" t="s">
        <v>164</v>
      </c>
      <c r="D31" s="36" t="s">
        <v>7</v>
      </c>
      <c r="E31" s="55">
        <f>179.8+596+118.2</f>
        <v>894</v>
      </c>
      <c r="F31" s="52">
        <v>26858.3</v>
      </c>
    </row>
    <row r="32" spans="2:6" ht="15.75" x14ac:dyDescent="0.25">
      <c r="B32" s="53">
        <v>42210</v>
      </c>
      <c r="C32" s="54" t="s">
        <v>165</v>
      </c>
      <c r="D32" s="36" t="s">
        <v>4</v>
      </c>
      <c r="E32" s="55">
        <v>950.7</v>
      </c>
      <c r="F32" s="52">
        <v>25668.9</v>
      </c>
    </row>
    <row r="33" spans="2:6" x14ac:dyDescent="0.25">
      <c r="B33" s="53">
        <v>42210</v>
      </c>
      <c r="C33" s="56" t="s">
        <v>166</v>
      </c>
      <c r="D33" s="36" t="s">
        <v>17</v>
      </c>
      <c r="E33" s="55">
        <f>914.4+36.9+27.24+170.8+116</f>
        <v>1265.3399999999999</v>
      </c>
      <c r="F33" s="52">
        <v>38253.040000000001</v>
      </c>
    </row>
    <row r="34" spans="2:6" x14ac:dyDescent="0.25">
      <c r="B34" s="53">
        <v>42210</v>
      </c>
      <c r="C34" s="56" t="s">
        <v>167</v>
      </c>
      <c r="D34" s="36" t="s">
        <v>7</v>
      </c>
      <c r="E34" s="55">
        <v>305</v>
      </c>
      <c r="F34" s="52">
        <v>8387.5</v>
      </c>
    </row>
    <row r="35" spans="2:6" x14ac:dyDescent="0.25">
      <c r="B35" s="33">
        <v>42210</v>
      </c>
      <c r="C35" s="12" t="s">
        <v>168</v>
      </c>
      <c r="D35" s="34" t="s">
        <v>146</v>
      </c>
      <c r="E35" s="35">
        <f>205.8+110.8</f>
        <v>316.60000000000002</v>
      </c>
      <c r="F35" s="41">
        <v>10756.3</v>
      </c>
    </row>
    <row r="36" spans="2:6" x14ac:dyDescent="0.25">
      <c r="B36" s="33">
        <v>42210</v>
      </c>
      <c r="C36" s="12" t="s">
        <v>169</v>
      </c>
      <c r="D36" s="34" t="s">
        <v>170</v>
      </c>
      <c r="E36" s="35">
        <v>197.2</v>
      </c>
      <c r="F36" s="41">
        <v>5423</v>
      </c>
    </row>
    <row r="37" spans="2:6" x14ac:dyDescent="0.25">
      <c r="B37" s="33">
        <v>42210</v>
      </c>
      <c r="C37" s="12" t="s">
        <v>171</v>
      </c>
      <c r="D37" s="34" t="s">
        <v>16</v>
      </c>
      <c r="E37" s="57">
        <f>38.1+44.5+89.4+56.6</f>
        <v>228.6</v>
      </c>
      <c r="F37" s="41">
        <v>6649.7</v>
      </c>
    </row>
    <row r="38" spans="2:6" x14ac:dyDescent="0.25">
      <c r="B38" s="33"/>
      <c r="C38" s="12"/>
      <c r="D38" s="34"/>
      <c r="E38" s="57"/>
    </row>
    <row r="39" spans="2:6" x14ac:dyDescent="0.25">
      <c r="B39" s="33"/>
      <c r="C39" s="12"/>
      <c r="D39" s="34"/>
      <c r="E39" s="57"/>
    </row>
    <row r="40" spans="2:6" x14ac:dyDescent="0.25">
      <c r="B40" s="33"/>
      <c r="C40" s="12"/>
      <c r="D40" s="34"/>
      <c r="E40" s="57"/>
    </row>
    <row r="41" spans="2:6" ht="15.75" thickBot="1" x14ac:dyDescent="0.3">
      <c r="B41" s="33"/>
      <c r="C41" s="12"/>
      <c r="D41" s="34"/>
      <c r="E41" s="58"/>
      <c r="F41" s="45"/>
    </row>
    <row r="42" spans="2:6" ht="15.75" thickBot="1" x14ac:dyDescent="0.3">
      <c r="B42" s="16"/>
      <c r="C42" s="17"/>
      <c r="D42" s="18"/>
      <c r="E42" s="44">
        <v>0</v>
      </c>
      <c r="F42" s="43">
        <f>SUM(F3:F41)</f>
        <v>378283.29</v>
      </c>
    </row>
    <row r="43" spans="2:6" ht="19.5" thickBot="1" x14ac:dyDescent="0.35">
      <c r="B43" s="19"/>
      <c r="C43" s="20"/>
      <c r="D43" s="23" t="s">
        <v>3</v>
      </c>
      <c r="E43" s="25">
        <f>SUM(E3:E42)</f>
        <v>13008.86</v>
      </c>
    </row>
    <row r="44" spans="2:6" x14ac:dyDescent="0.25">
      <c r="B44" s="19"/>
      <c r="C44" s="20"/>
      <c r="D44" s="21"/>
      <c r="E44" s="22"/>
    </row>
    <row r="45" spans="2:6" ht="21" x14ac:dyDescent="0.35">
      <c r="B45" s="40"/>
      <c r="C45" s="27" t="s">
        <v>18</v>
      </c>
      <c r="D45" s="26">
        <f>E43*0.2</f>
        <v>2601.7720000000004</v>
      </c>
    </row>
  </sheetData>
  <mergeCells count="1">
    <mergeCell ref="B1:C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F45"/>
  <sheetViews>
    <sheetView topLeftCell="A28" workbookViewId="0">
      <selection activeCell="D23" sqref="D2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9">
        <v>42219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42211</v>
      </c>
      <c r="C3" s="49" t="s">
        <v>172</v>
      </c>
      <c r="D3" s="50" t="s">
        <v>5</v>
      </c>
      <c r="E3" s="51">
        <v>371.8</v>
      </c>
      <c r="F3" s="52">
        <v>11897.6</v>
      </c>
    </row>
    <row r="4" spans="2:6" ht="15.75" x14ac:dyDescent="0.25">
      <c r="B4" s="53">
        <v>42211</v>
      </c>
      <c r="C4" s="54" t="s">
        <v>173</v>
      </c>
      <c r="D4" s="36" t="s">
        <v>7</v>
      </c>
      <c r="E4" s="55">
        <v>364.6</v>
      </c>
      <c r="F4" s="52">
        <v>11667.2</v>
      </c>
    </row>
    <row r="5" spans="2:6" ht="15.75" x14ac:dyDescent="0.25">
      <c r="B5" s="53">
        <v>42212</v>
      </c>
      <c r="C5" s="54" t="s">
        <v>174</v>
      </c>
      <c r="D5" s="36" t="s">
        <v>4</v>
      </c>
      <c r="E5" s="55">
        <f>154.4+27.24+1+1009</f>
        <v>1191.6400000000001</v>
      </c>
      <c r="F5" s="52">
        <v>37749.339999999997</v>
      </c>
    </row>
    <row r="6" spans="2:6" ht="15.75" x14ac:dyDescent="0.25">
      <c r="B6" s="53">
        <v>42212</v>
      </c>
      <c r="C6" s="54" t="s">
        <v>175</v>
      </c>
      <c r="D6" s="36" t="s">
        <v>7</v>
      </c>
      <c r="E6" s="55">
        <v>419</v>
      </c>
      <c r="F6" s="52">
        <v>13408</v>
      </c>
    </row>
    <row r="7" spans="2:6" ht="15.75" x14ac:dyDescent="0.25">
      <c r="B7" s="53">
        <v>42212</v>
      </c>
      <c r="C7" s="54" t="s">
        <v>176</v>
      </c>
      <c r="D7" s="36" t="s">
        <v>16</v>
      </c>
      <c r="E7" s="55">
        <v>53.2</v>
      </c>
      <c r="F7" s="52">
        <v>2234.4</v>
      </c>
    </row>
    <row r="8" spans="2:6" ht="15.75" x14ac:dyDescent="0.25">
      <c r="B8" s="53">
        <v>42213</v>
      </c>
      <c r="C8" s="54" t="s">
        <v>177</v>
      </c>
      <c r="D8" s="36" t="s">
        <v>7</v>
      </c>
      <c r="E8" s="55">
        <v>461.2</v>
      </c>
      <c r="F8" s="52">
        <v>14758.4</v>
      </c>
    </row>
    <row r="9" spans="2:6" ht="15.75" x14ac:dyDescent="0.25">
      <c r="B9" s="53">
        <v>42213</v>
      </c>
      <c r="C9" s="54" t="s">
        <v>178</v>
      </c>
      <c r="D9" s="36" t="s">
        <v>11</v>
      </c>
      <c r="E9" s="55">
        <v>69.400000000000006</v>
      </c>
      <c r="F9" s="52">
        <v>2845.4</v>
      </c>
    </row>
    <row r="10" spans="2:6" ht="15.75" x14ac:dyDescent="0.25">
      <c r="B10" s="53">
        <v>42213</v>
      </c>
      <c r="C10" s="54" t="s">
        <v>179</v>
      </c>
      <c r="D10" s="36" t="s">
        <v>16</v>
      </c>
      <c r="E10" s="55">
        <v>112.4</v>
      </c>
      <c r="F10" s="52">
        <v>4608.3999999999996</v>
      </c>
    </row>
    <row r="11" spans="2:6" ht="15.75" x14ac:dyDescent="0.25">
      <c r="B11" s="53">
        <v>42213</v>
      </c>
      <c r="C11" s="54" t="s">
        <v>180</v>
      </c>
      <c r="D11" s="36" t="s">
        <v>181</v>
      </c>
      <c r="E11" s="55">
        <v>180.8</v>
      </c>
      <c r="F11" s="52">
        <v>5785.6</v>
      </c>
    </row>
    <row r="12" spans="2:6" ht="15.75" x14ac:dyDescent="0.25">
      <c r="B12" s="53">
        <v>42213</v>
      </c>
      <c r="C12" s="54" t="s">
        <v>182</v>
      </c>
      <c r="D12" s="36" t="s">
        <v>181</v>
      </c>
      <c r="E12" s="55">
        <f>20.5+15.96</f>
        <v>36.46</v>
      </c>
      <c r="F12" s="52">
        <v>2989.72</v>
      </c>
    </row>
    <row r="13" spans="2:6" ht="15.75" x14ac:dyDescent="0.25">
      <c r="B13" s="53">
        <v>42214</v>
      </c>
      <c r="C13" s="54" t="s">
        <v>183</v>
      </c>
      <c r="D13" s="36" t="s">
        <v>9</v>
      </c>
      <c r="E13" s="55">
        <f>48.4+233.8+101.2</f>
        <v>383.4</v>
      </c>
      <c r="F13" s="52">
        <v>12500.2</v>
      </c>
    </row>
    <row r="14" spans="2:6" ht="15.75" x14ac:dyDescent="0.25">
      <c r="B14" s="53">
        <v>42214</v>
      </c>
      <c r="C14" s="54" t="s">
        <v>184</v>
      </c>
      <c r="D14" s="36" t="s">
        <v>11</v>
      </c>
      <c r="E14" s="55">
        <f>12.9+29.6</f>
        <v>42.5</v>
      </c>
      <c r="F14" s="52">
        <v>1645.4</v>
      </c>
    </row>
    <row r="15" spans="2:6" ht="15.75" x14ac:dyDescent="0.25">
      <c r="B15" s="53">
        <v>42214</v>
      </c>
      <c r="C15" s="54" t="s">
        <v>185</v>
      </c>
      <c r="D15" s="36" t="s">
        <v>16</v>
      </c>
      <c r="E15" s="55">
        <v>252.6</v>
      </c>
      <c r="F15" s="52">
        <v>7325.4</v>
      </c>
    </row>
    <row r="16" spans="2:6" ht="15.75" x14ac:dyDescent="0.25">
      <c r="B16" s="53">
        <v>42214</v>
      </c>
      <c r="C16" s="54" t="s">
        <v>186</v>
      </c>
      <c r="D16" s="36" t="s">
        <v>7</v>
      </c>
      <c r="E16" s="55">
        <v>409.4</v>
      </c>
      <c r="F16" s="52">
        <v>13068.8</v>
      </c>
    </row>
    <row r="17" spans="2:6" ht="15.75" x14ac:dyDescent="0.25">
      <c r="B17" s="53">
        <v>42214</v>
      </c>
      <c r="C17" s="54" t="s">
        <v>187</v>
      </c>
      <c r="D17" s="36" t="s">
        <v>181</v>
      </c>
      <c r="E17" s="55">
        <f>83+73.2</f>
        <v>156.19999999999999</v>
      </c>
      <c r="F17" s="52">
        <v>5657.2</v>
      </c>
    </row>
    <row r="18" spans="2:6" ht="15.75" x14ac:dyDescent="0.25">
      <c r="B18" s="53">
        <v>42214</v>
      </c>
      <c r="C18" s="54" t="s">
        <v>188</v>
      </c>
      <c r="D18" s="36" t="s">
        <v>5</v>
      </c>
      <c r="E18" s="55">
        <v>78.599999999999994</v>
      </c>
      <c r="F18" s="52">
        <v>2515.1999999999998</v>
      </c>
    </row>
    <row r="19" spans="2:6" ht="15.75" x14ac:dyDescent="0.25">
      <c r="B19" s="53">
        <v>42214</v>
      </c>
      <c r="C19" s="54" t="s">
        <v>189</v>
      </c>
      <c r="D19" s="36" t="s">
        <v>93</v>
      </c>
      <c r="E19" s="55">
        <v>136.19999999999999</v>
      </c>
      <c r="F19" s="52">
        <v>6265.2</v>
      </c>
    </row>
    <row r="20" spans="2:6" ht="15.75" x14ac:dyDescent="0.25">
      <c r="B20" s="53">
        <v>42214</v>
      </c>
      <c r="C20" s="54" t="s">
        <v>190</v>
      </c>
      <c r="D20" s="36" t="s">
        <v>10</v>
      </c>
      <c r="E20" s="55">
        <v>89</v>
      </c>
      <c r="F20" s="52">
        <v>2848</v>
      </c>
    </row>
    <row r="21" spans="2:6" ht="15.75" x14ac:dyDescent="0.25">
      <c r="B21" s="53">
        <v>42214</v>
      </c>
      <c r="C21" s="54" t="s">
        <v>191</v>
      </c>
      <c r="D21" s="36" t="s">
        <v>5</v>
      </c>
      <c r="E21" s="55">
        <v>449</v>
      </c>
      <c r="F21" s="52">
        <v>14368</v>
      </c>
    </row>
    <row r="22" spans="2:6" x14ac:dyDescent="0.25">
      <c r="B22" s="53">
        <v>42215</v>
      </c>
      <c r="C22" s="56" t="s">
        <v>192</v>
      </c>
      <c r="D22" s="36" t="s">
        <v>7</v>
      </c>
      <c r="E22" s="55">
        <f>128.4+259.8</f>
        <v>388.20000000000005</v>
      </c>
      <c r="F22" s="52">
        <v>14220</v>
      </c>
    </row>
    <row r="23" spans="2:6" ht="15.75" x14ac:dyDescent="0.25">
      <c r="B23" s="53">
        <v>42215</v>
      </c>
      <c r="C23" s="54" t="s">
        <v>193</v>
      </c>
      <c r="D23" s="36" t="s">
        <v>181</v>
      </c>
      <c r="E23" s="55">
        <f>89.1+62.2</f>
        <v>151.30000000000001</v>
      </c>
      <c r="F23" s="52">
        <v>5401.4</v>
      </c>
    </row>
    <row r="24" spans="2:6" ht="15.75" x14ac:dyDescent="0.25">
      <c r="B24" s="53">
        <v>42215</v>
      </c>
      <c r="C24" s="54" t="s">
        <v>194</v>
      </c>
      <c r="D24" s="36" t="s">
        <v>5</v>
      </c>
      <c r="E24" s="55">
        <v>171.7</v>
      </c>
      <c r="F24" s="52">
        <v>5494.4</v>
      </c>
    </row>
    <row r="25" spans="2:6" ht="15.75" x14ac:dyDescent="0.25">
      <c r="B25" s="53">
        <v>42215</v>
      </c>
      <c r="C25" s="54" t="s">
        <v>195</v>
      </c>
      <c r="D25" s="36" t="s">
        <v>16</v>
      </c>
      <c r="E25" s="55">
        <v>52.8</v>
      </c>
      <c r="F25" s="52">
        <v>2164.8000000000002</v>
      </c>
    </row>
    <row r="26" spans="2:6" ht="15.75" x14ac:dyDescent="0.25">
      <c r="B26" s="53">
        <v>42215</v>
      </c>
      <c r="C26" s="54" t="s">
        <v>196</v>
      </c>
      <c r="D26" s="36" t="s">
        <v>4</v>
      </c>
      <c r="E26" s="55">
        <v>904.31</v>
      </c>
      <c r="F26" s="52">
        <v>25320.68</v>
      </c>
    </row>
    <row r="27" spans="2:6" ht="15.75" x14ac:dyDescent="0.25">
      <c r="B27" s="53">
        <v>42216</v>
      </c>
      <c r="C27" s="54" t="s">
        <v>197</v>
      </c>
      <c r="D27" s="36" t="s">
        <v>5</v>
      </c>
      <c r="E27" s="55">
        <v>88.6</v>
      </c>
      <c r="F27" s="52">
        <v>1683.4</v>
      </c>
    </row>
    <row r="28" spans="2:6" ht="15.75" x14ac:dyDescent="0.25">
      <c r="B28" s="53">
        <v>42216</v>
      </c>
      <c r="C28" s="54" t="s">
        <v>198</v>
      </c>
      <c r="D28" s="36" t="s">
        <v>9</v>
      </c>
      <c r="E28" s="55">
        <f>24+129.8+487</f>
        <v>640.79999999999995</v>
      </c>
      <c r="F28" s="52">
        <v>19876.2</v>
      </c>
    </row>
    <row r="29" spans="2:6" ht="15.75" x14ac:dyDescent="0.25">
      <c r="B29" s="53">
        <v>42216</v>
      </c>
      <c r="C29" s="54" t="s">
        <v>199</v>
      </c>
      <c r="D29" s="36" t="s">
        <v>10</v>
      </c>
      <c r="E29" s="55">
        <f>1+27.24+86.8</f>
        <v>115.03999999999999</v>
      </c>
      <c r="F29" s="52">
        <v>4750.6400000000003</v>
      </c>
    </row>
    <row r="30" spans="2:6" ht="15.75" x14ac:dyDescent="0.25">
      <c r="B30" s="53">
        <v>42216</v>
      </c>
      <c r="C30" s="54" t="s">
        <v>200</v>
      </c>
      <c r="D30" s="36" t="s">
        <v>11</v>
      </c>
      <c r="E30" s="55">
        <v>533</v>
      </c>
      <c r="F30" s="52">
        <v>17056</v>
      </c>
    </row>
    <row r="31" spans="2:6" x14ac:dyDescent="0.25">
      <c r="B31" s="53">
        <v>42216</v>
      </c>
      <c r="C31" s="56" t="s">
        <v>201</v>
      </c>
      <c r="D31" s="36" t="s">
        <v>5</v>
      </c>
      <c r="E31" s="55">
        <v>172.2</v>
      </c>
      <c r="F31" s="52">
        <v>5510.4</v>
      </c>
    </row>
    <row r="32" spans="2:6" ht="15.75" x14ac:dyDescent="0.25">
      <c r="B32" s="53">
        <v>42216</v>
      </c>
      <c r="C32" s="54" t="s">
        <v>202</v>
      </c>
      <c r="D32" s="36" t="s">
        <v>93</v>
      </c>
      <c r="E32" s="55">
        <f>111.6+118.6</f>
        <v>230.2</v>
      </c>
      <c r="F32" s="52">
        <v>5559.8</v>
      </c>
    </row>
    <row r="33" spans="2:6" x14ac:dyDescent="0.25">
      <c r="B33" s="53">
        <v>42216</v>
      </c>
      <c r="C33" s="56" t="s">
        <v>203</v>
      </c>
      <c r="D33" s="36" t="s">
        <v>16</v>
      </c>
      <c r="E33" s="55">
        <f>58.8+11+36.3</f>
        <v>106.1</v>
      </c>
      <c r="F33" s="52">
        <v>3999.5</v>
      </c>
    </row>
    <row r="34" spans="2:6" x14ac:dyDescent="0.25">
      <c r="B34" s="53">
        <v>42216</v>
      </c>
      <c r="C34" s="56" t="s">
        <v>204</v>
      </c>
      <c r="D34" s="36" t="s">
        <v>4</v>
      </c>
      <c r="E34" s="55">
        <f>27.2+211.4+923.5</f>
        <v>1162.0999999999999</v>
      </c>
      <c r="F34" s="52">
        <v>31533.15</v>
      </c>
    </row>
    <row r="35" spans="2:6" x14ac:dyDescent="0.25">
      <c r="B35" s="33">
        <v>42216</v>
      </c>
      <c r="C35" s="12" t="s">
        <v>205</v>
      </c>
      <c r="D35" s="34" t="s">
        <v>7</v>
      </c>
      <c r="E35" s="35">
        <f>189.6+897.6+393.6+54.2</f>
        <v>1535.0000000000002</v>
      </c>
      <c r="F35" s="41">
        <v>47853</v>
      </c>
    </row>
    <row r="36" spans="2:6" x14ac:dyDescent="0.25">
      <c r="B36" s="33">
        <v>42217</v>
      </c>
      <c r="C36" s="12" t="s">
        <v>206</v>
      </c>
      <c r="D36" s="34" t="s">
        <v>11</v>
      </c>
      <c r="E36" s="35">
        <f>8.7+34.8+11.5</f>
        <v>55</v>
      </c>
      <c r="F36" s="41">
        <v>2149.6</v>
      </c>
    </row>
    <row r="37" spans="2:6" x14ac:dyDescent="0.25">
      <c r="B37" s="33">
        <v>42217</v>
      </c>
      <c r="C37" s="12" t="s">
        <v>207</v>
      </c>
      <c r="D37" s="34" t="s">
        <v>4</v>
      </c>
      <c r="E37" s="57">
        <f>986+981+34.8+103+46.7</f>
        <v>2151.5</v>
      </c>
      <c r="F37" s="41">
        <v>65776.600000000006</v>
      </c>
    </row>
    <row r="38" spans="2:6" x14ac:dyDescent="0.25">
      <c r="B38" s="33">
        <v>42217</v>
      </c>
      <c r="C38" s="12" t="s">
        <v>208</v>
      </c>
      <c r="D38" s="34" t="s">
        <v>16</v>
      </c>
      <c r="E38" s="57">
        <v>55.8</v>
      </c>
      <c r="F38" s="41">
        <v>2343.6</v>
      </c>
    </row>
    <row r="39" spans="2:6" x14ac:dyDescent="0.25">
      <c r="B39" s="33">
        <v>42217</v>
      </c>
      <c r="C39" s="12" t="s">
        <v>209</v>
      </c>
      <c r="D39" s="34" t="s">
        <v>7</v>
      </c>
      <c r="E39" s="57">
        <v>52.4</v>
      </c>
      <c r="F39" s="41">
        <v>995.6</v>
      </c>
    </row>
    <row r="40" spans="2:6" x14ac:dyDescent="0.25">
      <c r="B40" s="33">
        <v>42217</v>
      </c>
      <c r="C40" s="12" t="s">
        <v>210</v>
      </c>
      <c r="D40" s="34" t="s">
        <v>5</v>
      </c>
      <c r="E40" s="57">
        <v>41.8</v>
      </c>
      <c r="F40" s="41">
        <v>1421.2</v>
      </c>
    </row>
    <row r="41" spans="2:6" ht="15.75" thickBot="1" x14ac:dyDescent="0.3">
      <c r="B41" s="33"/>
      <c r="C41" s="12"/>
      <c r="D41" s="34"/>
      <c r="E41" s="58"/>
      <c r="F41" s="45"/>
    </row>
    <row r="42" spans="2:6" ht="15.75" thickBot="1" x14ac:dyDescent="0.3">
      <c r="B42" s="16"/>
      <c r="C42" s="17"/>
      <c r="D42" s="18"/>
      <c r="E42" s="44">
        <v>0</v>
      </c>
      <c r="F42" s="43">
        <f>SUM(F3:F41)</f>
        <v>437247.43</v>
      </c>
    </row>
    <row r="43" spans="2:6" ht="19.5" thickBot="1" x14ac:dyDescent="0.35">
      <c r="B43" s="19"/>
      <c r="C43" s="20"/>
      <c r="D43" s="23" t="s">
        <v>3</v>
      </c>
      <c r="E43" s="25">
        <f>SUM(E3:E42)</f>
        <v>13865.25</v>
      </c>
    </row>
    <row r="44" spans="2:6" x14ac:dyDescent="0.25">
      <c r="B44" s="19"/>
      <c r="C44" s="20"/>
      <c r="D44" s="21"/>
      <c r="E44" s="22"/>
    </row>
    <row r="45" spans="2:6" ht="21" x14ac:dyDescent="0.35">
      <c r="B45" s="40"/>
      <c r="C45" s="27" t="s">
        <v>18</v>
      </c>
      <c r="D45" s="26">
        <f>E43*0.2</f>
        <v>2773.05</v>
      </c>
    </row>
  </sheetData>
  <mergeCells count="1">
    <mergeCell ref="B1:C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F47"/>
  <sheetViews>
    <sheetView topLeftCell="A31" workbookViewId="0">
      <selection activeCell="A31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9">
        <v>42230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42219</v>
      </c>
      <c r="C3" s="49" t="s">
        <v>211</v>
      </c>
      <c r="D3" s="50" t="s">
        <v>4</v>
      </c>
      <c r="E3" s="51">
        <f>87.8+27.2</f>
        <v>115</v>
      </c>
      <c r="F3" s="52">
        <v>2865</v>
      </c>
    </row>
    <row r="4" spans="2:6" ht="15.75" x14ac:dyDescent="0.25">
      <c r="B4" s="53">
        <v>42219</v>
      </c>
      <c r="C4" s="54" t="s">
        <v>212</v>
      </c>
      <c r="D4" s="36" t="s">
        <v>10</v>
      </c>
      <c r="E4" s="55">
        <f>13.3+88.4</f>
        <v>101.7</v>
      </c>
      <c r="F4" s="52">
        <v>2993.1</v>
      </c>
    </row>
    <row r="5" spans="2:6" ht="15.75" x14ac:dyDescent="0.25">
      <c r="B5" s="53">
        <v>42219</v>
      </c>
      <c r="C5" s="54" t="s">
        <v>213</v>
      </c>
      <c r="D5" s="36" t="s">
        <v>7</v>
      </c>
      <c r="E5" s="55">
        <v>604.20000000000005</v>
      </c>
      <c r="F5" s="52">
        <v>18730.2</v>
      </c>
    </row>
    <row r="6" spans="2:6" ht="15.75" x14ac:dyDescent="0.25">
      <c r="B6" s="53">
        <v>42219</v>
      </c>
      <c r="C6" s="54" t="s">
        <v>214</v>
      </c>
      <c r="D6" s="36" t="s">
        <v>9</v>
      </c>
      <c r="E6" s="55">
        <v>256</v>
      </c>
      <c r="F6" s="52">
        <v>7936</v>
      </c>
    </row>
    <row r="7" spans="2:6" ht="15.75" x14ac:dyDescent="0.25">
      <c r="B7" s="53">
        <v>42219</v>
      </c>
      <c r="C7" s="54" t="s">
        <v>215</v>
      </c>
      <c r="D7" s="36" t="s">
        <v>5</v>
      </c>
      <c r="E7" s="55">
        <v>91.6</v>
      </c>
      <c r="F7" s="52">
        <v>2839.6</v>
      </c>
    </row>
    <row r="8" spans="2:6" ht="15.75" x14ac:dyDescent="0.25">
      <c r="B8" s="53">
        <v>42219</v>
      </c>
      <c r="C8" s="54" t="s">
        <v>216</v>
      </c>
      <c r="D8" s="36" t="s">
        <v>16</v>
      </c>
      <c r="E8" s="55">
        <v>46.6</v>
      </c>
      <c r="F8" s="52">
        <v>1992.6</v>
      </c>
    </row>
    <row r="9" spans="2:6" ht="15.75" x14ac:dyDescent="0.25">
      <c r="B9" s="53">
        <v>42220</v>
      </c>
      <c r="C9" s="54" t="s">
        <v>217</v>
      </c>
      <c r="D9" s="36" t="s">
        <v>218</v>
      </c>
      <c r="E9" s="55">
        <v>53.2</v>
      </c>
      <c r="F9" s="52">
        <v>2234.4</v>
      </c>
    </row>
    <row r="10" spans="2:6" ht="15.75" x14ac:dyDescent="0.25">
      <c r="B10" s="53">
        <v>42220</v>
      </c>
      <c r="C10" s="54" t="s">
        <v>219</v>
      </c>
      <c r="D10" s="36" t="s">
        <v>5</v>
      </c>
      <c r="E10" s="55">
        <f>250.4+267</f>
        <v>517.4</v>
      </c>
      <c r="F10" s="52">
        <v>15663.8</v>
      </c>
    </row>
    <row r="11" spans="2:6" ht="15.75" x14ac:dyDescent="0.25">
      <c r="B11" s="53">
        <v>42220</v>
      </c>
      <c r="C11" s="54" t="s">
        <v>220</v>
      </c>
      <c r="D11" s="36" t="s">
        <v>7</v>
      </c>
      <c r="E11" s="55">
        <v>601.20000000000005</v>
      </c>
      <c r="F11" s="52">
        <v>18637.2</v>
      </c>
    </row>
    <row r="12" spans="2:6" ht="15.75" x14ac:dyDescent="0.25">
      <c r="B12" s="53">
        <v>42220</v>
      </c>
      <c r="C12" s="54" t="s">
        <v>221</v>
      </c>
      <c r="D12" s="36" t="s">
        <v>218</v>
      </c>
      <c r="E12" s="55">
        <f>7.9+98</f>
        <v>105.9</v>
      </c>
      <c r="F12" s="52">
        <v>3211.8</v>
      </c>
    </row>
    <row r="13" spans="2:6" ht="15.75" x14ac:dyDescent="0.25">
      <c r="B13" s="53">
        <v>42220</v>
      </c>
      <c r="C13" s="54" t="s">
        <v>222</v>
      </c>
      <c r="D13" s="36" t="s">
        <v>10</v>
      </c>
      <c r="E13" s="55">
        <f>28.1+6.7+25.1</f>
        <v>59.900000000000006</v>
      </c>
      <c r="F13" s="52">
        <v>2180.4499999999998</v>
      </c>
    </row>
    <row r="14" spans="2:6" ht="15.75" x14ac:dyDescent="0.25">
      <c r="B14" s="53">
        <v>42220</v>
      </c>
      <c r="C14" s="54" t="s">
        <v>223</v>
      </c>
      <c r="D14" s="36" t="s">
        <v>6</v>
      </c>
      <c r="E14" s="55">
        <v>136.19999999999999</v>
      </c>
      <c r="F14" s="52">
        <v>6401.4</v>
      </c>
    </row>
    <row r="15" spans="2:6" ht="15.75" x14ac:dyDescent="0.25">
      <c r="B15" s="53">
        <v>42220</v>
      </c>
      <c r="C15" s="54" t="s">
        <v>224</v>
      </c>
      <c r="D15" s="36" t="s">
        <v>16</v>
      </c>
      <c r="E15" s="55">
        <v>50.4</v>
      </c>
      <c r="F15" s="52">
        <v>2066.4</v>
      </c>
    </row>
    <row r="16" spans="2:6" ht="15.75" x14ac:dyDescent="0.25">
      <c r="B16" s="53">
        <v>42221</v>
      </c>
      <c r="C16" s="54" t="s">
        <v>225</v>
      </c>
      <c r="D16" s="36" t="s">
        <v>17</v>
      </c>
      <c r="E16" s="55">
        <v>124.8</v>
      </c>
      <c r="F16" s="52">
        <v>3681.6</v>
      </c>
    </row>
    <row r="17" spans="2:6" ht="15.75" x14ac:dyDescent="0.25">
      <c r="B17" s="53">
        <v>42221</v>
      </c>
      <c r="C17" s="54" t="s">
        <v>226</v>
      </c>
      <c r="D17" s="36" t="s">
        <v>4</v>
      </c>
      <c r="E17" s="55">
        <f>901.13+16</f>
        <v>917.13</v>
      </c>
      <c r="F17" s="52">
        <v>26935.33</v>
      </c>
    </row>
    <row r="18" spans="2:6" ht="15.75" x14ac:dyDescent="0.25">
      <c r="B18" s="53">
        <v>42221</v>
      </c>
      <c r="C18" s="54" t="s">
        <v>227</v>
      </c>
      <c r="D18" s="36" t="s">
        <v>6</v>
      </c>
      <c r="E18" s="55">
        <f>126+111</f>
        <v>237</v>
      </c>
      <c r="F18" s="52">
        <v>5826</v>
      </c>
    </row>
    <row r="19" spans="2:6" ht="15.75" x14ac:dyDescent="0.25">
      <c r="B19" s="53">
        <v>42221</v>
      </c>
      <c r="C19" s="54" t="s">
        <v>228</v>
      </c>
      <c r="D19" s="36" t="s">
        <v>7</v>
      </c>
      <c r="E19" s="55">
        <v>178.4</v>
      </c>
      <c r="F19" s="52">
        <v>5530.4</v>
      </c>
    </row>
    <row r="20" spans="2:6" ht="15.75" x14ac:dyDescent="0.25">
      <c r="B20" s="53">
        <v>42221</v>
      </c>
      <c r="C20" s="54" t="s">
        <v>229</v>
      </c>
      <c r="D20" s="36" t="s">
        <v>10</v>
      </c>
      <c r="E20" s="55">
        <v>160.80000000000001</v>
      </c>
      <c r="F20" s="52">
        <v>4984.8</v>
      </c>
    </row>
    <row r="21" spans="2:6" ht="15.75" x14ac:dyDescent="0.25">
      <c r="B21" s="53">
        <v>42221</v>
      </c>
      <c r="C21" s="54" t="s">
        <v>230</v>
      </c>
      <c r="D21" s="36" t="s">
        <v>5</v>
      </c>
      <c r="E21" s="55">
        <v>54.4</v>
      </c>
      <c r="F21" s="52">
        <v>2230.4</v>
      </c>
    </row>
    <row r="22" spans="2:6" x14ac:dyDescent="0.25">
      <c r="B22" s="53">
        <v>42221</v>
      </c>
      <c r="C22" s="56" t="s">
        <v>231</v>
      </c>
      <c r="D22" s="36" t="s">
        <v>16</v>
      </c>
      <c r="E22" s="55">
        <v>59.4</v>
      </c>
      <c r="F22" s="52">
        <v>2435.4</v>
      </c>
    </row>
    <row r="23" spans="2:6" ht="15.75" x14ac:dyDescent="0.25">
      <c r="B23" s="53">
        <v>42222</v>
      </c>
      <c r="C23" s="54" t="s">
        <v>232</v>
      </c>
      <c r="D23" s="36" t="s">
        <v>16</v>
      </c>
      <c r="E23" s="55">
        <v>54.8</v>
      </c>
      <c r="F23" s="52">
        <v>2246.8000000000002</v>
      </c>
    </row>
    <row r="24" spans="2:6" ht="15.75" x14ac:dyDescent="0.25">
      <c r="B24" s="53">
        <v>42222</v>
      </c>
      <c r="C24" s="54" t="s">
        <v>233</v>
      </c>
      <c r="D24" s="36" t="s">
        <v>9</v>
      </c>
      <c r="E24" s="55">
        <f>51+284.6</f>
        <v>335.6</v>
      </c>
      <c r="F24" s="52">
        <v>11474.6</v>
      </c>
    </row>
    <row r="25" spans="2:6" ht="15.75" x14ac:dyDescent="0.25">
      <c r="B25" s="53">
        <v>42222</v>
      </c>
      <c r="C25" s="54" t="s">
        <v>234</v>
      </c>
      <c r="D25" s="36" t="s">
        <v>7</v>
      </c>
      <c r="E25" s="55">
        <v>362.4</v>
      </c>
      <c r="F25" s="52">
        <v>11234.4</v>
      </c>
    </row>
    <row r="26" spans="2:6" ht="15.75" x14ac:dyDescent="0.25">
      <c r="B26" s="53">
        <v>42222</v>
      </c>
      <c r="C26" s="54" t="s">
        <v>235</v>
      </c>
      <c r="D26" s="36" t="s">
        <v>5</v>
      </c>
      <c r="E26" s="55">
        <v>105.2</v>
      </c>
      <c r="F26" s="52">
        <v>3261.2</v>
      </c>
    </row>
    <row r="27" spans="2:6" ht="15.75" x14ac:dyDescent="0.25">
      <c r="B27" s="53">
        <v>42222</v>
      </c>
      <c r="C27" s="54" t="s">
        <v>236</v>
      </c>
      <c r="D27" s="36" t="s">
        <v>6</v>
      </c>
      <c r="E27" s="55">
        <f>5+27.22</f>
        <v>32.22</v>
      </c>
      <c r="F27" s="52">
        <v>4797.68</v>
      </c>
    </row>
    <row r="28" spans="2:6" ht="15.75" x14ac:dyDescent="0.25">
      <c r="B28" s="53">
        <v>42223</v>
      </c>
      <c r="C28" s="54" t="s">
        <v>237</v>
      </c>
      <c r="D28" s="36" t="s">
        <v>7</v>
      </c>
      <c r="E28" s="55">
        <v>402.2</v>
      </c>
      <c r="F28" s="52">
        <v>12066</v>
      </c>
    </row>
    <row r="29" spans="2:6" ht="15.75" x14ac:dyDescent="0.25">
      <c r="B29" s="53">
        <v>42223</v>
      </c>
      <c r="C29" s="54" t="s">
        <v>238</v>
      </c>
      <c r="D29" s="36" t="s">
        <v>16</v>
      </c>
      <c r="E29" s="55">
        <f>175.3+182.6</f>
        <v>357.9</v>
      </c>
      <c r="F29" s="52">
        <v>10919.6</v>
      </c>
    </row>
    <row r="30" spans="2:6" ht="15.75" x14ac:dyDescent="0.25">
      <c r="B30" s="53">
        <v>42223</v>
      </c>
      <c r="C30" s="54" t="s">
        <v>239</v>
      </c>
      <c r="D30" s="36" t="s">
        <v>4</v>
      </c>
      <c r="E30" s="55">
        <f>907.2+908.1+27.2+132</f>
        <v>1974.5000000000002</v>
      </c>
      <c r="F30" s="52">
        <v>62519.8</v>
      </c>
    </row>
    <row r="31" spans="2:6" x14ac:dyDescent="0.25">
      <c r="B31" s="53">
        <v>42223</v>
      </c>
      <c r="C31" s="56" t="s">
        <v>240</v>
      </c>
      <c r="D31" s="36" t="s">
        <v>5</v>
      </c>
      <c r="E31" s="55">
        <v>876.1</v>
      </c>
      <c r="F31" s="52">
        <v>26283</v>
      </c>
    </row>
    <row r="32" spans="2:6" ht="15.75" x14ac:dyDescent="0.25">
      <c r="B32" s="53">
        <v>42223</v>
      </c>
      <c r="C32" s="54" t="s">
        <v>241</v>
      </c>
      <c r="D32" s="36" t="s">
        <v>218</v>
      </c>
      <c r="E32" s="55">
        <v>59</v>
      </c>
      <c r="F32" s="52">
        <v>2360</v>
      </c>
    </row>
    <row r="33" spans="2:6" x14ac:dyDescent="0.25">
      <c r="B33" s="53">
        <v>42223</v>
      </c>
      <c r="C33" s="56" t="s">
        <v>242</v>
      </c>
      <c r="D33" s="36" t="s">
        <v>10</v>
      </c>
      <c r="E33" s="55">
        <f>7.8+27.22</f>
        <v>35.019999999999996</v>
      </c>
      <c r="F33" s="52">
        <v>1419.741</v>
      </c>
    </row>
    <row r="34" spans="2:6" x14ac:dyDescent="0.25">
      <c r="B34" s="53">
        <v>42223</v>
      </c>
      <c r="C34" s="56" t="s">
        <v>243</v>
      </c>
      <c r="D34" s="36" t="s">
        <v>7</v>
      </c>
      <c r="E34" s="55">
        <f>187.6+49.2</f>
        <v>236.8</v>
      </c>
      <c r="F34" s="52">
        <v>6750.4</v>
      </c>
    </row>
    <row r="35" spans="2:6" x14ac:dyDescent="0.25">
      <c r="B35" s="33">
        <v>42223</v>
      </c>
      <c r="C35" s="12" t="s">
        <v>244</v>
      </c>
      <c r="D35" s="34" t="s">
        <v>17</v>
      </c>
      <c r="E35" s="35">
        <f>142.8+27.22+66.2</f>
        <v>236.22000000000003</v>
      </c>
      <c r="F35" s="41">
        <v>11134.54</v>
      </c>
    </row>
    <row r="36" spans="2:6" x14ac:dyDescent="0.25">
      <c r="B36" s="33">
        <v>42224</v>
      </c>
      <c r="C36" s="12" t="s">
        <v>245</v>
      </c>
      <c r="D36" s="34" t="s">
        <v>5</v>
      </c>
      <c r="E36" s="35">
        <v>628</v>
      </c>
      <c r="F36" s="41">
        <v>18840</v>
      </c>
    </row>
    <row r="37" spans="2:6" x14ac:dyDescent="0.25">
      <c r="B37" s="33">
        <v>42224</v>
      </c>
      <c r="C37" s="12" t="s">
        <v>246</v>
      </c>
      <c r="D37" s="34" t="s">
        <v>7</v>
      </c>
      <c r="E37" s="57">
        <v>693.7</v>
      </c>
      <c r="F37" s="41">
        <v>20811</v>
      </c>
    </row>
    <row r="38" spans="2:6" x14ac:dyDescent="0.25">
      <c r="B38" s="33">
        <v>42224</v>
      </c>
      <c r="C38" s="12" t="s">
        <v>247</v>
      </c>
      <c r="D38" s="34" t="s">
        <v>9</v>
      </c>
      <c r="E38" s="57">
        <f>24.6+546.2+26+124.4</f>
        <v>721.2</v>
      </c>
      <c r="F38" s="41">
        <v>22260</v>
      </c>
    </row>
    <row r="39" spans="2:6" x14ac:dyDescent="0.25">
      <c r="B39" s="33">
        <v>42224</v>
      </c>
      <c r="C39" s="12" t="s">
        <v>248</v>
      </c>
      <c r="D39" s="34" t="s">
        <v>17</v>
      </c>
      <c r="E39" s="57">
        <v>227.8</v>
      </c>
      <c r="F39" s="41">
        <v>7289.6</v>
      </c>
    </row>
    <row r="40" spans="2:6" x14ac:dyDescent="0.25">
      <c r="B40" s="33">
        <v>42224</v>
      </c>
      <c r="C40" s="12" t="s">
        <v>249</v>
      </c>
      <c r="D40" s="34" t="s">
        <v>218</v>
      </c>
      <c r="E40" s="57">
        <f>188.6+50.8</f>
        <v>239.39999999999998</v>
      </c>
      <c r="F40" s="41">
        <v>7690</v>
      </c>
    </row>
    <row r="41" spans="2:6" x14ac:dyDescent="0.25">
      <c r="B41" s="33">
        <v>42224</v>
      </c>
      <c r="C41" s="12" t="s">
        <v>250</v>
      </c>
      <c r="D41" s="34" t="s">
        <v>10</v>
      </c>
      <c r="E41" s="59">
        <f>35.7+68.1</f>
        <v>103.8</v>
      </c>
      <c r="F41" s="52">
        <v>4239.3</v>
      </c>
    </row>
    <row r="42" spans="2:6" x14ac:dyDescent="0.25">
      <c r="B42" s="33">
        <v>42224</v>
      </c>
      <c r="C42" s="12" t="s">
        <v>251</v>
      </c>
      <c r="D42" s="34" t="s">
        <v>16</v>
      </c>
      <c r="E42" s="59">
        <f>34.7+126.4+64.2+12.9+33.2</f>
        <v>271.40000000000003</v>
      </c>
      <c r="F42" s="52">
        <v>8192.7000000000007</v>
      </c>
    </row>
    <row r="43" spans="2:6" ht="15.75" thickBot="1" x14ac:dyDescent="0.3">
      <c r="B43" s="33">
        <v>42224</v>
      </c>
      <c r="C43" s="12" t="s">
        <v>252</v>
      </c>
      <c r="D43" s="34" t="s">
        <v>6</v>
      </c>
      <c r="E43" s="58">
        <f>67.6+103.6</f>
        <v>171.2</v>
      </c>
      <c r="F43" s="45">
        <v>4496</v>
      </c>
    </row>
    <row r="44" spans="2:6" ht="15.75" thickBot="1" x14ac:dyDescent="0.3">
      <c r="B44" s="16"/>
      <c r="C44" s="17"/>
      <c r="D44" s="18"/>
      <c r="E44" s="44">
        <v>0</v>
      </c>
      <c r="F44" s="43">
        <f>SUM(F3:F43)</f>
        <v>399662.24099999992</v>
      </c>
    </row>
    <row r="45" spans="2:6" ht="19.5" thickBot="1" x14ac:dyDescent="0.35">
      <c r="B45" s="19"/>
      <c r="C45" s="20"/>
      <c r="D45" s="23" t="s">
        <v>3</v>
      </c>
      <c r="E45" s="25">
        <f>SUM(E3:E44)</f>
        <v>12595.689999999999</v>
      </c>
    </row>
    <row r="46" spans="2:6" x14ac:dyDescent="0.25">
      <c r="B46" s="19"/>
      <c r="C46" s="20"/>
      <c r="D46" s="21"/>
      <c r="E46" s="22"/>
    </row>
    <row r="47" spans="2:6" ht="21" x14ac:dyDescent="0.35">
      <c r="B47" s="40"/>
      <c r="C47" s="27" t="s">
        <v>18</v>
      </c>
      <c r="D47" s="26">
        <f>E45*0.2</f>
        <v>2519.1379999999999</v>
      </c>
    </row>
  </sheetData>
  <mergeCells count="1">
    <mergeCell ref="B1:C1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47"/>
  <sheetViews>
    <sheetView topLeftCell="A19" workbookViewId="0">
      <selection activeCell="D43" sqref="D4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9">
        <v>42233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42217</v>
      </c>
      <c r="C3" s="49" t="s">
        <v>253</v>
      </c>
      <c r="D3" s="50" t="s">
        <v>17</v>
      </c>
      <c r="E3" s="51">
        <f>32.2+378.8</f>
        <v>411</v>
      </c>
      <c r="F3" s="52">
        <v>11883</v>
      </c>
    </row>
    <row r="4" spans="2:6" ht="15.75" x14ac:dyDescent="0.25">
      <c r="B4" s="53">
        <v>42227</v>
      </c>
      <c r="C4" s="54" t="s">
        <v>254</v>
      </c>
      <c r="D4" s="36" t="s">
        <v>11</v>
      </c>
      <c r="E4" s="55">
        <f>7.4+30.2</f>
        <v>37.6</v>
      </c>
      <c r="F4" s="52">
        <v>1129.2</v>
      </c>
    </row>
    <row r="5" spans="2:6" ht="15.75" x14ac:dyDescent="0.25">
      <c r="B5" s="53">
        <v>42227</v>
      </c>
      <c r="C5" s="54" t="s">
        <v>255</v>
      </c>
      <c r="D5" s="36" t="s">
        <v>17</v>
      </c>
      <c r="E5" s="55">
        <f>157.6+70.4+58.4</f>
        <v>286.39999999999998</v>
      </c>
      <c r="F5" s="52">
        <v>9432.7999999999993</v>
      </c>
    </row>
    <row r="6" spans="2:6" ht="15.75" x14ac:dyDescent="0.25">
      <c r="B6" s="53">
        <v>42227</v>
      </c>
      <c r="C6" s="54" t="s">
        <v>256</v>
      </c>
      <c r="D6" s="36" t="s">
        <v>5</v>
      </c>
      <c r="E6" s="55">
        <v>56.6</v>
      </c>
      <c r="F6" s="52">
        <v>2207.4</v>
      </c>
    </row>
    <row r="7" spans="2:6" ht="15.75" x14ac:dyDescent="0.25">
      <c r="B7" s="53">
        <v>42227</v>
      </c>
      <c r="C7" s="54" t="s">
        <v>257</v>
      </c>
      <c r="D7" s="36" t="s">
        <v>9</v>
      </c>
      <c r="E7" s="55">
        <f>157.6+25.1+325.2</f>
        <v>507.9</v>
      </c>
      <c r="F7" s="52">
        <v>15351.4</v>
      </c>
    </row>
    <row r="8" spans="2:6" ht="15.75" x14ac:dyDescent="0.25">
      <c r="B8" s="53">
        <v>42227</v>
      </c>
      <c r="C8" s="54" t="s">
        <v>258</v>
      </c>
      <c r="D8" s="36" t="s">
        <v>16</v>
      </c>
      <c r="E8" s="55">
        <f>169.8+86.8</f>
        <v>256.60000000000002</v>
      </c>
      <c r="F8" s="52">
        <v>8037.6</v>
      </c>
    </row>
    <row r="9" spans="2:6" ht="15.75" x14ac:dyDescent="0.25">
      <c r="B9" s="53">
        <v>42227</v>
      </c>
      <c r="C9" s="54" t="s">
        <v>259</v>
      </c>
      <c r="D9" s="36" t="s">
        <v>10</v>
      </c>
      <c r="E9" s="55">
        <v>76.599999999999994</v>
      </c>
      <c r="F9" s="52">
        <v>2298</v>
      </c>
    </row>
    <row r="10" spans="2:6" ht="15.75" x14ac:dyDescent="0.25">
      <c r="B10" s="53">
        <v>42227</v>
      </c>
      <c r="C10" s="54" t="s">
        <v>260</v>
      </c>
      <c r="D10" s="36" t="s">
        <v>7</v>
      </c>
      <c r="E10" s="55">
        <v>458.4</v>
      </c>
      <c r="F10" s="52">
        <v>13752</v>
      </c>
    </row>
    <row r="11" spans="2:6" ht="15.75" x14ac:dyDescent="0.25">
      <c r="B11" s="53">
        <v>42227</v>
      </c>
      <c r="C11" s="54" t="s">
        <v>261</v>
      </c>
      <c r="D11" s="36" t="s">
        <v>5</v>
      </c>
      <c r="E11" s="55">
        <v>83.5</v>
      </c>
      <c r="F11" s="52">
        <v>2505</v>
      </c>
    </row>
    <row r="12" spans="2:6" ht="15.75" x14ac:dyDescent="0.25">
      <c r="B12" s="53">
        <v>42227</v>
      </c>
      <c r="C12" s="54" t="s">
        <v>262</v>
      </c>
      <c r="D12" s="36" t="s">
        <v>7</v>
      </c>
      <c r="E12" s="55">
        <v>245.6</v>
      </c>
      <c r="F12" s="52">
        <v>7368</v>
      </c>
    </row>
    <row r="13" spans="2:6" ht="15.75" x14ac:dyDescent="0.25">
      <c r="B13" s="53">
        <v>42228</v>
      </c>
      <c r="C13" s="54" t="s">
        <v>263</v>
      </c>
      <c r="D13" s="36" t="s">
        <v>5</v>
      </c>
      <c r="E13" s="55">
        <v>231.9</v>
      </c>
      <c r="F13" s="52">
        <v>6957</v>
      </c>
    </row>
    <row r="14" spans="2:6" ht="15.75" x14ac:dyDescent="0.25">
      <c r="B14" s="53">
        <v>42228</v>
      </c>
      <c r="C14" s="54" t="s">
        <v>264</v>
      </c>
      <c r="D14" s="36" t="s">
        <v>16</v>
      </c>
      <c r="E14" s="55">
        <f>9.4+29.3</f>
        <v>38.700000000000003</v>
      </c>
      <c r="F14" s="52">
        <v>1554.6</v>
      </c>
    </row>
    <row r="15" spans="2:6" ht="15.75" x14ac:dyDescent="0.25">
      <c r="B15" s="53">
        <v>42228</v>
      </c>
      <c r="C15" s="54" t="s">
        <v>265</v>
      </c>
      <c r="D15" s="36" t="s">
        <v>93</v>
      </c>
      <c r="E15" s="55">
        <f>131+51.9</f>
        <v>182.9</v>
      </c>
      <c r="F15" s="52">
        <v>5178.1000000000004</v>
      </c>
    </row>
    <row r="16" spans="2:6" ht="15.75" x14ac:dyDescent="0.25">
      <c r="B16" s="53">
        <v>42228</v>
      </c>
      <c r="C16" s="54" t="s">
        <v>266</v>
      </c>
      <c r="D16" s="36" t="s">
        <v>11</v>
      </c>
      <c r="E16" s="55">
        <v>34.299999999999997</v>
      </c>
      <c r="F16" s="52">
        <v>1440.6</v>
      </c>
    </row>
    <row r="17" spans="2:6" ht="15.75" x14ac:dyDescent="0.25">
      <c r="B17" s="53">
        <v>42228</v>
      </c>
      <c r="C17" s="54" t="s">
        <v>267</v>
      </c>
      <c r="D17" s="36" t="s">
        <v>17</v>
      </c>
      <c r="E17" s="55">
        <v>159.19999999999999</v>
      </c>
      <c r="F17" s="52">
        <v>4776</v>
      </c>
    </row>
    <row r="18" spans="2:6" ht="15.75" x14ac:dyDescent="0.25">
      <c r="B18" s="53">
        <v>42229</v>
      </c>
      <c r="C18" s="54" t="s">
        <v>268</v>
      </c>
      <c r="D18" s="36" t="s">
        <v>11</v>
      </c>
      <c r="E18" s="55">
        <f>7.6+76.7+58.4</f>
        <v>142.69999999999999</v>
      </c>
      <c r="F18" s="52">
        <v>4804.2</v>
      </c>
    </row>
    <row r="19" spans="2:6" ht="15.75" x14ac:dyDescent="0.25">
      <c r="B19" s="53">
        <v>42229</v>
      </c>
      <c r="C19" s="54" t="s">
        <v>269</v>
      </c>
      <c r="D19" s="36" t="s">
        <v>5</v>
      </c>
      <c r="E19" s="55">
        <v>88.5</v>
      </c>
      <c r="F19" s="52">
        <v>2660</v>
      </c>
    </row>
    <row r="20" spans="2:6" ht="15.75" x14ac:dyDescent="0.25">
      <c r="B20" s="53">
        <v>42229</v>
      </c>
      <c r="C20" s="54" t="s">
        <v>270</v>
      </c>
      <c r="D20" s="36" t="s">
        <v>16</v>
      </c>
      <c r="E20" s="55">
        <v>76</v>
      </c>
      <c r="F20" s="52">
        <v>2280</v>
      </c>
    </row>
    <row r="21" spans="2:6" ht="15.75" x14ac:dyDescent="0.25">
      <c r="B21" s="53">
        <v>42229</v>
      </c>
      <c r="C21" s="54" t="s">
        <v>271</v>
      </c>
      <c r="D21" s="36" t="s">
        <v>10</v>
      </c>
      <c r="E21" s="55">
        <v>164.1</v>
      </c>
      <c r="F21" s="52">
        <v>4923</v>
      </c>
    </row>
    <row r="22" spans="2:6" x14ac:dyDescent="0.25">
      <c r="B22" s="53">
        <v>42229</v>
      </c>
      <c r="C22" s="56" t="s">
        <v>272</v>
      </c>
      <c r="D22" s="36" t="s">
        <v>93</v>
      </c>
      <c r="E22" s="55">
        <f>48.93+19.95</f>
        <v>68.88</v>
      </c>
      <c r="F22" s="52">
        <v>3709.02</v>
      </c>
    </row>
    <row r="23" spans="2:6" ht="15.75" x14ac:dyDescent="0.25">
      <c r="B23" s="53">
        <v>42229</v>
      </c>
      <c r="C23" s="54" t="s">
        <v>273</v>
      </c>
      <c r="D23" s="36" t="s">
        <v>17</v>
      </c>
      <c r="E23" s="55">
        <v>259.2</v>
      </c>
      <c r="F23" s="52">
        <v>8294.4</v>
      </c>
    </row>
    <row r="24" spans="2:6" ht="15.75" x14ac:dyDescent="0.25">
      <c r="B24" s="53">
        <v>42230</v>
      </c>
      <c r="C24" s="54" t="s">
        <v>274</v>
      </c>
      <c r="D24" s="36" t="s">
        <v>17</v>
      </c>
      <c r="E24" s="55">
        <f>27.24+182.2+377.6</f>
        <v>587.04</v>
      </c>
      <c r="F24" s="52">
        <v>18438.68</v>
      </c>
    </row>
    <row r="25" spans="2:6" ht="15.75" x14ac:dyDescent="0.25">
      <c r="B25" s="53">
        <v>42230</v>
      </c>
      <c r="C25" s="54" t="s">
        <v>275</v>
      </c>
      <c r="D25" s="36" t="s">
        <v>5</v>
      </c>
      <c r="E25" s="55">
        <v>407</v>
      </c>
      <c r="F25" s="52">
        <v>12210</v>
      </c>
    </row>
    <row r="26" spans="2:6" ht="15.75" x14ac:dyDescent="0.25">
      <c r="B26" s="53">
        <v>42230</v>
      </c>
      <c r="C26" s="54" t="s">
        <v>276</v>
      </c>
      <c r="D26" s="36" t="s">
        <v>93</v>
      </c>
      <c r="E26" s="55">
        <v>252.9</v>
      </c>
      <c r="F26" s="52">
        <v>9863.1</v>
      </c>
    </row>
    <row r="27" spans="2:6" ht="15.75" x14ac:dyDescent="0.25">
      <c r="B27" s="53">
        <v>42230</v>
      </c>
      <c r="C27" s="54" t="s">
        <v>277</v>
      </c>
      <c r="D27" s="36" t="s">
        <v>7</v>
      </c>
      <c r="E27" s="55">
        <f>63.6+809.7+132.6</f>
        <v>1005.9000000000001</v>
      </c>
      <c r="F27" s="52">
        <v>29742.6</v>
      </c>
    </row>
    <row r="28" spans="2:6" ht="15.75" x14ac:dyDescent="0.25">
      <c r="B28" s="53">
        <v>42230</v>
      </c>
      <c r="C28" s="54" t="s">
        <v>278</v>
      </c>
      <c r="D28" s="36" t="s">
        <v>16</v>
      </c>
      <c r="E28" s="55">
        <v>193.8</v>
      </c>
      <c r="F28" s="52">
        <v>6201.6</v>
      </c>
    </row>
    <row r="29" spans="2:6" ht="15.75" x14ac:dyDescent="0.25">
      <c r="B29" s="53">
        <v>42230</v>
      </c>
      <c r="C29" s="54" t="s">
        <v>279</v>
      </c>
      <c r="D29" s="36" t="s">
        <v>4</v>
      </c>
      <c r="E29" s="55">
        <f>50.3+18.1</f>
        <v>68.400000000000006</v>
      </c>
      <c r="F29" s="52">
        <v>2712</v>
      </c>
    </row>
    <row r="30" spans="2:6" ht="15.75" x14ac:dyDescent="0.25">
      <c r="B30" s="53">
        <v>42230</v>
      </c>
      <c r="C30" s="54" t="s">
        <v>280</v>
      </c>
      <c r="D30" s="36" t="s">
        <v>4</v>
      </c>
      <c r="E30" s="55">
        <f>913.1+919</f>
        <v>1832.1</v>
      </c>
      <c r="F30" s="52">
        <v>55879.05</v>
      </c>
    </row>
    <row r="31" spans="2:6" x14ac:dyDescent="0.25">
      <c r="B31" s="53">
        <v>42230</v>
      </c>
      <c r="C31" s="56" t="s">
        <v>281</v>
      </c>
      <c r="D31" s="36" t="s">
        <v>16</v>
      </c>
      <c r="E31" s="55">
        <v>42.3</v>
      </c>
      <c r="F31" s="52">
        <v>1311.3</v>
      </c>
    </row>
    <row r="32" spans="2:6" ht="15.75" x14ac:dyDescent="0.25">
      <c r="B32" s="53">
        <v>42230</v>
      </c>
      <c r="C32" s="54" t="s">
        <v>282</v>
      </c>
      <c r="D32" s="36" t="s">
        <v>11</v>
      </c>
      <c r="E32" s="55">
        <f>14+74.4+47</f>
        <v>135.4</v>
      </c>
      <c r="F32" s="52">
        <v>4774.3999999999996</v>
      </c>
    </row>
    <row r="33" spans="2:6" x14ac:dyDescent="0.25">
      <c r="B33" s="53">
        <v>42231</v>
      </c>
      <c r="C33" s="56" t="s">
        <v>283</v>
      </c>
      <c r="D33" s="36" t="s">
        <v>9</v>
      </c>
      <c r="E33" s="55">
        <f>284.8+55.3+341</f>
        <v>681.1</v>
      </c>
      <c r="F33" s="52">
        <v>21887.4</v>
      </c>
    </row>
    <row r="34" spans="2:6" x14ac:dyDescent="0.25">
      <c r="B34" s="53">
        <v>42231</v>
      </c>
      <c r="C34" s="56" t="s">
        <v>284</v>
      </c>
      <c r="D34" s="36" t="s">
        <v>8</v>
      </c>
      <c r="E34" s="55">
        <f>93.5+76.7</f>
        <v>170.2</v>
      </c>
      <c r="F34" s="52">
        <v>5182.7</v>
      </c>
    </row>
    <row r="35" spans="2:6" x14ac:dyDescent="0.25">
      <c r="B35" s="33">
        <v>42231</v>
      </c>
      <c r="C35" s="12" t="s">
        <v>285</v>
      </c>
      <c r="D35" s="34" t="s">
        <v>17</v>
      </c>
      <c r="E35" s="35">
        <f>116.2+163.5</f>
        <v>279.7</v>
      </c>
      <c r="F35" s="41">
        <v>8623.4</v>
      </c>
    </row>
    <row r="36" spans="2:6" x14ac:dyDescent="0.25">
      <c r="B36" s="33">
        <v>42231</v>
      </c>
      <c r="C36" s="12" t="s">
        <v>286</v>
      </c>
      <c r="D36" s="34" t="s">
        <v>7</v>
      </c>
      <c r="E36" s="35">
        <f>186.4+432.2</f>
        <v>618.6</v>
      </c>
      <c r="F36" s="41">
        <v>18558</v>
      </c>
    </row>
    <row r="37" spans="2:6" x14ac:dyDescent="0.25">
      <c r="B37" s="33">
        <v>42231</v>
      </c>
      <c r="C37" s="12" t="s">
        <v>287</v>
      </c>
      <c r="D37" s="34" t="s">
        <v>11</v>
      </c>
      <c r="E37" s="57">
        <v>233.6</v>
      </c>
      <c r="F37" s="41">
        <v>7008</v>
      </c>
    </row>
    <row r="38" spans="2:6" x14ac:dyDescent="0.25">
      <c r="B38" s="33">
        <v>42231</v>
      </c>
      <c r="C38" s="12" t="s">
        <v>288</v>
      </c>
      <c r="D38" s="34" t="s">
        <v>16</v>
      </c>
      <c r="E38" s="57">
        <f>34.5+6.9+64.6+55.7</f>
        <v>161.69999999999999</v>
      </c>
      <c r="F38" s="41">
        <v>4285.8999999999996</v>
      </c>
    </row>
    <row r="39" spans="2:6" x14ac:dyDescent="0.25">
      <c r="B39" s="33">
        <v>42231</v>
      </c>
      <c r="C39" s="12" t="s">
        <v>289</v>
      </c>
      <c r="D39" s="34" t="s">
        <v>4</v>
      </c>
      <c r="E39" s="57">
        <v>127</v>
      </c>
      <c r="F39" s="41">
        <v>4445</v>
      </c>
    </row>
    <row r="40" spans="2:6" x14ac:dyDescent="0.25">
      <c r="B40" s="33">
        <v>42231</v>
      </c>
      <c r="C40" s="12" t="s">
        <v>290</v>
      </c>
      <c r="D40" s="34" t="s">
        <v>170</v>
      </c>
      <c r="E40" s="57">
        <f>138.4+255.4+254.4</f>
        <v>648.20000000000005</v>
      </c>
      <c r="F40" s="41">
        <v>22012.400000000001</v>
      </c>
    </row>
    <row r="41" spans="2:6" x14ac:dyDescent="0.25">
      <c r="B41" s="33"/>
      <c r="C41" s="12"/>
      <c r="D41" s="34"/>
      <c r="E41" s="59"/>
      <c r="F41" s="52"/>
    </row>
    <row r="42" spans="2:6" x14ac:dyDescent="0.25">
      <c r="B42" s="33"/>
      <c r="C42" s="12"/>
      <c r="D42" s="34"/>
      <c r="E42" s="59"/>
      <c r="F42" s="52"/>
    </row>
    <row r="43" spans="2:6" ht="15.75" thickBot="1" x14ac:dyDescent="0.3">
      <c r="B43" s="33"/>
      <c r="C43" s="12"/>
      <c r="D43" s="34"/>
      <c r="E43" s="58"/>
      <c r="F43" s="45"/>
    </row>
    <row r="44" spans="2:6" ht="15.75" thickBot="1" x14ac:dyDescent="0.3">
      <c r="B44" s="16"/>
      <c r="C44" s="17"/>
      <c r="D44" s="18"/>
      <c r="E44" s="44">
        <v>0</v>
      </c>
      <c r="F44" s="43">
        <f>SUM(F3:F43)</f>
        <v>353676.85000000009</v>
      </c>
    </row>
    <row r="45" spans="2:6" ht="19.5" thickBot="1" x14ac:dyDescent="0.35">
      <c r="B45" s="19"/>
      <c r="C45" s="20"/>
      <c r="D45" s="23" t="s">
        <v>3</v>
      </c>
      <c r="E45" s="25">
        <f>SUM(E3:E44)</f>
        <v>11311.52</v>
      </c>
    </row>
    <row r="46" spans="2:6" x14ac:dyDescent="0.25">
      <c r="B46" s="19"/>
      <c r="C46" s="20"/>
      <c r="D46" s="21"/>
      <c r="E46" s="22"/>
    </row>
    <row r="47" spans="2:6" ht="21" x14ac:dyDescent="0.35">
      <c r="B47" s="40"/>
      <c r="C47" s="27" t="s">
        <v>18</v>
      </c>
      <c r="D47" s="26">
        <f>E45*0.2</f>
        <v>2262.3040000000001</v>
      </c>
    </row>
  </sheetData>
  <mergeCells count="1">
    <mergeCell ref="B1:C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F49"/>
  <sheetViews>
    <sheetView topLeftCell="A19" workbookViewId="0">
      <selection activeCell="D22" sqref="D2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9">
        <v>42243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42233</v>
      </c>
      <c r="C3" s="49" t="s">
        <v>291</v>
      </c>
      <c r="D3" s="50" t="s">
        <v>7</v>
      </c>
      <c r="E3" s="51">
        <v>616</v>
      </c>
      <c r="F3" s="52">
        <v>18480</v>
      </c>
    </row>
    <row r="4" spans="2:6" ht="15.75" x14ac:dyDescent="0.25">
      <c r="B4" s="53">
        <v>42233</v>
      </c>
      <c r="C4" s="54" t="s">
        <v>292</v>
      </c>
      <c r="D4" s="36" t="s">
        <v>5</v>
      </c>
      <c r="E4" s="55">
        <v>35.5</v>
      </c>
      <c r="F4" s="52">
        <v>1420</v>
      </c>
    </row>
    <row r="5" spans="2:6" ht="15.75" x14ac:dyDescent="0.25">
      <c r="B5" s="53">
        <v>42233</v>
      </c>
      <c r="C5" s="54" t="s">
        <v>293</v>
      </c>
      <c r="D5" s="36" t="s">
        <v>93</v>
      </c>
      <c r="E5" s="55">
        <f>268.4+203.6</f>
        <v>472</v>
      </c>
      <c r="F5" s="52">
        <v>15992.4</v>
      </c>
    </row>
    <row r="6" spans="2:6" ht="15.75" x14ac:dyDescent="0.25">
      <c r="B6" s="53">
        <v>42233</v>
      </c>
      <c r="C6" s="54" t="s">
        <v>294</v>
      </c>
      <c r="D6" s="36" t="s">
        <v>16</v>
      </c>
      <c r="E6" s="55">
        <v>63</v>
      </c>
      <c r="F6" s="52">
        <v>2457</v>
      </c>
    </row>
    <row r="7" spans="2:6" ht="15.75" x14ac:dyDescent="0.25">
      <c r="B7" s="53">
        <v>42233</v>
      </c>
      <c r="C7" s="54" t="s">
        <v>295</v>
      </c>
      <c r="D7" s="36" t="s">
        <v>4</v>
      </c>
      <c r="E7" s="55">
        <f>936.2+331.4</f>
        <v>1267.5999999999999</v>
      </c>
      <c r="F7" s="52">
        <v>38496.1</v>
      </c>
    </row>
    <row r="8" spans="2:6" ht="15.75" x14ac:dyDescent="0.25">
      <c r="B8" s="53">
        <v>42234</v>
      </c>
      <c r="C8" s="54" t="s">
        <v>296</v>
      </c>
      <c r="D8" s="36" t="s">
        <v>9</v>
      </c>
      <c r="E8" s="55">
        <v>256</v>
      </c>
      <c r="F8" s="52">
        <v>7680</v>
      </c>
    </row>
    <row r="9" spans="2:6" ht="15.75" x14ac:dyDescent="0.25">
      <c r="B9" s="53">
        <v>42234</v>
      </c>
      <c r="C9" s="54" t="s">
        <v>297</v>
      </c>
      <c r="D9" s="36" t="s">
        <v>5</v>
      </c>
      <c r="E9" s="55">
        <v>225.6</v>
      </c>
      <c r="F9" s="52">
        <v>6768</v>
      </c>
    </row>
    <row r="10" spans="2:6" ht="15.75" x14ac:dyDescent="0.25">
      <c r="B10" s="53">
        <v>42234</v>
      </c>
      <c r="C10" s="54" t="s">
        <v>298</v>
      </c>
      <c r="D10" s="36" t="s">
        <v>7</v>
      </c>
      <c r="E10" s="55">
        <v>324.8</v>
      </c>
      <c r="F10" s="52">
        <v>9744</v>
      </c>
    </row>
    <row r="11" spans="2:6" ht="15.75" x14ac:dyDescent="0.25">
      <c r="B11" s="53">
        <v>42234</v>
      </c>
      <c r="C11" s="54" t="s">
        <v>299</v>
      </c>
      <c r="D11" s="36" t="s">
        <v>93</v>
      </c>
      <c r="E11" s="55">
        <v>237.8</v>
      </c>
      <c r="F11" s="52">
        <v>7609.6</v>
      </c>
    </row>
    <row r="12" spans="2:6" ht="15.75" x14ac:dyDescent="0.25">
      <c r="B12" s="53">
        <v>42234</v>
      </c>
      <c r="C12" s="54" t="s">
        <v>300</v>
      </c>
      <c r="D12" s="36" t="s">
        <v>16</v>
      </c>
      <c r="E12" s="55">
        <v>27.6</v>
      </c>
      <c r="F12" s="52">
        <v>1269.5999999999999</v>
      </c>
    </row>
    <row r="13" spans="2:6" ht="15.75" x14ac:dyDescent="0.25">
      <c r="B13" s="53">
        <v>42235</v>
      </c>
      <c r="C13" s="54" t="s">
        <v>301</v>
      </c>
      <c r="D13" s="36" t="s">
        <v>11</v>
      </c>
      <c r="E13" s="55">
        <f>21.6+34.1</f>
        <v>55.7</v>
      </c>
      <c r="F13" s="52">
        <v>2361</v>
      </c>
    </row>
    <row r="14" spans="2:6" ht="15.75" x14ac:dyDescent="0.25">
      <c r="B14" s="53">
        <v>42235</v>
      </c>
      <c r="C14" s="54" t="s">
        <v>302</v>
      </c>
      <c r="D14" s="36" t="s">
        <v>10</v>
      </c>
      <c r="E14" s="55">
        <f>13.5+85</f>
        <v>98.5</v>
      </c>
      <c r="F14" s="52">
        <v>2806.5</v>
      </c>
    </row>
    <row r="15" spans="2:6" ht="15.75" x14ac:dyDescent="0.25">
      <c r="B15" s="53">
        <v>42235</v>
      </c>
      <c r="C15" s="54" t="s">
        <v>303</v>
      </c>
      <c r="D15" s="36" t="s">
        <v>8</v>
      </c>
      <c r="E15" s="55">
        <v>98.2</v>
      </c>
      <c r="F15" s="52">
        <v>2946</v>
      </c>
    </row>
    <row r="16" spans="2:6" ht="15.75" x14ac:dyDescent="0.25">
      <c r="B16" s="53">
        <v>42235</v>
      </c>
      <c r="C16" s="54" t="s">
        <v>304</v>
      </c>
      <c r="D16" s="36" t="s">
        <v>5</v>
      </c>
      <c r="E16" s="55">
        <v>260.8</v>
      </c>
      <c r="F16" s="52">
        <v>7824</v>
      </c>
    </row>
    <row r="17" spans="2:6" ht="15.75" x14ac:dyDescent="0.25">
      <c r="B17" s="53">
        <v>42235</v>
      </c>
      <c r="C17" s="54" t="s">
        <v>305</v>
      </c>
      <c r="D17" s="36" t="s">
        <v>7</v>
      </c>
      <c r="E17" s="55">
        <v>376.2</v>
      </c>
      <c r="F17" s="52">
        <v>11286</v>
      </c>
    </row>
    <row r="18" spans="2:6" ht="15.75" x14ac:dyDescent="0.25">
      <c r="B18" s="53">
        <v>42235</v>
      </c>
      <c r="C18" s="54" t="s">
        <v>306</v>
      </c>
      <c r="D18" s="36" t="s">
        <v>16</v>
      </c>
      <c r="E18" s="55">
        <v>61</v>
      </c>
      <c r="F18" s="52">
        <v>2379</v>
      </c>
    </row>
    <row r="19" spans="2:6" ht="15.75" x14ac:dyDescent="0.25">
      <c r="B19" s="53">
        <v>42235</v>
      </c>
      <c r="C19" s="54" t="s">
        <v>307</v>
      </c>
      <c r="D19" s="36" t="s">
        <v>93</v>
      </c>
      <c r="E19" s="55">
        <f>136.2+63.4</f>
        <v>199.6</v>
      </c>
      <c r="F19" s="52">
        <v>7606</v>
      </c>
    </row>
    <row r="20" spans="2:6" ht="15.75" x14ac:dyDescent="0.25">
      <c r="B20" s="53">
        <v>42235</v>
      </c>
      <c r="C20" s="54" t="s">
        <v>308</v>
      </c>
      <c r="D20" s="36" t="s">
        <v>16</v>
      </c>
      <c r="E20" s="55">
        <v>16.600000000000001</v>
      </c>
      <c r="F20" s="52">
        <v>1228.4000000000001</v>
      </c>
    </row>
    <row r="21" spans="2:6" ht="15.75" x14ac:dyDescent="0.25">
      <c r="B21" s="53">
        <v>42236</v>
      </c>
      <c r="C21" s="54" t="s">
        <v>309</v>
      </c>
      <c r="D21" s="36" t="s">
        <v>93</v>
      </c>
      <c r="E21" s="55">
        <v>154.4</v>
      </c>
      <c r="F21" s="52">
        <v>5018</v>
      </c>
    </row>
    <row r="22" spans="2:6" x14ac:dyDescent="0.25">
      <c r="B22" s="53">
        <v>42236</v>
      </c>
      <c r="C22" s="56" t="s">
        <v>310</v>
      </c>
      <c r="D22" s="36" t="s">
        <v>17</v>
      </c>
      <c r="E22" s="55">
        <v>157</v>
      </c>
      <c r="F22" s="52">
        <v>5102.5</v>
      </c>
    </row>
    <row r="23" spans="2:6" ht="15.75" x14ac:dyDescent="0.25">
      <c r="B23" s="53">
        <v>42236</v>
      </c>
      <c r="C23" s="54" t="s">
        <v>311</v>
      </c>
      <c r="D23" s="36" t="s">
        <v>10</v>
      </c>
      <c r="E23" s="55">
        <f>71.8+59.4</f>
        <v>131.19999999999999</v>
      </c>
      <c r="F23" s="52">
        <v>4470.6000000000004</v>
      </c>
    </row>
    <row r="24" spans="2:6" ht="15.75" x14ac:dyDescent="0.25">
      <c r="B24" s="53">
        <v>42236</v>
      </c>
      <c r="C24" s="54" t="s">
        <v>312</v>
      </c>
      <c r="D24" s="36" t="s">
        <v>5</v>
      </c>
      <c r="E24" s="55">
        <v>258.8</v>
      </c>
      <c r="F24" s="52">
        <v>7764</v>
      </c>
    </row>
    <row r="25" spans="2:6" ht="15.75" x14ac:dyDescent="0.25">
      <c r="B25" s="53">
        <v>42236</v>
      </c>
      <c r="C25" s="54" t="s">
        <v>313</v>
      </c>
      <c r="D25" s="36" t="s">
        <v>7</v>
      </c>
      <c r="E25" s="55">
        <v>316.8</v>
      </c>
      <c r="F25" s="52">
        <v>9504</v>
      </c>
    </row>
    <row r="26" spans="2:6" ht="15.75" x14ac:dyDescent="0.25">
      <c r="B26" s="53">
        <v>42237</v>
      </c>
      <c r="C26" s="54" t="s">
        <v>314</v>
      </c>
      <c r="D26" s="36" t="s">
        <v>16</v>
      </c>
      <c r="E26" s="55">
        <v>43.4</v>
      </c>
      <c r="F26" s="52">
        <v>1692.6</v>
      </c>
    </row>
    <row r="27" spans="2:6" ht="15.75" x14ac:dyDescent="0.25">
      <c r="B27" s="53">
        <v>42237</v>
      </c>
      <c r="C27" s="54" t="s">
        <v>315</v>
      </c>
      <c r="D27" s="36" t="s">
        <v>9</v>
      </c>
      <c r="E27" s="55">
        <f>211.2+16.4+515.9</f>
        <v>743.5</v>
      </c>
      <c r="F27" s="52">
        <v>22959.75</v>
      </c>
    </row>
    <row r="28" spans="2:6" ht="15.75" x14ac:dyDescent="0.25">
      <c r="B28" s="53">
        <v>42237</v>
      </c>
      <c r="C28" s="54" t="s">
        <v>316</v>
      </c>
      <c r="D28" s="36" t="s">
        <v>93</v>
      </c>
      <c r="E28" s="55">
        <v>214.2</v>
      </c>
      <c r="F28" s="52">
        <v>6961.5</v>
      </c>
    </row>
    <row r="29" spans="2:6" ht="15.75" x14ac:dyDescent="0.25">
      <c r="B29" s="53">
        <v>42237</v>
      </c>
      <c r="C29" s="54" t="s">
        <v>317</v>
      </c>
      <c r="D29" s="36" t="s">
        <v>7</v>
      </c>
      <c r="E29" s="55">
        <f>122+68.4+519.7</f>
        <v>710.1</v>
      </c>
      <c r="F29" s="52">
        <v>21115.45</v>
      </c>
    </row>
    <row r="30" spans="2:6" ht="15.75" x14ac:dyDescent="0.25">
      <c r="B30" s="53">
        <v>42237</v>
      </c>
      <c r="C30" s="54" t="s">
        <v>318</v>
      </c>
      <c r="D30" s="36" t="s">
        <v>17</v>
      </c>
      <c r="E30" s="55">
        <f>108.2+54.48+168.2+63.6</f>
        <v>394.48</v>
      </c>
      <c r="F30" s="52">
        <v>13828.32</v>
      </c>
    </row>
    <row r="31" spans="2:6" x14ac:dyDescent="0.25">
      <c r="B31" s="53">
        <v>42237</v>
      </c>
      <c r="C31" s="56" t="s">
        <v>319</v>
      </c>
      <c r="D31" s="36" t="s">
        <v>11</v>
      </c>
      <c r="E31" s="55">
        <f>14.2+8.3+83.7</f>
        <v>106.2</v>
      </c>
      <c r="F31" s="52">
        <v>3348.45</v>
      </c>
    </row>
    <row r="32" spans="2:6" ht="15.75" x14ac:dyDescent="0.25">
      <c r="B32" s="53">
        <v>42237</v>
      </c>
      <c r="C32" s="54" t="s">
        <v>320</v>
      </c>
      <c r="D32" s="36" t="s">
        <v>10</v>
      </c>
      <c r="E32" s="55">
        <f>27.24+10</f>
        <v>37.239999999999995</v>
      </c>
      <c r="F32" s="52">
        <v>2054.7600000000002</v>
      </c>
    </row>
    <row r="33" spans="2:6" x14ac:dyDescent="0.25">
      <c r="B33" s="53">
        <v>42238</v>
      </c>
      <c r="C33" s="56" t="s">
        <v>321</v>
      </c>
      <c r="D33" s="36" t="s">
        <v>17</v>
      </c>
      <c r="E33" s="55">
        <f>119.8+123.2</f>
        <v>243</v>
      </c>
      <c r="F33" s="52">
        <v>8756.5</v>
      </c>
    </row>
    <row r="34" spans="2:6" x14ac:dyDescent="0.25">
      <c r="B34" s="53">
        <v>42238</v>
      </c>
      <c r="C34" s="56" t="s">
        <v>322</v>
      </c>
      <c r="D34" s="36" t="s">
        <v>11</v>
      </c>
      <c r="E34" s="55">
        <v>215.8</v>
      </c>
      <c r="F34" s="52">
        <v>6797.7</v>
      </c>
    </row>
    <row r="35" spans="2:6" x14ac:dyDescent="0.25">
      <c r="B35" s="33">
        <v>42238</v>
      </c>
      <c r="C35" s="12" t="s">
        <v>323</v>
      </c>
      <c r="D35" s="34" t="s">
        <v>16</v>
      </c>
      <c r="E35" s="35">
        <f>27.6+77.8+80+42.8</f>
        <v>228.2</v>
      </c>
      <c r="F35" s="41">
        <v>5479.6</v>
      </c>
    </row>
    <row r="36" spans="2:6" x14ac:dyDescent="0.25">
      <c r="B36" s="33">
        <v>42238</v>
      </c>
      <c r="C36" s="12" t="s">
        <v>324</v>
      </c>
      <c r="D36" s="34" t="s">
        <v>7</v>
      </c>
      <c r="E36" s="35">
        <v>394.6</v>
      </c>
      <c r="F36" s="41">
        <v>12035.3</v>
      </c>
    </row>
    <row r="37" spans="2:6" x14ac:dyDescent="0.25">
      <c r="B37" s="33">
        <v>42238</v>
      </c>
      <c r="C37" s="12" t="s">
        <v>325</v>
      </c>
      <c r="D37" s="34" t="s">
        <v>5</v>
      </c>
      <c r="E37" s="57">
        <v>375</v>
      </c>
      <c r="F37" s="41">
        <v>11437.5</v>
      </c>
    </row>
    <row r="38" spans="2:6" x14ac:dyDescent="0.25">
      <c r="B38" s="33">
        <v>42238</v>
      </c>
      <c r="C38" s="12" t="s">
        <v>326</v>
      </c>
      <c r="D38" s="34" t="s">
        <v>4</v>
      </c>
      <c r="E38" s="57">
        <v>953.9</v>
      </c>
      <c r="F38" s="41">
        <v>30810.97</v>
      </c>
    </row>
    <row r="39" spans="2:6" x14ac:dyDescent="0.25">
      <c r="B39" s="33">
        <v>42238</v>
      </c>
      <c r="C39" s="60" t="s">
        <v>327</v>
      </c>
      <c r="D39" s="34" t="s">
        <v>9</v>
      </c>
      <c r="E39" s="57">
        <f>142+21.2</f>
        <v>163.19999999999999</v>
      </c>
      <c r="F39" s="41">
        <v>6998.4</v>
      </c>
    </row>
    <row r="40" spans="2:6" x14ac:dyDescent="0.25">
      <c r="B40" s="33">
        <v>42238</v>
      </c>
      <c r="C40" s="12" t="s">
        <v>328</v>
      </c>
      <c r="D40" s="34" t="s">
        <v>10</v>
      </c>
      <c r="E40" s="57">
        <v>59.8</v>
      </c>
      <c r="F40" s="41">
        <v>2870.4</v>
      </c>
    </row>
    <row r="41" spans="2:6" x14ac:dyDescent="0.25">
      <c r="B41" s="33">
        <v>42238</v>
      </c>
      <c r="C41" s="12" t="s">
        <v>329</v>
      </c>
      <c r="D41" s="34" t="s">
        <v>93</v>
      </c>
      <c r="E41" s="59">
        <f>75.2+137.8</f>
        <v>213</v>
      </c>
      <c r="F41" s="52">
        <v>6038.4</v>
      </c>
    </row>
    <row r="42" spans="2:6" x14ac:dyDescent="0.25">
      <c r="B42" s="33">
        <v>42238</v>
      </c>
      <c r="C42" s="56" t="s">
        <v>330</v>
      </c>
      <c r="D42" s="34" t="s">
        <v>4</v>
      </c>
      <c r="E42" s="59">
        <v>936.2</v>
      </c>
      <c r="F42" s="52">
        <v>30239.26</v>
      </c>
    </row>
    <row r="43" spans="2:6" x14ac:dyDescent="0.25">
      <c r="B43" s="33">
        <v>42238</v>
      </c>
      <c r="C43" s="12" t="s">
        <v>331</v>
      </c>
      <c r="D43" s="34" t="s">
        <v>4</v>
      </c>
      <c r="E43" s="59">
        <v>22.9</v>
      </c>
      <c r="F43" s="52">
        <v>503.8</v>
      </c>
    </row>
    <row r="44" spans="2:6" x14ac:dyDescent="0.25">
      <c r="B44" s="33">
        <v>42239</v>
      </c>
      <c r="C44" s="12" t="s">
        <v>332</v>
      </c>
      <c r="D44" s="34" t="s">
        <v>16</v>
      </c>
      <c r="E44" s="59">
        <v>193.6</v>
      </c>
      <c r="F44" s="52">
        <v>6485.6</v>
      </c>
    </row>
    <row r="45" spans="2:6" ht="15.75" thickBot="1" x14ac:dyDescent="0.3">
      <c r="B45" s="33">
        <v>42239</v>
      </c>
      <c r="C45" s="12" t="s">
        <v>333</v>
      </c>
      <c r="D45" s="34" t="s">
        <v>7</v>
      </c>
      <c r="E45" s="58">
        <v>348.8</v>
      </c>
      <c r="F45" s="45">
        <v>10638.4</v>
      </c>
    </row>
    <row r="46" spans="2:6" ht="15.75" thickBot="1" x14ac:dyDescent="0.3">
      <c r="B46" s="16"/>
      <c r="C46" s="17"/>
      <c r="D46" s="18"/>
      <c r="E46" s="44">
        <v>0</v>
      </c>
      <c r="F46" s="43">
        <f>SUM(F3:F45)</f>
        <v>391265.36000000004</v>
      </c>
    </row>
    <row r="47" spans="2:6" ht="19.5" thickBot="1" x14ac:dyDescent="0.35">
      <c r="B47" s="19"/>
      <c r="C47" s="20"/>
      <c r="D47" s="23" t="s">
        <v>3</v>
      </c>
      <c r="E47" s="25">
        <f>SUM(E3:E46)</f>
        <v>12307.82</v>
      </c>
    </row>
    <row r="48" spans="2:6" x14ac:dyDescent="0.25">
      <c r="B48" s="19"/>
      <c r="C48" s="20"/>
      <c r="D48" s="21"/>
      <c r="E48" s="22"/>
    </row>
    <row r="49" spans="2:4" customFormat="1" ht="21" x14ac:dyDescent="0.35">
      <c r="B49" s="40"/>
      <c r="C49" s="27" t="s">
        <v>18</v>
      </c>
      <c r="D49" s="26">
        <f>E47*0.2</f>
        <v>2461.5640000000003</v>
      </c>
    </row>
  </sheetData>
  <mergeCells count="1">
    <mergeCell ref="B1:C1"/>
  </mergeCells>
  <pageMargins left="0.70866141732283472" right="0.70866141732283472" top="0.15748031496062992" bottom="0.35433070866141736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49"/>
  <sheetViews>
    <sheetView topLeftCell="A28" workbookViewId="0">
      <selection activeCell="F58" sqref="F5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9">
        <v>42249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42233</v>
      </c>
      <c r="C3" s="49" t="s">
        <v>334</v>
      </c>
      <c r="D3" s="50" t="s">
        <v>9</v>
      </c>
      <c r="E3" s="51">
        <v>261.60000000000002</v>
      </c>
      <c r="F3" s="52">
        <v>7848</v>
      </c>
    </row>
    <row r="4" spans="2:6" ht="15.75" x14ac:dyDescent="0.25">
      <c r="B4" s="53">
        <v>42233</v>
      </c>
      <c r="C4" s="54" t="s">
        <v>335</v>
      </c>
      <c r="D4" s="36" t="s">
        <v>11</v>
      </c>
      <c r="E4" s="55">
        <f>12+92.7</f>
        <v>104.7</v>
      </c>
      <c r="F4" s="52">
        <v>3357</v>
      </c>
    </row>
    <row r="5" spans="2:6" ht="15.75" x14ac:dyDescent="0.25">
      <c r="B5" s="53">
        <v>42233</v>
      </c>
      <c r="C5" s="54" t="s">
        <v>336</v>
      </c>
      <c r="D5" s="36" t="s">
        <v>11</v>
      </c>
      <c r="E5" s="55">
        <v>64.400000000000006</v>
      </c>
      <c r="F5" s="52">
        <v>2511.6</v>
      </c>
    </row>
    <row r="6" spans="2:6" ht="15.75" x14ac:dyDescent="0.25">
      <c r="B6" s="53">
        <v>42233</v>
      </c>
      <c r="C6" s="54" t="s">
        <v>337</v>
      </c>
      <c r="D6" s="36" t="s">
        <v>4</v>
      </c>
      <c r="E6" s="55">
        <f>16.8+57.8+1</f>
        <v>75.599999999999994</v>
      </c>
      <c r="F6" s="52">
        <v>3864</v>
      </c>
    </row>
    <row r="7" spans="2:6" ht="15.75" x14ac:dyDescent="0.25">
      <c r="B7" s="53">
        <v>42240</v>
      </c>
      <c r="C7" s="54" t="s">
        <v>338</v>
      </c>
      <c r="D7" s="36" t="s">
        <v>11</v>
      </c>
      <c r="E7" s="55">
        <v>63.4</v>
      </c>
      <c r="F7" s="52">
        <v>2536</v>
      </c>
    </row>
    <row r="8" spans="2:6" ht="15.75" x14ac:dyDescent="0.25">
      <c r="B8" s="53">
        <v>42240</v>
      </c>
      <c r="C8" s="54" t="s">
        <v>339</v>
      </c>
      <c r="D8" s="36" t="s">
        <v>9</v>
      </c>
      <c r="E8" s="55">
        <v>126.4</v>
      </c>
      <c r="F8" s="52">
        <v>4234.3999999999996</v>
      </c>
    </row>
    <row r="9" spans="2:6" ht="15.75" x14ac:dyDescent="0.25">
      <c r="B9" s="53">
        <v>42240</v>
      </c>
      <c r="C9" s="54" t="s">
        <v>340</v>
      </c>
      <c r="D9" s="36" t="s">
        <v>16</v>
      </c>
      <c r="E9" s="55">
        <v>196.8</v>
      </c>
      <c r="F9" s="52">
        <v>6592.8</v>
      </c>
    </row>
    <row r="10" spans="2:6" ht="15.75" x14ac:dyDescent="0.25">
      <c r="B10" s="53">
        <v>42241</v>
      </c>
      <c r="C10" s="54" t="s">
        <v>341</v>
      </c>
      <c r="D10" s="36" t="s">
        <v>5</v>
      </c>
      <c r="E10" s="55">
        <v>199</v>
      </c>
      <c r="F10" s="52">
        <v>6169</v>
      </c>
    </row>
    <row r="11" spans="2:6" ht="15.75" x14ac:dyDescent="0.25">
      <c r="B11" s="53">
        <v>42242</v>
      </c>
      <c r="C11" s="54" t="s">
        <v>342</v>
      </c>
      <c r="D11" s="36" t="s">
        <v>7</v>
      </c>
      <c r="E11" s="55">
        <v>436.2</v>
      </c>
      <c r="F11" s="52">
        <v>13522.2</v>
      </c>
    </row>
    <row r="12" spans="2:6" ht="15.75" x14ac:dyDescent="0.25">
      <c r="B12" s="53">
        <v>42243</v>
      </c>
      <c r="C12" s="54" t="s">
        <v>343</v>
      </c>
      <c r="D12" s="36" t="s">
        <v>5</v>
      </c>
      <c r="E12" s="55">
        <v>44.8</v>
      </c>
      <c r="F12" s="52">
        <v>1836.8</v>
      </c>
    </row>
    <row r="13" spans="2:6" ht="15.75" x14ac:dyDescent="0.25">
      <c r="B13" s="53">
        <v>42243</v>
      </c>
      <c r="C13" s="54" t="s">
        <v>344</v>
      </c>
      <c r="D13" s="36" t="s">
        <v>9</v>
      </c>
      <c r="E13" s="55">
        <f>22.1+254.2</f>
        <v>276.3</v>
      </c>
      <c r="F13" s="52">
        <v>8366.4</v>
      </c>
    </row>
    <row r="14" spans="2:6" ht="15.75" x14ac:dyDescent="0.25">
      <c r="B14" s="53">
        <v>42243</v>
      </c>
      <c r="C14" s="54" t="s">
        <v>345</v>
      </c>
      <c r="D14" s="36" t="s">
        <v>17</v>
      </c>
      <c r="E14" s="55">
        <f>234.2+62.4+75</f>
        <v>371.59999999999997</v>
      </c>
      <c r="F14" s="52">
        <v>13018</v>
      </c>
    </row>
    <row r="15" spans="2:6" ht="15.75" x14ac:dyDescent="0.25">
      <c r="B15" s="53">
        <v>42243</v>
      </c>
      <c r="C15" s="54" t="s">
        <v>346</v>
      </c>
      <c r="D15" s="36" t="s">
        <v>6</v>
      </c>
      <c r="E15" s="55">
        <f>262.6+327</f>
        <v>589.6</v>
      </c>
      <c r="F15" s="52">
        <v>20641</v>
      </c>
    </row>
    <row r="16" spans="2:6" ht="15.75" x14ac:dyDescent="0.25">
      <c r="B16" s="53">
        <v>42243</v>
      </c>
      <c r="C16" s="54" t="s">
        <v>347</v>
      </c>
      <c r="D16" s="36" t="s">
        <v>16</v>
      </c>
      <c r="E16" s="55">
        <f>35.8+43</f>
        <v>78.8</v>
      </c>
      <c r="F16" s="52">
        <v>2910.25</v>
      </c>
    </row>
    <row r="17" spans="2:6" ht="15.75" x14ac:dyDescent="0.25">
      <c r="B17" s="53">
        <v>42243</v>
      </c>
      <c r="C17" s="54" t="s">
        <v>348</v>
      </c>
      <c r="D17" s="36" t="s">
        <v>11</v>
      </c>
      <c r="E17" s="55">
        <f>44+31.4+70</f>
        <v>145.4</v>
      </c>
      <c r="F17" s="52">
        <v>6122.6</v>
      </c>
    </row>
    <row r="18" spans="2:6" ht="15.75" x14ac:dyDescent="0.25">
      <c r="B18" s="53">
        <v>42243</v>
      </c>
      <c r="C18" s="54" t="s">
        <v>349</v>
      </c>
      <c r="D18" s="36" t="s">
        <v>7</v>
      </c>
      <c r="E18" s="55">
        <v>316.39999999999998</v>
      </c>
      <c r="F18" s="52">
        <v>9808.4</v>
      </c>
    </row>
    <row r="19" spans="2:6" ht="15.75" x14ac:dyDescent="0.25">
      <c r="B19" s="53">
        <v>42243</v>
      </c>
      <c r="C19" s="54" t="s">
        <v>350</v>
      </c>
      <c r="D19" s="36" t="s">
        <v>10</v>
      </c>
      <c r="E19" s="55">
        <v>14.4</v>
      </c>
      <c r="F19" s="52">
        <v>892.8</v>
      </c>
    </row>
    <row r="20" spans="2:6" ht="15.75" x14ac:dyDescent="0.25">
      <c r="B20" s="53">
        <v>42243</v>
      </c>
      <c r="C20" s="54" t="s">
        <v>351</v>
      </c>
      <c r="D20" s="36" t="s">
        <v>16</v>
      </c>
      <c r="E20" s="55">
        <v>95</v>
      </c>
      <c r="F20" s="52">
        <v>4560</v>
      </c>
    </row>
    <row r="21" spans="2:6" ht="15.75" x14ac:dyDescent="0.25">
      <c r="B21" s="53">
        <v>42243</v>
      </c>
      <c r="C21" s="54" t="s">
        <v>352</v>
      </c>
      <c r="D21" s="36" t="s">
        <v>4</v>
      </c>
      <c r="E21" s="55">
        <f>926.53+20.3</f>
        <v>946.82999999999993</v>
      </c>
      <c r="F21" s="52">
        <v>31948.62</v>
      </c>
    </row>
    <row r="22" spans="2:6" x14ac:dyDescent="0.25">
      <c r="B22" s="53">
        <v>42243</v>
      </c>
      <c r="C22" s="56" t="s">
        <v>353</v>
      </c>
      <c r="D22" s="36" t="s">
        <v>17</v>
      </c>
      <c r="E22" s="55">
        <v>1</v>
      </c>
      <c r="F22" s="52">
        <v>175</v>
      </c>
    </row>
    <row r="23" spans="2:6" ht="15.75" x14ac:dyDescent="0.25">
      <c r="B23" s="53">
        <v>42244</v>
      </c>
      <c r="C23" s="54" t="s">
        <v>354</v>
      </c>
      <c r="D23" s="36" t="s">
        <v>16</v>
      </c>
      <c r="E23" s="55">
        <f>160+86.4</f>
        <v>246.4</v>
      </c>
      <c r="F23" s="52">
        <v>8321.6</v>
      </c>
    </row>
    <row r="24" spans="2:6" ht="15.75" x14ac:dyDescent="0.25">
      <c r="B24" s="53">
        <v>42244</v>
      </c>
      <c r="C24" s="54" t="s">
        <v>355</v>
      </c>
      <c r="D24" s="36" t="s">
        <v>6</v>
      </c>
      <c r="E24" s="55">
        <f>96.6+117.6</f>
        <v>214.2</v>
      </c>
      <c r="F24" s="52">
        <v>8085</v>
      </c>
    </row>
    <row r="25" spans="2:6" ht="15.75" x14ac:dyDescent="0.25">
      <c r="B25" s="53">
        <v>42244</v>
      </c>
      <c r="C25" s="54" t="s">
        <v>356</v>
      </c>
      <c r="D25" s="36" t="s">
        <v>11</v>
      </c>
      <c r="E25" s="55">
        <f>18.5+6.5</f>
        <v>25</v>
      </c>
      <c r="F25" s="52">
        <v>1687.5</v>
      </c>
    </row>
    <row r="26" spans="2:6" ht="15.75" x14ac:dyDescent="0.25">
      <c r="B26" s="53">
        <v>42244</v>
      </c>
      <c r="C26" s="54" t="s">
        <v>357</v>
      </c>
      <c r="D26" s="36" t="s">
        <v>7</v>
      </c>
      <c r="E26" s="55">
        <f>53.6+370.2</f>
        <v>423.8</v>
      </c>
      <c r="F26" s="52">
        <v>13805.3</v>
      </c>
    </row>
    <row r="27" spans="2:6" ht="15.75" x14ac:dyDescent="0.25">
      <c r="B27" s="53">
        <v>42244</v>
      </c>
      <c r="C27" s="54" t="s">
        <v>358</v>
      </c>
      <c r="D27" s="36" t="s">
        <v>10</v>
      </c>
      <c r="E27" s="55">
        <v>69.400000000000006</v>
      </c>
      <c r="F27" s="52">
        <v>2914.8</v>
      </c>
    </row>
    <row r="28" spans="2:6" ht="15.75" x14ac:dyDescent="0.25">
      <c r="B28" s="53">
        <v>42245</v>
      </c>
      <c r="C28" s="54" t="s">
        <v>359</v>
      </c>
      <c r="D28" s="36" t="s">
        <v>9</v>
      </c>
      <c r="E28" s="55">
        <f>45.9+614.1+108.8</f>
        <v>768.8</v>
      </c>
      <c r="F28" s="52">
        <v>24161.95</v>
      </c>
    </row>
    <row r="29" spans="2:6" ht="15.75" x14ac:dyDescent="0.25">
      <c r="B29" s="53">
        <v>42245</v>
      </c>
      <c r="C29" s="54" t="s">
        <v>360</v>
      </c>
      <c r="D29" s="36" t="s">
        <v>11</v>
      </c>
      <c r="E29" s="55">
        <f>255.4+10.1+12.7</f>
        <v>278.2</v>
      </c>
      <c r="F29" s="52">
        <v>8813.4</v>
      </c>
    </row>
    <row r="30" spans="2:6" ht="15.75" x14ac:dyDescent="0.25">
      <c r="B30" s="53">
        <v>42245</v>
      </c>
      <c r="C30" s="54" t="s">
        <v>361</v>
      </c>
      <c r="D30" s="36" t="s">
        <v>5</v>
      </c>
      <c r="E30" s="55">
        <v>585.6</v>
      </c>
      <c r="F30" s="52">
        <v>18446.400000000001</v>
      </c>
    </row>
    <row r="31" spans="2:6" x14ac:dyDescent="0.25">
      <c r="B31" s="53">
        <v>42245</v>
      </c>
      <c r="C31" s="56" t="s">
        <v>362</v>
      </c>
      <c r="D31" s="36" t="s">
        <v>7</v>
      </c>
      <c r="E31" s="55">
        <v>264.10000000000002</v>
      </c>
      <c r="F31" s="52">
        <v>8319.15</v>
      </c>
    </row>
    <row r="32" spans="2:6" x14ac:dyDescent="0.25">
      <c r="B32" s="33">
        <v>42245</v>
      </c>
      <c r="C32" s="56" t="s">
        <v>373</v>
      </c>
      <c r="D32" s="34" t="s">
        <v>6</v>
      </c>
      <c r="E32" s="55">
        <f>124.4+99</f>
        <v>223.4</v>
      </c>
      <c r="F32" s="52">
        <v>8441</v>
      </c>
    </row>
    <row r="33" spans="2:6" ht="15.75" x14ac:dyDescent="0.25">
      <c r="B33" s="53">
        <v>42245</v>
      </c>
      <c r="C33" s="54" t="s">
        <v>363</v>
      </c>
      <c r="D33" s="36" t="s">
        <v>16</v>
      </c>
      <c r="E33" s="55">
        <f>6.9+27.7+68.8+61.4+58</f>
        <v>222.8</v>
      </c>
      <c r="F33" s="52">
        <v>10300.6</v>
      </c>
    </row>
    <row r="34" spans="2:6" x14ac:dyDescent="0.25">
      <c r="B34" s="53">
        <v>42245</v>
      </c>
      <c r="C34" s="56" t="s">
        <v>364</v>
      </c>
      <c r="D34" s="36" t="s">
        <v>10</v>
      </c>
      <c r="E34" s="55">
        <f>31.2+8.9</f>
        <v>40.1</v>
      </c>
      <c r="F34" s="52">
        <v>3189</v>
      </c>
    </row>
    <row r="35" spans="2:6" x14ac:dyDescent="0.25">
      <c r="B35" s="53">
        <v>42245</v>
      </c>
      <c r="C35" s="56" t="s">
        <v>365</v>
      </c>
      <c r="D35" s="36" t="s">
        <v>7</v>
      </c>
      <c r="E35" s="55">
        <v>632.70000000000005</v>
      </c>
      <c r="F35" s="52">
        <v>19930.05</v>
      </c>
    </row>
    <row r="36" spans="2:6" x14ac:dyDescent="0.25">
      <c r="B36" s="33">
        <v>42245</v>
      </c>
      <c r="C36" s="12" t="s">
        <v>366</v>
      </c>
      <c r="D36" s="34" t="s">
        <v>4</v>
      </c>
      <c r="E36" s="35">
        <f>917.2+71.2+124.2+4.7+281.4</f>
        <v>1398.7000000000003</v>
      </c>
      <c r="F36" s="41">
        <v>47203.5</v>
      </c>
    </row>
    <row r="37" spans="2:6" x14ac:dyDescent="0.25">
      <c r="B37" s="33">
        <v>42245</v>
      </c>
      <c r="C37" s="12" t="s">
        <v>367</v>
      </c>
      <c r="D37" s="34" t="s">
        <v>10</v>
      </c>
      <c r="E37" s="57">
        <v>24.6</v>
      </c>
      <c r="F37" s="41">
        <v>1033.2</v>
      </c>
    </row>
    <row r="38" spans="2:6" x14ac:dyDescent="0.25">
      <c r="B38" s="33">
        <v>42245</v>
      </c>
      <c r="C38" s="12" t="s">
        <v>368</v>
      </c>
      <c r="D38" s="34" t="s">
        <v>7</v>
      </c>
      <c r="E38" s="57">
        <v>188.8</v>
      </c>
      <c r="F38" s="41">
        <v>5947.2</v>
      </c>
    </row>
    <row r="39" spans="2:6" x14ac:dyDescent="0.25">
      <c r="B39" s="33">
        <v>42247</v>
      </c>
      <c r="C39" s="12" t="s">
        <v>369</v>
      </c>
      <c r="D39" s="34" t="s">
        <v>4</v>
      </c>
      <c r="E39" s="57">
        <f>42.8+64.2+61.9</f>
        <v>168.9</v>
      </c>
      <c r="F39" s="41">
        <v>5320.8</v>
      </c>
    </row>
    <row r="40" spans="2:6" x14ac:dyDescent="0.25">
      <c r="B40" s="33">
        <v>42247</v>
      </c>
      <c r="C40" s="56" t="s">
        <v>370</v>
      </c>
      <c r="D40" s="34" t="s">
        <v>16</v>
      </c>
      <c r="E40" s="57">
        <v>197.4</v>
      </c>
      <c r="F40" s="41">
        <v>6810.3</v>
      </c>
    </row>
    <row r="41" spans="2:6" x14ac:dyDescent="0.25">
      <c r="B41" s="33">
        <v>42247</v>
      </c>
      <c r="C41" s="12" t="s">
        <v>371</v>
      </c>
      <c r="D41" s="34" t="s">
        <v>6</v>
      </c>
      <c r="E41" s="57">
        <f>121.8+168.2+403.7</f>
        <v>693.7</v>
      </c>
      <c r="F41" s="41">
        <v>23646.65</v>
      </c>
    </row>
    <row r="42" spans="2:6" x14ac:dyDescent="0.25">
      <c r="B42" s="33">
        <v>42247</v>
      </c>
      <c r="C42" s="12" t="s">
        <v>372</v>
      </c>
      <c r="D42" s="34" t="s">
        <v>5</v>
      </c>
      <c r="E42" s="59">
        <v>416.5</v>
      </c>
      <c r="F42" s="52">
        <v>13119.75</v>
      </c>
    </row>
    <row r="43" spans="2:6" x14ac:dyDescent="0.25">
      <c r="B43" s="33">
        <v>42247</v>
      </c>
      <c r="C43" s="12" t="s">
        <v>374</v>
      </c>
      <c r="D43" s="34" t="s">
        <v>8</v>
      </c>
      <c r="E43" s="59">
        <f>42.4+53.2</f>
        <v>95.6</v>
      </c>
      <c r="F43" s="52">
        <v>3527.2</v>
      </c>
    </row>
    <row r="44" spans="2:6" x14ac:dyDescent="0.25">
      <c r="B44" s="33"/>
      <c r="C44" s="12"/>
      <c r="D44" s="34"/>
      <c r="E44" s="59"/>
      <c r="F44" s="52"/>
    </row>
    <row r="45" spans="2:6" ht="15.75" thickBot="1" x14ac:dyDescent="0.3">
      <c r="B45" s="33"/>
      <c r="C45" s="12"/>
      <c r="D45" s="34"/>
      <c r="E45" s="58"/>
      <c r="F45" s="45"/>
    </row>
    <row r="46" spans="2:6" ht="15.75" thickBot="1" x14ac:dyDescent="0.3">
      <c r="B46" s="16"/>
      <c r="C46" s="17"/>
      <c r="D46" s="18"/>
      <c r="E46" s="44">
        <v>0</v>
      </c>
      <c r="F46" s="43">
        <f>SUM(F3:F45)</f>
        <v>393939.22000000003</v>
      </c>
    </row>
    <row r="47" spans="2:6" ht="19.5" thickBot="1" x14ac:dyDescent="0.35">
      <c r="B47" s="19"/>
      <c r="C47" s="20"/>
      <c r="D47" s="23" t="s">
        <v>3</v>
      </c>
      <c r="E47" s="25">
        <f>SUM(E3:E46)</f>
        <v>11586.930000000002</v>
      </c>
    </row>
    <row r="48" spans="2:6" x14ac:dyDescent="0.25">
      <c r="B48" s="19"/>
      <c r="C48" s="20"/>
      <c r="D48" s="21"/>
      <c r="E48" s="22"/>
    </row>
    <row r="49" spans="2:4" customFormat="1" ht="21" x14ac:dyDescent="0.35">
      <c r="B49" s="40"/>
      <c r="C49" s="27" t="s">
        <v>18</v>
      </c>
      <c r="D49" s="26">
        <f>E47*0.2</f>
        <v>2317.3860000000004</v>
      </c>
    </row>
  </sheetData>
  <sortState ref="B3:F43">
    <sortCondition ref="C3:C43"/>
  </sortState>
  <mergeCells count="1">
    <mergeCell ref="B1:C1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G55"/>
  <sheetViews>
    <sheetView topLeftCell="A10" workbookViewId="0">
      <selection activeCell="C18" sqref="C1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9">
        <v>42257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42240</v>
      </c>
      <c r="C3" s="49" t="s">
        <v>375</v>
      </c>
      <c r="D3" s="50" t="s">
        <v>5</v>
      </c>
      <c r="E3" s="51">
        <v>355.8</v>
      </c>
      <c r="F3" s="52">
        <v>11029.8</v>
      </c>
    </row>
    <row r="4" spans="2:6" ht="15.75" x14ac:dyDescent="0.25">
      <c r="B4" s="53">
        <v>42240</v>
      </c>
      <c r="C4" s="54" t="s">
        <v>376</v>
      </c>
      <c r="D4" s="36" t="s">
        <v>7</v>
      </c>
      <c r="E4" s="55">
        <v>294.60000000000002</v>
      </c>
      <c r="F4" s="52">
        <v>9132.6</v>
      </c>
    </row>
    <row r="5" spans="2:6" ht="15.75" x14ac:dyDescent="0.25">
      <c r="B5" s="53">
        <v>42240</v>
      </c>
      <c r="C5" s="54" t="s">
        <v>377</v>
      </c>
      <c r="D5" s="36" t="s">
        <v>17</v>
      </c>
      <c r="E5" s="55">
        <f>175.6+64.2</f>
        <v>239.8</v>
      </c>
      <c r="F5" s="52">
        <v>8450.6</v>
      </c>
    </row>
    <row r="6" spans="2:6" ht="15.75" x14ac:dyDescent="0.25">
      <c r="B6" s="53">
        <v>42241</v>
      </c>
      <c r="C6" s="54" t="s">
        <v>378</v>
      </c>
      <c r="D6" s="36" t="s">
        <v>16</v>
      </c>
      <c r="E6" s="55">
        <f>35.9+67</f>
        <v>102.9</v>
      </c>
      <c r="F6" s="52">
        <v>3846.75</v>
      </c>
    </row>
    <row r="7" spans="2:6" ht="15.75" x14ac:dyDescent="0.25">
      <c r="B7" s="53">
        <v>42241</v>
      </c>
      <c r="C7" s="54" t="s">
        <v>379</v>
      </c>
      <c r="D7" s="36" t="s">
        <v>7</v>
      </c>
      <c r="E7" s="55">
        <v>272.39999999999998</v>
      </c>
      <c r="F7" s="52">
        <v>8444.4</v>
      </c>
    </row>
    <row r="8" spans="2:6" ht="15.75" x14ac:dyDescent="0.25">
      <c r="B8" s="53">
        <v>42241</v>
      </c>
      <c r="C8" s="54" t="s">
        <v>380</v>
      </c>
      <c r="D8" s="36" t="s">
        <v>5</v>
      </c>
      <c r="E8" s="55">
        <v>53.4</v>
      </c>
      <c r="F8" s="52">
        <v>2616.6</v>
      </c>
    </row>
    <row r="9" spans="2:6" ht="15.75" x14ac:dyDescent="0.25">
      <c r="B9" s="53">
        <v>42241</v>
      </c>
      <c r="C9" s="54" t="s">
        <v>381</v>
      </c>
      <c r="D9" s="36" t="s">
        <v>11</v>
      </c>
      <c r="E9" s="55">
        <v>27.4</v>
      </c>
      <c r="F9" s="52">
        <v>1233</v>
      </c>
    </row>
    <row r="10" spans="2:6" ht="15.75" x14ac:dyDescent="0.25">
      <c r="B10" s="53">
        <v>42242</v>
      </c>
      <c r="C10" s="54" t="s">
        <v>382</v>
      </c>
      <c r="D10" s="36" t="s">
        <v>17</v>
      </c>
      <c r="E10" s="55">
        <v>150</v>
      </c>
      <c r="F10" s="52">
        <v>5250</v>
      </c>
    </row>
    <row r="11" spans="2:6" ht="15.75" x14ac:dyDescent="0.25">
      <c r="B11" s="53">
        <v>42242</v>
      </c>
      <c r="C11" s="54" t="s">
        <v>383</v>
      </c>
      <c r="D11" s="36" t="s">
        <v>6</v>
      </c>
      <c r="E11" s="55">
        <v>153</v>
      </c>
      <c r="F11" s="52">
        <v>5355</v>
      </c>
    </row>
    <row r="12" spans="2:6" ht="15.75" x14ac:dyDescent="0.25">
      <c r="B12" s="53">
        <v>42242</v>
      </c>
      <c r="C12" s="54" t="s">
        <v>384</v>
      </c>
      <c r="D12" s="36" t="s">
        <v>11</v>
      </c>
      <c r="E12" s="55">
        <f>26.2+7.4</f>
        <v>33.6</v>
      </c>
      <c r="F12" s="52">
        <v>1368</v>
      </c>
    </row>
    <row r="13" spans="2:6" ht="15.75" x14ac:dyDescent="0.25">
      <c r="B13" s="53">
        <v>42242</v>
      </c>
      <c r="C13" s="54" t="s">
        <v>385</v>
      </c>
      <c r="D13" s="36" t="s">
        <v>8</v>
      </c>
      <c r="E13" s="55">
        <v>36.5</v>
      </c>
      <c r="F13" s="52">
        <v>1533</v>
      </c>
    </row>
    <row r="14" spans="2:6" ht="15.75" x14ac:dyDescent="0.25">
      <c r="B14" s="53">
        <v>42242</v>
      </c>
      <c r="C14" s="54" t="s">
        <v>386</v>
      </c>
      <c r="D14" s="36" t="s">
        <v>10</v>
      </c>
      <c r="E14" s="55">
        <v>90.8</v>
      </c>
      <c r="F14" s="52">
        <v>2814.8</v>
      </c>
    </row>
    <row r="15" spans="2:6" ht="15.75" x14ac:dyDescent="0.25">
      <c r="B15" s="53">
        <v>42242</v>
      </c>
      <c r="C15" s="54" t="s">
        <v>387</v>
      </c>
      <c r="D15" s="36" t="s">
        <v>16</v>
      </c>
      <c r="E15" s="55">
        <v>94</v>
      </c>
      <c r="F15" s="52">
        <v>2914</v>
      </c>
    </row>
    <row r="16" spans="2:6" ht="15.75" x14ac:dyDescent="0.25">
      <c r="B16" s="53">
        <v>42245</v>
      </c>
      <c r="C16" s="54" t="s">
        <v>389</v>
      </c>
      <c r="D16" s="36" t="s">
        <v>8</v>
      </c>
      <c r="E16" s="55">
        <v>15.4</v>
      </c>
      <c r="F16" s="52">
        <v>754.6</v>
      </c>
    </row>
    <row r="17" spans="2:6" ht="15.75" x14ac:dyDescent="0.25">
      <c r="B17" s="53">
        <v>42245</v>
      </c>
      <c r="C17" s="54" t="s">
        <v>388</v>
      </c>
      <c r="D17" s="36" t="s">
        <v>17</v>
      </c>
      <c r="E17" s="55">
        <v>157.19999999999999</v>
      </c>
      <c r="F17" s="52">
        <v>5423.4</v>
      </c>
    </row>
    <row r="18" spans="2:6" ht="15.75" x14ac:dyDescent="0.25">
      <c r="B18" s="53">
        <v>42247</v>
      </c>
      <c r="C18" s="54" t="s">
        <v>390</v>
      </c>
      <c r="D18" s="36" t="s">
        <v>8</v>
      </c>
      <c r="E18" s="55">
        <v>164.4</v>
      </c>
      <c r="F18" s="52">
        <v>5178.6000000000004</v>
      </c>
    </row>
    <row r="19" spans="2:6" ht="15.75" x14ac:dyDescent="0.25">
      <c r="B19" s="53">
        <v>42247</v>
      </c>
      <c r="C19" s="54" t="s">
        <v>391</v>
      </c>
      <c r="D19" s="36" t="s">
        <v>16</v>
      </c>
      <c r="E19" s="55">
        <f>13.7+54.2</f>
        <v>67.900000000000006</v>
      </c>
      <c r="F19" s="52">
        <v>2893.5</v>
      </c>
    </row>
    <row r="20" spans="2:6" ht="15.75" x14ac:dyDescent="0.25">
      <c r="B20" s="53">
        <v>42248</v>
      </c>
      <c r="C20" s="54" t="s">
        <v>392</v>
      </c>
      <c r="D20" s="36" t="s">
        <v>6</v>
      </c>
      <c r="E20" s="55">
        <v>114</v>
      </c>
      <c r="F20" s="52">
        <v>3933</v>
      </c>
    </row>
    <row r="21" spans="2:6" ht="15.75" x14ac:dyDescent="0.25">
      <c r="B21" s="53">
        <v>42248</v>
      </c>
      <c r="C21" s="54" t="s">
        <v>393</v>
      </c>
      <c r="D21" s="36" t="s">
        <v>17</v>
      </c>
      <c r="E21" s="55">
        <f>92.2+68.4+88.6</f>
        <v>249.20000000000002</v>
      </c>
      <c r="F21" s="52">
        <v>8707.7999999999993</v>
      </c>
    </row>
    <row r="22" spans="2:6" x14ac:dyDescent="0.25">
      <c r="B22" s="53">
        <v>42248</v>
      </c>
      <c r="C22" s="56" t="s">
        <v>394</v>
      </c>
      <c r="D22" s="36" t="s">
        <v>10</v>
      </c>
      <c r="E22" s="55">
        <v>71.599999999999994</v>
      </c>
      <c r="F22" s="52">
        <v>2327</v>
      </c>
    </row>
    <row r="23" spans="2:6" ht="15.75" x14ac:dyDescent="0.25">
      <c r="B23" s="53">
        <v>42248</v>
      </c>
      <c r="C23" s="54" t="s">
        <v>395</v>
      </c>
      <c r="D23" s="36" t="s">
        <v>9</v>
      </c>
      <c r="E23" s="55">
        <v>266.8</v>
      </c>
      <c r="F23" s="52">
        <v>8404.2000000000007</v>
      </c>
    </row>
    <row r="24" spans="2:6" ht="15.75" x14ac:dyDescent="0.25">
      <c r="B24" s="53">
        <v>42248</v>
      </c>
      <c r="C24" s="54" t="s">
        <v>396</v>
      </c>
      <c r="D24" s="36" t="s">
        <v>7</v>
      </c>
      <c r="E24" s="55">
        <v>404.6</v>
      </c>
      <c r="F24" s="52">
        <v>12744.9</v>
      </c>
    </row>
    <row r="25" spans="2:6" ht="15.75" x14ac:dyDescent="0.25">
      <c r="B25" s="53">
        <v>42248</v>
      </c>
      <c r="C25" s="54" t="s">
        <v>397</v>
      </c>
      <c r="D25" s="36" t="s">
        <v>5</v>
      </c>
      <c r="E25" s="55">
        <v>405.2</v>
      </c>
      <c r="F25" s="52">
        <v>12763.8</v>
      </c>
    </row>
    <row r="26" spans="2:6" ht="15.75" x14ac:dyDescent="0.25">
      <c r="B26" s="53">
        <v>42249</v>
      </c>
      <c r="C26" s="54" t="s">
        <v>398</v>
      </c>
      <c r="D26" s="36" t="s">
        <v>16</v>
      </c>
      <c r="E26" s="55">
        <f>65.6+24.1</f>
        <v>89.699999999999989</v>
      </c>
      <c r="F26" s="52">
        <v>4407.3999999999996</v>
      </c>
    </row>
    <row r="27" spans="2:6" ht="15.75" x14ac:dyDescent="0.25">
      <c r="B27" s="53">
        <v>42249</v>
      </c>
      <c r="C27" s="54" t="s">
        <v>399</v>
      </c>
      <c r="D27" s="36" t="s">
        <v>17</v>
      </c>
      <c r="E27" s="55">
        <f>188.5+41.9+60.8+93.2</f>
        <v>384.4</v>
      </c>
      <c r="F27" s="52">
        <v>14169.8</v>
      </c>
    </row>
    <row r="28" spans="2:6" ht="15.75" x14ac:dyDescent="0.25">
      <c r="B28" s="53">
        <v>42249</v>
      </c>
      <c r="C28" s="54" t="s">
        <v>400</v>
      </c>
      <c r="D28" s="36" t="s">
        <v>11</v>
      </c>
      <c r="E28" s="55">
        <v>95.4</v>
      </c>
      <c r="F28" s="52">
        <v>3911.4</v>
      </c>
    </row>
    <row r="29" spans="2:6" ht="15.75" x14ac:dyDescent="0.25">
      <c r="B29" s="53">
        <v>42249</v>
      </c>
      <c r="C29" s="54" t="s">
        <v>401</v>
      </c>
      <c r="D29" s="36" t="s">
        <v>8</v>
      </c>
      <c r="E29" s="55">
        <f>201+82</f>
        <v>283</v>
      </c>
      <c r="F29" s="52">
        <v>9458</v>
      </c>
    </row>
    <row r="30" spans="2:6" ht="15.75" x14ac:dyDescent="0.25">
      <c r="B30" s="53">
        <v>42249</v>
      </c>
      <c r="C30" s="54" t="s">
        <v>402</v>
      </c>
      <c r="D30" s="36" t="s">
        <v>5</v>
      </c>
      <c r="E30" s="55">
        <v>437</v>
      </c>
      <c r="F30" s="52">
        <v>13984</v>
      </c>
    </row>
    <row r="31" spans="2:6" x14ac:dyDescent="0.25">
      <c r="B31" s="53">
        <v>42250</v>
      </c>
      <c r="C31" s="56" t="s">
        <v>403</v>
      </c>
      <c r="D31" s="36" t="s">
        <v>4</v>
      </c>
      <c r="E31" s="55">
        <f>86.6+113.6</f>
        <v>200.2</v>
      </c>
      <c r="F31" s="52">
        <v>7558.2</v>
      </c>
    </row>
    <row r="32" spans="2:6" ht="15.75" x14ac:dyDescent="0.25">
      <c r="B32" s="53">
        <v>42250</v>
      </c>
      <c r="C32" s="54" t="s">
        <v>404</v>
      </c>
      <c r="D32" s="36" t="s">
        <v>9</v>
      </c>
      <c r="E32" s="55">
        <v>344.8</v>
      </c>
      <c r="F32" s="52">
        <v>11033.6</v>
      </c>
    </row>
    <row r="33" spans="2:6" x14ac:dyDescent="0.25">
      <c r="B33" s="53">
        <v>42250</v>
      </c>
      <c r="C33" s="56" t="s">
        <v>405</v>
      </c>
      <c r="D33" s="36" t="s">
        <v>16</v>
      </c>
      <c r="E33" s="55">
        <v>177</v>
      </c>
      <c r="F33" s="52">
        <v>5664</v>
      </c>
    </row>
    <row r="34" spans="2:6" x14ac:dyDescent="0.25">
      <c r="B34" s="53">
        <v>42250</v>
      </c>
      <c r="C34" s="56" t="s">
        <v>406</v>
      </c>
      <c r="D34" s="36" t="s">
        <v>6</v>
      </c>
      <c r="E34" s="55">
        <f>105.9+261.4</f>
        <v>367.29999999999995</v>
      </c>
      <c r="F34" s="52">
        <v>10899.7</v>
      </c>
    </row>
    <row r="35" spans="2:6" x14ac:dyDescent="0.25">
      <c r="B35" s="53">
        <v>42250</v>
      </c>
      <c r="C35" s="56" t="s">
        <v>407</v>
      </c>
      <c r="D35" s="36" t="s">
        <v>5</v>
      </c>
      <c r="E35" s="55">
        <v>409</v>
      </c>
      <c r="F35" s="52">
        <v>13088</v>
      </c>
    </row>
    <row r="36" spans="2:6" x14ac:dyDescent="0.25">
      <c r="B36" s="53">
        <v>42250</v>
      </c>
      <c r="C36" s="56" t="s">
        <v>408</v>
      </c>
      <c r="D36" s="36" t="s">
        <v>8</v>
      </c>
      <c r="E36" s="55">
        <f>48.3+49.5+6.5</f>
        <v>104.3</v>
      </c>
      <c r="F36" s="52">
        <v>4054.3</v>
      </c>
    </row>
    <row r="37" spans="2:6" x14ac:dyDescent="0.25">
      <c r="B37" s="53">
        <v>42250</v>
      </c>
      <c r="C37" s="56" t="s">
        <v>409</v>
      </c>
      <c r="D37" s="36" t="s">
        <v>17</v>
      </c>
      <c r="E37" s="59">
        <f>127.6+66</f>
        <v>193.6</v>
      </c>
      <c r="F37" s="52">
        <v>6978.4</v>
      </c>
    </row>
    <row r="38" spans="2:6" x14ac:dyDescent="0.25">
      <c r="B38" s="53">
        <v>42250</v>
      </c>
      <c r="C38" s="56" t="s">
        <v>410</v>
      </c>
      <c r="D38" s="36" t="s">
        <v>5</v>
      </c>
      <c r="E38" s="59">
        <f>802.4+121.4</f>
        <v>923.8</v>
      </c>
      <c r="F38" s="52">
        <v>29683</v>
      </c>
    </row>
    <row r="39" spans="2:6" x14ac:dyDescent="0.25">
      <c r="B39" s="53">
        <v>42252</v>
      </c>
      <c r="C39" s="56" t="s">
        <v>411</v>
      </c>
      <c r="D39" s="36" t="s">
        <v>9</v>
      </c>
      <c r="E39" s="59">
        <f>612.5+53.3+64.5+347.7</f>
        <v>1078</v>
      </c>
      <c r="F39" s="52">
        <v>33332</v>
      </c>
    </row>
    <row r="40" spans="2:6" x14ac:dyDescent="0.25">
      <c r="B40" s="53">
        <v>42252</v>
      </c>
      <c r="C40" s="56" t="s">
        <v>412</v>
      </c>
      <c r="D40" s="36" t="s">
        <v>16</v>
      </c>
      <c r="E40" s="59">
        <f>75.8+71+22.7+88.4+4.7+38.7+32.1</f>
        <v>333.4</v>
      </c>
      <c r="F40" s="52">
        <v>9767.9</v>
      </c>
    </row>
    <row r="41" spans="2:6" x14ac:dyDescent="0.25">
      <c r="B41" s="53">
        <v>42252</v>
      </c>
      <c r="C41" s="56" t="s">
        <v>413</v>
      </c>
      <c r="D41" s="36" t="s">
        <v>6</v>
      </c>
      <c r="E41" s="59">
        <v>108.96</v>
      </c>
      <c r="F41" s="52">
        <v>5339.04</v>
      </c>
    </row>
    <row r="42" spans="2:6" x14ac:dyDescent="0.25">
      <c r="B42" s="53">
        <v>42252</v>
      </c>
      <c r="C42" s="56" t="s">
        <v>414</v>
      </c>
      <c r="D42" s="36" t="s">
        <v>8</v>
      </c>
      <c r="E42" s="59">
        <v>28.9</v>
      </c>
      <c r="F42" s="52">
        <v>1329.4</v>
      </c>
    </row>
    <row r="43" spans="2:6" x14ac:dyDescent="0.25">
      <c r="B43" s="53">
        <v>42252</v>
      </c>
      <c r="C43" s="56" t="s">
        <v>415</v>
      </c>
      <c r="D43" s="36" t="s">
        <v>11</v>
      </c>
      <c r="E43" s="59">
        <f>173+49.4</f>
        <v>222.4</v>
      </c>
      <c r="F43" s="52">
        <v>7660.2</v>
      </c>
    </row>
    <row r="44" spans="2:6" x14ac:dyDescent="0.25">
      <c r="B44" s="33">
        <v>42252</v>
      </c>
      <c r="C44" s="12" t="s">
        <v>416</v>
      </c>
      <c r="D44" s="34" t="s">
        <v>17</v>
      </c>
      <c r="E44" s="59">
        <f>162.6+49.5</f>
        <v>212.1</v>
      </c>
      <c r="F44" s="52">
        <v>8137.8</v>
      </c>
    </row>
    <row r="45" spans="2:6" x14ac:dyDescent="0.25">
      <c r="B45" s="33">
        <v>42252</v>
      </c>
      <c r="C45" s="12" t="s">
        <v>417</v>
      </c>
      <c r="D45" s="34" t="s">
        <v>4</v>
      </c>
      <c r="E45" s="59">
        <v>119.8</v>
      </c>
      <c r="F45" s="52">
        <v>5870.2</v>
      </c>
    </row>
    <row r="46" spans="2:6" x14ac:dyDescent="0.25">
      <c r="B46" s="33">
        <v>42252</v>
      </c>
      <c r="C46" s="12" t="s">
        <v>418</v>
      </c>
      <c r="D46" s="34" t="s">
        <v>8</v>
      </c>
      <c r="E46" s="59">
        <v>14.4</v>
      </c>
      <c r="F46" s="52">
        <v>705.6</v>
      </c>
    </row>
    <row r="47" spans="2:6" x14ac:dyDescent="0.25">
      <c r="B47" s="33">
        <v>42252</v>
      </c>
      <c r="C47" s="12" t="s">
        <v>419</v>
      </c>
      <c r="D47" s="34" t="s">
        <v>6</v>
      </c>
      <c r="E47" s="59">
        <v>108.88</v>
      </c>
      <c r="F47" s="52">
        <v>2395.36</v>
      </c>
    </row>
    <row r="48" spans="2:6" x14ac:dyDescent="0.25">
      <c r="B48" s="33">
        <v>42252</v>
      </c>
      <c r="C48" s="12" t="s">
        <v>420</v>
      </c>
      <c r="D48" s="34" t="s">
        <v>16</v>
      </c>
      <c r="E48" s="59">
        <v>27.2</v>
      </c>
      <c r="F48" s="52">
        <v>1142.4000000000001</v>
      </c>
    </row>
    <row r="49" spans="2:7" ht="15.75" thickBot="1" x14ac:dyDescent="0.3">
      <c r="B49" s="33">
        <v>42252</v>
      </c>
      <c r="C49" s="12" t="s">
        <v>421</v>
      </c>
      <c r="D49" s="34" t="s">
        <v>11</v>
      </c>
      <c r="E49" s="58">
        <v>122.2</v>
      </c>
      <c r="F49" s="45">
        <v>2321.8000000000002</v>
      </c>
    </row>
    <row r="50" spans="2:7" ht="15.75" thickBot="1" x14ac:dyDescent="0.3">
      <c r="B50" s="16"/>
      <c r="C50" s="17"/>
      <c r="D50" s="18"/>
      <c r="E50" s="44">
        <v>0</v>
      </c>
      <c r="F50" s="43">
        <f>SUM(F3:F49)</f>
        <v>340010.85000000003</v>
      </c>
    </row>
    <row r="51" spans="2:7" ht="19.5" thickBot="1" x14ac:dyDescent="0.35">
      <c r="B51" s="19"/>
      <c r="C51" s="20"/>
      <c r="D51" s="23" t="s">
        <v>3</v>
      </c>
      <c r="E51" s="25">
        <f>SUM(E3:E50)</f>
        <v>10206.239999999998</v>
      </c>
    </row>
    <row r="52" spans="2:7" x14ac:dyDescent="0.25">
      <c r="B52" s="19"/>
      <c r="C52" s="20"/>
      <c r="D52" s="21"/>
      <c r="E52" s="22"/>
    </row>
    <row r="53" spans="2:7" ht="21.75" thickBot="1" x14ac:dyDescent="0.4">
      <c r="B53" s="40"/>
      <c r="C53" s="27" t="s">
        <v>18</v>
      </c>
      <c r="D53" s="26">
        <f>E51*0.2</f>
        <v>2041.2479999999996</v>
      </c>
      <c r="F53"/>
    </row>
    <row r="54" spans="2:7" ht="21.75" thickBot="1" x14ac:dyDescent="0.4">
      <c r="C54" s="11" t="s">
        <v>422</v>
      </c>
      <c r="D54" s="61">
        <v>3000</v>
      </c>
      <c r="E54" s="62"/>
      <c r="F54" s="80">
        <f>D53+D54</f>
        <v>5041.2479999999996</v>
      </c>
      <c r="G54" s="81"/>
    </row>
    <row r="55" spans="2:7" ht="15.75" thickTop="1" x14ac:dyDescent="0.25"/>
  </sheetData>
  <mergeCells count="2">
    <mergeCell ref="B1:C1"/>
    <mergeCell ref="F54:G54"/>
  </mergeCells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E41"/>
  <sheetViews>
    <sheetView topLeftCell="A22" workbookViewId="0">
      <selection activeCell="C44" sqref="C44"/>
    </sheetView>
  </sheetViews>
  <sheetFormatPr baseColWidth="10" defaultRowHeight="15" x14ac:dyDescent="0.25"/>
  <cols>
    <col min="1" max="1" width="6" customWidth="1"/>
    <col min="3" max="3" width="13.7109375" style="11" customWidth="1"/>
    <col min="4" max="4" width="33.5703125" customWidth="1"/>
    <col min="5" max="5" width="12" bestFit="1" customWidth="1"/>
  </cols>
  <sheetData>
    <row r="1" spans="2:5" ht="19.5" thickBot="1" x14ac:dyDescent="0.35">
      <c r="D1" s="28" t="s">
        <v>15</v>
      </c>
    </row>
    <row r="2" spans="2:5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5" ht="15.75" x14ac:dyDescent="0.25">
      <c r="B3" s="30">
        <v>42125</v>
      </c>
      <c r="C3" s="13">
        <v>19684</v>
      </c>
      <c r="D3" s="31" t="s">
        <v>8</v>
      </c>
      <c r="E3" s="32">
        <v>147.4</v>
      </c>
    </row>
    <row r="4" spans="2:5" ht="15.75" x14ac:dyDescent="0.25">
      <c r="B4" s="33">
        <v>42126</v>
      </c>
      <c r="C4" s="14">
        <v>19799</v>
      </c>
      <c r="D4" s="34" t="s">
        <v>16</v>
      </c>
      <c r="E4" s="35">
        <f>19.24+59.4+49.4</f>
        <v>128.04</v>
      </c>
    </row>
    <row r="5" spans="2:5" ht="15.75" x14ac:dyDescent="0.25">
      <c r="B5" s="33">
        <v>42126</v>
      </c>
      <c r="C5" s="14">
        <v>19803</v>
      </c>
      <c r="D5" s="34" t="s">
        <v>8</v>
      </c>
      <c r="E5" s="35">
        <v>202.3</v>
      </c>
    </row>
    <row r="6" spans="2:5" ht="15.75" x14ac:dyDescent="0.25">
      <c r="B6" s="33">
        <v>42128</v>
      </c>
      <c r="C6" s="14">
        <v>19903</v>
      </c>
      <c r="D6" s="34" t="s">
        <v>9</v>
      </c>
      <c r="E6" s="35">
        <v>351.6</v>
      </c>
    </row>
    <row r="7" spans="2:5" ht="15.75" x14ac:dyDescent="0.25">
      <c r="B7" s="33">
        <v>42128</v>
      </c>
      <c r="C7" s="14">
        <v>19904</v>
      </c>
      <c r="D7" s="34" t="s">
        <v>6</v>
      </c>
      <c r="E7" s="35">
        <v>393.4</v>
      </c>
    </row>
    <row r="8" spans="2:5" ht="15.75" x14ac:dyDescent="0.25">
      <c r="B8" s="33">
        <v>42128</v>
      </c>
      <c r="C8" s="14">
        <v>19905</v>
      </c>
      <c r="D8" s="34" t="s">
        <v>13</v>
      </c>
      <c r="E8" s="35">
        <f>13.1+62</f>
        <v>75.099999999999994</v>
      </c>
    </row>
    <row r="9" spans="2:5" ht="15.75" x14ac:dyDescent="0.25">
      <c r="B9" s="33">
        <v>42129</v>
      </c>
      <c r="C9" s="14">
        <v>20026</v>
      </c>
      <c r="D9" s="34" t="s">
        <v>10</v>
      </c>
      <c r="E9" s="35">
        <f>66.1+88.4</f>
        <v>154.5</v>
      </c>
    </row>
    <row r="10" spans="2:5" ht="15.75" x14ac:dyDescent="0.25">
      <c r="B10" s="33">
        <v>42129</v>
      </c>
      <c r="C10" s="14">
        <v>20028</v>
      </c>
      <c r="D10" s="34" t="s">
        <v>12</v>
      </c>
      <c r="E10" s="35">
        <v>179.4</v>
      </c>
    </row>
    <row r="11" spans="2:5" ht="15.75" x14ac:dyDescent="0.25">
      <c r="B11" s="33">
        <v>42129</v>
      </c>
      <c r="C11" s="14">
        <v>20029</v>
      </c>
      <c r="D11" s="34" t="s">
        <v>6</v>
      </c>
      <c r="E11" s="35">
        <f>101+136.2</f>
        <v>237.2</v>
      </c>
    </row>
    <row r="12" spans="2:5" ht="15.75" x14ac:dyDescent="0.25">
      <c r="B12" s="33">
        <v>42129</v>
      </c>
      <c r="C12" s="14">
        <v>20030</v>
      </c>
      <c r="D12" s="34" t="s">
        <v>11</v>
      </c>
      <c r="E12" s="35">
        <f>55.2+8.1</f>
        <v>63.300000000000004</v>
      </c>
    </row>
    <row r="13" spans="2:5" ht="15.75" x14ac:dyDescent="0.25">
      <c r="B13" s="33">
        <v>42129</v>
      </c>
      <c r="C13" s="14">
        <v>20031</v>
      </c>
      <c r="D13" s="34" t="s">
        <v>13</v>
      </c>
      <c r="E13" s="35">
        <f>57.4+6.5</f>
        <v>63.9</v>
      </c>
    </row>
    <row r="14" spans="2:5" ht="15.75" x14ac:dyDescent="0.25">
      <c r="B14" s="33">
        <v>42129</v>
      </c>
      <c r="C14" s="14">
        <v>20032</v>
      </c>
      <c r="D14" s="34" t="s">
        <v>16</v>
      </c>
      <c r="E14" s="35">
        <v>54.3</v>
      </c>
    </row>
    <row r="15" spans="2:5" ht="15.75" x14ac:dyDescent="0.25">
      <c r="B15" s="33">
        <v>42129</v>
      </c>
      <c r="C15" s="14">
        <v>20044</v>
      </c>
      <c r="D15" s="34" t="s">
        <v>4</v>
      </c>
      <c r="E15" s="35">
        <v>278.8</v>
      </c>
    </row>
    <row r="16" spans="2:5" ht="15.75" x14ac:dyDescent="0.25">
      <c r="B16" s="33">
        <v>42130</v>
      </c>
      <c r="C16" s="14">
        <v>20110</v>
      </c>
      <c r="D16" s="34" t="s">
        <v>11</v>
      </c>
      <c r="E16" s="35">
        <v>65</v>
      </c>
    </row>
    <row r="17" spans="2:5" ht="15.75" x14ac:dyDescent="0.25">
      <c r="B17" s="33">
        <v>42130</v>
      </c>
      <c r="C17" s="14">
        <v>20111</v>
      </c>
      <c r="D17" s="34" t="s">
        <v>16</v>
      </c>
      <c r="E17" s="35">
        <f>58.6+20.6+42.8</f>
        <v>122</v>
      </c>
    </row>
    <row r="18" spans="2:5" ht="15.75" x14ac:dyDescent="0.25">
      <c r="B18" s="33">
        <v>42130</v>
      </c>
      <c r="C18" s="14">
        <v>20112</v>
      </c>
      <c r="D18" s="34" t="s">
        <v>7</v>
      </c>
      <c r="E18" s="35">
        <v>967</v>
      </c>
    </row>
    <row r="19" spans="2:5" ht="15.75" x14ac:dyDescent="0.25">
      <c r="B19" s="33">
        <v>42130</v>
      </c>
      <c r="C19" s="14">
        <v>20113</v>
      </c>
      <c r="D19" s="34" t="s">
        <v>10</v>
      </c>
      <c r="E19" s="35">
        <v>70.2</v>
      </c>
    </row>
    <row r="20" spans="2:5" ht="15.75" x14ac:dyDescent="0.25">
      <c r="B20" s="33">
        <v>42131</v>
      </c>
      <c r="C20" s="14">
        <v>20218</v>
      </c>
      <c r="D20" s="34" t="s">
        <v>4</v>
      </c>
      <c r="E20" s="35">
        <f>846.26+275</f>
        <v>1121.26</v>
      </c>
    </row>
    <row r="21" spans="2:5" x14ac:dyDescent="0.25">
      <c r="B21" s="33">
        <v>42131</v>
      </c>
      <c r="C21" s="12">
        <v>20219</v>
      </c>
      <c r="D21" s="36" t="s">
        <v>11</v>
      </c>
      <c r="E21" s="35">
        <v>10.6</v>
      </c>
    </row>
    <row r="22" spans="2:5" ht="15.75" x14ac:dyDescent="0.25">
      <c r="B22" s="33">
        <v>42131</v>
      </c>
      <c r="C22" s="14">
        <v>20220</v>
      </c>
      <c r="D22" s="34" t="s">
        <v>7</v>
      </c>
      <c r="E22" s="35">
        <v>858.6</v>
      </c>
    </row>
    <row r="23" spans="2:5" ht="15.75" x14ac:dyDescent="0.25">
      <c r="B23" s="33">
        <v>42131</v>
      </c>
      <c r="C23" s="14">
        <v>20221</v>
      </c>
      <c r="D23" s="34" t="s">
        <v>10</v>
      </c>
      <c r="E23" s="35">
        <v>75.8</v>
      </c>
    </row>
    <row r="24" spans="2:5" ht="15.75" x14ac:dyDescent="0.25">
      <c r="B24" s="33">
        <v>42131</v>
      </c>
      <c r="C24" s="14">
        <v>20222</v>
      </c>
      <c r="D24" s="34" t="s">
        <v>8</v>
      </c>
      <c r="E24" s="35">
        <v>234.5</v>
      </c>
    </row>
    <row r="25" spans="2:5" ht="15.75" x14ac:dyDescent="0.25">
      <c r="B25" s="33">
        <v>42131</v>
      </c>
      <c r="C25" s="14">
        <v>20223</v>
      </c>
      <c r="D25" s="34" t="s">
        <v>6</v>
      </c>
      <c r="E25" s="35">
        <v>212.2</v>
      </c>
    </row>
    <row r="26" spans="2:5" ht="15.75" x14ac:dyDescent="0.25">
      <c r="B26" s="33">
        <v>42131</v>
      </c>
      <c r="C26" s="14">
        <v>20230</v>
      </c>
      <c r="D26" s="34" t="s">
        <v>11</v>
      </c>
      <c r="E26" s="35">
        <v>136.4</v>
      </c>
    </row>
    <row r="27" spans="2:5" ht="15.75" x14ac:dyDescent="0.25">
      <c r="B27" s="33">
        <v>42132</v>
      </c>
      <c r="C27" s="14">
        <v>20344</v>
      </c>
      <c r="D27" s="36" t="s">
        <v>11</v>
      </c>
      <c r="E27" s="35">
        <v>37.200000000000003</v>
      </c>
    </row>
    <row r="28" spans="2:5" ht="15.75" x14ac:dyDescent="0.25">
      <c r="B28" s="33">
        <v>42132</v>
      </c>
      <c r="C28" s="14">
        <v>20345</v>
      </c>
      <c r="D28" s="34" t="s">
        <v>7</v>
      </c>
      <c r="E28" s="35">
        <v>1655.2</v>
      </c>
    </row>
    <row r="29" spans="2:5" ht="15.75" x14ac:dyDescent="0.25">
      <c r="B29" s="33">
        <v>42131</v>
      </c>
      <c r="C29" s="14">
        <v>20346</v>
      </c>
      <c r="D29" s="34" t="s">
        <v>9</v>
      </c>
      <c r="E29" s="35">
        <f>420.6+367</f>
        <v>787.6</v>
      </c>
    </row>
    <row r="30" spans="2:5" ht="15.75" x14ac:dyDescent="0.25">
      <c r="B30" s="33">
        <v>42132</v>
      </c>
      <c r="C30" s="14">
        <v>20347</v>
      </c>
      <c r="D30" s="34" t="s">
        <v>6</v>
      </c>
      <c r="E30" s="35">
        <v>194.6</v>
      </c>
    </row>
    <row r="31" spans="2:5" x14ac:dyDescent="0.25">
      <c r="B31" s="33">
        <v>42132</v>
      </c>
      <c r="C31" s="12">
        <v>20450</v>
      </c>
      <c r="D31" s="34" t="s">
        <v>4</v>
      </c>
      <c r="E31" s="35">
        <f>954.4+422.2</f>
        <v>1376.6</v>
      </c>
    </row>
    <row r="32" spans="2:5" ht="15.75" x14ac:dyDescent="0.25">
      <c r="B32" s="33">
        <v>42133</v>
      </c>
      <c r="C32" s="14">
        <v>20482</v>
      </c>
      <c r="D32" s="34" t="s">
        <v>4</v>
      </c>
      <c r="E32" s="35">
        <v>346.8</v>
      </c>
    </row>
    <row r="33" spans="2:5" x14ac:dyDescent="0.25">
      <c r="B33" s="33">
        <v>42133</v>
      </c>
      <c r="C33" s="12">
        <v>20483</v>
      </c>
      <c r="D33" s="34" t="s">
        <v>17</v>
      </c>
      <c r="E33" s="35">
        <f>253.8+271.6+574+16.7+275</f>
        <v>1391.1000000000001</v>
      </c>
    </row>
    <row r="34" spans="2:5" x14ac:dyDescent="0.25">
      <c r="B34" s="33">
        <v>42133</v>
      </c>
      <c r="C34" s="12">
        <v>20484</v>
      </c>
      <c r="D34" s="34" t="s">
        <v>7</v>
      </c>
      <c r="E34" s="35">
        <v>798</v>
      </c>
    </row>
    <row r="35" spans="2:5" x14ac:dyDescent="0.25">
      <c r="B35" s="33">
        <v>42133</v>
      </c>
      <c r="C35" s="12">
        <v>20485</v>
      </c>
      <c r="D35" s="34" t="s">
        <v>8</v>
      </c>
      <c r="E35" s="35">
        <v>386.6</v>
      </c>
    </row>
    <row r="36" spans="2:5" x14ac:dyDescent="0.25">
      <c r="B36" s="33">
        <v>42133</v>
      </c>
      <c r="C36" s="12">
        <v>20491</v>
      </c>
      <c r="D36" s="34" t="s">
        <v>6</v>
      </c>
      <c r="E36" s="35">
        <f>136.2+91.4</f>
        <v>227.6</v>
      </c>
    </row>
    <row r="37" spans="2:5" x14ac:dyDescent="0.25">
      <c r="B37" s="9"/>
      <c r="C37" s="29"/>
      <c r="D37" s="4"/>
      <c r="E37" s="37">
        <v>0</v>
      </c>
    </row>
    <row r="38" spans="2:5" ht="15.75" thickBot="1" x14ac:dyDescent="0.3">
      <c r="B38" s="16"/>
      <c r="C38" s="17"/>
      <c r="D38" s="18"/>
      <c r="E38" s="38">
        <v>0</v>
      </c>
    </row>
    <row r="39" spans="2:5" ht="19.5" thickBot="1" x14ac:dyDescent="0.35">
      <c r="B39" s="19"/>
      <c r="C39" s="20"/>
      <c r="D39" s="23" t="s">
        <v>3</v>
      </c>
      <c r="E39" s="25">
        <f>SUM(E3:E38)</f>
        <v>13404.1</v>
      </c>
    </row>
    <row r="40" spans="2:5" x14ac:dyDescent="0.25">
      <c r="B40" s="19"/>
      <c r="C40" s="20"/>
      <c r="D40" s="21"/>
      <c r="E40" s="22"/>
    </row>
    <row r="41" spans="2:5" ht="21" x14ac:dyDescent="0.35">
      <c r="B41" s="39">
        <v>42133</v>
      </c>
      <c r="C41" s="27" t="s">
        <v>18</v>
      </c>
      <c r="D41" s="26">
        <f>E39*0.2</f>
        <v>2680.82</v>
      </c>
    </row>
  </sheetData>
  <sortState ref="B3:E36">
    <sortCondition ref="C3:C36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H58"/>
  <sheetViews>
    <sheetView topLeftCell="A37" workbookViewId="0">
      <selection activeCell="E56" sqref="E56:G5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8" ht="19.5" thickBot="1" x14ac:dyDescent="0.35">
      <c r="B1" s="79">
        <v>42271</v>
      </c>
      <c r="C1" s="78"/>
      <c r="D1" s="28" t="s">
        <v>15</v>
      </c>
      <c r="E1" s="47" t="s">
        <v>24</v>
      </c>
      <c r="H1" s="64"/>
    </row>
    <row r="2" spans="2:8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4" t="s">
        <v>423</v>
      </c>
      <c r="G2" s="63"/>
    </row>
    <row r="3" spans="2:8" ht="15.75" x14ac:dyDescent="0.25">
      <c r="B3" s="48">
        <v>42247</v>
      </c>
      <c r="C3" s="49" t="s">
        <v>425</v>
      </c>
      <c r="D3" s="50" t="s">
        <v>7</v>
      </c>
      <c r="E3" s="51">
        <v>445.1</v>
      </c>
      <c r="F3" s="52">
        <v>14020.65</v>
      </c>
    </row>
    <row r="4" spans="2:8" ht="15.75" x14ac:dyDescent="0.25">
      <c r="B4" s="53">
        <v>42250</v>
      </c>
      <c r="C4" s="54" t="s">
        <v>426</v>
      </c>
      <c r="D4" s="36" t="s">
        <v>11</v>
      </c>
      <c r="E4" s="55">
        <f>16.1+15.3+25.4+56.6+51</f>
        <v>164.4</v>
      </c>
      <c r="F4" s="52">
        <v>9789.7000000000007</v>
      </c>
    </row>
    <row r="5" spans="2:8" ht="15.75" x14ac:dyDescent="0.25">
      <c r="B5" s="53">
        <v>42251</v>
      </c>
      <c r="C5" s="54" t="s">
        <v>424</v>
      </c>
      <c r="D5" s="36" t="s">
        <v>8</v>
      </c>
      <c r="E5" s="55">
        <f>6.8+50.4</f>
        <v>57.199999999999996</v>
      </c>
      <c r="F5" s="52">
        <v>2399.6</v>
      </c>
    </row>
    <row r="6" spans="2:8" ht="15.75" x14ac:dyDescent="0.25">
      <c r="B6" s="53">
        <v>42251</v>
      </c>
      <c r="C6" s="54" t="s">
        <v>427</v>
      </c>
      <c r="D6" s="36" t="s">
        <v>16</v>
      </c>
      <c r="E6" s="55">
        <f>190+76.6</f>
        <v>266.60000000000002</v>
      </c>
      <c r="F6" s="52">
        <v>8816.2000000000007</v>
      </c>
    </row>
    <row r="7" spans="2:8" ht="15.75" x14ac:dyDescent="0.25">
      <c r="B7" s="53">
        <v>42251</v>
      </c>
      <c r="C7" s="54" t="s">
        <v>428</v>
      </c>
      <c r="D7" s="36" t="s">
        <v>5</v>
      </c>
      <c r="E7" s="55">
        <v>413.4</v>
      </c>
      <c r="F7" s="52">
        <v>13228.8</v>
      </c>
    </row>
    <row r="8" spans="2:8" ht="15.75" x14ac:dyDescent="0.25">
      <c r="B8" s="53">
        <v>42251</v>
      </c>
      <c r="C8" s="54" t="s">
        <v>429</v>
      </c>
      <c r="D8" s="36" t="s">
        <v>17</v>
      </c>
      <c r="E8" s="55">
        <f>124.6+13.1</f>
        <v>137.69999999999999</v>
      </c>
      <c r="F8" s="52">
        <v>4475.3999999999996</v>
      </c>
    </row>
    <row r="9" spans="2:8" ht="15.75" x14ac:dyDescent="0.25">
      <c r="B9" s="53">
        <v>42251</v>
      </c>
      <c r="C9" s="54" t="s">
        <v>430</v>
      </c>
      <c r="D9" s="36" t="s">
        <v>6</v>
      </c>
      <c r="E9" s="55">
        <f>109.8+138.6</f>
        <v>248.39999999999998</v>
      </c>
      <c r="F9" s="52">
        <v>4624.6000000000004</v>
      </c>
    </row>
    <row r="10" spans="2:8" ht="15.75" x14ac:dyDescent="0.25">
      <c r="B10" s="53">
        <v>42251</v>
      </c>
      <c r="C10" s="54" t="s">
        <v>431</v>
      </c>
      <c r="D10" s="36" t="s">
        <v>4</v>
      </c>
      <c r="E10" s="55">
        <v>425.4</v>
      </c>
      <c r="F10" s="52">
        <v>13612.8</v>
      </c>
    </row>
    <row r="11" spans="2:8" ht="15.75" x14ac:dyDescent="0.25">
      <c r="B11" s="53">
        <v>42254</v>
      </c>
      <c r="C11" s="54" t="s">
        <v>432</v>
      </c>
      <c r="D11" s="36" t="s">
        <v>17</v>
      </c>
      <c r="E11" s="55">
        <f>94.2+75.6+77.2</f>
        <v>247</v>
      </c>
      <c r="F11" s="52">
        <v>9812.6</v>
      </c>
    </row>
    <row r="12" spans="2:8" ht="15.75" x14ac:dyDescent="0.25">
      <c r="B12" s="53">
        <v>42254</v>
      </c>
      <c r="C12" s="54" t="s">
        <v>433</v>
      </c>
      <c r="D12" s="36" t="s">
        <v>5</v>
      </c>
      <c r="E12" s="55">
        <v>238.6</v>
      </c>
      <c r="F12" s="52">
        <v>7635.2</v>
      </c>
    </row>
    <row r="13" spans="2:8" ht="15.75" x14ac:dyDescent="0.25">
      <c r="B13" s="53">
        <v>42254</v>
      </c>
      <c r="C13" s="54" t="s">
        <v>434</v>
      </c>
      <c r="D13" s="36" t="s">
        <v>8</v>
      </c>
      <c r="E13" s="55">
        <v>348</v>
      </c>
      <c r="F13" s="52">
        <v>11136</v>
      </c>
    </row>
    <row r="14" spans="2:8" ht="15.75" x14ac:dyDescent="0.25">
      <c r="B14" s="53">
        <v>42255</v>
      </c>
      <c r="C14" s="54" t="s">
        <v>435</v>
      </c>
      <c r="D14" s="36" t="s">
        <v>11</v>
      </c>
      <c r="E14" s="55">
        <f>9.5+48.2</f>
        <v>57.7</v>
      </c>
      <c r="F14" s="52">
        <v>2194.6999999999998</v>
      </c>
    </row>
    <row r="15" spans="2:8" ht="15.75" x14ac:dyDescent="0.25">
      <c r="B15" s="53">
        <v>42255</v>
      </c>
      <c r="C15" s="54" t="s">
        <v>436</v>
      </c>
      <c r="D15" s="36" t="s">
        <v>6</v>
      </c>
      <c r="E15" s="55">
        <v>5</v>
      </c>
      <c r="F15" s="52">
        <v>3600</v>
      </c>
    </row>
    <row r="16" spans="2:8" ht="15.75" x14ac:dyDescent="0.25">
      <c r="B16" s="53">
        <v>42255</v>
      </c>
      <c r="C16" s="54" t="s">
        <v>437</v>
      </c>
      <c r="D16" s="36" t="s">
        <v>9</v>
      </c>
      <c r="E16" s="55">
        <f>92.4+207.5</f>
        <v>299.89999999999998</v>
      </c>
      <c r="F16" s="52">
        <v>9643</v>
      </c>
    </row>
    <row r="17" spans="2:6" ht="15.75" x14ac:dyDescent="0.25">
      <c r="B17" s="53">
        <v>42255</v>
      </c>
      <c r="C17" s="54" t="s">
        <v>438</v>
      </c>
      <c r="D17" s="36" t="s">
        <v>17</v>
      </c>
      <c r="E17" s="55">
        <v>78.599999999999994</v>
      </c>
      <c r="F17" s="52">
        <v>2554.5</v>
      </c>
    </row>
    <row r="18" spans="2:6" ht="15.75" x14ac:dyDescent="0.25">
      <c r="B18" s="53">
        <v>42255</v>
      </c>
      <c r="C18" s="54" t="s">
        <v>439</v>
      </c>
      <c r="D18" s="36" t="s">
        <v>5</v>
      </c>
      <c r="E18" s="55">
        <f>2+474</f>
        <v>476</v>
      </c>
      <c r="F18" s="52">
        <v>15518</v>
      </c>
    </row>
    <row r="19" spans="2:6" ht="15.75" x14ac:dyDescent="0.25">
      <c r="B19" s="53">
        <v>42255</v>
      </c>
      <c r="C19" s="54" t="s">
        <v>440</v>
      </c>
      <c r="D19" s="36" t="s">
        <v>10</v>
      </c>
      <c r="E19" s="55">
        <v>88</v>
      </c>
      <c r="F19" s="52">
        <v>2816</v>
      </c>
    </row>
    <row r="20" spans="2:6" ht="15.75" x14ac:dyDescent="0.25">
      <c r="B20" s="53">
        <v>42255</v>
      </c>
      <c r="C20" s="54" t="s">
        <v>441</v>
      </c>
      <c r="D20" s="36" t="s">
        <v>16</v>
      </c>
      <c r="E20" s="55">
        <v>49.2</v>
      </c>
      <c r="F20" s="52">
        <v>2017.2</v>
      </c>
    </row>
    <row r="21" spans="2:6" ht="15.75" x14ac:dyDescent="0.25">
      <c r="B21" s="53">
        <v>42255</v>
      </c>
      <c r="C21" s="54" t="s">
        <v>442</v>
      </c>
      <c r="D21" s="36" t="s">
        <v>4</v>
      </c>
      <c r="E21" s="55">
        <v>925.8</v>
      </c>
      <c r="F21" s="52">
        <v>29162.7</v>
      </c>
    </row>
    <row r="22" spans="2:6" x14ac:dyDescent="0.25">
      <c r="B22" s="53">
        <v>42256</v>
      </c>
      <c r="C22" s="56" t="s">
        <v>443</v>
      </c>
      <c r="D22" s="36" t="s">
        <v>4</v>
      </c>
      <c r="E22" s="55">
        <f>23.5+13.6</f>
        <v>37.1</v>
      </c>
      <c r="F22" s="52">
        <v>986.8</v>
      </c>
    </row>
    <row r="23" spans="2:6" ht="15.75" x14ac:dyDescent="0.25">
      <c r="B23" s="53">
        <v>42256</v>
      </c>
      <c r="C23" s="54" t="s">
        <v>444</v>
      </c>
      <c r="D23" s="36" t="s">
        <v>9</v>
      </c>
      <c r="E23" s="55">
        <v>262.7</v>
      </c>
      <c r="F23" s="52">
        <v>8406.4</v>
      </c>
    </row>
    <row r="24" spans="2:6" ht="15.75" x14ac:dyDescent="0.25">
      <c r="B24" s="53">
        <v>42256</v>
      </c>
      <c r="C24" s="54" t="s">
        <v>445</v>
      </c>
      <c r="D24" s="36" t="s">
        <v>16</v>
      </c>
      <c r="E24" s="55">
        <v>130.1</v>
      </c>
      <c r="F24" s="52">
        <v>5204</v>
      </c>
    </row>
    <row r="25" spans="2:6" ht="15.75" x14ac:dyDescent="0.25">
      <c r="B25" s="53">
        <v>42256</v>
      </c>
      <c r="C25" s="54" t="s">
        <v>446</v>
      </c>
      <c r="D25" s="36" t="s">
        <v>8</v>
      </c>
      <c r="E25" s="55">
        <v>171</v>
      </c>
      <c r="F25" s="52">
        <v>5472</v>
      </c>
    </row>
    <row r="26" spans="2:6" ht="15.75" x14ac:dyDescent="0.25">
      <c r="B26" s="53">
        <v>42256</v>
      </c>
      <c r="C26" s="54" t="s">
        <v>447</v>
      </c>
      <c r="D26" s="36" t="s">
        <v>10</v>
      </c>
      <c r="E26" s="55">
        <v>39.200000000000003</v>
      </c>
      <c r="F26" s="52">
        <v>1254.4000000000001</v>
      </c>
    </row>
    <row r="27" spans="2:6" ht="15.75" x14ac:dyDescent="0.25">
      <c r="B27" s="53">
        <v>42256</v>
      </c>
      <c r="C27" s="54" t="s">
        <v>448</v>
      </c>
      <c r="D27" s="36" t="s">
        <v>11</v>
      </c>
      <c r="E27" s="55">
        <f>13+20.1</f>
        <v>33.1</v>
      </c>
      <c r="F27" s="52">
        <v>1683.3</v>
      </c>
    </row>
    <row r="28" spans="2:6" ht="15.75" x14ac:dyDescent="0.25">
      <c r="B28" s="53">
        <v>42257</v>
      </c>
      <c r="C28" s="54" t="s">
        <v>449</v>
      </c>
      <c r="D28" s="36" t="s">
        <v>4</v>
      </c>
      <c r="E28" s="55">
        <v>32.200000000000003</v>
      </c>
      <c r="F28" s="52">
        <v>740.6</v>
      </c>
    </row>
    <row r="29" spans="2:6" ht="15.75" x14ac:dyDescent="0.25">
      <c r="B29" s="53">
        <v>42257</v>
      </c>
      <c r="C29" s="54" t="s">
        <v>450</v>
      </c>
      <c r="D29" s="36" t="s">
        <v>11</v>
      </c>
      <c r="E29" s="55">
        <f>20.8+14.3+85.4+62.8</f>
        <v>183.3</v>
      </c>
      <c r="F29" s="52">
        <v>6738.5</v>
      </c>
    </row>
    <row r="30" spans="2:6" ht="15.75" x14ac:dyDescent="0.25">
      <c r="B30" s="53">
        <v>42257</v>
      </c>
      <c r="C30" s="54" t="s">
        <v>451</v>
      </c>
      <c r="D30" s="36" t="s">
        <v>452</v>
      </c>
      <c r="E30" s="55">
        <f>126.4+101.8</f>
        <v>228.2</v>
      </c>
      <c r="F30" s="52">
        <v>8548.6</v>
      </c>
    </row>
    <row r="31" spans="2:6" x14ac:dyDescent="0.25">
      <c r="B31" s="53">
        <v>42257</v>
      </c>
      <c r="C31" s="56" t="s">
        <v>453</v>
      </c>
      <c r="D31" s="36" t="s">
        <v>17</v>
      </c>
      <c r="E31" s="55">
        <v>148.80000000000001</v>
      </c>
      <c r="F31" s="52">
        <v>5803.2</v>
      </c>
    </row>
    <row r="32" spans="2:6" ht="15.75" x14ac:dyDescent="0.25">
      <c r="B32" s="53">
        <v>42257</v>
      </c>
      <c r="C32" s="66" t="s">
        <v>454</v>
      </c>
      <c r="D32" s="36" t="s">
        <v>16</v>
      </c>
      <c r="E32" s="55">
        <f>80.8+80</f>
        <v>160.80000000000001</v>
      </c>
      <c r="F32" s="52">
        <v>7865.6</v>
      </c>
    </row>
    <row r="33" spans="2:6" x14ac:dyDescent="0.25">
      <c r="B33" s="53">
        <v>42257</v>
      </c>
      <c r="C33" s="67" t="s">
        <v>455</v>
      </c>
      <c r="D33" s="36" t="s">
        <v>10</v>
      </c>
      <c r="E33" s="55">
        <v>74.2</v>
      </c>
      <c r="F33" s="52">
        <v>2374.4</v>
      </c>
    </row>
    <row r="34" spans="2:6" x14ac:dyDescent="0.25">
      <c r="B34" s="53">
        <v>42258</v>
      </c>
      <c r="C34" s="67" t="s">
        <v>456</v>
      </c>
      <c r="D34" s="36" t="s">
        <v>4</v>
      </c>
      <c r="E34" s="55">
        <f>93.4+195+449</f>
        <v>737.4</v>
      </c>
      <c r="F34" s="52">
        <v>22895.5</v>
      </c>
    </row>
    <row r="35" spans="2:6" x14ac:dyDescent="0.25">
      <c r="B35" s="53">
        <v>42258</v>
      </c>
      <c r="C35" s="67" t="s">
        <v>457</v>
      </c>
      <c r="D35" s="36" t="s">
        <v>6</v>
      </c>
      <c r="E35" s="55">
        <f>24.8+292.2+285.6</f>
        <v>602.6</v>
      </c>
      <c r="F35" s="52">
        <v>21490.9</v>
      </c>
    </row>
    <row r="36" spans="2:6" x14ac:dyDescent="0.25">
      <c r="B36" s="53">
        <v>42258</v>
      </c>
      <c r="C36" s="67" t="s">
        <v>458</v>
      </c>
      <c r="D36" s="36" t="s">
        <v>10</v>
      </c>
      <c r="E36" s="55">
        <f>27.24+76.4+167.2</f>
        <v>270.83999999999997</v>
      </c>
      <c r="F36" s="52">
        <v>10365.799999999999</v>
      </c>
    </row>
    <row r="37" spans="2:6" x14ac:dyDescent="0.25">
      <c r="B37" s="53">
        <v>42258</v>
      </c>
      <c r="C37" s="67" t="s">
        <v>459</v>
      </c>
      <c r="D37" s="36" t="s">
        <v>16</v>
      </c>
      <c r="E37" s="59">
        <f>39.4+81.2+47</f>
        <v>167.6</v>
      </c>
      <c r="F37" s="52">
        <v>5967.1</v>
      </c>
    </row>
    <row r="38" spans="2:6" x14ac:dyDescent="0.25">
      <c r="B38" s="53">
        <v>42258</v>
      </c>
      <c r="C38" s="67" t="s">
        <v>460</v>
      </c>
      <c r="D38" s="36" t="s">
        <v>9</v>
      </c>
      <c r="E38" s="59">
        <v>422</v>
      </c>
      <c r="F38" s="52">
        <v>13715</v>
      </c>
    </row>
    <row r="39" spans="2:6" x14ac:dyDescent="0.25">
      <c r="B39" s="53">
        <v>42259</v>
      </c>
      <c r="C39" s="67" t="s">
        <v>461</v>
      </c>
      <c r="D39" s="36" t="s">
        <v>8</v>
      </c>
      <c r="E39" s="59">
        <v>169.2</v>
      </c>
      <c r="F39" s="52">
        <v>5583.6</v>
      </c>
    </row>
    <row r="40" spans="2:6" x14ac:dyDescent="0.25">
      <c r="B40" s="53">
        <v>42259</v>
      </c>
      <c r="C40" s="67" t="s">
        <v>462</v>
      </c>
      <c r="D40" s="36" t="s">
        <v>17</v>
      </c>
      <c r="E40" s="59">
        <f>14.7+41+230.89</f>
        <v>286.58999999999997</v>
      </c>
      <c r="F40" s="52">
        <v>11351.81</v>
      </c>
    </row>
    <row r="41" spans="2:6" x14ac:dyDescent="0.25">
      <c r="B41" s="53">
        <v>42259</v>
      </c>
      <c r="C41" s="67" t="s">
        <v>463</v>
      </c>
      <c r="D41" s="36" t="s">
        <v>9</v>
      </c>
      <c r="E41" s="59">
        <f>23.1+191.6+54.48+188.6+730.8</f>
        <v>1188.58</v>
      </c>
      <c r="F41" s="52">
        <v>39552.9</v>
      </c>
    </row>
    <row r="42" spans="2:6" x14ac:dyDescent="0.25">
      <c r="B42" s="53">
        <v>42259</v>
      </c>
      <c r="C42" s="67" t="s">
        <v>464</v>
      </c>
      <c r="D42" s="36" t="s">
        <v>7</v>
      </c>
      <c r="E42" s="59">
        <v>728.6</v>
      </c>
      <c r="F42" s="52">
        <v>23679.5</v>
      </c>
    </row>
    <row r="43" spans="2:6" x14ac:dyDescent="0.25">
      <c r="B43" s="53">
        <v>42259</v>
      </c>
      <c r="C43" s="67" t="s">
        <v>465</v>
      </c>
      <c r="D43" s="36" t="s">
        <v>6</v>
      </c>
      <c r="E43" s="59">
        <f>42.6+162+77.8+157.2</f>
        <v>439.59999999999997</v>
      </c>
      <c r="F43" s="52">
        <v>11901.8</v>
      </c>
    </row>
    <row r="44" spans="2:6" x14ac:dyDescent="0.25">
      <c r="B44" s="33">
        <v>42259</v>
      </c>
      <c r="C44" s="68" t="s">
        <v>466</v>
      </c>
      <c r="D44" s="34" t="s">
        <v>16</v>
      </c>
      <c r="E44" s="59">
        <f>51.4+59+12.2+42.8+7.9+68.6+55.8</f>
        <v>297.7</v>
      </c>
      <c r="F44" s="52">
        <v>9333.5</v>
      </c>
    </row>
    <row r="45" spans="2:6" x14ac:dyDescent="0.25">
      <c r="B45" s="33">
        <v>42259</v>
      </c>
      <c r="C45" s="68" t="s">
        <v>467</v>
      </c>
      <c r="D45" s="34" t="s">
        <v>11</v>
      </c>
      <c r="E45" s="59">
        <f>169.6+57.6</f>
        <v>227.2</v>
      </c>
      <c r="F45" s="52">
        <v>7816</v>
      </c>
    </row>
    <row r="46" spans="2:6" x14ac:dyDescent="0.25">
      <c r="B46" s="33">
        <v>42259</v>
      </c>
      <c r="C46" s="68" t="s">
        <v>468</v>
      </c>
      <c r="D46" s="34" t="s">
        <v>4</v>
      </c>
      <c r="E46" s="59">
        <f>181.2+16.3</f>
        <v>197.5</v>
      </c>
      <c r="F46" s="52">
        <v>9547.1</v>
      </c>
    </row>
    <row r="47" spans="2:6" x14ac:dyDescent="0.25">
      <c r="B47" s="33">
        <v>42259</v>
      </c>
      <c r="C47" s="68" t="s">
        <v>469</v>
      </c>
      <c r="D47" s="34" t="s">
        <v>4</v>
      </c>
      <c r="E47" s="59">
        <f>914.4+22.5+65.8</f>
        <v>1002.6999999999999</v>
      </c>
      <c r="F47" s="52">
        <v>33864.699999999997</v>
      </c>
    </row>
    <row r="48" spans="2:6" x14ac:dyDescent="0.25">
      <c r="B48" s="33"/>
      <c r="C48" s="68"/>
      <c r="D48" s="34"/>
      <c r="E48" s="59"/>
      <c r="F48" s="52"/>
    </row>
    <row r="49" spans="2:7" ht="15.75" thickBot="1" x14ac:dyDescent="0.3">
      <c r="B49" s="33"/>
      <c r="C49" s="68"/>
      <c r="D49" s="34"/>
      <c r="E49" s="58"/>
      <c r="F49" s="45"/>
    </row>
    <row r="50" spans="2:7" ht="15.75" thickBot="1" x14ac:dyDescent="0.3">
      <c r="B50" s="16"/>
      <c r="C50" s="17"/>
      <c r="D50" s="18"/>
      <c r="E50" s="44">
        <v>0</v>
      </c>
      <c r="F50" s="43">
        <f>SUM(F3:F49)</f>
        <v>449200.66</v>
      </c>
    </row>
    <row r="51" spans="2:7" ht="19.5" thickBot="1" x14ac:dyDescent="0.35">
      <c r="B51" s="19"/>
      <c r="C51" s="20"/>
      <c r="D51" s="23" t="s">
        <v>3</v>
      </c>
      <c r="E51" s="25">
        <f>SUM(E3:E50)</f>
        <v>13210.810000000005</v>
      </c>
    </row>
    <row r="52" spans="2:7" x14ac:dyDescent="0.25">
      <c r="B52" s="19"/>
      <c r="C52" s="20"/>
      <c r="D52" s="21"/>
      <c r="E52" s="22"/>
    </row>
    <row r="53" spans="2:7" ht="21.75" thickBot="1" x14ac:dyDescent="0.4">
      <c r="B53" s="40"/>
      <c r="C53" s="27" t="s">
        <v>18</v>
      </c>
      <c r="D53" s="26">
        <f>E51*0.2</f>
        <v>2642.1620000000012</v>
      </c>
      <c r="F53"/>
    </row>
    <row r="54" spans="2:7" ht="21.75" thickBot="1" x14ac:dyDescent="0.4">
      <c r="C54" s="11" t="s">
        <v>422</v>
      </c>
      <c r="D54" s="61">
        <v>3000</v>
      </c>
      <c r="E54" s="62"/>
      <c r="F54" s="80">
        <f>D53+D54</f>
        <v>5642.1620000000012</v>
      </c>
      <c r="G54" s="81"/>
    </row>
    <row r="55" spans="2:7" ht="15.75" thickTop="1" x14ac:dyDescent="0.25"/>
    <row r="56" spans="2:7" ht="19.5" thickBot="1" x14ac:dyDescent="0.35">
      <c r="E56" s="65" t="s">
        <v>470</v>
      </c>
      <c r="F56" s="82">
        <v>-3000</v>
      </c>
      <c r="G56" s="82"/>
    </row>
    <row r="57" spans="2:7" ht="15.75" thickTop="1" x14ac:dyDescent="0.25">
      <c r="F57" s="83">
        <f>F54+F56</f>
        <v>2642.1620000000012</v>
      </c>
      <c r="G57" s="83"/>
    </row>
    <row r="58" spans="2:7" ht="18.75" x14ac:dyDescent="0.3">
      <c r="E58" s="47" t="s">
        <v>471</v>
      </c>
      <c r="F58" s="84"/>
      <c r="G58" s="84"/>
    </row>
  </sheetData>
  <mergeCells count="4">
    <mergeCell ref="B1:C1"/>
    <mergeCell ref="F54:G54"/>
    <mergeCell ref="F56:G56"/>
    <mergeCell ref="F57:G58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G58"/>
  <sheetViews>
    <sheetView topLeftCell="A31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7" ht="19.5" thickBot="1" x14ac:dyDescent="0.35">
      <c r="B1" s="79">
        <v>42271</v>
      </c>
      <c r="C1" s="78"/>
      <c r="D1" s="28" t="s">
        <v>15</v>
      </c>
      <c r="E1" s="47" t="s">
        <v>24</v>
      </c>
    </row>
    <row r="2" spans="2:7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472</v>
      </c>
      <c r="G2" s="63"/>
    </row>
    <row r="3" spans="2:7" ht="15.75" x14ac:dyDescent="0.25">
      <c r="B3" s="48">
        <v>42260</v>
      </c>
      <c r="C3" s="49" t="s">
        <v>473</v>
      </c>
      <c r="D3" s="50" t="s">
        <v>6</v>
      </c>
      <c r="E3" s="51">
        <v>909.9</v>
      </c>
      <c r="F3" s="52">
        <v>29571.75</v>
      </c>
    </row>
    <row r="4" spans="2:7" ht="15.75" x14ac:dyDescent="0.25">
      <c r="B4" s="53">
        <v>42260</v>
      </c>
      <c r="C4" s="54" t="s">
        <v>474</v>
      </c>
      <c r="D4" s="36" t="s">
        <v>15</v>
      </c>
      <c r="E4" s="55">
        <v>133.6</v>
      </c>
      <c r="F4" s="52">
        <v>400.8</v>
      </c>
    </row>
    <row r="5" spans="2:7" ht="15.75" x14ac:dyDescent="0.25">
      <c r="B5" s="53">
        <v>42261</v>
      </c>
      <c r="C5" s="54" t="s">
        <v>475</v>
      </c>
      <c r="D5" s="36" t="s">
        <v>4</v>
      </c>
      <c r="E5" s="55">
        <f>926.98+227.4+68+1+81.72+111.12+31</f>
        <v>1447.2200000000003</v>
      </c>
      <c r="F5" s="52">
        <v>45403.25</v>
      </c>
    </row>
    <row r="6" spans="2:7" ht="15.75" x14ac:dyDescent="0.25">
      <c r="B6" s="53">
        <v>42261</v>
      </c>
      <c r="C6" s="54" t="s">
        <v>476</v>
      </c>
      <c r="D6" s="36" t="s">
        <v>17</v>
      </c>
      <c r="E6" s="55">
        <v>155.4</v>
      </c>
      <c r="F6" s="52">
        <v>6216</v>
      </c>
    </row>
    <row r="7" spans="2:7" ht="15.75" x14ac:dyDescent="0.25">
      <c r="B7" s="53">
        <v>42261</v>
      </c>
      <c r="C7" s="54" t="s">
        <v>477</v>
      </c>
      <c r="D7" s="36" t="s">
        <v>5</v>
      </c>
      <c r="E7" s="55">
        <v>732.7</v>
      </c>
      <c r="F7" s="52">
        <v>23812.75</v>
      </c>
    </row>
    <row r="8" spans="2:7" ht="15.75" x14ac:dyDescent="0.25">
      <c r="B8" s="53">
        <v>42261</v>
      </c>
      <c r="C8" s="54" t="s">
        <v>478</v>
      </c>
      <c r="D8" s="36" t="s">
        <v>479</v>
      </c>
      <c r="E8" s="55">
        <f>152+180.6</f>
        <v>332.6</v>
      </c>
      <c r="F8" s="52">
        <v>10899.8</v>
      </c>
    </row>
    <row r="9" spans="2:7" ht="15.75" x14ac:dyDescent="0.25">
      <c r="B9" s="53">
        <v>42261</v>
      </c>
      <c r="C9" s="54" t="s">
        <v>480</v>
      </c>
      <c r="D9" s="36" t="s">
        <v>6</v>
      </c>
      <c r="E9" s="55">
        <f>28.1+81.72+173.92</f>
        <v>283.74</v>
      </c>
      <c r="F9" s="52">
        <v>8210.7000000000007</v>
      </c>
    </row>
    <row r="10" spans="2:7" ht="15.75" x14ac:dyDescent="0.25">
      <c r="B10" s="53">
        <v>42261</v>
      </c>
      <c r="C10" s="54" t="s">
        <v>481</v>
      </c>
      <c r="D10" s="36" t="s">
        <v>9</v>
      </c>
      <c r="E10" s="55">
        <v>264.60000000000002</v>
      </c>
      <c r="F10" s="52">
        <v>8731.7999999999993</v>
      </c>
    </row>
    <row r="11" spans="2:7" ht="15.75" x14ac:dyDescent="0.25">
      <c r="B11" s="53">
        <v>42261</v>
      </c>
      <c r="C11" s="54" t="s">
        <v>482</v>
      </c>
      <c r="D11" s="36" t="s">
        <v>7</v>
      </c>
      <c r="E11" s="55">
        <f>206+24.5</f>
        <v>230.5</v>
      </c>
      <c r="F11" s="52">
        <v>7337</v>
      </c>
    </row>
    <row r="12" spans="2:7" ht="15.75" x14ac:dyDescent="0.25">
      <c r="B12" s="53">
        <v>42261</v>
      </c>
      <c r="C12" s="54" t="s">
        <v>483</v>
      </c>
      <c r="D12" s="36" t="s">
        <v>16</v>
      </c>
      <c r="E12" s="55">
        <f>35+52.2</f>
        <v>87.2</v>
      </c>
      <c r="F12" s="52">
        <v>3332.6</v>
      </c>
    </row>
    <row r="13" spans="2:7" ht="15.75" x14ac:dyDescent="0.25">
      <c r="B13" s="53">
        <v>42261</v>
      </c>
      <c r="C13" s="54" t="s">
        <v>484</v>
      </c>
      <c r="D13" s="36" t="s">
        <v>16</v>
      </c>
      <c r="E13" s="55">
        <v>65.3</v>
      </c>
      <c r="F13" s="52">
        <v>2807.9</v>
      </c>
    </row>
    <row r="14" spans="2:7" ht="15.75" x14ac:dyDescent="0.25">
      <c r="B14" s="53">
        <v>42261</v>
      </c>
      <c r="C14" s="54" t="s">
        <v>485</v>
      </c>
      <c r="D14" s="36" t="s">
        <v>8</v>
      </c>
      <c r="E14" s="55">
        <v>79.2</v>
      </c>
      <c r="F14" s="52">
        <v>2574</v>
      </c>
    </row>
    <row r="15" spans="2:7" ht="15.75" x14ac:dyDescent="0.25">
      <c r="B15" s="53">
        <v>42261</v>
      </c>
      <c r="C15" s="54" t="s">
        <v>486</v>
      </c>
      <c r="D15" s="36" t="s">
        <v>4</v>
      </c>
      <c r="E15" s="55">
        <f>79.4+111.2</f>
        <v>190.60000000000002</v>
      </c>
      <c r="F15" s="52">
        <v>8704.2000000000007</v>
      </c>
    </row>
    <row r="16" spans="2:7" ht="15.75" x14ac:dyDescent="0.25">
      <c r="B16" s="53">
        <v>42261</v>
      </c>
      <c r="C16" s="54" t="s">
        <v>487</v>
      </c>
      <c r="D16" s="36" t="s">
        <v>17</v>
      </c>
      <c r="E16" s="55">
        <v>111.4</v>
      </c>
      <c r="F16" s="52">
        <v>4344.6000000000004</v>
      </c>
    </row>
    <row r="17" spans="2:6" ht="15.75" x14ac:dyDescent="0.25">
      <c r="B17" s="53">
        <v>42261</v>
      </c>
      <c r="C17" s="54" t="s">
        <v>488</v>
      </c>
      <c r="D17" s="36" t="s">
        <v>4</v>
      </c>
      <c r="E17" s="55">
        <f>31.2+100.6</f>
        <v>131.79999999999998</v>
      </c>
      <c r="F17" s="52">
        <v>6208.6</v>
      </c>
    </row>
    <row r="18" spans="2:6" ht="15.75" x14ac:dyDescent="0.25">
      <c r="B18" s="53">
        <v>42262</v>
      </c>
      <c r="C18" s="54" t="s">
        <v>489</v>
      </c>
      <c r="D18" s="36" t="s">
        <v>17</v>
      </c>
      <c r="E18" s="55">
        <f>15.7+17.1+55.6+189.8+103.8</f>
        <v>382.00000000000006</v>
      </c>
      <c r="F18" s="52">
        <v>14178.1</v>
      </c>
    </row>
    <row r="19" spans="2:6" ht="15.75" x14ac:dyDescent="0.25">
      <c r="B19" s="53">
        <v>42262</v>
      </c>
      <c r="C19" s="54" t="s">
        <v>490</v>
      </c>
      <c r="D19" s="36" t="s">
        <v>11</v>
      </c>
      <c r="E19" s="55">
        <f>16.7+39.27+123.4+175</f>
        <v>354.37</v>
      </c>
      <c r="F19" s="52">
        <v>11880.5</v>
      </c>
    </row>
    <row r="20" spans="2:6" ht="15.75" x14ac:dyDescent="0.25">
      <c r="B20" s="53">
        <v>42262</v>
      </c>
      <c r="C20" s="54" t="s">
        <v>491</v>
      </c>
      <c r="D20" s="36" t="s">
        <v>10</v>
      </c>
      <c r="E20" s="55">
        <f>31.2+84.2+23.95</f>
        <v>139.35</v>
      </c>
      <c r="F20" s="52">
        <v>3874.35</v>
      </c>
    </row>
    <row r="21" spans="2:6" ht="15.75" x14ac:dyDescent="0.25">
      <c r="B21" s="53">
        <v>42262</v>
      </c>
      <c r="C21" s="54" t="s">
        <v>492</v>
      </c>
      <c r="D21" s="36" t="s">
        <v>7</v>
      </c>
      <c r="E21" s="55">
        <f>1372+48.71</f>
        <v>1420.71</v>
      </c>
      <c r="F21" s="52">
        <v>46250.2</v>
      </c>
    </row>
    <row r="22" spans="2:6" x14ac:dyDescent="0.25">
      <c r="B22" s="53">
        <v>42262</v>
      </c>
      <c r="C22" s="56" t="s">
        <v>493</v>
      </c>
      <c r="D22" s="36" t="s">
        <v>6</v>
      </c>
      <c r="E22" s="55">
        <v>428.2</v>
      </c>
      <c r="F22" s="52">
        <v>14130.6</v>
      </c>
    </row>
    <row r="23" spans="2:6" ht="15.75" x14ac:dyDescent="0.25">
      <c r="B23" s="53">
        <v>42262</v>
      </c>
      <c r="C23" s="54" t="s">
        <v>494</v>
      </c>
      <c r="D23" s="36" t="s">
        <v>5</v>
      </c>
      <c r="E23" s="55">
        <v>880.6</v>
      </c>
      <c r="F23" s="52">
        <v>29059.5</v>
      </c>
    </row>
    <row r="24" spans="2:6" ht="15.75" x14ac:dyDescent="0.25">
      <c r="B24" s="53">
        <v>42262</v>
      </c>
      <c r="C24" s="54" t="s">
        <v>495</v>
      </c>
      <c r="D24" s="36" t="s">
        <v>16</v>
      </c>
      <c r="E24" s="55">
        <v>22.31</v>
      </c>
      <c r="F24" s="52">
        <v>468.51</v>
      </c>
    </row>
    <row r="25" spans="2:6" ht="15.75" x14ac:dyDescent="0.25">
      <c r="B25" s="53">
        <v>42264</v>
      </c>
      <c r="C25" s="54" t="s">
        <v>496</v>
      </c>
      <c r="D25" s="36" t="s">
        <v>4</v>
      </c>
      <c r="E25" s="55">
        <v>919.9</v>
      </c>
      <c r="F25" s="52">
        <v>28516.9</v>
      </c>
    </row>
    <row r="26" spans="2:6" ht="15.75" x14ac:dyDescent="0.25">
      <c r="B26" s="53">
        <v>42264</v>
      </c>
      <c r="C26" s="54" t="s">
        <v>497</v>
      </c>
      <c r="D26" s="36" t="s">
        <v>6</v>
      </c>
      <c r="E26" s="55">
        <v>38.799999999999997</v>
      </c>
      <c r="F26" s="52">
        <v>2483.1999999999998</v>
      </c>
    </row>
    <row r="27" spans="2:6" ht="15.75" x14ac:dyDescent="0.25">
      <c r="B27" s="53">
        <v>42264</v>
      </c>
      <c r="C27" s="54" t="s">
        <v>498</v>
      </c>
      <c r="D27" s="36" t="s">
        <v>10</v>
      </c>
      <c r="E27" s="55">
        <v>74.599999999999994</v>
      </c>
      <c r="F27" s="52">
        <v>2461.8000000000002</v>
      </c>
    </row>
    <row r="28" spans="2:6" ht="15.75" x14ac:dyDescent="0.25">
      <c r="B28" s="53">
        <v>42264</v>
      </c>
      <c r="C28" s="54" t="s">
        <v>499</v>
      </c>
      <c r="D28" s="36" t="s">
        <v>9</v>
      </c>
      <c r="E28" s="55">
        <f>56.7+137.4</f>
        <v>194.10000000000002</v>
      </c>
      <c r="F28" s="52">
        <v>7610.7</v>
      </c>
    </row>
    <row r="29" spans="2:6" ht="15.75" x14ac:dyDescent="0.25">
      <c r="B29" s="53">
        <v>42264</v>
      </c>
      <c r="C29" s="54" t="s">
        <v>500</v>
      </c>
      <c r="D29" s="36" t="s">
        <v>17</v>
      </c>
      <c r="E29" s="55">
        <f>38.9+96+124.8</f>
        <v>259.7</v>
      </c>
      <c r="F29" s="52">
        <v>10642.1</v>
      </c>
    </row>
    <row r="30" spans="2:6" ht="15.75" x14ac:dyDescent="0.25">
      <c r="B30" s="53">
        <v>42264</v>
      </c>
      <c r="C30" s="54" t="s">
        <v>501</v>
      </c>
      <c r="D30" s="36" t="s">
        <v>11</v>
      </c>
      <c r="E30" s="55">
        <f>11.2+74.6</f>
        <v>85.8</v>
      </c>
      <c r="F30" s="52">
        <v>3465.4</v>
      </c>
    </row>
    <row r="31" spans="2:6" x14ac:dyDescent="0.25">
      <c r="B31" s="53">
        <v>42265</v>
      </c>
      <c r="C31" s="56" t="s">
        <v>502</v>
      </c>
      <c r="D31" s="36" t="s">
        <v>16</v>
      </c>
      <c r="E31" s="55">
        <v>91.6</v>
      </c>
      <c r="F31" s="52">
        <v>3022.8</v>
      </c>
    </row>
    <row r="32" spans="2:6" ht="15.75" x14ac:dyDescent="0.25">
      <c r="B32" s="53">
        <v>42265</v>
      </c>
      <c r="C32" s="54" t="s">
        <v>503</v>
      </c>
      <c r="D32" s="36" t="s">
        <v>10</v>
      </c>
      <c r="E32" s="55">
        <f>26.4+9.4+4.7</f>
        <v>40.5</v>
      </c>
      <c r="F32" s="52">
        <v>1450.1</v>
      </c>
    </row>
    <row r="33" spans="2:6" x14ac:dyDescent="0.25">
      <c r="B33" s="53">
        <v>42265</v>
      </c>
      <c r="C33" s="56" t="s">
        <v>504</v>
      </c>
      <c r="D33" s="36" t="s">
        <v>7</v>
      </c>
      <c r="E33" s="55">
        <v>710.4</v>
      </c>
      <c r="F33" s="52">
        <v>23443.200000000001</v>
      </c>
    </row>
    <row r="34" spans="2:6" x14ac:dyDescent="0.25">
      <c r="B34" s="53">
        <v>42265</v>
      </c>
      <c r="C34" s="56" t="s">
        <v>505</v>
      </c>
      <c r="D34" s="36" t="s">
        <v>17</v>
      </c>
      <c r="E34" s="55">
        <f>11.2+27.22+125.8</f>
        <v>164.22</v>
      </c>
      <c r="F34" s="52">
        <v>6650.6</v>
      </c>
    </row>
    <row r="35" spans="2:6" x14ac:dyDescent="0.25">
      <c r="B35" s="53">
        <v>42265</v>
      </c>
      <c r="C35" s="56" t="s">
        <v>506</v>
      </c>
      <c r="D35" s="36" t="s">
        <v>5</v>
      </c>
      <c r="E35" s="55">
        <f>17.9+62.2+642</f>
        <v>722.1</v>
      </c>
      <c r="F35" s="52">
        <v>22841.7</v>
      </c>
    </row>
    <row r="36" spans="2:6" x14ac:dyDescent="0.25">
      <c r="B36" s="53">
        <v>42265</v>
      </c>
      <c r="C36" s="56" t="s">
        <v>507</v>
      </c>
      <c r="D36" s="36" t="s">
        <v>9</v>
      </c>
      <c r="E36" s="55">
        <v>392.6</v>
      </c>
      <c r="F36" s="52">
        <v>12170.6</v>
      </c>
    </row>
    <row r="37" spans="2:6" x14ac:dyDescent="0.25">
      <c r="B37" s="53">
        <v>42265</v>
      </c>
      <c r="C37" s="56" t="s">
        <v>508</v>
      </c>
      <c r="D37" s="36" t="s">
        <v>17</v>
      </c>
      <c r="E37" s="59">
        <v>30.9</v>
      </c>
      <c r="F37" s="52">
        <v>1205.0999999999999</v>
      </c>
    </row>
    <row r="38" spans="2:6" x14ac:dyDescent="0.25">
      <c r="B38" s="53">
        <v>42265</v>
      </c>
      <c r="C38" s="56" t="s">
        <v>509</v>
      </c>
      <c r="D38" s="36" t="s">
        <v>8</v>
      </c>
      <c r="E38" s="59">
        <v>23.7</v>
      </c>
      <c r="F38" s="52">
        <v>948</v>
      </c>
    </row>
    <row r="39" spans="2:6" x14ac:dyDescent="0.25">
      <c r="B39" s="53">
        <v>42265</v>
      </c>
      <c r="C39" s="56" t="s">
        <v>510</v>
      </c>
      <c r="D39" s="36" t="s">
        <v>11</v>
      </c>
      <c r="E39" s="59">
        <v>92.2</v>
      </c>
      <c r="F39" s="52">
        <v>3042.6</v>
      </c>
    </row>
    <row r="40" spans="2:6" x14ac:dyDescent="0.25">
      <c r="B40" s="53">
        <v>42266</v>
      </c>
      <c r="C40" s="56" t="s">
        <v>511</v>
      </c>
      <c r="D40" s="36" t="s">
        <v>8</v>
      </c>
      <c r="E40" s="59">
        <v>58.69</v>
      </c>
      <c r="F40" s="52">
        <v>1819.39</v>
      </c>
    </row>
    <row r="41" spans="2:6" x14ac:dyDescent="0.25">
      <c r="B41" s="53">
        <v>42266</v>
      </c>
      <c r="C41" s="56" t="s">
        <v>512</v>
      </c>
      <c r="D41" s="36" t="s">
        <v>6</v>
      </c>
      <c r="E41" s="59">
        <f>205+36.4</f>
        <v>241.4</v>
      </c>
      <c r="F41" s="52">
        <v>4732.2</v>
      </c>
    </row>
    <row r="42" spans="2:6" x14ac:dyDescent="0.25">
      <c r="B42" s="53">
        <v>42266</v>
      </c>
      <c r="C42" s="56" t="s">
        <v>513</v>
      </c>
      <c r="D42" s="36" t="s">
        <v>10</v>
      </c>
      <c r="E42" s="59">
        <v>1</v>
      </c>
      <c r="F42" s="52">
        <v>720</v>
      </c>
    </row>
    <row r="43" spans="2:6" x14ac:dyDescent="0.25">
      <c r="B43" s="53">
        <v>42266</v>
      </c>
      <c r="C43" s="56" t="s">
        <v>514</v>
      </c>
      <c r="D43" s="36" t="s">
        <v>17</v>
      </c>
      <c r="E43" s="59">
        <f>218.2+126</f>
        <v>344.2</v>
      </c>
      <c r="F43" s="52">
        <v>13549.8</v>
      </c>
    </row>
    <row r="44" spans="2:6" x14ac:dyDescent="0.25">
      <c r="B44" s="33">
        <v>42266</v>
      </c>
      <c r="C44" s="12" t="s">
        <v>516</v>
      </c>
      <c r="D44" s="34" t="s">
        <v>9</v>
      </c>
      <c r="E44" s="59">
        <f>131.2+264.2</f>
        <v>395.4</v>
      </c>
      <c r="F44" s="52">
        <v>12785.8</v>
      </c>
    </row>
    <row r="45" spans="2:6" x14ac:dyDescent="0.25">
      <c r="B45" s="33">
        <v>42266</v>
      </c>
      <c r="C45" s="12" t="s">
        <v>515</v>
      </c>
      <c r="D45" s="34" t="s">
        <v>11</v>
      </c>
      <c r="E45" s="59">
        <f>78.8+161.4</f>
        <v>240.2</v>
      </c>
      <c r="F45" s="52">
        <v>8714.6</v>
      </c>
    </row>
    <row r="46" spans="2:6" x14ac:dyDescent="0.25">
      <c r="B46" s="33"/>
      <c r="C46" s="12"/>
      <c r="D46" s="34"/>
      <c r="E46" s="59"/>
      <c r="F46" s="52"/>
    </row>
    <row r="47" spans="2:6" x14ac:dyDescent="0.25">
      <c r="B47" s="33"/>
      <c r="C47" s="12"/>
      <c r="D47" s="34"/>
      <c r="E47" s="59"/>
      <c r="F47" s="52"/>
    </row>
    <row r="48" spans="2:6" x14ac:dyDescent="0.25">
      <c r="B48" s="33"/>
      <c r="C48" s="12"/>
      <c r="D48" s="34"/>
      <c r="E48" s="59"/>
      <c r="F48" s="52"/>
    </row>
    <row r="49" spans="2:7" ht="15.75" thickBot="1" x14ac:dyDescent="0.3">
      <c r="B49" s="33"/>
      <c r="C49" s="12"/>
      <c r="D49" s="34"/>
      <c r="E49" s="58"/>
      <c r="F49" s="45"/>
    </row>
    <row r="50" spans="2:7" ht="15.75" thickBot="1" x14ac:dyDescent="0.3">
      <c r="B50" s="16"/>
      <c r="C50" s="17"/>
      <c r="D50" s="18"/>
      <c r="E50" s="44">
        <v>0</v>
      </c>
      <c r="F50" s="43">
        <f>SUM(F3:F49)</f>
        <v>460674.09999999992</v>
      </c>
    </row>
    <row r="51" spans="2:7" ht="19.5" thickBot="1" x14ac:dyDescent="0.35">
      <c r="B51" s="19"/>
      <c r="C51" s="20"/>
      <c r="D51" s="23" t="s">
        <v>3</v>
      </c>
      <c r="E51" s="25">
        <f>SUM(E3:E50)</f>
        <v>13905.310000000003</v>
      </c>
    </row>
    <row r="52" spans="2:7" x14ac:dyDescent="0.25">
      <c r="B52" s="19"/>
      <c r="C52" s="20"/>
      <c r="D52" s="21"/>
      <c r="E52" s="22"/>
    </row>
    <row r="53" spans="2:7" ht="21.75" thickBot="1" x14ac:dyDescent="0.4">
      <c r="B53" s="40"/>
      <c r="C53" s="27" t="s">
        <v>18</v>
      </c>
      <c r="D53" s="26">
        <f>E51*0.2</f>
        <v>2781.0620000000008</v>
      </c>
      <c r="F53"/>
    </row>
    <row r="54" spans="2:7" ht="21.75" thickBot="1" x14ac:dyDescent="0.4">
      <c r="C54" s="11" t="s">
        <v>422</v>
      </c>
      <c r="D54" s="61">
        <v>3000</v>
      </c>
      <c r="E54" s="62"/>
      <c r="F54" s="80">
        <f>D53+D54</f>
        <v>5781.0620000000008</v>
      </c>
      <c r="G54" s="81"/>
    </row>
    <row r="55" spans="2:7" ht="15.75" thickTop="1" x14ac:dyDescent="0.25"/>
    <row r="56" spans="2:7" ht="19.5" thickBot="1" x14ac:dyDescent="0.35">
      <c r="E56" s="65" t="s">
        <v>470</v>
      </c>
      <c r="F56" s="82">
        <v>-3000</v>
      </c>
      <c r="G56" s="82"/>
    </row>
    <row r="57" spans="2:7" ht="15.75" thickTop="1" x14ac:dyDescent="0.25">
      <c r="F57" s="83">
        <f>F54+F56</f>
        <v>2781.0620000000008</v>
      </c>
      <c r="G57" s="83"/>
    </row>
    <row r="58" spans="2:7" ht="18.75" x14ac:dyDescent="0.3">
      <c r="E58" s="47" t="s">
        <v>471</v>
      </c>
      <c r="F58" s="84"/>
      <c r="G58" s="84"/>
    </row>
  </sheetData>
  <mergeCells count="4">
    <mergeCell ref="B1:C1"/>
    <mergeCell ref="F54:G54"/>
    <mergeCell ref="F56:G56"/>
    <mergeCell ref="F57:G58"/>
  </mergeCells>
  <pageMargins left="0.70866141732283472" right="0.70866141732283472" top="0.74803149606299213" bottom="0.15748031496062992" header="0.31496062992125984" footer="0.31496062992125984"/>
  <pageSetup scale="8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58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7" ht="19.5" thickBot="1" x14ac:dyDescent="0.35">
      <c r="B1" s="79">
        <v>42276</v>
      </c>
      <c r="C1" s="78"/>
      <c r="D1" s="28" t="s">
        <v>15</v>
      </c>
      <c r="E1" s="47" t="s">
        <v>24</v>
      </c>
    </row>
    <row r="2" spans="2:7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517</v>
      </c>
      <c r="G2" s="63"/>
    </row>
    <row r="3" spans="2:7" ht="15.75" x14ac:dyDescent="0.25">
      <c r="B3" s="48">
        <v>42258</v>
      </c>
      <c r="C3" s="49" t="s">
        <v>518</v>
      </c>
      <c r="D3" s="50" t="s">
        <v>17</v>
      </c>
      <c r="E3" s="51">
        <v>171.6</v>
      </c>
      <c r="F3" s="52">
        <v>6692.4</v>
      </c>
    </row>
    <row r="4" spans="2:7" ht="15.75" x14ac:dyDescent="0.25">
      <c r="B4" s="53">
        <v>42266</v>
      </c>
      <c r="C4" s="54" t="s">
        <v>519</v>
      </c>
      <c r="D4" s="36" t="s">
        <v>16</v>
      </c>
      <c r="E4" s="55">
        <f>46.7+39+55.4+63.5</f>
        <v>204.6</v>
      </c>
      <c r="F4" s="52">
        <v>5442.5</v>
      </c>
    </row>
    <row r="5" spans="2:7" ht="15.75" x14ac:dyDescent="0.25">
      <c r="B5" s="53">
        <v>42266</v>
      </c>
      <c r="C5" s="54" t="s">
        <v>520</v>
      </c>
      <c r="D5" s="36" t="s">
        <v>521</v>
      </c>
      <c r="E5" s="55">
        <v>145.4</v>
      </c>
      <c r="F5" s="52">
        <v>581.6</v>
      </c>
    </row>
    <row r="6" spans="2:7" ht="15.75" x14ac:dyDescent="0.25">
      <c r="B6" s="53">
        <v>42267</v>
      </c>
      <c r="C6" s="54" t="s">
        <v>522</v>
      </c>
      <c r="D6" s="36" t="s">
        <v>16</v>
      </c>
      <c r="E6" s="55">
        <f>220.2+146.8</f>
        <v>367</v>
      </c>
      <c r="F6" s="52">
        <v>11670.6</v>
      </c>
    </row>
    <row r="7" spans="2:7" ht="15.75" x14ac:dyDescent="0.25">
      <c r="B7" s="53">
        <v>42268</v>
      </c>
      <c r="C7" s="54" t="s">
        <v>523</v>
      </c>
      <c r="D7" s="36" t="s">
        <v>9</v>
      </c>
      <c r="E7" s="55">
        <v>48.6</v>
      </c>
      <c r="F7" s="52">
        <v>1506.6</v>
      </c>
    </row>
    <row r="8" spans="2:7" ht="15.75" x14ac:dyDescent="0.25">
      <c r="B8" s="53">
        <v>42268</v>
      </c>
      <c r="C8" s="54" t="s">
        <v>524</v>
      </c>
      <c r="D8" s="36" t="s">
        <v>10</v>
      </c>
      <c r="E8" s="55">
        <v>72.2</v>
      </c>
      <c r="F8" s="52">
        <v>2382.6</v>
      </c>
    </row>
    <row r="9" spans="2:7" ht="15.75" x14ac:dyDescent="0.25">
      <c r="B9" s="53">
        <v>42268</v>
      </c>
      <c r="C9" s="54" t="s">
        <v>525</v>
      </c>
      <c r="D9" s="36" t="s">
        <v>11</v>
      </c>
      <c r="E9" s="55">
        <f>14+23</f>
        <v>37</v>
      </c>
      <c r="F9" s="52">
        <v>1357</v>
      </c>
    </row>
    <row r="10" spans="2:7" ht="15.75" x14ac:dyDescent="0.25">
      <c r="B10" s="53">
        <v>42268</v>
      </c>
      <c r="C10" s="54" t="s">
        <v>526</v>
      </c>
      <c r="D10" s="36" t="s">
        <v>7</v>
      </c>
      <c r="E10" s="55">
        <v>367.8</v>
      </c>
      <c r="F10" s="52">
        <v>12137.4</v>
      </c>
    </row>
    <row r="11" spans="2:7" ht="15.75" x14ac:dyDescent="0.25">
      <c r="B11" s="53">
        <v>42268</v>
      </c>
      <c r="C11" s="54" t="s">
        <v>527</v>
      </c>
      <c r="D11" s="36" t="s">
        <v>5</v>
      </c>
      <c r="E11" s="55">
        <v>399.1</v>
      </c>
      <c r="F11" s="52">
        <v>13170.3</v>
      </c>
    </row>
    <row r="12" spans="2:7" ht="15.75" x14ac:dyDescent="0.25">
      <c r="B12" s="53">
        <v>42268</v>
      </c>
      <c r="C12" s="54" t="s">
        <v>528</v>
      </c>
      <c r="D12" s="36" t="s">
        <v>8</v>
      </c>
      <c r="E12" s="55">
        <v>70.599999999999994</v>
      </c>
      <c r="F12" s="52">
        <v>2824</v>
      </c>
    </row>
    <row r="13" spans="2:7" ht="15.75" x14ac:dyDescent="0.25">
      <c r="B13" s="53">
        <v>42268</v>
      </c>
      <c r="C13" s="54" t="s">
        <v>529</v>
      </c>
      <c r="D13" s="36" t="s">
        <v>6</v>
      </c>
      <c r="E13" s="55">
        <v>393.8</v>
      </c>
      <c r="F13" s="52">
        <v>12995.4</v>
      </c>
    </row>
    <row r="14" spans="2:7" ht="15.75" x14ac:dyDescent="0.25">
      <c r="B14" s="53">
        <v>42268</v>
      </c>
      <c r="C14" s="54" t="s">
        <v>530</v>
      </c>
      <c r="D14" s="36" t="s">
        <v>9</v>
      </c>
      <c r="E14" s="55">
        <f>424.7+183.4</f>
        <v>608.1</v>
      </c>
      <c r="F14" s="52">
        <v>21351.1</v>
      </c>
    </row>
    <row r="15" spans="2:7" ht="15.75" x14ac:dyDescent="0.25">
      <c r="B15" s="53">
        <v>42268</v>
      </c>
      <c r="C15" s="54" t="s">
        <v>531</v>
      </c>
      <c r="D15" s="36" t="s">
        <v>17</v>
      </c>
      <c r="E15" s="55">
        <v>170.2</v>
      </c>
      <c r="F15" s="52">
        <v>6808</v>
      </c>
    </row>
    <row r="16" spans="2:7" ht="15.75" x14ac:dyDescent="0.25">
      <c r="B16" s="53">
        <v>42269</v>
      </c>
      <c r="C16" s="54" t="s">
        <v>532</v>
      </c>
      <c r="D16" s="36" t="s">
        <v>4</v>
      </c>
      <c r="E16" s="55">
        <v>170</v>
      </c>
      <c r="F16" s="52">
        <v>5610</v>
      </c>
    </row>
    <row r="17" spans="2:6" ht="15.75" x14ac:dyDescent="0.25">
      <c r="B17" s="53">
        <v>42269</v>
      </c>
      <c r="C17" s="54" t="s">
        <v>533</v>
      </c>
      <c r="D17" s="36" t="s">
        <v>16</v>
      </c>
      <c r="E17" s="55">
        <v>155.4</v>
      </c>
      <c r="F17" s="52">
        <v>5128.2</v>
      </c>
    </row>
    <row r="18" spans="2:6" ht="15.75" x14ac:dyDescent="0.25">
      <c r="B18" s="53">
        <v>42269</v>
      </c>
      <c r="C18" s="54" t="s">
        <v>534</v>
      </c>
      <c r="D18" s="36" t="s">
        <v>7</v>
      </c>
      <c r="E18" s="55">
        <v>236.8</v>
      </c>
      <c r="F18" s="52">
        <v>7814.4</v>
      </c>
    </row>
    <row r="19" spans="2:6" ht="15.75" x14ac:dyDescent="0.25">
      <c r="B19" s="53">
        <v>42269</v>
      </c>
      <c r="C19" s="54" t="s">
        <v>535</v>
      </c>
      <c r="D19" s="36" t="s">
        <v>17</v>
      </c>
      <c r="E19" s="55">
        <v>64.2</v>
      </c>
      <c r="F19" s="52">
        <v>2568</v>
      </c>
    </row>
    <row r="20" spans="2:6" ht="15.75" x14ac:dyDescent="0.25">
      <c r="B20" s="53">
        <v>42269</v>
      </c>
      <c r="C20" s="54" t="s">
        <v>536</v>
      </c>
      <c r="D20" s="36" t="s">
        <v>11</v>
      </c>
      <c r="E20" s="55">
        <v>75.400000000000006</v>
      </c>
      <c r="F20" s="52">
        <v>2488.1999999999998</v>
      </c>
    </row>
    <row r="21" spans="2:6" ht="15.75" x14ac:dyDescent="0.25">
      <c r="B21" s="53">
        <v>42269</v>
      </c>
      <c r="C21" s="54" t="s">
        <v>537</v>
      </c>
      <c r="D21" s="36" t="s">
        <v>6</v>
      </c>
      <c r="E21" s="55">
        <v>113</v>
      </c>
      <c r="F21" s="52">
        <v>2147</v>
      </c>
    </row>
    <row r="22" spans="2:6" x14ac:dyDescent="0.25">
      <c r="B22" s="53">
        <v>42269</v>
      </c>
      <c r="C22" s="56" t="s">
        <v>538</v>
      </c>
      <c r="D22" s="36" t="s">
        <v>5</v>
      </c>
      <c r="E22" s="55">
        <v>51.3</v>
      </c>
      <c r="F22" s="52">
        <v>1590.3</v>
      </c>
    </row>
    <row r="23" spans="2:6" ht="15.75" x14ac:dyDescent="0.25">
      <c r="B23" s="53">
        <v>42269</v>
      </c>
      <c r="C23" s="54" t="s">
        <v>539</v>
      </c>
      <c r="D23" s="36" t="s">
        <v>17</v>
      </c>
      <c r="E23" s="55">
        <f>117.8+98</f>
        <v>215.8</v>
      </c>
      <c r="F23" s="52">
        <v>8534</v>
      </c>
    </row>
    <row r="24" spans="2:6" ht="15.75" x14ac:dyDescent="0.25">
      <c r="B24" s="53">
        <v>42270</v>
      </c>
      <c r="C24" s="54" t="s">
        <v>540</v>
      </c>
      <c r="D24" s="36" t="s">
        <v>17</v>
      </c>
      <c r="E24" s="55">
        <f>964.63+35.4+122.4</f>
        <v>1122.43</v>
      </c>
      <c r="F24" s="52">
        <v>33528.120000000003</v>
      </c>
    </row>
    <row r="25" spans="2:6" ht="15.75" x14ac:dyDescent="0.25">
      <c r="B25" s="53">
        <v>42270</v>
      </c>
      <c r="C25" s="54" t="s">
        <v>541</v>
      </c>
      <c r="D25" s="36" t="s">
        <v>11</v>
      </c>
      <c r="E25" s="55">
        <f>4.8+94</f>
        <v>98.8</v>
      </c>
      <c r="F25" s="52">
        <v>3456.2</v>
      </c>
    </row>
    <row r="26" spans="2:6" ht="15.75" x14ac:dyDescent="0.25">
      <c r="B26" s="53">
        <v>42270</v>
      </c>
      <c r="C26" s="54" t="s">
        <v>542</v>
      </c>
      <c r="D26" s="36" t="s">
        <v>6</v>
      </c>
      <c r="E26" s="55">
        <f>91.8+12.1+295.2</f>
        <v>399.09999999999997</v>
      </c>
      <c r="F26" s="52">
        <v>11863.3</v>
      </c>
    </row>
    <row r="27" spans="2:6" ht="15.75" x14ac:dyDescent="0.25">
      <c r="B27" s="53">
        <v>42270</v>
      </c>
      <c r="C27" s="54" t="s">
        <v>543</v>
      </c>
      <c r="D27" s="36" t="s">
        <v>16</v>
      </c>
      <c r="E27" s="55">
        <f>36.7+51</f>
        <v>87.7</v>
      </c>
      <c r="F27" s="52">
        <v>3408.15</v>
      </c>
    </row>
    <row r="28" spans="2:6" ht="15.75" x14ac:dyDescent="0.25">
      <c r="B28" s="53">
        <v>42270</v>
      </c>
      <c r="C28" s="54" t="s">
        <v>544</v>
      </c>
      <c r="D28" s="36" t="s">
        <v>5</v>
      </c>
      <c r="E28" s="55">
        <v>224.8</v>
      </c>
      <c r="F28" s="52">
        <v>7530.8</v>
      </c>
    </row>
    <row r="29" spans="2:6" ht="15.75" x14ac:dyDescent="0.25">
      <c r="B29" s="53">
        <v>42270</v>
      </c>
      <c r="C29" s="54" t="s">
        <v>545</v>
      </c>
      <c r="D29" s="36" t="s">
        <v>9</v>
      </c>
      <c r="E29" s="55">
        <v>79.2</v>
      </c>
      <c r="F29" s="52">
        <v>2653.2</v>
      </c>
    </row>
    <row r="30" spans="2:6" ht="15.75" x14ac:dyDescent="0.25">
      <c r="B30" s="53">
        <v>42271</v>
      </c>
      <c r="C30" s="54" t="s">
        <v>546</v>
      </c>
      <c r="D30" s="36" t="s">
        <v>4</v>
      </c>
      <c r="E30" s="55">
        <f>910.66+66.6+30.4</f>
        <v>1007.66</v>
      </c>
      <c r="F30" s="52">
        <v>28458.55</v>
      </c>
    </row>
    <row r="31" spans="2:6" x14ac:dyDescent="0.25">
      <c r="B31" s="53">
        <v>42271</v>
      </c>
      <c r="C31" s="56" t="s">
        <v>547</v>
      </c>
      <c r="D31" s="36" t="s">
        <v>6</v>
      </c>
      <c r="E31" s="55">
        <f>4+54+172.8</f>
        <v>230.8</v>
      </c>
      <c r="F31" s="52">
        <v>11044.8</v>
      </c>
    </row>
    <row r="32" spans="2:6" ht="15.75" x14ac:dyDescent="0.25">
      <c r="B32" s="53">
        <v>42271</v>
      </c>
      <c r="C32" s="54" t="s">
        <v>548</v>
      </c>
      <c r="D32" s="36" t="s">
        <v>11</v>
      </c>
      <c r="E32" s="55">
        <f>80.2+73.2</f>
        <v>153.4</v>
      </c>
      <c r="F32" s="52">
        <v>5212.1000000000004</v>
      </c>
    </row>
    <row r="33" spans="2:6" x14ac:dyDescent="0.25">
      <c r="B33" s="53">
        <v>42271</v>
      </c>
      <c r="C33" s="56" t="s">
        <v>549</v>
      </c>
      <c r="D33" s="36" t="s">
        <v>16</v>
      </c>
      <c r="E33" s="55">
        <v>154</v>
      </c>
      <c r="F33" s="52">
        <v>5159</v>
      </c>
    </row>
    <row r="34" spans="2:6" x14ac:dyDescent="0.25">
      <c r="B34" s="53">
        <v>42271</v>
      </c>
      <c r="C34" s="56" t="s">
        <v>550</v>
      </c>
      <c r="D34" s="36" t="s">
        <v>5</v>
      </c>
      <c r="E34" s="55">
        <f>50.8+230.8</f>
        <v>281.60000000000002</v>
      </c>
      <c r="F34" s="52">
        <v>9179.6</v>
      </c>
    </row>
    <row r="35" spans="2:6" x14ac:dyDescent="0.25">
      <c r="B35" s="53">
        <v>42271</v>
      </c>
      <c r="C35" s="56" t="s">
        <v>551</v>
      </c>
      <c r="D35" s="36" t="s">
        <v>552</v>
      </c>
      <c r="E35" s="55">
        <f>73.4+43.1</f>
        <v>116.5</v>
      </c>
      <c r="F35" s="52">
        <v>3277.8</v>
      </c>
    </row>
    <row r="36" spans="2:6" x14ac:dyDescent="0.25">
      <c r="B36" s="53">
        <v>42272</v>
      </c>
      <c r="C36" s="56" t="s">
        <v>553</v>
      </c>
      <c r="D36" s="36" t="s">
        <v>8</v>
      </c>
      <c r="E36" s="55">
        <f>51.7+61.6</f>
        <v>113.30000000000001</v>
      </c>
      <c r="F36" s="52">
        <v>2081.1999999999998</v>
      </c>
    </row>
    <row r="37" spans="2:6" x14ac:dyDescent="0.25">
      <c r="B37" s="53">
        <v>42272</v>
      </c>
      <c r="C37" s="56" t="s">
        <v>554</v>
      </c>
      <c r="D37" s="36" t="s">
        <v>6</v>
      </c>
      <c r="E37" s="59">
        <v>277.39999999999998</v>
      </c>
      <c r="F37" s="52">
        <v>7905.9</v>
      </c>
    </row>
    <row r="38" spans="2:6" x14ac:dyDescent="0.25">
      <c r="B38" s="53">
        <v>42272</v>
      </c>
      <c r="C38" s="56" t="s">
        <v>555</v>
      </c>
      <c r="D38" s="36" t="s">
        <v>9</v>
      </c>
      <c r="E38" s="59">
        <f>415.8</f>
        <v>415.8</v>
      </c>
      <c r="F38" s="52">
        <v>11850.3</v>
      </c>
    </row>
    <row r="39" spans="2:6" x14ac:dyDescent="0.25">
      <c r="B39" s="53">
        <v>42272</v>
      </c>
      <c r="C39" s="56" t="s">
        <v>556</v>
      </c>
      <c r="D39" s="36" t="s">
        <v>5</v>
      </c>
      <c r="E39" s="59">
        <v>381.2</v>
      </c>
      <c r="F39" s="52">
        <v>12770.2</v>
      </c>
    </row>
    <row r="40" spans="2:6" x14ac:dyDescent="0.25">
      <c r="B40" s="53">
        <v>42272</v>
      </c>
      <c r="C40" s="56" t="s">
        <v>557</v>
      </c>
      <c r="D40" s="36" t="s">
        <v>11</v>
      </c>
      <c r="E40" s="59">
        <f>74+36.9</f>
        <v>110.9</v>
      </c>
      <c r="F40" s="52">
        <v>4139.7</v>
      </c>
    </row>
    <row r="41" spans="2:6" x14ac:dyDescent="0.25">
      <c r="B41" s="53">
        <v>42272</v>
      </c>
      <c r="C41" s="56" t="s">
        <v>558</v>
      </c>
      <c r="D41" s="36" t="s">
        <v>10</v>
      </c>
      <c r="E41" s="59">
        <v>23.4</v>
      </c>
      <c r="F41" s="52">
        <v>1076.4000000000001</v>
      </c>
    </row>
    <row r="42" spans="2:6" x14ac:dyDescent="0.25">
      <c r="B42" s="53">
        <v>42272</v>
      </c>
      <c r="C42" s="56" t="s">
        <v>559</v>
      </c>
      <c r="D42" s="36" t="s">
        <v>16</v>
      </c>
      <c r="E42" s="59">
        <f>25.9+41.4</f>
        <v>67.3</v>
      </c>
      <c r="F42" s="52">
        <v>2529.0500000000002</v>
      </c>
    </row>
    <row r="43" spans="2:6" x14ac:dyDescent="0.25">
      <c r="B43" s="53">
        <v>42273</v>
      </c>
      <c r="C43" s="56" t="s">
        <v>560</v>
      </c>
      <c r="D43" s="36" t="s">
        <v>4</v>
      </c>
      <c r="E43" s="59">
        <f>24.8+28.9+89.6+243</f>
        <v>386.3</v>
      </c>
      <c r="F43" s="52">
        <v>16458.400000000001</v>
      </c>
    </row>
    <row r="44" spans="2:6" x14ac:dyDescent="0.25">
      <c r="B44" s="33">
        <v>42273</v>
      </c>
      <c r="C44" s="12" t="s">
        <v>561</v>
      </c>
      <c r="D44" s="34" t="s">
        <v>9</v>
      </c>
      <c r="E44" s="59">
        <f>23+210+276.6</f>
        <v>509.6</v>
      </c>
      <c r="F44" s="52">
        <v>18420.400000000001</v>
      </c>
    </row>
    <row r="45" spans="2:6" x14ac:dyDescent="0.25">
      <c r="B45" s="33">
        <v>42273</v>
      </c>
      <c r="C45" s="12" t="s">
        <v>562</v>
      </c>
      <c r="D45" s="34" t="s">
        <v>11</v>
      </c>
      <c r="E45" s="59">
        <f>16.7+70.5+232.8</f>
        <v>320</v>
      </c>
      <c r="F45" s="52">
        <v>11563.6</v>
      </c>
    </row>
    <row r="46" spans="2:6" x14ac:dyDescent="0.25">
      <c r="B46" s="33">
        <v>42273</v>
      </c>
      <c r="C46" s="12" t="s">
        <v>563</v>
      </c>
      <c r="D46" s="34" t="s">
        <v>5</v>
      </c>
      <c r="E46" s="59">
        <v>833.4</v>
      </c>
      <c r="F46" s="52">
        <v>28335.599999999999</v>
      </c>
    </row>
    <row r="47" spans="2:6" x14ac:dyDescent="0.25">
      <c r="B47" s="33">
        <v>42273</v>
      </c>
      <c r="C47" s="12" t="s">
        <v>564</v>
      </c>
      <c r="D47" s="34" t="s">
        <v>6</v>
      </c>
      <c r="E47" s="59">
        <v>278</v>
      </c>
      <c r="F47" s="52">
        <v>8062</v>
      </c>
    </row>
    <row r="48" spans="2:6" x14ac:dyDescent="0.25">
      <c r="B48" s="33">
        <v>42273</v>
      </c>
      <c r="C48" s="12" t="s">
        <v>565</v>
      </c>
      <c r="D48" s="34" t="s">
        <v>10</v>
      </c>
      <c r="E48" s="59">
        <v>40.299999999999997</v>
      </c>
      <c r="F48" s="52">
        <v>1732.9</v>
      </c>
    </row>
    <row r="49" spans="2:7" ht="15.75" thickBot="1" x14ac:dyDescent="0.3">
      <c r="B49" s="33">
        <v>42273</v>
      </c>
      <c r="C49" s="12" t="s">
        <v>566</v>
      </c>
      <c r="D49" s="34" t="s">
        <v>16</v>
      </c>
      <c r="E49" s="58">
        <v>10.1</v>
      </c>
      <c r="F49" s="45">
        <v>505</v>
      </c>
    </row>
    <row r="50" spans="2:7" ht="15.75" thickBot="1" x14ac:dyDescent="0.3">
      <c r="B50" s="16"/>
      <c r="C50" s="17"/>
      <c r="D50" s="18"/>
      <c r="E50" s="44">
        <v>0</v>
      </c>
      <c r="F50" s="43">
        <f>SUM(F3:F49)</f>
        <v>387001.87</v>
      </c>
    </row>
    <row r="51" spans="2:7" ht="19.5" thickBot="1" x14ac:dyDescent="0.35">
      <c r="B51" s="19"/>
      <c r="C51" s="20"/>
      <c r="D51" s="23" t="s">
        <v>3</v>
      </c>
      <c r="E51" s="25">
        <f>SUM(E3:E50)</f>
        <v>11860.889999999998</v>
      </c>
    </row>
    <row r="52" spans="2:7" x14ac:dyDescent="0.25">
      <c r="B52" s="19"/>
      <c r="C52" s="20"/>
      <c r="D52" s="21"/>
      <c r="E52" s="22"/>
    </row>
    <row r="53" spans="2:7" ht="21.75" thickBot="1" x14ac:dyDescent="0.4">
      <c r="B53" s="40"/>
      <c r="C53" s="27" t="s">
        <v>18</v>
      </c>
      <c r="D53" s="26">
        <f>E51*0.2</f>
        <v>2372.1779999999994</v>
      </c>
      <c r="F53"/>
    </row>
    <row r="54" spans="2:7" ht="21.75" thickBot="1" x14ac:dyDescent="0.4">
      <c r="C54" s="11" t="s">
        <v>422</v>
      </c>
      <c r="D54" s="61">
        <v>3000</v>
      </c>
      <c r="E54" s="62"/>
      <c r="F54" s="80">
        <f>D53+D54</f>
        <v>5372.1779999999999</v>
      </c>
      <c r="G54" s="81"/>
    </row>
    <row r="55" spans="2:7" ht="15.75" thickTop="1" x14ac:dyDescent="0.25"/>
    <row r="56" spans="2:7" ht="19.5" thickBot="1" x14ac:dyDescent="0.35">
      <c r="E56" s="70" t="s">
        <v>470</v>
      </c>
      <c r="F56" s="82">
        <v>-3000</v>
      </c>
      <c r="G56" s="82"/>
    </row>
    <row r="57" spans="2:7" ht="15.75" thickTop="1" x14ac:dyDescent="0.25">
      <c r="F57" s="83">
        <f>F54+F56</f>
        <v>2372.1779999999999</v>
      </c>
      <c r="G57" s="83"/>
    </row>
    <row r="58" spans="2:7" ht="18.75" x14ac:dyDescent="0.3">
      <c r="E58" s="47" t="s">
        <v>471</v>
      </c>
      <c r="F58" s="84"/>
      <c r="G58" s="84"/>
    </row>
  </sheetData>
  <mergeCells count="4">
    <mergeCell ref="B1:C1"/>
    <mergeCell ref="F54:G54"/>
    <mergeCell ref="F56:G56"/>
    <mergeCell ref="F57:G58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K58"/>
  <sheetViews>
    <sheetView topLeftCell="A19" workbookViewId="0">
      <selection activeCell="D40" sqref="D40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7" customFormat="1" ht="19.5" thickBot="1" x14ac:dyDescent="0.35">
      <c r="B1" s="79">
        <v>42286</v>
      </c>
      <c r="C1" s="78"/>
      <c r="D1" s="28" t="s">
        <v>15</v>
      </c>
      <c r="E1" s="47" t="s">
        <v>24</v>
      </c>
      <c r="F1" s="41"/>
    </row>
    <row r="2" spans="2:7" customFormat="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567</v>
      </c>
      <c r="G2" s="63"/>
    </row>
    <row r="3" spans="2:7" customFormat="1" ht="15.75" x14ac:dyDescent="0.25">
      <c r="B3" s="48">
        <v>42273</v>
      </c>
      <c r="C3" s="49">
        <v>10574</v>
      </c>
      <c r="D3" s="50" t="s">
        <v>7</v>
      </c>
      <c r="E3" s="51">
        <v>406.2</v>
      </c>
      <c r="F3" s="52">
        <v>11779.8</v>
      </c>
    </row>
    <row r="4" spans="2:7" customFormat="1" ht="15.75" x14ac:dyDescent="0.25">
      <c r="B4" s="53">
        <v>42275</v>
      </c>
      <c r="C4" s="54">
        <v>10775</v>
      </c>
      <c r="D4" s="36" t="s">
        <v>4</v>
      </c>
      <c r="E4" s="55">
        <f>140.8+57.5+20.5+27.2</f>
        <v>246</v>
      </c>
      <c r="F4" s="52">
        <v>8832.6</v>
      </c>
    </row>
    <row r="5" spans="2:7" customFormat="1" ht="15.75" x14ac:dyDescent="0.25">
      <c r="B5" s="53">
        <v>42275</v>
      </c>
      <c r="C5" s="54">
        <v>10776</v>
      </c>
      <c r="D5" s="36" t="s">
        <v>11</v>
      </c>
      <c r="E5" s="55">
        <v>44.1</v>
      </c>
      <c r="F5" s="52">
        <v>2469.6</v>
      </c>
    </row>
    <row r="6" spans="2:7" customFormat="1" ht="15.75" x14ac:dyDescent="0.25">
      <c r="B6" s="53">
        <v>42275</v>
      </c>
      <c r="C6" s="54">
        <v>10777</v>
      </c>
      <c r="D6" s="36" t="s">
        <v>10</v>
      </c>
      <c r="E6" s="55">
        <v>81.400000000000006</v>
      </c>
      <c r="F6" s="52">
        <v>2767.6</v>
      </c>
    </row>
    <row r="7" spans="2:7" customFormat="1" ht="15.75" x14ac:dyDescent="0.25">
      <c r="B7" s="53">
        <v>42275</v>
      </c>
      <c r="C7" s="54">
        <v>10778</v>
      </c>
      <c r="D7" s="36" t="s">
        <v>9</v>
      </c>
      <c r="E7" s="55">
        <f>19.1+24.9+20.7</f>
        <v>64.7</v>
      </c>
      <c r="F7" s="52">
        <v>2582.5</v>
      </c>
    </row>
    <row r="8" spans="2:7" customFormat="1" ht="15.75" x14ac:dyDescent="0.25">
      <c r="B8" s="53">
        <v>42275</v>
      </c>
      <c r="C8" s="54">
        <v>10779</v>
      </c>
      <c r="D8" s="36" t="s">
        <v>6</v>
      </c>
      <c r="E8" s="55">
        <f>311.2</f>
        <v>311.2</v>
      </c>
      <c r="F8" s="52">
        <v>10580.8</v>
      </c>
    </row>
    <row r="9" spans="2:7" customFormat="1" ht="15.75" x14ac:dyDescent="0.25">
      <c r="B9" s="53">
        <v>42275</v>
      </c>
      <c r="C9" s="54">
        <v>10780</v>
      </c>
      <c r="D9" s="36" t="s">
        <v>16</v>
      </c>
      <c r="E9" s="55">
        <f>39.9</f>
        <v>39.9</v>
      </c>
      <c r="F9" s="52">
        <v>1675.8</v>
      </c>
    </row>
    <row r="10" spans="2:7" customFormat="1" ht="15.75" x14ac:dyDescent="0.25">
      <c r="B10" s="53">
        <v>42276</v>
      </c>
      <c r="C10" s="54">
        <v>10910</v>
      </c>
      <c r="D10" s="36" t="s">
        <v>6</v>
      </c>
      <c r="E10" s="55">
        <f>40.1+136.1</f>
        <v>176.2</v>
      </c>
      <c r="F10" s="52">
        <v>7607</v>
      </c>
    </row>
    <row r="11" spans="2:7" customFormat="1" ht="15.75" x14ac:dyDescent="0.25">
      <c r="B11" s="53">
        <v>42276</v>
      </c>
      <c r="C11" s="54">
        <v>10911</v>
      </c>
      <c r="D11" s="36" t="s">
        <v>16</v>
      </c>
      <c r="E11" s="55">
        <f>33.2+45.6</f>
        <v>78.800000000000011</v>
      </c>
      <c r="F11" s="52">
        <v>3309.6</v>
      </c>
    </row>
    <row r="12" spans="2:7" customFormat="1" ht="15.75" x14ac:dyDescent="0.25">
      <c r="B12" s="53">
        <v>42276</v>
      </c>
      <c r="C12" s="54">
        <v>10913</v>
      </c>
      <c r="D12" s="36" t="s">
        <v>17</v>
      </c>
      <c r="E12" s="55">
        <f>61.6+160.8</f>
        <v>222.4</v>
      </c>
      <c r="F12" s="52">
        <v>9672.7999999999993</v>
      </c>
    </row>
    <row r="13" spans="2:7" customFormat="1" ht="15.75" x14ac:dyDescent="0.25">
      <c r="B13" s="53">
        <v>42276</v>
      </c>
      <c r="C13" s="54">
        <v>10939</v>
      </c>
      <c r="D13" s="36" t="s">
        <v>17</v>
      </c>
      <c r="E13" s="55">
        <v>1002</v>
      </c>
      <c r="F13" s="52">
        <v>30060</v>
      </c>
    </row>
    <row r="14" spans="2:7" customFormat="1" ht="15.75" x14ac:dyDescent="0.25">
      <c r="B14" s="53">
        <v>42276</v>
      </c>
      <c r="C14" s="54">
        <v>10940</v>
      </c>
      <c r="D14" s="36" t="s">
        <v>11</v>
      </c>
      <c r="E14" s="55">
        <f>9.1+11.1</f>
        <v>20.2</v>
      </c>
      <c r="F14" s="52">
        <v>1009.1</v>
      </c>
    </row>
    <row r="15" spans="2:7" customFormat="1" ht="15.75" x14ac:dyDescent="0.25">
      <c r="B15" s="53">
        <v>42276</v>
      </c>
      <c r="C15" s="54">
        <v>10941</v>
      </c>
      <c r="D15" s="36" t="s">
        <v>9</v>
      </c>
      <c r="E15" s="55">
        <v>269.60000000000002</v>
      </c>
      <c r="F15" s="52">
        <v>8357.6</v>
      </c>
    </row>
    <row r="16" spans="2:7" customFormat="1" ht="15.75" x14ac:dyDescent="0.25">
      <c r="B16" s="53">
        <v>42276</v>
      </c>
      <c r="C16" s="54">
        <v>10942</v>
      </c>
      <c r="D16" s="36" t="s">
        <v>6</v>
      </c>
      <c r="E16" s="55">
        <v>143.80000000000001</v>
      </c>
      <c r="F16" s="52">
        <v>4457.8</v>
      </c>
    </row>
    <row r="17" spans="2:11" ht="15.75" x14ac:dyDescent="0.25">
      <c r="B17" s="53">
        <v>42277</v>
      </c>
      <c r="C17" s="54">
        <v>10994</v>
      </c>
      <c r="D17" s="36" t="s">
        <v>16</v>
      </c>
      <c r="E17" s="55">
        <v>57</v>
      </c>
      <c r="F17" s="52">
        <v>2337</v>
      </c>
    </row>
    <row r="18" spans="2:11" ht="15.75" x14ac:dyDescent="0.25">
      <c r="B18" s="53">
        <v>42277</v>
      </c>
      <c r="C18" s="54">
        <v>10995</v>
      </c>
      <c r="D18" s="36" t="s">
        <v>10</v>
      </c>
      <c r="E18" s="55">
        <v>86</v>
      </c>
      <c r="F18" s="52">
        <v>2924</v>
      </c>
    </row>
    <row r="19" spans="2:11" ht="15.75" x14ac:dyDescent="0.25">
      <c r="B19" s="53">
        <v>42277</v>
      </c>
      <c r="C19" s="54">
        <v>10996</v>
      </c>
      <c r="D19" s="36" t="s">
        <v>11</v>
      </c>
      <c r="E19" s="55">
        <v>19.8</v>
      </c>
      <c r="F19" s="52">
        <v>1108.8</v>
      </c>
    </row>
    <row r="20" spans="2:11" ht="15.75" x14ac:dyDescent="0.25">
      <c r="B20" s="53">
        <v>42277</v>
      </c>
      <c r="C20" s="54">
        <v>10997</v>
      </c>
      <c r="D20" s="36" t="s">
        <v>6</v>
      </c>
      <c r="E20" s="55">
        <v>27.2</v>
      </c>
      <c r="F20" s="52">
        <v>1033.5999999999999</v>
      </c>
    </row>
    <row r="21" spans="2:11" ht="15.75" x14ac:dyDescent="0.25">
      <c r="B21" s="53">
        <v>42277</v>
      </c>
      <c r="C21" s="54">
        <v>10998</v>
      </c>
      <c r="D21" s="36" t="s">
        <v>9</v>
      </c>
      <c r="E21" s="55">
        <v>177.2</v>
      </c>
      <c r="F21" s="52">
        <v>5493.2</v>
      </c>
    </row>
    <row r="22" spans="2:11" x14ac:dyDescent="0.25">
      <c r="B22" s="53">
        <v>42277</v>
      </c>
      <c r="C22" s="56">
        <v>10999</v>
      </c>
      <c r="D22" s="36" t="s">
        <v>568</v>
      </c>
      <c r="E22" s="55">
        <f>83.7+49.5</f>
        <v>133.19999999999999</v>
      </c>
      <c r="F22" s="52">
        <v>5107.5</v>
      </c>
    </row>
    <row r="23" spans="2:11" ht="15.75" x14ac:dyDescent="0.25">
      <c r="B23" s="53">
        <v>42278</v>
      </c>
      <c r="C23" s="54">
        <v>11110</v>
      </c>
      <c r="D23" s="36" t="s">
        <v>7</v>
      </c>
      <c r="E23" s="55">
        <f>176.6+58.6</f>
        <v>235.2</v>
      </c>
      <c r="F23" s="52">
        <v>4350.8</v>
      </c>
    </row>
    <row r="24" spans="2:11" ht="15.75" x14ac:dyDescent="0.25">
      <c r="B24" s="53">
        <v>42278</v>
      </c>
      <c r="C24" s="54">
        <v>11111</v>
      </c>
      <c r="D24" s="36" t="s">
        <v>17</v>
      </c>
      <c r="E24" s="55">
        <v>1010</v>
      </c>
      <c r="F24" s="52">
        <v>30300</v>
      </c>
    </row>
    <row r="25" spans="2:11" ht="15.75" x14ac:dyDescent="0.25">
      <c r="B25" s="53">
        <v>42278</v>
      </c>
      <c r="C25" s="54">
        <v>11112</v>
      </c>
      <c r="D25" s="36" t="s">
        <v>16</v>
      </c>
      <c r="E25" s="55">
        <v>44.3</v>
      </c>
      <c r="F25" s="52">
        <v>1506.2</v>
      </c>
    </row>
    <row r="26" spans="2:11" ht="15.75" x14ac:dyDescent="0.25">
      <c r="B26" s="53">
        <v>42278</v>
      </c>
      <c r="C26" s="54">
        <v>11113</v>
      </c>
      <c r="D26" s="36" t="s">
        <v>9</v>
      </c>
      <c r="E26" s="55">
        <v>171.6</v>
      </c>
      <c r="F26" s="52">
        <v>5834.4</v>
      </c>
    </row>
    <row r="27" spans="2:11" ht="15.75" x14ac:dyDescent="0.25">
      <c r="B27" s="53">
        <v>42278</v>
      </c>
      <c r="C27" s="54">
        <v>11114</v>
      </c>
      <c r="D27" s="36" t="s">
        <v>10</v>
      </c>
      <c r="E27" s="55">
        <v>92.4</v>
      </c>
      <c r="F27" s="52">
        <v>3141.6</v>
      </c>
    </row>
    <row r="28" spans="2:11" ht="15.75" x14ac:dyDescent="0.25">
      <c r="B28" s="53">
        <v>42278</v>
      </c>
      <c r="C28" s="54">
        <v>11115</v>
      </c>
      <c r="D28" s="36" t="s">
        <v>11</v>
      </c>
      <c r="E28" s="55">
        <v>81.2</v>
      </c>
      <c r="F28" s="52">
        <v>2760.8</v>
      </c>
    </row>
    <row r="29" spans="2:11" ht="15.75" x14ac:dyDescent="0.25">
      <c r="B29" s="53">
        <v>42279</v>
      </c>
      <c r="C29" s="54">
        <v>11213</v>
      </c>
      <c r="D29" s="36" t="s">
        <v>16</v>
      </c>
      <c r="E29" s="55">
        <f>187.8+11.3</f>
        <v>199.10000000000002</v>
      </c>
      <c r="F29" s="52">
        <v>6645.1</v>
      </c>
    </row>
    <row r="30" spans="2:11" ht="15.75" x14ac:dyDescent="0.25">
      <c r="B30" s="53">
        <v>42279</v>
      </c>
      <c r="C30" s="54">
        <v>11217</v>
      </c>
      <c r="D30" s="36" t="s">
        <v>7</v>
      </c>
      <c r="E30" s="55">
        <f>912.3+201.4</f>
        <v>1113.7</v>
      </c>
      <c r="F30" s="52">
        <v>37261.599999999999</v>
      </c>
      <c r="I30">
        <v>8.8000000000000007</v>
      </c>
      <c r="J30">
        <v>23</v>
      </c>
      <c r="K30" s="41">
        <f>J30*I30</f>
        <v>202.4</v>
      </c>
    </row>
    <row r="31" spans="2:11" x14ac:dyDescent="0.25">
      <c r="B31" s="53">
        <v>42279</v>
      </c>
      <c r="C31" s="56">
        <v>11226</v>
      </c>
      <c r="D31" s="36" t="s">
        <v>9</v>
      </c>
      <c r="E31" s="55">
        <f>266.6+23.6+362.4+126.2</f>
        <v>778.80000000000007</v>
      </c>
      <c r="F31" s="52">
        <v>26773</v>
      </c>
      <c r="I31">
        <v>84.6</v>
      </c>
      <c r="J31">
        <v>34</v>
      </c>
      <c r="K31" s="41">
        <f t="shared" ref="K31:K42" si="0">J31*I31</f>
        <v>2876.3999999999996</v>
      </c>
    </row>
    <row r="32" spans="2:11" ht="15.75" x14ac:dyDescent="0.25">
      <c r="B32" s="53">
        <v>42279</v>
      </c>
      <c r="C32" s="54">
        <v>11227</v>
      </c>
      <c r="D32" s="36" t="s">
        <v>11</v>
      </c>
      <c r="E32" s="55">
        <f>164.6+34.1</f>
        <v>198.7</v>
      </c>
      <c r="F32" s="52">
        <v>7227.3</v>
      </c>
      <c r="I32">
        <v>90.3</v>
      </c>
      <c r="J32">
        <v>43</v>
      </c>
      <c r="K32" s="41">
        <f t="shared" si="0"/>
        <v>3882.9</v>
      </c>
    </row>
    <row r="33" spans="2:11" x14ac:dyDescent="0.25">
      <c r="B33" s="53">
        <v>42279</v>
      </c>
      <c r="C33" s="56">
        <v>11228</v>
      </c>
      <c r="D33" s="36" t="s">
        <v>6</v>
      </c>
      <c r="E33" s="55">
        <v>274</v>
      </c>
      <c r="F33" s="52">
        <v>9590</v>
      </c>
      <c r="I33">
        <v>428</v>
      </c>
      <c r="J33">
        <v>34</v>
      </c>
      <c r="K33" s="41">
        <f t="shared" si="0"/>
        <v>14552</v>
      </c>
    </row>
    <row r="34" spans="2:11" x14ac:dyDescent="0.25">
      <c r="B34" s="53">
        <v>42279</v>
      </c>
      <c r="C34" s="56">
        <v>11229</v>
      </c>
      <c r="D34" s="36" t="s">
        <v>10</v>
      </c>
      <c r="E34" s="55">
        <v>27.22</v>
      </c>
      <c r="F34" s="52">
        <v>1361</v>
      </c>
      <c r="K34" s="41">
        <f t="shared" si="0"/>
        <v>0</v>
      </c>
    </row>
    <row r="35" spans="2:11" x14ac:dyDescent="0.25">
      <c r="B35" s="53">
        <v>42280</v>
      </c>
      <c r="C35" s="56">
        <v>11371</v>
      </c>
      <c r="D35" s="36" t="s">
        <v>6</v>
      </c>
      <c r="E35" s="55">
        <f>23.5+51.6+276.6+16.8+21.55</f>
        <v>390.05000000000007</v>
      </c>
      <c r="F35" s="52">
        <v>16106</v>
      </c>
      <c r="K35" s="41">
        <f t="shared" si="0"/>
        <v>0</v>
      </c>
    </row>
    <row r="36" spans="2:11" x14ac:dyDescent="0.25">
      <c r="B36" s="53">
        <v>42280</v>
      </c>
      <c r="C36" s="56">
        <v>11372</v>
      </c>
      <c r="D36" s="36" t="s">
        <v>7</v>
      </c>
      <c r="E36" s="55">
        <f>880.9+101</f>
        <v>981.9</v>
      </c>
      <c r="F36" s="52">
        <v>31970.6</v>
      </c>
      <c r="K36" s="41">
        <f t="shared" si="0"/>
        <v>0</v>
      </c>
    </row>
    <row r="37" spans="2:11" x14ac:dyDescent="0.25">
      <c r="B37" s="53">
        <v>42280</v>
      </c>
      <c r="C37" s="56">
        <v>11373</v>
      </c>
      <c r="D37" s="36" t="s">
        <v>569</v>
      </c>
      <c r="E37" s="59">
        <v>882.6</v>
      </c>
      <c r="F37" s="52">
        <v>30008.400000000001</v>
      </c>
      <c r="K37" s="41">
        <f t="shared" si="0"/>
        <v>0</v>
      </c>
    </row>
    <row r="38" spans="2:11" x14ac:dyDescent="0.25">
      <c r="B38" s="53">
        <v>42280</v>
      </c>
      <c r="C38" s="56">
        <v>11375</v>
      </c>
      <c r="D38" s="36" t="s">
        <v>9</v>
      </c>
      <c r="E38" s="59">
        <v>255.8</v>
      </c>
      <c r="F38" s="52">
        <v>8697.2000000000007</v>
      </c>
      <c r="K38" s="41">
        <f t="shared" si="0"/>
        <v>0</v>
      </c>
    </row>
    <row r="39" spans="2:11" x14ac:dyDescent="0.25">
      <c r="B39" s="53">
        <v>42280</v>
      </c>
      <c r="C39" s="56">
        <v>11376</v>
      </c>
      <c r="D39" s="36" t="s">
        <v>11</v>
      </c>
      <c r="E39" s="59">
        <f>8.8+84.6+90.3</f>
        <v>183.7</v>
      </c>
      <c r="F39" s="52">
        <v>6961.7</v>
      </c>
      <c r="K39" s="41">
        <f t="shared" si="0"/>
        <v>0</v>
      </c>
    </row>
    <row r="40" spans="2:11" x14ac:dyDescent="0.25">
      <c r="B40" s="53">
        <v>42280</v>
      </c>
      <c r="C40" s="56">
        <v>11401</v>
      </c>
      <c r="D40" s="36" t="s">
        <v>4</v>
      </c>
      <c r="E40" s="59">
        <v>60.4</v>
      </c>
      <c r="F40" s="52">
        <v>3020</v>
      </c>
      <c r="K40" s="41">
        <f t="shared" si="0"/>
        <v>0</v>
      </c>
    </row>
    <row r="41" spans="2:11" x14ac:dyDescent="0.25">
      <c r="B41" s="53">
        <v>42280</v>
      </c>
      <c r="C41" s="56">
        <v>11448</v>
      </c>
      <c r="D41" s="36" t="s">
        <v>7</v>
      </c>
      <c r="E41" s="59">
        <v>428</v>
      </c>
      <c r="F41" s="52">
        <v>14562</v>
      </c>
      <c r="K41" s="41">
        <f t="shared" si="0"/>
        <v>0</v>
      </c>
    </row>
    <row r="42" spans="2:11" x14ac:dyDescent="0.25">
      <c r="B42" s="53"/>
      <c r="C42" s="56"/>
      <c r="D42" s="36"/>
      <c r="E42" s="59"/>
      <c r="F42" s="52"/>
      <c r="K42" s="41">
        <f t="shared" si="0"/>
        <v>0</v>
      </c>
    </row>
    <row r="43" spans="2:11" x14ac:dyDescent="0.25">
      <c r="B43" s="53"/>
      <c r="C43" s="56"/>
      <c r="D43" s="36"/>
      <c r="E43" s="59"/>
      <c r="F43" s="52"/>
      <c r="K43" s="41">
        <f>SUM(K30:K42)</f>
        <v>21513.7</v>
      </c>
    </row>
    <row r="44" spans="2:11" x14ac:dyDescent="0.25">
      <c r="B44" s="33"/>
      <c r="C44" s="12"/>
      <c r="D44" s="34"/>
      <c r="E44" s="59"/>
      <c r="F44" s="52"/>
    </row>
    <row r="45" spans="2:11" x14ac:dyDescent="0.25">
      <c r="B45" s="33"/>
      <c r="C45" s="12"/>
      <c r="D45" s="34"/>
      <c r="E45" s="59"/>
      <c r="F45" s="52"/>
    </row>
    <row r="46" spans="2:11" x14ac:dyDescent="0.25">
      <c r="B46" s="33"/>
      <c r="C46" s="12"/>
      <c r="D46" s="34"/>
      <c r="E46" s="59"/>
      <c r="F46" s="52"/>
    </row>
    <row r="47" spans="2:11" x14ac:dyDescent="0.25">
      <c r="B47" s="33"/>
      <c r="C47" s="12"/>
      <c r="D47" s="34"/>
      <c r="E47" s="59"/>
      <c r="F47" s="52"/>
    </row>
    <row r="48" spans="2:11" x14ac:dyDescent="0.25">
      <c r="B48" s="33"/>
      <c r="C48" s="12"/>
      <c r="D48" s="34"/>
      <c r="E48" s="59"/>
      <c r="F48" s="52"/>
    </row>
    <row r="49" spans="2:7" customFormat="1" ht="15.75" thickBot="1" x14ac:dyDescent="0.3">
      <c r="B49" s="33"/>
      <c r="C49" s="12"/>
      <c r="D49" s="34"/>
      <c r="E49" s="58"/>
      <c r="F49" s="45"/>
    </row>
    <row r="50" spans="2:7" customFormat="1" ht="15.75" thickBot="1" x14ac:dyDescent="0.3">
      <c r="B50" s="16"/>
      <c r="C50" s="17"/>
      <c r="D50" s="18"/>
      <c r="E50" s="44">
        <v>0</v>
      </c>
      <c r="F50" s="43">
        <f>SUM(F3:F49)</f>
        <v>371244.4</v>
      </c>
    </row>
    <row r="51" spans="2:7" customFormat="1" ht="19.5" thickBot="1" x14ac:dyDescent="0.35">
      <c r="B51" s="19"/>
      <c r="C51" s="20"/>
      <c r="D51" s="23" t="s">
        <v>3</v>
      </c>
      <c r="E51" s="25">
        <f>SUM(E3:E50)</f>
        <v>11015.57</v>
      </c>
      <c r="F51" s="41"/>
    </row>
    <row r="52" spans="2:7" customFormat="1" x14ac:dyDescent="0.25">
      <c r="B52" s="19"/>
      <c r="C52" s="20"/>
      <c r="D52" s="21"/>
      <c r="E52" s="22"/>
      <c r="F52" s="41"/>
    </row>
    <row r="53" spans="2:7" customFormat="1" ht="21.75" thickBot="1" x14ac:dyDescent="0.4">
      <c r="B53" s="40"/>
      <c r="C53" s="27" t="s">
        <v>18</v>
      </c>
      <c r="D53" s="26">
        <f>E51*0.2</f>
        <v>2203.114</v>
      </c>
    </row>
    <row r="54" spans="2:7" customFormat="1" ht="21.75" thickBot="1" x14ac:dyDescent="0.4">
      <c r="C54" s="11" t="s">
        <v>422</v>
      </c>
      <c r="D54" s="61">
        <v>3000</v>
      </c>
      <c r="E54" s="62"/>
      <c r="F54" s="80">
        <f>D53+D54</f>
        <v>5203.1139999999996</v>
      </c>
      <c r="G54" s="81"/>
    </row>
    <row r="55" spans="2:7" customFormat="1" ht="15.75" thickTop="1" x14ac:dyDescent="0.25">
      <c r="C55" s="11"/>
      <c r="F55" s="41"/>
    </row>
    <row r="56" spans="2:7" customFormat="1" ht="19.5" thickBot="1" x14ac:dyDescent="0.35">
      <c r="C56" s="11"/>
      <c r="E56" s="70" t="s">
        <v>470</v>
      </c>
      <c r="F56" s="82">
        <v>-3000</v>
      </c>
      <c r="G56" s="82"/>
    </row>
    <row r="57" spans="2:7" customFormat="1" ht="15.75" thickTop="1" x14ac:dyDescent="0.25">
      <c r="C57" s="11"/>
      <c r="F57" s="83">
        <f>F54+F56</f>
        <v>2203.1139999999996</v>
      </c>
      <c r="G57" s="83"/>
    </row>
    <row r="58" spans="2:7" customFormat="1" ht="18.75" x14ac:dyDescent="0.3">
      <c r="C58" s="11"/>
      <c r="E58" s="47" t="s">
        <v>471</v>
      </c>
      <c r="F58" s="84"/>
      <c r="G58" s="84"/>
    </row>
  </sheetData>
  <mergeCells count="4">
    <mergeCell ref="B1:C1"/>
    <mergeCell ref="F54:G54"/>
    <mergeCell ref="F56:G56"/>
    <mergeCell ref="F57:G58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0"/>
  <sheetViews>
    <sheetView workbookViewId="0">
      <selection activeCell="I21" sqref="I21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42291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570</v>
      </c>
      <c r="G2" s="63"/>
      <c r="K2"/>
    </row>
    <row r="3" spans="2:11" ht="15.75" x14ac:dyDescent="0.25">
      <c r="B3" s="48">
        <v>42280</v>
      </c>
      <c r="C3" s="49">
        <v>11370</v>
      </c>
      <c r="D3" s="50" t="s">
        <v>4</v>
      </c>
      <c r="E3" s="51">
        <f>927.1+7.8</f>
        <v>934.9</v>
      </c>
      <c r="F3" s="52">
        <v>28312.2</v>
      </c>
      <c r="K3"/>
    </row>
    <row r="4" spans="2:11" ht="15.75" x14ac:dyDescent="0.25">
      <c r="B4" s="53">
        <v>42280</v>
      </c>
      <c r="C4" s="54">
        <v>11374</v>
      </c>
      <c r="D4" s="36" t="s">
        <v>16</v>
      </c>
      <c r="E4" s="55">
        <f>58.9+27.3+17.2+170.7+7.2+46.5+10.7</f>
        <v>338.5</v>
      </c>
      <c r="F4" s="52">
        <v>10936.6</v>
      </c>
      <c r="K4"/>
    </row>
    <row r="5" spans="2:11" ht="15.75" x14ac:dyDescent="0.25">
      <c r="B5" s="53">
        <v>42280</v>
      </c>
      <c r="C5" s="54">
        <v>11449</v>
      </c>
      <c r="D5" s="36" t="s">
        <v>5</v>
      </c>
      <c r="E5" s="55">
        <f>435.6+159.4+42</f>
        <v>637</v>
      </c>
      <c r="F5" s="52">
        <v>20591.8</v>
      </c>
      <c r="K5"/>
    </row>
    <row r="6" spans="2:11" ht="15.75" x14ac:dyDescent="0.25">
      <c r="B6" s="53">
        <v>42282</v>
      </c>
      <c r="C6" s="54">
        <v>11577</v>
      </c>
      <c r="D6" s="36" t="s">
        <v>7</v>
      </c>
      <c r="E6" s="55">
        <v>432.1</v>
      </c>
      <c r="F6" s="52">
        <v>34</v>
      </c>
      <c r="K6" s="41">
        <f>J6*I6</f>
        <v>0</v>
      </c>
    </row>
    <row r="7" spans="2:11" ht="15.75" x14ac:dyDescent="0.25">
      <c r="B7" s="53">
        <v>42283</v>
      </c>
      <c r="C7" s="54">
        <v>11713</v>
      </c>
      <c r="D7" s="36" t="s">
        <v>10</v>
      </c>
      <c r="E7" s="55">
        <v>247</v>
      </c>
      <c r="F7" s="52">
        <v>8398</v>
      </c>
      <c r="K7" s="41">
        <f t="shared" ref="K7:K18" si="0">J7*I7</f>
        <v>0</v>
      </c>
    </row>
    <row r="8" spans="2:11" ht="15.75" x14ac:dyDescent="0.25">
      <c r="B8" s="53">
        <v>42283</v>
      </c>
      <c r="C8" s="54">
        <v>11714</v>
      </c>
      <c r="D8" s="36" t="s">
        <v>11</v>
      </c>
      <c r="E8" s="55">
        <f>37.8+30.4</f>
        <v>68.199999999999989</v>
      </c>
      <c r="F8" s="52">
        <v>2638.4</v>
      </c>
      <c r="K8" s="41">
        <f t="shared" si="0"/>
        <v>0</v>
      </c>
    </row>
    <row r="9" spans="2:11" ht="15.75" x14ac:dyDescent="0.25">
      <c r="B9" s="53">
        <v>42283</v>
      </c>
      <c r="C9" s="54">
        <v>11715</v>
      </c>
      <c r="D9" s="36" t="s">
        <v>16</v>
      </c>
      <c r="E9" s="55">
        <v>151.6</v>
      </c>
      <c r="F9" s="52">
        <v>4851.2</v>
      </c>
      <c r="K9" s="41">
        <f t="shared" si="0"/>
        <v>0</v>
      </c>
    </row>
    <row r="10" spans="2:11" ht="15.75" x14ac:dyDescent="0.25">
      <c r="B10" s="53">
        <v>42283</v>
      </c>
      <c r="C10" s="54">
        <v>11717</v>
      </c>
      <c r="D10" s="36" t="s">
        <v>571</v>
      </c>
      <c r="E10" s="55">
        <v>118</v>
      </c>
      <c r="F10" s="52">
        <v>2714</v>
      </c>
      <c r="K10" s="41">
        <f t="shared" si="0"/>
        <v>0</v>
      </c>
    </row>
    <row r="11" spans="2:11" ht="15.75" x14ac:dyDescent="0.25">
      <c r="B11" s="53">
        <v>42284</v>
      </c>
      <c r="C11" s="54">
        <v>11816</v>
      </c>
      <c r="D11" s="36" t="s">
        <v>16</v>
      </c>
      <c r="E11" s="55">
        <v>105.9</v>
      </c>
      <c r="F11" s="52">
        <v>4447.8</v>
      </c>
      <c r="K11" s="41">
        <f t="shared" si="0"/>
        <v>0</v>
      </c>
    </row>
    <row r="12" spans="2:11" ht="15.75" x14ac:dyDescent="0.25">
      <c r="B12" s="53">
        <v>42284</v>
      </c>
      <c r="C12" s="54">
        <v>11818</v>
      </c>
      <c r="D12" s="36" t="s">
        <v>11</v>
      </c>
      <c r="E12" s="55">
        <v>159.4</v>
      </c>
      <c r="F12" s="52">
        <v>5339.9</v>
      </c>
      <c r="K12" s="41">
        <f t="shared" si="0"/>
        <v>0</v>
      </c>
    </row>
    <row r="13" spans="2:11" ht="15.75" x14ac:dyDescent="0.25">
      <c r="B13" s="53">
        <v>42284</v>
      </c>
      <c r="C13" s="54">
        <v>11819</v>
      </c>
      <c r="D13" s="36" t="s">
        <v>10</v>
      </c>
      <c r="E13" s="55">
        <v>71</v>
      </c>
      <c r="F13" s="52">
        <v>2449.5</v>
      </c>
      <c r="K13" s="41">
        <f t="shared" si="0"/>
        <v>0</v>
      </c>
    </row>
    <row r="14" spans="2:11" ht="15.75" x14ac:dyDescent="0.25">
      <c r="B14" s="53">
        <v>42285</v>
      </c>
      <c r="C14" s="54">
        <v>11911</v>
      </c>
      <c r="D14" s="36" t="s">
        <v>16</v>
      </c>
      <c r="E14" s="55">
        <f>193.8+135</f>
        <v>328.8</v>
      </c>
      <c r="F14" s="52">
        <v>10724.1</v>
      </c>
      <c r="K14" s="41">
        <f t="shared" si="0"/>
        <v>0</v>
      </c>
    </row>
    <row r="15" spans="2:11" ht="15.75" x14ac:dyDescent="0.25">
      <c r="B15" s="53">
        <v>42285</v>
      </c>
      <c r="C15" s="54">
        <v>11912</v>
      </c>
      <c r="D15" s="36" t="s">
        <v>11</v>
      </c>
      <c r="E15" s="55">
        <f>53.6+146.4</f>
        <v>200</v>
      </c>
      <c r="F15" s="52">
        <v>7355.6</v>
      </c>
      <c r="K15" s="41">
        <f t="shared" si="0"/>
        <v>0</v>
      </c>
    </row>
    <row r="16" spans="2:11" ht="15.75" x14ac:dyDescent="0.25">
      <c r="B16" s="53">
        <v>42285</v>
      </c>
      <c r="C16" s="54">
        <v>11913</v>
      </c>
      <c r="D16" s="36" t="s">
        <v>17</v>
      </c>
      <c r="E16" s="55">
        <f>155.4</f>
        <v>155.4</v>
      </c>
      <c r="F16" s="52">
        <v>5205.8999999999996</v>
      </c>
      <c r="K16" s="41">
        <f t="shared" si="0"/>
        <v>0</v>
      </c>
    </row>
    <row r="17" spans="2:11" ht="15.75" x14ac:dyDescent="0.25">
      <c r="B17" s="53">
        <v>42285</v>
      </c>
      <c r="C17" s="54">
        <v>11914</v>
      </c>
      <c r="D17" s="36" t="s">
        <v>571</v>
      </c>
      <c r="E17" s="55">
        <v>79.8</v>
      </c>
      <c r="F17" s="52">
        <v>2673.3</v>
      </c>
      <c r="K17" s="41">
        <f t="shared" si="0"/>
        <v>0</v>
      </c>
    </row>
    <row r="18" spans="2:11" ht="15.75" x14ac:dyDescent="0.25">
      <c r="B18" s="53">
        <v>42285</v>
      </c>
      <c r="C18" s="54">
        <v>11915</v>
      </c>
      <c r="D18" s="36" t="s">
        <v>93</v>
      </c>
      <c r="E18" s="55">
        <v>135</v>
      </c>
      <c r="F18" s="52">
        <v>4320</v>
      </c>
      <c r="K18" s="41">
        <f t="shared" si="0"/>
        <v>0</v>
      </c>
    </row>
    <row r="19" spans="2:11" ht="15.75" x14ac:dyDescent="0.25">
      <c r="B19" s="53">
        <v>42285</v>
      </c>
      <c r="C19" s="54">
        <v>11916</v>
      </c>
      <c r="D19" s="36" t="s">
        <v>10</v>
      </c>
      <c r="E19" s="55">
        <v>74</v>
      </c>
      <c r="F19" s="52">
        <v>1332</v>
      </c>
      <c r="K19" s="41">
        <f>SUM(K6:K18)</f>
        <v>0</v>
      </c>
    </row>
    <row r="20" spans="2:11" ht="15.75" x14ac:dyDescent="0.25">
      <c r="B20" s="53">
        <v>42285</v>
      </c>
      <c r="C20" s="54">
        <v>11925</v>
      </c>
      <c r="D20" s="36" t="s">
        <v>4</v>
      </c>
      <c r="E20" s="55">
        <v>20.6</v>
      </c>
      <c r="F20" s="52">
        <v>103</v>
      </c>
    </row>
    <row r="21" spans="2:11" ht="15.75" x14ac:dyDescent="0.25">
      <c r="B21" s="53">
        <v>42286</v>
      </c>
      <c r="C21" s="54">
        <v>12031</v>
      </c>
      <c r="D21" s="36" t="s">
        <v>16</v>
      </c>
      <c r="E21" s="55">
        <v>44.8</v>
      </c>
      <c r="F21" s="52">
        <v>1545.6</v>
      </c>
    </row>
    <row r="22" spans="2:11" x14ac:dyDescent="0.25">
      <c r="B22" s="53">
        <v>42286</v>
      </c>
      <c r="C22" s="56">
        <v>12032</v>
      </c>
      <c r="D22" s="36" t="s">
        <v>4</v>
      </c>
      <c r="E22" s="55">
        <f>912.6+113+923.1+58.4</f>
        <v>2007.1</v>
      </c>
      <c r="F22" s="52">
        <v>67325.149999999994</v>
      </c>
    </row>
    <row r="23" spans="2:11" ht="15.75" x14ac:dyDescent="0.25">
      <c r="B23" s="53">
        <v>42286</v>
      </c>
      <c r="C23" s="54">
        <v>12033</v>
      </c>
      <c r="D23" s="36" t="s">
        <v>17</v>
      </c>
      <c r="E23" s="55">
        <f>908.1+76.4</f>
        <v>984.5</v>
      </c>
      <c r="F23" s="52">
        <v>32501.55</v>
      </c>
    </row>
    <row r="24" spans="2:11" ht="15.75" x14ac:dyDescent="0.25">
      <c r="B24" s="53">
        <v>42286</v>
      </c>
      <c r="C24" s="54">
        <v>12034</v>
      </c>
      <c r="D24" s="36" t="s">
        <v>93</v>
      </c>
      <c r="E24" s="55">
        <f>23.9+214.8+142.4</f>
        <v>381.1</v>
      </c>
      <c r="F24" s="52">
        <v>8972.9</v>
      </c>
    </row>
    <row r="25" spans="2:11" ht="15.75" x14ac:dyDescent="0.25">
      <c r="B25" s="53">
        <v>42286</v>
      </c>
      <c r="C25" s="54">
        <v>12035</v>
      </c>
      <c r="D25" s="36" t="s">
        <v>571</v>
      </c>
      <c r="E25" s="55">
        <f>31.9+203+103.8+377.6</f>
        <v>716.3</v>
      </c>
      <c r="F25" s="52">
        <v>24757.9</v>
      </c>
    </row>
    <row r="26" spans="2:11" ht="15.75" x14ac:dyDescent="0.25">
      <c r="B26" s="53">
        <v>42286</v>
      </c>
      <c r="C26" s="54">
        <v>12036</v>
      </c>
      <c r="D26" s="36" t="s">
        <v>7</v>
      </c>
      <c r="E26" s="55">
        <f>63.7+200.4+691.2</f>
        <v>955.30000000000007</v>
      </c>
      <c r="F26" s="52">
        <v>30842</v>
      </c>
    </row>
    <row r="27" spans="2:11" ht="15.75" x14ac:dyDescent="0.25">
      <c r="B27" s="53">
        <v>42286</v>
      </c>
      <c r="C27" s="54">
        <v>12038</v>
      </c>
      <c r="D27" s="36" t="s">
        <v>5</v>
      </c>
      <c r="E27" s="55">
        <v>592.79999999999995</v>
      </c>
      <c r="F27" s="52">
        <v>19858.8</v>
      </c>
    </row>
    <row r="28" spans="2:11" ht="15.75" x14ac:dyDescent="0.25">
      <c r="B28" s="53">
        <v>42287</v>
      </c>
      <c r="C28" s="54">
        <v>12175</v>
      </c>
      <c r="D28" s="36" t="s">
        <v>571</v>
      </c>
      <c r="E28" s="55">
        <f>8.9+144.1</f>
        <v>153</v>
      </c>
      <c r="F28" s="52">
        <v>5176.1499999999996</v>
      </c>
    </row>
    <row r="29" spans="2:11" ht="15.75" x14ac:dyDescent="0.25">
      <c r="B29" s="53">
        <v>42287</v>
      </c>
      <c r="C29" s="54">
        <v>12176</v>
      </c>
      <c r="D29" s="36" t="s">
        <v>571</v>
      </c>
      <c r="E29" s="55">
        <f>180.8+24.3+109+22.4</f>
        <v>336.5</v>
      </c>
      <c r="F29" s="52">
        <v>12700.3</v>
      </c>
    </row>
    <row r="30" spans="2:11" ht="15.75" x14ac:dyDescent="0.25">
      <c r="B30" s="53">
        <v>42287</v>
      </c>
      <c r="C30" s="54">
        <v>12177</v>
      </c>
      <c r="D30" s="36" t="s">
        <v>7</v>
      </c>
      <c r="E30" s="55">
        <f>180+402.6</f>
        <v>582.6</v>
      </c>
      <c r="F30" s="52">
        <v>19337.099999999999</v>
      </c>
      <c r="K30" s="41">
        <f>J30*I30</f>
        <v>0</v>
      </c>
    </row>
    <row r="31" spans="2:11" x14ac:dyDescent="0.25">
      <c r="B31" s="53">
        <v>42287</v>
      </c>
      <c r="C31" s="56">
        <v>12178</v>
      </c>
      <c r="D31" s="36" t="s">
        <v>93</v>
      </c>
      <c r="E31" s="55">
        <f>279.4+72</f>
        <v>351.4</v>
      </c>
      <c r="F31" s="52">
        <v>10799.9</v>
      </c>
      <c r="K31" s="41">
        <f t="shared" ref="K31:K38" si="1">J31*I31</f>
        <v>0</v>
      </c>
    </row>
    <row r="32" spans="2:11" ht="15.75" x14ac:dyDescent="0.25">
      <c r="B32" s="53">
        <v>42287</v>
      </c>
      <c r="C32" s="54">
        <v>12179</v>
      </c>
      <c r="D32" s="36" t="s">
        <v>11</v>
      </c>
      <c r="E32" s="55">
        <f>6.3+140.1+19.4+37.9</f>
        <v>203.70000000000002</v>
      </c>
      <c r="F32" s="52">
        <v>7481.05</v>
      </c>
      <c r="K32" s="41">
        <f t="shared" si="1"/>
        <v>0</v>
      </c>
    </row>
    <row r="33" spans="2:11" x14ac:dyDescent="0.25">
      <c r="B33" s="53">
        <v>42287</v>
      </c>
      <c r="C33" s="56">
        <v>12181</v>
      </c>
      <c r="D33" s="36" t="s">
        <v>16</v>
      </c>
      <c r="E33" s="55">
        <f>33.2+67.8+118.2+9.7</f>
        <v>228.89999999999998</v>
      </c>
      <c r="F33" s="52">
        <v>7553.7</v>
      </c>
      <c r="K33" s="41">
        <f t="shared" si="1"/>
        <v>0</v>
      </c>
    </row>
    <row r="34" spans="2:11" x14ac:dyDescent="0.25">
      <c r="B34" s="53">
        <v>42287</v>
      </c>
      <c r="C34" s="56">
        <v>12182</v>
      </c>
      <c r="D34" s="36" t="s">
        <v>4</v>
      </c>
      <c r="E34" s="55">
        <f>24.5+9.5+12.4</f>
        <v>46.4</v>
      </c>
      <c r="F34" s="52">
        <v>802.4</v>
      </c>
      <c r="K34" s="41">
        <f t="shared" si="1"/>
        <v>0</v>
      </c>
    </row>
    <row r="35" spans="2:11" x14ac:dyDescent="0.25">
      <c r="B35" s="53">
        <v>42287</v>
      </c>
      <c r="C35" s="56">
        <v>12190</v>
      </c>
      <c r="D35" s="36" t="s">
        <v>10</v>
      </c>
      <c r="E35" s="55">
        <f>7.9+36.3+9</f>
        <v>53.199999999999996</v>
      </c>
      <c r="F35" s="52">
        <v>2223.1</v>
      </c>
      <c r="K35" s="41">
        <f t="shared" si="1"/>
        <v>0</v>
      </c>
    </row>
    <row r="36" spans="2:11" x14ac:dyDescent="0.25">
      <c r="B36" s="53">
        <v>42287</v>
      </c>
      <c r="C36" s="56">
        <v>12191</v>
      </c>
      <c r="D36" s="36" t="s">
        <v>16</v>
      </c>
      <c r="E36" s="55">
        <v>50</v>
      </c>
      <c r="F36" s="52">
        <v>900</v>
      </c>
      <c r="K36" s="41">
        <f t="shared" si="1"/>
        <v>0</v>
      </c>
    </row>
    <row r="37" spans="2:11" x14ac:dyDescent="0.25">
      <c r="B37" s="53"/>
      <c r="C37" s="56"/>
      <c r="D37" s="36"/>
      <c r="E37" s="59"/>
      <c r="F37" s="52"/>
      <c r="K37" s="41">
        <f t="shared" si="1"/>
        <v>0</v>
      </c>
    </row>
    <row r="38" spans="2:11" x14ac:dyDescent="0.25">
      <c r="B38" s="53"/>
      <c r="C38" s="56"/>
      <c r="D38" s="36"/>
      <c r="E38" s="59"/>
      <c r="F38" s="52"/>
      <c r="K38" s="41">
        <f t="shared" si="1"/>
        <v>0</v>
      </c>
    </row>
    <row r="39" spans="2:11" x14ac:dyDescent="0.25">
      <c r="B39" s="33"/>
      <c r="C39" s="12"/>
      <c r="D39" s="34"/>
      <c r="E39" s="59"/>
      <c r="F39" s="52"/>
    </row>
    <row r="40" spans="2:11" x14ac:dyDescent="0.25">
      <c r="B40" s="33"/>
      <c r="C40" s="12"/>
      <c r="D40" s="34"/>
      <c r="E40" s="59"/>
      <c r="F40" s="52"/>
    </row>
    <row r="41" spans="2:11" ht="15.75" thickBot="1" x14ac:dyDescent="0.3">
      <c r="B41" s="33"/>
      <c r="C41" s="12"/>
      <c r="D41" s="34"/>
      <c r="E41" s="58"/>
      <c r="F41" s="45"/>
      <c r="K41"/>
    </row>
    <row r="42" spans="2:11" ht="15.75" thickBot="1" x14ac:dyDescent="0.3">
      <c r="B42" s="16"/>
      <c r="C42" s="17"/>
      <c r="D42" s="18"/>
      <c r="E42" s="44">
        <v>0</v>
      </c>
      <c r="F42" s="43">
        <f>SUM(F3:F41)</f>
        <v>375204.89999999997</v>
      </c>
      <c r="K42"/>
    </row>
    <row r="43" spans="2:11" ht="19.5" thickBot="1" x14ac:dyDescent="0.35">
      <c r="B43" s="19"/>
      <c r="C43" s="20"/>
      <c r="D43" s="23" t="s">
        <v>3</v>
      </c>
      <c r="E43" s="25">
        <f>SUM(E3:E42)</f>
        <v>11944.8</v>
      </c>
      <c r="K43"/>
    </row>
    <row r="44" spans="2:11" x14ac:dyDescent="0.25">
      <c r="B44" s="19"/>
      <c r="C44" s="20"/>
      <c r="D44" s="21"/>
      <c r="E44" s="22"/>
      <c r="K44"/>
    </row>
    <row r="45" spans="2:11" ht="21.75" thickBot="1" x14ac:dyDescent="0.4">
      <c r="B45" s="40"/>
      <c r="C45" s="27" t="s">
        <v>18</v>
      </c>
      <c r="D45" s="26">
        <f>E43*0.2</f>
        <v>2388.96</v>
      </c>
      <c r="F45"/>
      <c r="K45"/>
    </row>
    <row r="46" spans="2:11" ht="21.75" thickBot="1" x14ac:dyDescent="0.4">
      <c r="C46" s="11" t="s">
        <v>422</v>
      </c>
      <c r="D46" s="61">
        <v>3000</v>
      </c>
      <c r="E46" s="62"/>
      <c r="F46" s="80">
        <f>D45+D46</f>
        <v>5388.96</v>
      </c>
      <c r="G46" s="81"/>
      <c r="K46"/>
    </row>
    <row r="47" spans="2:11" ht="15.75" thickTop="1" x14ac:dyDescent="0.25">
      <c r="K47"/>
    </row>
    <row r="48" spans="2:11" ht="19.5" thickBot="1" x14ac:dyDescent="0.35">
      <c r="E48" s="70" t="s">
        <v>470</v>
      </c>
      <c r="F48" s="82">
        <v>0</v>
      </c>
      <c r="G48" s="82"/>
      <c r="K48"/>
    </row>
    <row r="49" spans="5:7" customFormat="1" ht="15.75" thickTop="1" x14ac:dyDescent="0.25">
      <c r="F49" s="83">
        <f>F46+F48</f>
        <v>5388.96</v>
      </c>
      <c r="G49" s="83"/>
    </row>
    <row r="50" spans="5:7" customFormat="1" ht="18.75" x14ac:dyDescent="0.3">
      <c r="E50" s="47" t="s">
        <v>471</v>
      </c>
      <c r="F50" s="84"/>
      <c r="G50" s="84"/>
    </row>
  </sheetData>
  <mergeCells count="4">
    <mergeCell ref="B1:C1"/>
    <mergeCell ref="F46:G46"/>
    <mergeCell ref="F48:G48"/>
    <mergeCell ref="F49:G50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K57"/>
  <sheetViews>
    <sheetView workbookViewId="0">
      <selection activeCell="G30" sqref="G30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42299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572</v>
      </c>
      <c r="G2" s="63"/>
      <c r="K2"/>
    </row>
    <row r="3" spans="2:11" ht="15.75" x14ac:dyDescent="0.25">
      <c r="B3" s="48">
        <v>42291</v>
      </c>
      <c r="C3" s="49">
        <v>11528</v>
      </c>
      <c r="D3" s="50" t="s">
        <v>4</v>
      </c>
      <c r="E3" s="51">
        <f>204.6+27.2+175.5</f>
        <v>407.29999999999995</v>
      </c>
      <c r="F3" s="52">
        <v>18463.2</v>
      </c>
      <c r="K3"/>
    </row>
    <row r="4" spans="2:11" ht="15.75" x14ac:dyDescent="0.25">
      <c r="B4" s="53">
        <v>42284</v>
      </c>
      <c r="C4" s="54">
        <v>11817</v>
      </c>
      <c r="D4" s="36" t="s">
        <v>9</v>
      </c>
      <c r="E4" s="55">
        <v>423.4</v>
      </c>
      <c r="F4" s="52">
        <v>14183.9</v>
      </c>
      <c r="K4"/>
    </row>
    <row r="5" spans="2:11" ht="15.75" x14ac:dyDescent="0.25">
      <c r="B5" s="53">
        <v>42288</v>
      </c>
      <c r="C5" s="54">
        <v>12319</v>
      </c>
      <c r="D5" s="36" t="s">
        <v>17</v>
      </c>
      <c r="E5" s="55">
        <f>353+51.5+10.8+128.9</f>
        <v>544.20000000000005</v>
      </c>
      <c r="F5" s="52">
        <v>19808.8</v>
      </c>
      <c r="K5"/>
    </row>
    <row r="6" spans="2:11" ht="15.75" x14ac:dyDescent="0.25">
      <c r="B6" s="53">
        <v>42289</v>
      </c>
      <c r="C6" s="54">
        <v>12380</v>
      </c>
      <c r="D6" s="36" t="s">
        <v>16</v>
      </c>
      <c r="E6" s="55">
        <v>198.4</v>
      </c>
      <c r="F6" s="52">
        <v>6547.2</v>
      </c>
      <c r="K6" s="41">
        <f t="shared" ref="K6:K18" si="0">J6*I6</f>
        <v>0</v>
      </c>
    </row>
    <row r="7" spans="2:11" ht="15.75" x14ac:dyDescent="0.25">
      <c r="B7" s="53">
        <v>42289</v>
      </c>
      <c r="C7" s="54">
        <v>12381</v>
      </c>
      <c r="D7" s="36" t="s">
        <v>93</v>
      </c>
      <c r="E7" s="55">
        <f>399.4+50.7+16.1</f>
        <v>466.2</v>
      </c>
      <c r="F7" s="52">
        <v>14662.8</v>
      </c>
      <c r="K7" s="41">
        <f t="shared" si="0"/>
        <v>0</v>
      </c>
    </row>
    <row r="8" spans="2:11" ht="15.75" x14ac:dyDescent="0.25">
      <c r="B8" s="53">
        <v>42289</v>
      </c>
      <c r="C8" s="54">
        <v>12382</v>
      </c>
      <c r="D8" s="36" t="s">
        <v>7</v>
      </c>
      <c r="E8" s="55">
        <f>162.3+34.3+129.4</f>
        <v>326</v>
      </c>
      <c r="F8" s="52">
        <v>10393.25</v>
      </c>
      <c r="K8" s="41">
        <f t="shared" si="0"/>
        <v>0</v>
      </c>
    </row>
    <row r="9" spans="2:11" ht="15.75" x14ac:dyDescent="0.25">
      <c r="B9" s="53">
        <v>42289</v>
      </c>
      <c r="C9" s="54">
        <v>12383</v>
      </c>
      <c r="D9" s="36" t="s">
        <v>11</v>
      </c>
      <c r="E9" s="55">
        <v>69.7</v>
      </c>
      <c r="F9" s="52">
        <v>2404.65</v>
      </c>
      <c r="K9" s="41">
        <f t="shared" si="0"/>
        <v>0</v>
      </c>
    </row>
    <row r="10" spans="2:11" ht="15.75" x14ac:dyDescent="0.25">
      <c r="B10" s="53">
        <v>42289</v>
      </c>
      <c r="C10" s="54">
        <v>12384</v>
      </c>
      <c r="D10" s="36" t="s">
        <v>10</v>
      </c>
      <c r="E10" s="55">
        <v>72.8</v>
      </c>
      <c r="F10" s="52">
        <v>2511.6</v>
      </c>
      <c r="K10" s="41">
        <f t="shared" si="0"/>
        <v>0</v>
      </c>
    </row>
    <row r="11" spans="2:11" ht="15.75" x14ac:dyDescent="0.25">
      <c r="B11" s="53">
        <v>42289</v>
      </c>
      <c r="C11" s="54">
        <v>12385</v>
      </c>
      <c r="D11" s="36" t="s">
        <v>9</v>
      </c>
      <c r="E11" s="55">
        <v>27.8</v>
      </c>
      <c r="F11" s="52">
        <v>1306.8</v>
      </c>
      <c r="K11" s="41">
        <f t="shared" si="0"/>
        <v>0</v>
      </c>
    </row>
    <row r="12" spans="2:11" ht="15.75" x14ac:dyDescent="0.25">
      <c r="B12" s="53">
        <v>42290</v>
      </c>
      <c r="C12" s="54">
        <v>12505</v>
      </c>
      <c r="D12" s="36" t="s">
        <v>17</v>
      </c>
      <c r="E12" s="55">
        <f>867.7+132.6</f>
        <v>1000.3000000000001</v>
      </c>
      <c r="F12" s="52">
        <v>33636.85</v>
      </c>
      <c r="K12" s="41">
        <f t="shared" si="0"/>
        <v>0</v>
      </c>
    </row>
    <row r="13" spans="2:11" ht="15.75" x14ac:dyDescent="0.25">
      <c r="B13" s="53">
        <v>42290</v>
      </c>
      <c r="C13" s="54">
        <v>12506</v>
      </c>
      <c r="D13" s="36" t="s">
        <v>9</v>
      </c>
      <c r="E13" s="55">
        <f>27.24+112+1</f>
        <v>140.24</v>
      </c>
      <c r="F13" s="52">
        <v>5828</v>
      </c>
      <c r="K13" s="41">
        <f t="shared" si="0"/>
        <v>0</v>
      </c>
    </row>
    <row r="14" spans="2:11" ht="15.75" x14ac:dyDescent="0.25">
      <c r="B14" s="53">
        <v>42290</v>
      </c>
      <c r="C14" s="54">
        <v>12507</v>
      </c>
      <c r="D14" s="36" t="s">
        <v>569</v>
      </c>
      <c r="E14" s="55">
        <f>39.3+13.3+407.4</f>
        <v>460</v>
      </c>
      <c r="F14" s="52">
        <v>16330.5</v>
      </c>
      <c r="K14" s="41">
        <f t="shared" si="0"/>
        <v>0</v>
      </c>
    </row>
    <row r="15" spans="2:11" ht="15.75" x14ac:dyDescent="0.25">
      <c r="B15" s="53">
        <v>42290</v>
      </c>
      <c r="C15" s="54">
        <v>12508</v>
      </c>
      <c r="D15" s="36" t="s">
        <v>16</v>
      </c>
      <c r="E15" s="55">
        <f>58+47.7</f>
        <v>105.7</v>
      </c>
      <c r="F15" s="52">
        <v>4081.65</v>
      </c>
      <c r="K15" s="41">
        <f t="shared" si="0"/>
        <v>0</v>
      </c>
    </row>
    <row r="16" spans="2:11" ht="15.75" x14ac:dyDescent="0.25">
      <c r="B16" s="53">
        <v>42290</v>
      </c>
      <c r="C16" s="54">
        <v>12509</v>
      </c>
      <c r="D16" s="36" t="s">
        <v>93</v>
      </c>
      <c r="E16" s="55">
        <f>239.4+84.6+121</f>
        <v>445</v>
      </c>
      <c r="F16" s="52">
        <v>15815</v>
      </c>
      <c r="K16" s="41">
        <f t="shared" si="0"/>
        <v>0</v>
      </c>
    </row>
    <row r="17" spans="2:11" ht="15.75" x14ac:dyDescent="0.25">
      <c r="B17" s="53">
        <v>42290</v>
      </c>
      <c r="C17" s="54">
        <v>12510</v>
      </c>
      <c r="D17" s="36" t="s">
        <v>10</v>
      </c>
      <c r="E17" s="55">
        <f>87.2+51+23.3</f>
        <v>161.5</v>
      </c>
      <c r="F17" s="52">
        <v>6419</v>
      </c>
      <c r="K17" s="41">
        <f t="shared" si="0"/>
        <v>0</v>
      </c>
    </row>
    <row r="18" spans="2:11" ht="15.75" x14ac:dyDescent="0.25">
      <c r="B18" s="53">
        <v>42290</v>
      </c>
      <c r="C18" s="54">
        <v>12513</v>
      </c>
      <c r="D18" s="36" t="s">
        <v>11</v>
      </c>
      <c r="E18" s="55">
        <f>42.1+85.2</f>
        <v>127.30000000000001</v>
      </c>
      <c r="F18" s="52">
        <v>6021.2</v>
      </c>
      <c r="K18" s="41">
        <f t="shared" si="0"/>
        <v>0</v>
      </c>
    </row>
    <row r="19" spans="2:11" ht="15.75" x14ac:dyDescent="0.25">
      <c r="B19" s="53">
        <v>42291</v>
      </c>
      <c r="C19" s="54">
        <v>12635</v>
      </c>
      <c r="D19" s="36" t="s">
        <v>7</v>
      </c>
      <c r="E19" s="55">
        <f>31.4+232.7</f>
        <v>264.09999999999997</v>
      </c>
      <c r="F19" s="52">
        <v>8307.1</v>
      </c>
      <c r="K19" s="41">
        <f>SUM(K6:K18)</f>
        <v>0</v>
      </c>
    </row>
    <row r="20" spans="2:11" ht="15.75" x14ac:dyDescent="0.25">
      <c r="B20" s="53">
        <v>42291</v>
      </c>
      <c r="C20" s="54">
        <v>12636</v>
      </c>
      <c r="D20" s="36" t="s">
        <v>10</v>
      </c>
      <c r="E20" s="55">
        <f>84.3</f>
        <v>84.3</v>
      </c>
      <c r="F20" s="52">
        <v>2781.9</v>
      </c>
    </row>
    <row r="21" spans="2:11" ht="15.75" x14ac:dyDescent="0.25">
      <c r="B21" s="53">
        <v>42291</v>
      </c>
      <c r="C21" s="54">
        <v>12637</v>
      </c>
      <c r="D21" s="36" t="s">
        <v>9</v>
      </c>
      <c r="E21" s="55">
        <v>143.69999999999999</v>
      </c>
      <c r="F21" s="52">
        <v>4742.1000000000004</v>
      </c>
    </row>
    <row r="22" spans="2:11" ht="15.75" x14ac:dyDescent="0.25">
      <c r="B22" s="53">
        <v>42291</v>
      </c>
      <c r="C22" s="54">
        <v>12638</v>
      </c>
      <c r="D22" s="36" t="s">
        <v>93</v>
      </c>
      <c r="E22" s="55">
        <f>372.8+61.3</f>
        <v>434.1</v>
      </c>
      <c r="F22" s="52">
        <v>14325.3</v>
      </c>
    </row>
    <row r="23" spans="2:11" x14ac:dyDescent="0.25">
      <c r="B23" s="53">
        <v>42291</v>
      </c>
      <c r="C23" s="56">
        <v>12660</v>
      </c>
      <c r="D23" s="36" t="s">
        <v>4</v>
      </c>
      <c r="E23" s="55">
        <v>947.39</v>
      </c>
      <c r="F23" s="52">
        <v>30790.17</v>
      </c>
    </row>
    <row r="24" spans="2:11" ht="15.75" x14ac:dyDescent="0.25">
      <c r="B24" s="53">
        <v>42291</v>
      </c>
      <c r="C24" s="54">
        <v>12676</v>
      </c>
      <c r="D24" s="36" t="s">
        <v>11</v>
      </c>
      <c r="E24" s="55">
        <v>37.9</v>
      </c>
      <c r="F24" s="52">
        <v>2122.4</v>
      </c>
    </row>
    <row r="25" spans="2:11" ht="15.75" x14ac:dyDescent="0.25">
      <c r="B25" s="53">
        <v>42291</v>
      </c>
      <c r="C25" s="54">
        <v>12683</v>
      </c>
      <c r="D25" s="36" t="s">
        <v>4</v>
      </c>
      <c r="E25" s="55">
        <f>1+56.2</f>
        <v>57.2</v>
      </c>
      <c r="F25" s="52">
        <v>1101</v>
      </c>
    </row>
    <row r="26" spans="2:11" ht="15.75" x14ac:dyDescent="0.25">
      <c r="B26" s="53">
        <v>42292</v>
      </c>
      <c r="C26" s="54">
        <v>12771</v>
      </c>
      <c r="D26" s="36" t="s">
        <v>17</v>
      </c>
      <c r="E26" s="55">
        <f>929.71+12.3+20.2+131.8+148.2+47.6</f>
        <v>1289.81</v>
      </c>
      <c r="F26" s="52">
        <v>43254.47</v>
      </c>
    </row>
    <row r="27" spans="2:11" ht="15.75" x14ac:dyDescent="0.25">
      <c r="B27" s="53">
        <v>42292</v>
      </c>
      <c r="C27" s="54">
        <v>12772</v>
      </c>
      <c r="D27" s="36" t="s">
        <v>93</v>
      </c>
      <c r="E27" s="55">
        <f>38.2+27.2+4</f>
        <v>69.400000000000006</v>
      </c>
      <c r="F27" s="52">
        <v>4992.2</v>
      </c>
    </row>
    <row r="28" spans="2:11" ht="15.75" x14ac:dyDescent="0.25">
      <c r="B28" s="53">
        <v>42292</v>
      </c>
      <c r="C28" s="54">
        <v>12773</v>
      </c>
      <c r="D28" s="36" t="s">
        <v>16</v>
      </c>
      <c r="E28" s="55">
        <f>29.7+53</f>
        <v>82.7</v>
      </c>
      <c r="F28" s="52">
        <v>3473.4</v>
      </c>
    </row>
    <row r="29" spans="2:11" ht="15.75" x14ac:dyDescent="0.25">
      <c r="B29" s="53">
        <v>42292</v>
      </c>
      <c r="C29" s="54">
        <v>12775</v>
      </c>
      <c r="D29" s="36" t="s">
        <v>10</v>
      </c>
      <c r="E29" s="55">
        <f>66.4+27.24</f>
        <v>93.64</v>
      </c>
      <c r="F29" s="52">
        <v>2557.1999999999998</v>
      </c>
    </row>
    <row r="30" spans="2:11" ht="15.75" x14ac:dyDescent="0.25">
      <c r="B30" s="53">
        <v>42292</v>
      </c>
      <c r="C30" s="54">
        <v>12776</v>
      </c>
      <c r="D30" s="36" t="s">
        <v>573</v>
      </c>
      <c r="E30" s="55">
        <f>2+15.2</f>
        <v>17.2</v>
      </c>
      <c r="F30" s="52">
        <v>1068.8</v>
      </c>
      <c r="K30" s="41">
        <f>J30*I30</f>
        <v>0</v>
      </c>
    </row>
    <row r="31" spans="2:11" x14ac:dyDescent="0.25">
      <c r="B31" s="53">
        <v>42293</v>
      </c>
      <c r="C31" s="56">
        <v>12922</v>
      </c>
      <c r="D31" s="36" t="s">
        <v>574</v>
      </c>
      <c r="E31" s="55">
        <f>41.9+63.6+113.8</f>
        <v>219.3</v>
      </c>
      <c r="F31" s="52">
        <v>5991.1</v>
      </c>
      <c r="K31" s="41">
        <f t="shared" ref="K31:K38" si="1">J31*I31</f>
        <v>0</v>
      </c>
    </row>
    <row r="32" spans="2:11" ht="15.75" x14ac:dyDescent="0.25">
      <c r="B32" s="53">
        <v>42293</v>
      </c>
      <c r="C32" s="54">
        <v>12923</v>
      </c>
      <c r="D32" s="36" t="s">
        <v>16</v>
      </c>
      <c r="E32" s="55">
        <v>160.19999999999999</v>
      </c>
      <c r="F32" s="52">
        <v>5286.6</v>
      </c>
      <c r="K32" s="41">
        <f t="shared" si="1"/>
        <v>0</v>
      </c>
    </row>
    <row r="33" spans="2:11" x14ac:dyDescent="0.25">
      <c r="B33" s="53">
        <v>42293</v>
      </c>
      <c r="C33" s="56">
        <v>12924</v>
      </c>
      <c r="D33" s="36" t="s">
        <v>7</v>
      </c>
      <c r="E33" s="55">
        <f>216.6+58.2+442.4</f>
        <v>717.2</v>
      </c>
      <c r="F33" s="52">
        <v>22911</v>
      </c>
      <c r="K33" s="41">
        <f t="shared" si="1"/>
        <v>0</v>
      </c>
    </row>
    <row r="34" spans="2:11" x14ac:dyDescent="0.25">
      <c r="B34" s="53">
        <v>42293</v>
      </c>
      <c r="C34" s="56">
        <v>12925</v>
      </c>
      <c r="D34" s="36" t="s">
        <v>9</v>
      </c>
      <c r="E34" s="55">
        <f>27.24+113.6+1</f>
        <v>141.84</v>
      </c>
      <c r="F34" s="52">
        <v>5880.8</v>
      </c>
      <c r="K34" s="41">
        <f t="shared" si="1"/>
        <v>0</v>
      </c>
    </row>
    <row r="35" spans="2:11" x14ac:dyDescent="0.25">
      <c r="B35" s="53">
        <v>42293</v>
      </c>
      <c r="C35" s="56">
        <v>12926</v>
      </c>
      <c r="D35" s="36" t="s">
        <v>11</v>
      </c>
      <c r="E35" s="55">
        <v>45.5</v>
      </c>
      <c r="F35" s="52">
        <v>1956.5</v>
      </c>
      <c r="K35" s="41">
        <f t="shared" si="1"/>
        <v>0</v>
      </c>
    </row>
    <row r="36" spans="2:11" x14ac:dyDescent="0.25">
      <c r="B36" s="53">
        <v>42293</v>
      </c>
      <c r="C36" s="56">
        <v>12927</v>
      </c>
      <c r="D36" s="36" t="s">
        <v>569</v>
      </c>
      <c r="E36" s="55">
        <v>430.6</v>
      </c>
      <c r="F36" s="52">
        <v>14209.8</v>
      </c>
      <c r="K36" s="41">
        <f t="shared" si="1"/>
        <v>0</v>
      </c>
    </row>
    <row r="37" spans="2:11" x14ac:dyDescent="0.25">
      <c r="B37" s="53">
        <v>42293</v>
      </c>
      <c r="C37" s="56">
        <v>12928</v>
      </c>
      <c r="D37" s="36" t="s">
        <v>10</v>
      </c>
      <c r="E37" s="59">
        <f>84+1</f>
        <v>85</v>
      </c>
      <c r="F37" s="52">
        <v>3626</v>
      </c>
      <c r="K37" s="41">
        <f t="shared" si="1"/>
        <v>0</v>
      </c>
    </row>
    <row r="38" spans="2:11" x14ac:dyDescent="0.25">
      <c r="B38" s="53">
        <v>42294</v>
      </c>
      <c r="C38" s="56">
        <v>13101</v>
      </c>
      <c r="D38" s="36" t="s">
        <v>10</v>
      </c>
      <c r="E38" s="59">
        <v>5.7</v>
      </c>
      <c r="F38" s="52">
        <v>364.8</v>
      </c>
      <c r="K38" s="41">
        <f t="shared" si="1"/>
        <v>0</v>
      </c>
    </row>
    <row r="39" spans="2:11" x14ac:dyDescent="0.25">
      <c r="B39" s="33">
        <v>42294</v>
      </c>
      <c r="C39" s="12">
        <v>13107</v>
      </c>
      <c r="D39" s="34" t="s">
        <v>17</v>
      </c>
      <c r="E39" s="59">
        <f>938.9+82.4+65+194.8</f>
        <v>1281.0999999999999</v>
      </c>
      <c r="F39" s="52">
        <v>44600.25</v>
      </c>
      <c r="K39" s="41">
        <f>SUM(K30:K38)</f>
        <v>0</v>
      </c>
    </row>
    <row r="40" spans="2:11" x14ac:dyDescent="0.25">
      <c r="B40" s="33">
        <v>42294</v>
      </c>
      <c r="C40" s="12">
        <v>13108</v>
      </c>
      <c r="D40" s="34" t="s">
        <v>4</v>
      </c>
      <c r="E40" s="59">
        <f>921.2+2+72.6+84.8+64.6+104.8</f>
        <v>1250</v>
      </c>
      <c r="F40" s="52">
        <v>41502</v>
      </c>
    </row>
    <row r="41" spans="2:11" x14ac:dyDescent="0.25">
      <c r="B41" s="33">
        <v>42294</v>
      </c>
      <c r="C41" s="12">
        <v>13109</v>
      </c>
      <c r="D41" s="34" t="s">
        <v>7</v>
      </c>
      <c r="E41" s="59">
        <v>851.6</v>
      </c>
      <c r="F41" s="52">
        <v>33</v>
      </c>
    </row>
    <row r="42" spans="2:11" x14ac:dyDescent="0.25">
      <c r="B42" s="33">
        <v>42294</v>
      </c>
      <c r="C42" s="12">
        <v>13110</v>
      </c>
      <c r="D42" s="34" t="s">
        <v>93</v>
      </c>
      <c r="E42" s="59">
        <f>411.6+65.2</f>
        <v>476.8</v>
      </c>
      <c r="F42" s="52">
        <v>17886</v>
      </c>
    </row>
    <row r="43" spans="2:11" x14ac:dyDescent="0.25">
      <c r="B43" s="33">
        <v>42294</v>
      </c>
      <c r="C43" s="12">
        <v>13111</v>
      </c>
      <c r="D43" s="34" t="s">
        <v>569</v>
      </c>
      <c r="E43" s="59">
        <v>404.6</v>
      </c>
      <c r="F43" s="52">
        <v>13756.4</v>
      </c>
    </row>
    <row r="44" spans="2:11" x14ac:dyDescent="0.25">
      <c r="B44" s="33">
        <v>42294</v>
      </c>
      <c r="C44" s="12">
        <v>13112</v>
      </c>
      <c r="D44" s="34" t="s">
        <v>16</v>
      </c>
      <c r="E44" s="59">
        <f>30.4+61.5+171.6</f>
        <v>263.5</v>
      </c>
      <c r="F44" s="52">
        <v>8615.4</v>
      </c>
    </row>
    <row r="45" spans="2:11" x14ac:dyDescent="0.25">
      <c r="B45" s="33">
        <v>42294</v>
      </c>
      <c r="C45" s="12">
        <v>13113</v>
      </c>
      <c r="D45" s="34" t="s">
        <v>11</v>
      </c>
      <c r="E45" s="59">
        <f>240.6+52.4</f>
        <v>293</v>
      </c>
      <c r="F45" s="52">
        <v>10433.6</v>
      </c>
    </row>
    <row r="46" spans="2:11" x14ac:dyDescent="0.25">
      <c r="B46" s="33">
        <v>42294</v>
      </c>
      <c r="C46" s="12">
        <v>13114</v>
      </c>
      <c r="D46" s="34" t="s">
        <v>9</v>
      </c>
      <c r="E46" s="59">
        <f>2+93.4</f>
        <v>95.4</v>
      </c>
      <c r="F46" s="52">
        <v>4759.8</v>
      </c>
    </row>
    <row r="47" spans="2:11" x14ac:dyDescent="0.25">
      <c r="B47" s="33"/>
      <c r="C47" s="12"/>
      <c r="D47" s="34"/>
      <c r="E47" s="59"/>
      <c r="F47" s="52"/>
    </row>
    <row r="48" spans="2:11" ht="15.75" thickBot="1" x14ac:dyDescent="0.3">
      <c r="B48" s="33"/>
      <c r="C48" s="12"/>
      <c r="D48" s="34"/>
      <c r="E48" s="58"/>
      <c r="F48" s="45"/>
      <c r="K48"/>
    </row>
    <row r="49" spans="2:11" ht="15.75" thickBot="1" x14ac:dyDescent="0.3">
      <c r="B49" s="16"/>
      <c r="C49" s="17"/>
      <c r="D49" s="18"/>
      <c r="E49" s="44">
        <v>0</v>
      </c>
      <c r="F49" s="43">
        <f>SUM(F3:F48)</f>
        <v>499743.48999999993</v>
      </c>
      <c r="K49"/>
    </row>
    <row r="50" spans="2:11" ht="19.5" thickBot="1" x14ac:dyDescent="0.35">
      <c r="B50" s="19"/>
      <c r="C50" s="20"/>
      <c r="D50" s="23" t="s">
        <v>3</v>
      </c>
      <c r="E50" s="25">
        <f>SUM(E3:E49)</f>
        <v>15218.620000000003</v>
      </c>
      <c r="K50"/>
    </row>
    <row r="51" spans="2:11" x14ac:dyDescent="0.25">
      <c r="B51" s="19"/>
      <c r="C51" s="20"/>
      <c r="D51" s="21"/>
      <c r="E51" s="22"/>
      <c r="K51"/>
    </row>
    <row r="52" spans="2:11" ht="21.75" thickBot="1" x14ac:dyDescent="0.4">
      <c r="B52" s="40"/>
      <c r="C52" s="27" t="s">
        <v>18</v>
      </c>
      <c r="D52" s="26">
        <f>E50*0.2</f>
        <v>3043.7240000000006</v>
      </c>
      <c r="F52"/>
      <c r="K52"/>
    </row>
    <row r="53" spans="2:11" ht="21.75" thickBot="1" x14ac:dyDescent="0.4">
      <c r="C53" s="11" t="s">
        <v>422</v>
      </c>
      <c r="D53" s="61">
        <v>3000</v>
      </c>
      <c r="E53" s="62"/>
      <c r="F53" s="80">
        <f>D52+D53</f>
        <v>6043.7240000000002</v>
      </c>
      <c r="G53" s="81"/>
      <c r="K53"/>
    </row>
    <row r="54" spans="2:11" ht="15.75" thickTop="1" x14ac:dyDescent="0.25">
      <c r="K54"/>
    </row>
    <row r="55" spans="2:11" ht="19.5" thickBot="1" x14ac:dyDescent="0.35">
      <c r="E55" s="70" t="s">
        <v>470</v>
      </c>
      <c r="F55" s="82">
        <v>-600</v>
      </c>
      <c r="G55" s="82"/>
      <c r="K55"/>
    </row>
    <row r="56" spans="2:11" ht="15.75" thickTop="1" x14ac:dyDescent="0.25">
      <c r="C56"/>
      <c r="F56" s="83">
        <f>F53+F55</f>
        <v>5443.7240000000002</v>
      </c>
      <c r="G56" s="83"/>
      <c r="K56"/>
    </row>
    <row r="57" spans="2:11" ht="18.75" x14ac:dyDescent="0.3">
      <c r="C57"/>
      <c r="E57" s="47" t="s">
        <v>471</v>
      </c>
      <c r="F57" s="84"/>
      <c r="G57" s="84"/>
      <c r="K57"/>
    </row>
  </sheetData>
  <sortState ref="B3:F36">
    <sortCondition ref="C3:C36"/>
  </sortState>
  <mergeCells count="4">
    <mergeCell ref="B1:C1"/>
    <mergeCell ref="F53:G53"/>
    <mergeCell ref="F55:G55"/>
    <mergeCell ref="F56:G57"/>
  </mergeCells>
  <pageMargins left="0.70866141732283472" right="0.11811023622047245" top="0.19685039370078741" bottom="0.15748031496062992" header="0.31496062992125984" footer="0.31496062992125984"/>
  <pageSetup scale="85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K44"/>
  <sheetViews>
    <sheetView workbookViewId="0">
      <selection activeCell="D34" sqref="D34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42306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575</v>
      </c>
      <c r="G2" s="63"/>
      <c r="K2"/>
    </row>
    <row r="3" spans="2:11" ht="15.75" x14ac:dyDescent="0.25">
      <c r="B3" s="48">
        <v>42296</v>
      </c>
      <c r="C3" s="49">
        <v>13290</v>
      </c>
      <c r="D3" s="50" t="s">
        <v>4</v>
      </c>
      <c r="E3" s="51">
        <f>927.6+87.8</f>
        <v>1015.4</v>
      </c>
      <c r="F3" s="52">
        <v>33508.199999999997</v>
      </c>
      <c r="K3"/>
    </row>
    <row r="4" spans="2:11" ht="15.75" x14ac:dyDescent="0.25">
      <c r="B4" s="53">
        <v>42296</v>
      </c>
      <c r="C4" s="54">
        <v>13291</v>
      </c>
      <c r="D4" s="36" t="s">
        <v>9</v>
      </c>
      <c r="E4" s="55">
        <f>136.8+72.5+21.1</f>
        <v>230.4</v>
      </c>
      <c r="F4" s="52">
        <v>8544</v>
      </c>
      <c r="K4"/>
    </row>
    <row r="5" spans="2:11" ht="15.75" x14ac:dyDescent="0.25">
      <c r="B5" s="53">
        <v>42296</v>
      </c>
      <c r="C5" s="54">
        <v>13292</v>
      </c>
      <c r="D5" s="36" t="s">
        <v>5</v>
      </c>
      <c r="E5" s="55">
        <v>416.4</v>
      </c>
      <c r="F5" s="52">
        <v>13741.2</v>
      </c>
      <c r="K5"/>
    </row>
    <row r="6" spans="2:11" ht="15.75" x14ac:dyDescent="0.25">
      <c r="B6" s="53">
        <v>42296</v>
      </c>
      <c r="C6" s="54">
        <v>13374</v>
      </c>
      <c r="D6" s="36" t="s">
        <v>4</v>
      </c>
      <c r="E6" s="55">
        <f>104.2+124</f>
        <v>228.2</v>
      </c>
      <c r="F6" s="52">
        <v>7898.4</v>
      </c>
      <c r="K6" s="41">
        <f t="shared" ref="K6:K18" si="0">J6*I6</f>
        <v>0</v>
      </c>
    </row>
    <row r="7" spans="2:11" ht="15.75" x14ac:dyDescent="0.25">
      <c r="B7" s="53">
        <v>42296</v>
      </c>
      <c r="C7" s="54">
        <v>13375</v>
      </c>
      <c r="D7" s="36" t="s">
        <v>6</v>
      </c>
      <c r="E7" s="55">
        <v>131.80000000000001</v>
      </c>
      <c r="F7" s="52">
        <v>4481.2</v>
      </c>
      <c r="K7" s="41">
        <f t="shared" si="0"/>
        <v>0</v>
      </c>
    </row>
    <row r="8" spans="2:11" ht="15.75" x14ac:dyDescent="0.25">
      <c r="B8" s="53">
        <v>42296</v>
      </c>
      <c r="C8" s="54">
        <v>13376</v>
      </c>
      <c r="D8" s="36" t="s">
        <v>10</v>
      </c>
      <c r="E8" s="55">
        <v>84.8</v>
      </c>
      <c r="F8" s="52">
        <v>2798.4</v>
      </c>
      <c r="K8" s="41">
        <f t="shared" si="0"/>
        <v>0</v>
      </c>
    </row>
    <row r="9" spans="2:11" ht="15.75" x14ac:dyDescent="0.25">
      <c r="B9" s="53">
        <v>42296</v>
      </c>
      <c r="C9" s="54">
        <v>13377</v>
      </c>
      <c r="D9" s="36" t="s">
        <v>576</v>
      </c>
      <c r="E9" s="55">
        <f>120+4.9</f>
        <v>124.9</v>
      </c>
      <c r="F9" s="52">
        <v>4393.6000000000004</v>
      </c>
      <c r="K9" s="41">
        <f t="shared" si="0"/>
        <v>0</v>
      </c>
    </row>
    <row r="10" spans="2:11" ht="15.75" x14ac:dyDescent="0.25">
      <c r="B10" s="53">
        <v>42297</v>
      </c>
      <c r="C10" s="54">
        <v>13437</v>
      </c>
      <c r="D10" s="36" t="s">
        <v>181</v>
      </c>
      <c r="E10" s="55">
        <f>39.2+106.6+122.6</f>
        <v>268.39999999999998</v>
      </c>
      <c r="F10" s="52">
        <v>10781.9</v>
      </c>
      <c r="K10" s="41">
        <f t="shared" si="0"/>
        <v>0</v>
      </c>
    </row>
    <row r="11" spans="2:11" ht="15.75" x14ac:dyDescent="0.25">
      <c r="B11" s="53">
        <v>42297</v>
      </c>
      <c r="C11" s="54">
        <v>13438</v>
      </c>
      <c r="D11" s="36" t="s">
        <v>6</v>
      </c>
      <c r="E11" s="55">
        <f>96.6+261.6</f>
        <v>358.20000000000005</v>
      </c>
      <c r="F11" s="52">
        <v>9915.7999999999993</v>
      </c>
      <c r="K11" s="41">
        <f t="shared" si="0"/>
        <v>0</v>
      </c>
    </row>
    <row r="12" spans="2:11" ht="15.75" x14ac:dyDescent="0.25">
      <c r="B12" s="53">
        <v>42297</v>
      </c>
      <c r="C12" s="54">
        <v>13439</v>
      </c>
      <c r="D12" s="36" t="s">
        <v>16</v>
      </c>
      <c r="E12" s="55">
        <v>205</v>
      </c>
      <c r="F12" s="52">
        <v>7072.5</v>
      </c>
      <c r="K12" s="41">
        <f t="shared" si="0"/>
        <v>0</v>
      </c>
    </row>
    <row r="13" spans="2:11" ht="15.75" x14ac:dyDescent="0.25">
      <c r="B13" s="53">
        <v>42297</v>
      </c>
      <c r="C13" s="54">
        <v>13440</v>
      </c>
      <c r="D13" s="36" t="s">
        <v>5</v>
      </c>
      <c r="E13" s="55">
        <v>65</v>
      </c>
      <c r="F13" s="52">
        <v>2665</v>
      </c>
      <c r="K13" s="41">
        <f t="shared" si="0"/>
        <v>0</v>
      </c>
    </row>
    <row r="14" spans="2:11" ht="15.75" x14ac:dyDescent="0.25">
      <c r="B14" s="53">
        <v>42297</v>
      </c>
      <c r="C14" s="54">
        <v>13441</v>
      </c>
      <c r="D14" s="36" t="s">
        <v>7</v>
      </c>
      <c r="E14" s="55">
        <v>428.8</v>
      </c>
      <c r="F14" s="52">
        <v>13936</v>
      </c>
      <c r="K14" s="41">
        <f t="shared" si="0"/>
        <v>0</v>
      </c>
    </row>
    <row r="15" spans="2:11" ht="15.75" x14ac:dyDescent="0.25">
      <c r="B15" s="53">
        <v>42297</v>
      </c>
      <c r="C15" s="54">
        <v>13442</v>
      </c>
      <c r="D15" s="36" t="s">
        <v>11</v>
      </c>
      <c r="E15" s="55">
        <f>7.9+36.8+76.4</f>
        <v>121.1</v>
      </c>
      <c r="F15" s="52">
        <v>4323.5</v>
      </c>
      <c r="K15" s="41">
        <f t="shared" si="0"/>
        <v>0</v>
      </c>
    </row>
    <row r="16" spans="2:11" ht="15.75" x14ac:dyDescent="0.25">
      <c r="B16" s="53">
        <v>42298</v>
      </c>
      <c r="C16" s="54">
        <v>13562</v>
      </c>
      <c r="D16" s="36" t="s">
        <v>6</v>
      </c>
      <c r="E16" s="55">
        <f>115.4+111.6</f>
        <v>227</v>
      </c>
      <c r="F16" s="52">
        <v>5927.4</v>
      </c>
      <c r="K16" s="41">
        <f t="shared" si="0"/>
        <v>0</v>
      </c>
    </row>
    <row r="17" spans="2:11" ht="15.75" x14ac:dyDescent="0.25">
      <c r="B17" s="53">
        <v>42298</v>
      </c>
      <c r="C17" s="54">
        <v>13563</v>
      </c>
      <c r="D17" s="36" t="s">
        <v>16</v>
      </c>
      <c r="E17" s="55">
        <f>15+6.7+30.6</f>
        <v>52.3</v>
      </c>
      <c r="F17" s="52">
        <v>1715</v>
      </c>
      <c r="K17" s="41">
        <f t="shared" si="0"/>
        <v>0</v>
      </c>
    </row>
    <row r="18" spans="2:11" ht="15.75" x14ac:dyDescent="0.25">
      <c r="B18" s="53">
        <v>42298</v>
      </c>
      <c r="C18" s="54">
        <v>13565</v>
      </c>
      <c r="D18" s="36" t="s">
        <v>11</v>
      </c>
      <c r="E18" s="55">
        <f>81.1+24.4+92.5</f>
        <v>198</v>
      </c>
      <c r="F18" s="52">
        <v>7792.35</v>
      </c>
      <c r="K18" s="41">
        <f t="shared" si="0"/>
        <v>0</v>
      </c>
    </row>
    <row r="19" spans="2:11" ht="15.75" x14ac:dyDescent="0.25">
      <c r="B19" s="53">
        <v>42298</v>
      </c>
      <c r="C19" s="54">
        <v>13566</v>
      </c>
      <c r="D19" s="36" t="s">
        <v>10</v>
      </c>
      <c r="E19" s="55">
        <v>84.3</v>
      </c>
      <c r="F19" s="52">
        <v>2739.75</v>
      </c>
      <c r="K19" s="41">
        <f>SUM(K6:K18)</f>
        <v>0</v>
      </c>
    </row>
    <row r="20" spans="2:11" ht="15.75" x14ac:dyDescent="0.25">
      <c r="B20" s="53">
        <v>42298</v>
      </c>
      <c r="C20" s="54">
        <v>13567</v>
      </c>
      <c r="D20" s="36" t="s">
        <v>5</v>
      </c>
      <c r="E20" s="55">
        <v>418.9</v>
      </c>
      <c r="F20" s="52">
        <v>13614.25</v>
      </c>
    </row>
    <row r="21" spans="2:11" ht="15.75" x14ac:dyDescent="0.25">
      <c r="B21" s="53">
        <v>42299</v>
      </c>
      <c r="C21" s="54">
        <v>13672</v>
      </c>
      <c r="D21" s="36" t="s">
        <v>11</v>
      </c>
      <c r="E21" s="55">
        <f>22.9+11.8+85.8</f>
        <v>120.5</v>
      </c>
      <c r="F21" s="52">
        <v>4188</v>
      </c>
    </row>
    <row r="22" spans="2:11" ht="15.75" x14ac:dyDescent="0.25">
      <c r="B22" s="53">
        <v>42299</v>
      </c>
      <c r="C22" s="54">
        <v>13675</v>
      </c>
      <c r="D22" s="36" t="s">
        <v>181</v>
      </c>
      <c r="E22" s="55">
        <f>27.24+92.8+54.3+259.2</f>
        <v>433.53999999999996</v>
      </c>
      <c r="F22" s="52">
        <v>17780.400000000001</v>
      </c>
    </row>
    <row r="23" spans="2:11" x14ac:dyDescent="0.25">
      <c r="B23" s="53">
        <v>42299</v>
      </c>
      <c r="C23" s="56">
        <v>13673</v>
      </c>
      <c r="D23" s="36" t="s">
        <v>9</v>
      </c>
      <c r="E23" s="55">
        <v>114.6</v>
      </c>
      <c r="F23" s="52">
        <v>3953.7</v>
      </c>
    </row>
    <row r="24" spans="2:11" ht="15.75" x14ac:dyDescent="0.25">
      <c r="B24" s="53">
        <v>42299</v>
      </c>
      <c r="C24" s="54">
        <v>13676</v>
      </c>
      <c r="D24" s="36" t="s">
        <v>16</v>
      </c>
      <c r="E24" s="55">
        <v>143.4</v>
      </c>
      <c r="F24" s="52">
        <v>5879.4</v>
      </c>
    </row>
    <row r="25" spans="2:11" ht="15.75" x14ac:dyDescent="0.25">
      <c r="B25" s="53">
        <v>42299</v>
      </c>
      <c r="C25" s="54">
        <v>13679</v>
      </c>
      <c r="D25" s="36" t="s">
        <v>6</v>
      </c>
      <c r="E25" s="55">
        <f>102.2+30</f>
        <v>132.19999999999999</v>
      </c>
      <c r="F25" s="52">
        <v>5145.8999999999996</v>
      </c>
    </row>
    <row r="26" spans="2:11" ht="15.75" x14ac:dyDescent="0.25">
      <c r="B26" s="53">
        <v>42300</v>
      </c>
      <c r="C26" s="54">
        <v>13769</v>
      </c>
      <c r="D26" s="36" t="s">
        <v>5</v>
      </c>
      <c r="E26" s="55">
        <v>576.4</v>
      </c>
      <c r="F26" s="52">
        <v>18733</v>
      </c>
    </row>
    <row r="27" spans="2:11" ht="15.75" x14ac:dyDescent="0.25">
      <c r="B27" s="53">
        <v>42300</v>
      </c>
      <c r="C27" s="54">
        <v>13770</v>
      </c>
      <c r="D27" s="36" t="s">
        <v>7</v>
      </c>
      <c r="E27" s="55">
        <f>132+655</f>
        <v>787</v>
      </c>
      <c r="F27" s="52">
        <v>23927.5</v>
      </c>
    </row>
    <row r="28" spans="2:11" ht="15.75" x14ac:dyDescent="0.25">
      <c r="B28" s="53">
        <v>42300</v>
      </c>
      <c r="C28" s="54">
        <v>13843</v>
      </c>
      <c r="D28" s="36" t="s">
        <v>10</v>
      </c>
      <c r="E28" s="55">
        <f>86.6+142.2</f>
        <v>228.79999999999998</v>
      </c>
      <c r="F28" s="52">
        <v>7578.2</v>
      </c>
    </row>
    <row r="29" spans="2:11" ht="15.75" x14ac:dyDescent="0.25">
      <c r="B29" s="53">
        <v>42300</v>
      </c>
      <c r="C29" s="54">
        <v>13844</v>
      </c>
      <c r="D29" s="36" t="s">
        <v>11</v>
      </c>
      <c r="E29" s="55">
        <f>60.6+48.8+7.7+79</f>
        <v>196.10000000000002</v>
      </c>
      <c r="F29" s="52">
        <v>7649</v>
      </c>
    </row>
    <row r="30" spans="2:11" ht="15.75" x14ac:dyDescent="0.25">
      <c r="B30" s="53">
        <v>42300</v>
      </c>
      <c r="C30" s="54">
        <v>13845</v>
      </c>
      <c r="D30" s="36" t="s">
        <v>6</v>
      </c>
      <c r="E30" s="55">
        <f>327.2+248.4</f>
        <v>575.6</v>
      </c>
      <c r="F30" s="52">
        <v>20570</v>
      </c>
      <c r="K30" s="41">
        <f>J30*I30</f>
        <v>0</v>
      </c>
    </row>
    <row r="31" spans="2:11" x14ac:dyDescent="0.25">
      <c r="B31" s="53">
        <v>42300</v>
      </c>
      <c r="C31" s="56">
        <v>13846</v>
      </c>
      <c r="D31" s="36" t="s">
        <v>4</v>
      </c>
      <c r="E31" s="55">
        <v>166</v>
      </c>
      <c r="F31" s="52">
        <v>5395</v>
      </c>
      <c r="K31" s="41">
        <f t="shared" ref="K31:K35" si="1">J31*I31</f>
        <v>0</v>
      </c>
    </row>
    <row r="32" spans="2:11" ht="15.75" x14ac:dyDescent="0.25">
      <c r="B32" s="53">
        <v>42300</v>
      </c>
      <c r="C32" s="54">
        <v>13848</v>
      </c>
      <c r="D32" s="36" t="s">
        <v>9</v>
      </c>
      <c r="E32" s="55">
        <f>40.6+169+208.4+66.4+6</f>
        <v>490.4</v>
      </c>
      <c r="F32" s="52">
        <v>19467.400000000001</v>
      </c>
      <c r="K32" s="41">
        <f t="shared" si="1"/>
        <v>0</v>
      </c>
    </row>
    <row r="33" spans="2:11" ht="15.75" x14ac:dyDescent="0.25">
      <c r="B33" s="53">
        <v>42300</v>
      </c>
      <c r="C33" s="54">
        <v>13853</v>
      </c>
      <c r="D33" s="36" t="s">
        <v>181</v>
      </c>
      <c r="E33" s="55">
        <f>889.8+48.5+34.2+81.4+67.2+116+66.4</f>
        <v>1303.5000000000002</v>
      </c>
      <c r="F33" s="52">
        <v>46686.2</v>
      </c>
      <c r="K33" s="41">
        <f t="shared" si="1"/>
        <v>0</v>
      </c>
    </row>
    <row r="34" spans="2:11" ht="15.75" x14ac:dyDescent="0.25">
      <c r="B34" s="53">
        <v>42300</v>
      </c>
      <c r="C34" s="54">
        <v>13854</v>
      </c>
      <c r="D34" s="36" t="s">
        <v>16</v>
      </c>
      <c r="E34" s="55">
        <f>16.8+69.2+10.5+162.2+12</f>
        <v>270.7</v>
      </c>
      <c r="F34" s="52">
        <v>7588.2</v>
      </c>
      <c r="K34" s="41">
        <f t="shared" si="1"/>
        <v>0</v>
      </c>
    </row>
    <row r="35" spans="2:11" ht="15.75" thickBot="1" x14ac:dyDescent="0.3">
      <c r="B35" s="53"/>
      <c r="C35" s="56"/>
      <c r="D35" s="36"/>
      <c r="E35" s="55"/>
      <c r="F35" s="52"/>
      <c r="K35" s="41">
        <f t="shared" si="1"/>
        <v>0</v>
      </c>
    </row>
    <row r="36" spans="2:11" ht="15.75" thickBot="1" x14ac:dyDescent="0.3">
      <c r="B36" s="16"/>
      <c r="C36" s="17"/>
      <c r="D36" s="18"/>
      <c r="E36" s="44">
        <v>0</v>
      </c>
      <c r="F36" s="43">
        <f>SUM(F3:F35)</f>
        <v>350390.35000000003</v>
      </c>
      <c r="K36"/>
    </row>
    <row r="37" spans="2:11" ht="19.5" thickBot="1" x14ac:dyDescent="0.35">
      <c r="B37" s="19"/>
      <c r="C37" s="20"/>
      <c r="D37" s="23" t="s">
        <v>3</v>
      </c>
      <c r="E37" s="25">
        <f>SUM(E3:E36)</f>
        <v>10197.640000000001</v>
      </c>
      <c r="K37"/>
    </row>
    <row r="38" spans="2:11" x14ac:dyDescent="0.25">
      <c r="B38" s="19"/>
      <c r="C38" s="20"/>
      <c r="D38" s="21"/>
      <c r="E38" s="22"/>
      <c r="K38"/>
    </row>
    <row r="39" spans="2:11" ht="21.75" thickBot="1" x14ac:dyDescent="0.4">
      <c r="B39" s="40"/>
      <c r="C39" s="27" t="s">
        <v>18</v>
      </c>
      <c r="D39" s="26">
        <f>E37*0.2</f>
        <v>2039.5280000000002</v>
      </c>
      <c r="F39"/>
      <c r="K39"/>
    </row>
    <row r="40" spans="2:11" ht="21.75" thickBot="1" x14ac:dyDescent="0.4">
      <c r="C40" s="11" t="s">
        <v>422</v>
      </c>
      <c r="D40" s="61">
        <v>3000</v>
      </c>
      <c r="E40" s="62"/>
      <c r="F40" s="80">
        <f>D39+D40</f>
        <v>5039.5280000000002</v>
      </c>
      <c r="G40" s="81"/>
      <c r="K40"/>
    </row>
    <row r="41" spans="2:11" ht="15.75" thickTop="1" x14ac:dyDescent="0.25">
      <c r="K41"/>
    </row>
    <row r="42" spans="2:11" ht="19.5" thickBot="1" x14ac:dyDescent="0.35">
      <c r="E42" s="70" t="s">
        <v>470</v>
      </c>
      <c r="F42" s="82">
        <v>0</v>
      </c>
      <c r="G42" s="82"/>
      <c r="K42"/>
    </row>
    <row r="43" spans="2:11" ht="15.75" thickTop="1" x14ac:dyDescent="0.25">
      <c r="C43"/>
      <c r="F43" s="83">
        <f>F40+F42</f>
        <v>5039.5280000000002</v>
      </c>
      <c r="G43" s="83"/>
      <c r="K43"/>
    </row>
    <row r="44" spans="2:11" ht="18.75" x14ac:dyDescent="0.3">
      <c r="C44"/>
      <c r="E44" s="47" t="s">
        <v>471</v>
      </c>
      <c r="F44" s="84"/>
      <c r="G44" s="84"/>
      <c r="K44"/>
    </row>
  </sheetData>
  <mergeCells count="4">
    <mergeCell ref="B1:C1"/>
    <mergeCell ref="F40:G40"/>
    <mergeCell ref="F42:G42"/>
    <mergeCell ref="F43:G44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K52"/>
  <sheetViews>
    <sheetView topLeftCell="A31" workbookViewId="0">
      <selection activeCell="I48" sqref="I4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42314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577</v>
      </c>
      <c r="G2" s="63"/>
      <c r="K2"/>
    </row>
    <row r="3" spans="2:11" ht="15.75" x14ac:dyDescent="0.25">
      <c r="B3" s="48">
        <v>42292</v>
      </c>
      <c r="C3" s="49">
        <v>12774</v>
      </c>
      <c r="D3" s="50" t="s">
        <v>5</v>
      </c>
      <c r="E3" s="51">
        <v>153.6</v>
      </c>
      <c r="F3" s="52">
        <v>5068.8</v>
      </c>
      <c r="K3"/>
    </row>
    <row r="4" spans="2:11" ht="15.75" x14ac:dyDescent="0.25">
      <c r="B4" s="53">
        <v>42299</v>
      </c>
      <c r="C4" s="54">
        <v>13674</v>
      </c>
      <c r="D4" s="36" t="s">
        <v>7</v>
      </c>
      <c r="E4" s="55">
        <f>168+19.8</f>
        <v>187.8</v>
      </c>
      <c r="F4" s="52">
        <v>6192</v>
      </c>
      <c r="K4"/>
    </row>
    <row r="5" spans="2:11" ht="15.75" x14ac:dyDescent="0.25">
      <c r="B5" s="53">
        <v>42304</v>
      </c>
      <c r="C5" s="54">
        <v>14324</v>
      </c>
      <c r="D5" s="36" t="s">
        <v>7</v>
      </c>
      <c r="E5" s="55">
        <f>196.8+430.8</f>
        <v>627.6</v>
      </c>
      <c r="F5" s="52">
        <v>20378.400000000001</v>
      </c>
      <c r="K5"/>
    </row>
    <row r="6" spans="2:11" ht="15.75" x14ac:dyDescent="0.25">
      <c r="B6" s="53">
        <v>42304</v>
      </c>
      <c r="C6" s="54">
        <v>14325</v>
      </c>
      <c r="D6" s="36" t="s">
        <v>11</v>
      </c>
      <c r="E6" s="55">
        <f>50.9+152.2</f>
        <v>203.1</v>
      </c>
      <c r="F6" s="52">
        <v>7211.3</v>
      </c>
      <c r="K6" s="41">
        <f t="shared" ref="K6:K18" si="0">J6*I6</f>
        <v>0</v>
      </c>
    </row>
    <row r="7" spans="2:11" ht="15.75" x14ac:dyDescent="0.25">
      <c r="B7" s="53">
        <v>42304</v>
      </c>
      <c r="C7" s="54">
        <v>14326</v>
      </c>
      <c r="D7" s="36" t="s">
        <v>10</v>
      </c>
      <c r="E7" s="55">
        <f>34.6+287.8</f>
        <v>322.40000000000003</v>
      </c>
      <c r="F7" s="52">
        <v>10985.2</v>
      </c>
      <c r="K7" s="41">
        <f t="shared" si="0"/>
        <v>0</v>
      </c>
    </row>
    <row r="8" spans="2:11" ht="15.75" x14ac:dyDescent="0.25">
      <c r="B8" s="53">
        <v>42304</v>
      </c>
      <c r="C8" s="54">
        <v>14327</v>
      </c>
      <c r="D8" s="36" t="s">
        <v>5</v>
      </c>
      <c r="E8" s="55">
        <v>180.4</v>
      </c>
      <c r="F8" s="52">
        <v>5772.8</v>
      </c>
      <c r="K8" s="41">
        <f t="shared" si="0"/>
        <v>0</v>
      </c>
    </row>
    <row r="9" spans="2:11" ht="15.75" x14ac:dyDescent="0.25">
      <c r="B9" s="53">
        <v>42304</v>
      </c>
      <c r="C9" s="54">
        <v>14328</v>
      </c>
      <c r="D9" s="36" t="s">
        <v>16</v>
      </c>
      <c r="E9" s="55">
        <v>207.4</v>
      </c>
      <c r="F9" s="52">
        <v>6947.9</v>
      </c>
      <c r="K9" s="41">
        <f t="shared" si="0"/>
        <v>0</v>
      </c>
    </row>
    <row r="10" spans="2:11" ht="15.75" x14ac:dyDescent="0.25">
      <c r="B10" s="53">
        <v>42304</v>
      </c>
      <c r="C10" s="54">
        <v>14329</v>
      </c>
      <c r="D10" s="36" t="s">
        <v>17</v>
      </c>
      <c r="E10" s="55">
        <f>377.2+234+45.6+46.4</f>
        <v>703.2</v>
      </c>
      <c r="F10" s="52">
        <v>24986.400000000001</v>
      </c>
      <c r="K10" s="41">
        <f t="shared" si="0"/>
        <v>0</v>
      </c>
    </row>
    <row r="11" spans="2:11" ht="15.75" x14ac:dyDescent="0.25">
      <c r="B11" s="53">
        <v>42304</v>
      </c>
      <c r="C11" s="54">
        <v>14330</v>
      </c>
      <c r="D11" s="36" t="s">
        <v>93</v>
      </c>
      <c r="E11" s="55">
        <f>50.6+136.8</f>
        <v>187.4</v>
      </c>
      <c r="F11" s="52">
        <v>5594.8</v>
      </c>
      <c r="K11" s="41">
        <f t="shared" si="0"/>
        <v>0</v>
      </c>
    </row>
    <row r="12" spans="2:11" ht="15.75" x14ac:dyDescent="0.25">
      <c r="B12" s="53">
        <v>42304</v>
      </c>
      <c r="C12" s="54">
        <v>14335</v>
      </c>
      <c r="D12" s="36" t="s">
        <v>5</v>
      </c>
      <c r="E12" s="55">
        <v>262</v>
      </c>
      <c r="F12" s="52">
        <v>8384</v>
      </c>
      <c r="K12" s="41">
        <f t="shared" si="0"/>
        <v>0</v>
      </c>
    </row>
    <row r="13" spans="2:11" ht="15.75" x14ac:dyDescent="0.25">
      <c r="B13" s="53">
        <v>42305</v>
      </c>
      <c r="C13" s="54">
        <v>14440</v>
      </c>
      <c r="D13" s="36" t="s">
        <v>93</v>
      </c>
      <c r="E13" s="55">
        <f>19.5+36.3+266.4</f>
        <v>322.2</v>
      </c>
      <c r="F13" s="52">
        <v>9699.2999999999993</v>
      </c>
      <c r="K13" s="41">
        <f t="shared" si="0"/>
        <v>0</v>
      </c>
    </row>
    <row r="14" spans="2:11" ht="15.75" x14ac:dyDescent="0.25">
      <c r="B14" s="53">
        <v>42305</v>
      </c>
      <c r="C14" s="54">
        <v>14441</v>
      </c>
      <c r="D14" s="36" t="s">
        <v>16</v>
      </c>
      <c r="E14" s="55">
        <f>31.5+46.8+56</f>
        <v>134.30000000000001</v>
      </c>
      <c r="F14" s="52">
        <v>4980.3</v>
      </c>
      <c r="K14" s="41">
        <f t="shared" si="0"/>
        <v>0</v>
      </c>
    </row>
    <row r="15" spans="2:11" ht="15.75" x14ac:dyDescent="0.25">
      <c r="B15" s="53">
        <v>42305</v>
      </c>
      <c r="C15" s="54">
        <v>14442</v>
      </c>
      <c r="D15" s="36" t="s">
        <v>4</v>
      </c>
      <c r="E15" s="55">
        <v>75.8</v>
      </c>
      <c r="F15" s="52">
        <v>379</v>
      </c>
      <c r="K15" s="41">
        <f t="shared" si="0"/>
        <v>0</v>
      </c>
    </row>
    <row r="16" spans="2:11" ht="15.75" x14ac:dyDescent="0.25">
      <c r="B16" s="53">
        <v>42305</v>
      </c>
      <c r="C16" s="54">
        <v>14443</v>
      </c>
      <c r="D16" s="36" t="s">
        <v>9</v>
      </c>
      <c r="E16" s="55">
        <v>333.4</v>
      </c>
      <c r="F16" s="52">
        <v>10668.8</v>
      </c>
      <c r="K16" s="41">
        <f t="shared" si="0"/>
        <v>0</v>
      </c>
    </row>
    <row r="17" spans="2:11" ht="15.75" x14ac:dyDescent="0.25">
      <c r="B17" s="53">
        <v>42305</v>
      </c>
      <c r="C17" s="54">
        <v>14444</v>
      </c>
      <c r="D17" s="36" t="s">
        <v>10</v>
      </c>
      <c r="E17" s="55">
        <v>87</v>
      </c>
      <c r="F17" s="52">
        <v>2784</v>
      </c>
      <c r="K17" s="41">
        <f t="shared" si="0"/>
        <v>0</v>
      </c>
    </row>
    <row r="18" spans="2:11" ht="15.75" x14ac:dyDescent="0.25">
      <c r="B18" s="53">
        <v>42305</v>
      </c>
      <c r="C18" s="54">
        <v>14445</v>
      </c>
      <c r="D18" s="36" t="s">
        <v>5</v>
      </c>
      <c r="E18" s="55">
        <v>255.6</v>
      </c>
      <c r="F18" s="52">
        <v>8179.25</v>
      </c>
      <c r="K18" s="41">
        <f t="shared" si="0"/>
        <v>0</v>
      </c>
    </row>
    <row r="19" spans="2:11" ht="15.75" x14ac:dyDescent="0.25">
      <c r="B19" s="53">
        <v>42306</v>
      </c>
      <c r="C19" s="54">
        <v>14628</v>
      </c>
      <c r="D19" s="36" t="s">
        <v>10</v>
      </c>
      <c r="E19" s="55">
        <v>89.4</v>
      </c>
      <c r="F19" s="52">
        <v>2860.8</v>
      </c>
      <c r="K19" s="41">
        <f>SUM(K6:K18)</f>
        <v>0</v>
      </c>
    </row>
    <row r="20" spans="2:11" ht="15.75" x14ac:dyDescent="0.25">
      <c r="B20" s="53">
        <v>42306</v>
      </c>
      <c r="C20" s="54">
        <v>146259</v>
      </c>
      <c r="D20" s="36" t="s">
        <v>11</v>
      </c>
      <c r="E20" s="55">
        <f>26.1+77.9+153.2</f>
        <v>257.2</v>
      </c>
      <c r="F20" s="52">
        <v>9632</v>
      </c>
    </row>
    <row r="21" spans="2:11" ht="15.75" x14ac:dyDescent="0.25">
      <c r="B21" s="53">
        <v>42306</v>
      </c>
      <c r="C21" s="54">
        <v>14631</v>
      </c>
      <c r="D21" s="36" t="s">
        <v>93</v>
      </c>
      <c r="E21" s="55">
        <f>4+199.2</f>
        <v>203.2</v>
      </c>
      <c r="F21" s="52">
        <v>6466.4</v>
      </c>
    </row>
    <row r="22" spans="2:11" ht="15.75" x14ac:dyDescent="0.25">
      <c r="B22" s="53">
        <v>42307</v>
      </c>
      <c r="C22" s="54">
        <v>14740</v>
      </c>
      <c r="D22" s="36" t="s">
        <v>4</v>
      </c>
      <c r="E22" s="55">
        <f>920.8+926.2+22.6+42+124+242.4</f>
        <v>2278</v>
      </c>
      <c r="F22" s="52">
        <v>67888.600000000006</v>
      </c>
    </row>
    <row r="23" spans="2:11" x14ac:dyDescent="0.25">
      <c r="B23" s="53">
        <v>42307</v>
      </c>
      <c r="C23" s="56">
        <v>14741</v>
      </c>
      <c r="D23" s="36" t="s">
        <v>93</v>
      </c>
      <c r="E23" s="55">
        <v>301.2</v>
      </c>
      <c r="F23" s="52">
        <v>9638.4</v>
      </c>
    </row>
    <row r="24" spans="2:11" ht="15.75" x14ac:dyDescent="0.25">
      <c r="B24" s="53">
        <v>42307</v>
      </c>
      <c r="C24" s="54">
        <v>14742</v>
      </c>
      <c r="D24" s="36" t="s">
        <v>11</v>
      </c>
      <c r="E24" s="55">
        <f>2+70.8+60.6</f>
        <v>133.4</v>
      </c>
      <c r="F24" s="52">
        <v>5069.8</v>
      </c>
    </row>
    <row r="25" spans="2:11" ht="15.75" x14ac:dyDescent="0.25">
      <c r="B25" s="53">
        <v>42307</v>
      </c>
      <c r="C25" s="54">
        <v>14744</v>
      </c>
      <c r="D25" s="36" t="s">
        <v>16</v>
      </c>
      <c r="E25" s="55">
        <f>58.6</f>
        <v>58.6</v>
      </c>
      <c r="F25" s="52">
        <v>2285.4</v>
      </c>
    </row>
    <row r="26" spans="2:11" ht="15.75" x14ac:dyDescent="0.25">
      <c r="B26" s="53">
        <v>42307</v>
      </c>
      <c r="C26" s="54">
        <v>14745</v>
      </c>
      <c r="D26" s="36" t="s">
        <v>10</v>
      </c>
      <c r="E26" s="55">
        <v>27.22</v>
      </c>
      <c r="F26" s="52">
        <v>1361</v>
      </c>
    </row>
    <row r="27" spans="2:11" ht="15.75" x14ac:dyDescent="0.25">
      <c r="B27" s="53">
        <v>42307</v>
      </c>
      <c r="C27" s="54">
        <v>14747</v>
      </c>
      <c r="D27" s="36" t="s">
        <v>9</v>
      </c>
      <c r="E27" s="55">
        <f>19.8+111.4</f>
        <v>131.20000000000002</v>
      </c>
      <c r="F27" s="52">
        <v>3908</v>
      </c>
    </row>
    <row r="28" spans="2:11" ht="15.75" x14ac:dyDescent="0.25">
      <c r="B28" s="53">
        <v>42307</v>
      </c>
      <c r="C28" s="54">
        <v>14749</v>
      </c>
      <c r="D28" s="36" t="s">
        <v>5</v>
      </c>
      <c r="E28" s="55">
        <f>172.2+46.6</f>
        <v>218.79999999999998</v>
      </c>
      <c r="F28" s="52">
        <v>6270.2</v>
      </c>
    </row>
    <row r="29" spans="2:11" ht="15.75" x14ac:dyDescent="0.25">
      <c r="B29" s="53">
        <v>42308</v>
      </c>
      <c r="C29" s="54">
        <v>14898</v>
      </c>
      <c r="D29" s="36" t="s">
        <v>11</v>
      </c>
      <c r="E29" s="55">
        <f>14.9+35.2+152</f>
        <v>202.1</v>
      </c>
      <c r="F29" s="52">
        <v>6872.3</v>
      </c>
    </row>
    <row r="30" spans="2:11" ht="15.75" x14ac:dyDescent="0.25">
      <c r="B30" s="53">
        <v>42308</v>
      </c>
      <c r="C30" s="54">
        <v>14899</v>
      </c>
      <c r="D30" s="36" t="s">
        <v>10</v>
      </c>
      <c r="E30" s="55">
        <v>145.80000000000001</v>
      </c>
      <c r="F30" s="52">
        <v>4811.3999999999996</v>
      </c>
      <c r="K30" s="41">
        <f>J30*I30</f>
        <v>0</v>
      </c>
    </row>
    <row r="31" spans="2:11" x14ac:dyDescent="0.25">
      <c r="B31" s="53">
        <v>42308</v>
      </c>
      <c r="C31" s="56">
        <v>14900</v>
      </c>
      <c r="D31" s="36" t="s">
        <v>9</v>
      </c>
      <c r="E31" s="55">
        <v>420.4</v>
      </c>
      <c r="F31" s="52">
        <v>13452.8</v>
      </c>
      <c r="K31" s="41">
        <f t="shared" ref="K31:K43" si="1">J31*I31</f>
        <v>0</v>
      </c>
    </row>
    <row r="32" spans="2:11" ht="15.75" x14ac:dyDescent="0.25">
      <c r="B32" s="53">
        <v>42308</v>
      </c>
      <c r="C32" s="54">
        <v>14901</v>
      </c>
      <c r="D32" s="36" t="s">
        <v>16</v>
      </c>
      <c r="E32" s="55">
        <f>64.7+11.6+11.5+11.1+85.2</f>
        <v>184.1</v>
      </c>
      <c r="F32" s="52">
        <v>4639.1000000000004</v>
      </c>
      <c r="K32" s="41">
        <f t="shared" si="1"/>
        <v>0</v>
      </c>
    </row>
    <row r="33" spans="2:11" ht="15.75" x14ac:dyDescent="0.25">
      <c r="B33" s="53">
        <v>42308</v>
      </c>
      <c r="C33" s="54">
        <v>14902</v>
      </c>
      <c r="D33" s="36" t="s">
        <v>5</v>
      </c>
      <c r="E33" s="55">
        <v>83</v>
      </c>
      <c r="F33" s="52">
        <v>2656</v>
      </c>
      <c r="K33" s="41">
        <f t="shared" si="1"/>
        <v>0</v>
      </c>
    </row>
    <row r="34" spans="2:11" ht="15.75" x14ac:dyDescent="0.25">
      <c r="B34" s="53">
        <v>42308</v>
      </c>
      <c r="C34" s="54">
        <v>14903</v>
      </c>
      <c r="D34" s="36" t="s">
        <v>16</v>
      </c>
      <c r="E34" s="55">
        <v>49</v>
      </c>
      <c r="F34" s="52">
        <v>1960</v>
      </c>
      <c r="K34" s="41">
        <f t="shared" si="1"/>
        <v>0</v>
      </c>
    </row>
    <row r="35" spans="2:11" ht="15.75" x14ac:dyDescent="0.25">
      <c r="B35" s="53">
        <v>42308</v>
      </c>
      <c r="C35" s="54">
        <v>14905</v>
      </c>
      <c r="D35" s="36" t="s">
        <v>93</v>
      </c>
      <c r="E35" s="55">
        <v>561.79999999999995</v>
      </c>
      <c r="F35" s="52">
        <v>17977.599999999999</v>
      </c>
      <c r="K35" s="41">
        <f t="shared" si="1"/>
        <v>0</v>
      </c>
    </row>
    <row r="36" spans="2:11" ht="15.75" x14ac:dyDescent="0.25">
      <c r="B36" s="53">
        <v>42308</v>
      </c>
      <c r="C36" s="54">
        <v>14906</v>
      </c>
      <c r="D36" s="36" t="s">
        <v>5</v>
      </c>
      <c r="E36" s="55">
        <v>321.8</v>
      </c>
      <c r="F36" s="52">
        <v>10297.6</v>
      </c>
      <c r="K36" s="41">
        <f t="shared" si="1"/>
        <v>0</v>
      </c>
    </row>
    <row r="37" spans="2:11" ht="15.75" x14ac:dyDescent="0.25">
      <c r="B37" s="53">
        <v>42308</v>
      </c>
      <c r="C37" s="54">
        <v>14907</v>
      </c>
      <c r="D37" s="36" t="s">
        <v>11</v>
      </c>
      <c r="E37" s="55">
        <v>36.6</v>
      </c>
      <c r="F37" s="52">
        <v>1647</v>
      </c>
      <c r="K37" s="41">
        <f t="shared" si="1"/>
        <v>0</v>
      </c>
    </row>
    <row r="38" spans="2:11" ht="15.75" x14ac:dyDescent="0.25">
      <c r="B38" s="53">
        <v>42308</v>
      </c>
      <c r="C38" s="54">
        <v>14908</v>
      </c>
      <c r="D38" s="36" t="s">
        <v>93</v>
      </c>
      <c r="E38" s="55">
        <v>24.5</v>
      </c>
      <c r="F38" s="52">
        <v>416.5</v>
      </c>
      <c r="K38" s="41">
        <f t="shared" si="1"/>
        <v>0</v>
      </c>
    </row>
    <row r="39" spans="2:11" ht="15.75" x14ac:dyDescent="0.25">
      <c r="B39" s="53">
        <v>42308</v>
      </c>
      <c r="C39" s="54">
        <v>14912</v>
      </c>
      <c r="D39" s="36" t="s">
        <v>10</v>
      </c>
      <c r="E39" s="55">
        <f>11.6+13.1</f>
        <v>24.7</v>
      </c>
      <c r="F39" s="52">
        <v>1032.5</v>
      </c>
      <c r="K39" s="41">
        <f t="shared" si="1"/>
        <v>0</v>
      </c>
    </row>
    <row r="40" spans="2:11" ht="15.75" x14ac:dyDescent="0.25">
      <c r="B40" s="53">
        <v>42308</v>
      </c>
      <c r="C40" s="54">
        <v>14919</v>
      </c>
      <c r="D40" s="36" t="s">
        <v>11</v>
      </c>
      <c r="E40" s="55">
        <v>1</v>
      </c>
      <c r="F40" s="52">
        <v>185</v>
      </c>
      <c r="K40" s="41">
        <f t="shared" si="1"/>
        <v>0</v>
      </c>
    </row>
    <row r="41" spans="2:11" ht="15.75" x14ac:dyDescent="0.25">
      <c r="B41" s="53">
        <v>42309</v>
      </c>
      <c r="C41" s="54">
        <v>15061</v>
      </c>
      <c r="D41" s="36" t="s">
        <v>96</v>
      </c>
      <c r="E41" s="55">
        <v>236.4</v>
      </c>
      <c r="F41" s="52">
        <v>7564.8</v>
      </c>
      <c r="K41" s="41">
        <f t="shared" si="1"/>
        <v>0</v>
      </c>
    </row>
    <row r="42" spans="2:11" ht="15.75" x14ac:dyDescent="0.25">
      <c r="B42" s="53">
        <v>42309</v>
      </c>
      <c r="C42" s="54">
        <v>15062</v>
      </c>
      <c r="D42" s="36" t="s">
        <v>93</v>
      </c>
      <c r="E42" s="55">
        <f>56.5+380.8</f>
        <v>437.3</v>
      </c>
      <c r="F42" s="52">
        <v>14389.1</v>
      </c>
    </row>
    <row r="43" spans="2:11" ht="15.75" thickBot="1" x14ac:dyDescent="0.3">
      <c r="B43" s="53">
        <v>42309</v>
      </c>
      <c r="C43" s="56">
        <v>15065</v>
      </c>
      <c r="D43" s="36" t="s">
        <v>11</v>
      </c>
      <c r="E43" s="55">
        <f>35.4+77+132</f>
        <v>244.4</v>
      </c>
      <c r="F43" s="52">
        <v>9211.2000000000007</v>
      </c>
      <c r="K43" s="41">
        <f t="shared" si="1"/>
        <v>0</v>
      </c>
    </row>
    <row r="44" spans="2:11" ht="15.75" thickBot="1" x14ac:dyDescent="0.3">
      <c r="B44" s="16"/>
      <c r="C44" s="17"/>
      <c r="D44" s="18"/>
      <c r="E44" s="44">
        <v>0</v>
      </c>
      <c r="F44" s="43">
        <f>SUM(F3:F43)</f>
        <v>350705.74999999988</v>
      </c>
      <c r="K44" s="71">
        <f>SUM(K30:K43)</f>
        <v>0</v>
      </c>
    </row>
    <row r="45" spans="2:11" ht="19.5" thickBot="1" x14ac:dyDescent="0.35">
      <c r="B45" s="19"/>
      <c r="C45" s="20"/>
      <c r="D45" s="23" t="s">
        <v>3</v>
      </c>
      <c r="E45" s="25">
        <f>SUM(E3:E44)</f>
        <v>10914.319999999998</v>
      </c>
      <c r="K45"/>
    </row>
    <row r="46" spans="2:11" x14ac:dyDescent="0.25">
      <c r="B46" s="19"/>
      <c r="C46" s="20"/>
      <c r="D46" s="21"/>
      <c r="E46" s="22"/>
      <c r="K46"/>
    </row>
    <row r="47" spans="2:11" ht="21.75" thickBot="1" x14ac:dyDescent="0.4">
      <c r="B47" s="40"/>
      <c r="C47" s="27" t="s">
        <v>18</v>
      </c>
      <c r="D47" s="26">
        <f>E45*0.2</f>
        <v>2182.8639999999996</v>
      </c>
      <c r="F47"/>
      <c r="K47"/>
    </row>
    <row r="48" spans="2:11" ht="21.75" thickBot="1" x14ac:dyDescent="0.4">
      <c r="C48" s="11" t="s">
        <v>422</v>
      </c>
      <c r="D48" s="61">
        <v>3000</v>
      </c>
      <c r="E48" s="62"/>
      <c r="F48" s="80">
        <f>D47+D48</f>
        <v>5182.8639999999996</v>
      </c>
      <c r="G48" s="81"/>
      <c r="K48"/>
    </row>
    <row r="49" spans="3:11" ht="15.75" thickTop="1" x14ac:dyDescent="0.25">
      <c r="K49"/>
    </row>
    <row r="50" spans="3:11" ht="19.5" thickBot="1" x14ac:dyDescent="0.35">
      <c r="E50" s="70" t="s">
        <v>470</v>
      </c>
      <c r="F50" s="82">
        <v>-3000</v>
      </c>
      <c r="G50" s="82"/>
      <c r="K50"/>
    </row>
    <row r="51" spans="3:11" ht="15.75" thickTop="1" x14ac:dyDescent="0.25">
      <c r="C51"/>
      <c r="F51" s="83">
        <f>F48+F50</f>
        <v>2182.8639999999996</v>
      </c>
      <c r="G51" s="83"/>
      <c r="K51"/>
    </row>
    <row r="52" spans="3:11" ht="18.75" x14ac:dyDescent="0.3">
      <c r="C52"/>
      <c r="E52" s="47" t="s">
        <v>471</v>
      </c>
      <c r="F52" s="84"/>
      <c r="G52" s="84"/>
      <c r="K52"/>
    </row>
  </sheetData>
  <mergeCells count="4">
    <mergeCell ref="B1:C1"/>
    <mergeCell ref="F48:G48"/>
    <mergeCell ref="F50:G50"/>
    <mergeCell ref="F51:G5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K43"/>
  <sheetViews>
    <sheetView topLeftCell="A31" workbookViewId="0">
      <selection activeCell="B33" sqref="B3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42318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578</v>
      </c>
      <c r="G2" s="63"/>
      <c r="K2"/>
    </row>
    <row r="3" spans="2:11" ht="15.75" x14ac:dyDescent="0.25">
      <c r="B3" s="48">
        <v>42312</v>
      </c>
      <c r="C3" s="49">
        <v>15066</v>
      </c>
      <c r="D3" s="50" t="s">
        <v>7</v>
      </c>
      <c r="E3" s="51">
        <f>121.8+769.4</f>
        <v>891.19999999999993</v>
      </c>
      <c r="F3" s="52">
        <v>27056.799999999999</v>
      </c>
      <c r="K3"/>
    </row>
    <row r="4" spans="2:11" ht="15.75" x14ac:dyDescent="0.25">
      <c r="B4" s="53">
        <v>42312</v>
      </c>
      <c r="C4" s="54">
        <v>15428</v>
      </c>
      <c r="D4" s="36" t="s">
        <v>11</v>
      </c>
      <c r="E4" s="55">
        <f>17.3+68.2+59.8</f>
        <v>145.30000000000001</v>
      </c>
      <c r="F4" s="52">
        <v>5655.9</v>
      </c>
      <c r="K4"/>
    </row>
    <row r="5" spans="2:11" ht="15.75" x14ac:dyDescent="0.25">
      <c r="B5" s="53">
        <v>42312</v>
      </c>
      <c r="C5" s="54">
        <v>15429</v>
      </c>
      <c r="D5" s="36" t="s">
        <v>93</v>
      </c>
      <c r="E5" s="55">
        <f>54+181.4+154</f>
        <v>389.4</v>
      </c>
      <c r="F5" s="52">
        <v>13005.6</v>
      </c>
      <c r="K5"/>
    </row>
    <row r="6" spans="2:11" ht="15.75" x14ac:dyDescent="0.25">
      <c r="B6" s="53">
        <v>42312</v>
      </c>
      <c r="C6" s="54">
        <v>15430</v>
      </c>
      <c r="D6" s="36" t="s">
        <v>9</v>
      </c>
      <c r="E6" s="55">
        <v>245.8</v>
      </c>
      <c r="F6" s="52">
        <v>7742.7</v>
      </c>
      <c r="K6" s="41">
        <f t="shared" ref="K6:K18" si="0">J6*I6</f>
        <v>0</v>
      </c>
    </row>
    <row r="7" spans="2:11" ht="15.75" x14ac:dyDescent="0.25">
      <c r="B7" s="53">
        <v>42312</v>
      </c>
      <c r="C7" s="54">
        <v>15431</v>
      </c>
      <c r="D7" s="36" t="s">
        <v>569</v>
      </c>
      <c r="E7" s="55">
        <v>552.79999999999995</v>
      </c>
      <c r="F7" s="52">
        <v>17413.2</v>
      </c>
      <c r="K7" s="41">
        <f t="shared" si="0"/>
        <v>0</v>
      </c>
    </row>
    <row r="8" spans="2:11" ht="15.75" x14ac:dyDescent="0.25">
      <c r="B8" s="53">
        <v>42312</v>
      </c>
      <c r="C8" s="54">
        <v>15432</v>
      </c>
      <c r="D8" s="36" t="s">
        <v>16</v>
      </c>
      <c r="E8" s="55">
        <f>63.2+41.41</f>
        <v>104.61</v>
      </c>
      <c r="F8" s="52">
        <v>4121.2</v>
      </c>
      <c r="K8" s="41">
        <f t="shared" si="0"/>
        <v>0</v>
      </c>
    </row>
    <row r="9" spans="2:11" ht="15.75" x14ac:dyDescent="0.25">
      <c r="B9" s="53">
        <v>42313</v>
      </c>
      <c r="C9" s="54">
        <v>15576</v>
      </c>
      <c r="D9" s="36" t="s">
        <v>9</v>
      </c>
      <c r="E9" s="55">
        <v>159.80000000000001</v>
      </c>
      <c r="F9" s="52">
        <v>5033.7</v>
      </c>
      <c r="K9" s="41">
        <f t="shared" si="0"/>
        <v>0</v>
      </c>
    </row>
    <row r="10" spans="2:11" ht="15.75" x14ac:dyDescent="0.25">
      <c r="B10" s="53">
        <v>42313</v>
      </c>
      <c r="C10" s="54">
        <v>15577</v>
      </c>
      <c r="D10" s="36" t="s">
        <v>10</v>
      </c>
      <c r="E10" s="55">
        <f>10.2+3.1+136.4</f>
        <v>149.70000000000002</v>
      </c>
      <c r="F10" s="52">
        <v>4677.7</v>
      </c>
      <c r="K10" s="41">
        <f t="shared" si="0"/>
        <v>0</v>
      </c>
    </row>
    <row r="11" spans="2:11" ht="15.75" x14ac:dyDescent="0.25">
      <c r="B11" s="53">
        <v>42313</v>
      </c>
      <c r="C11" s="54">
        <v>15578</v>
      </c>
      <c r="D11" s="36" t="s">
        <v>4</v>
      </c>
      <c r="E11" s="55">
        <f>34.4+250.6</f>
        <v>285</v>
      </c>
      <c r="F11" s="52">
        <v>8685.1</v>
      </c>
      <c r="K11" s="41">
        <f t="shared" si="0"/>
        <v>0</v>
      </c>
    </row>
    <row r="12" spans="2:11" ht="15.75" x14ac:dyDescent="0.25">
      <c r="B12" s="53">
        <v>42313</v>
      </c>
      <c r="C12" s="54">
        <v>15579</v>
      </c>
      <c r="D12" s="36" t="s">
        <v>16</v>
      </c>
      <c r="E12" s="55">
        <f>27.4+74.8</f>
        <v>102.19999999999999</v>
      </c>
      <c r="F12" s="52">
        <v>3479.6</v>
      </c>
      <c r="K12" s="41">
        <f t="shared" si="0"/>
        <v>0</v>
      </c>
    </row>
    <row r="13" spans="2:11" ht="15.75" x14ac:dyDescent="0.25">
      <c r="B13" s="53">
        <v>42313</v>
      </c>
      <c r="C13" s="54">
        <v>15581</v>
      </c>
      <c r="D13" s="36" t="s">
        <v>93</v>
      </c>
      <c r="E13" s="55">
        <v>140.6</v>
      </c>
      <c r="F13" s="52">
        <v>4428.8999999999996</v>
      </c>
      <c r="K13" s="41">
        <f t="shared" si="0"/>
        <v>0</v>
      </c>
    </row>
    <row r="14" spans="2:11" ht="15.75" x14ac:dyDescent="0.25">
      <c r="B14" s="53">
        <v>42313</v>
      </c>
      <c r="C14" s="54">
        <v>15584</v>
      </c>
      <c r="D14" s="36" t="s">
        <v>11</v>
      </c>
      <c r="E14" s="55">
        <f>79+59.4+19.8</f>
        <v>158.20000000000002</v>
      </c>
      <c r="F14" s="52">
        <v>5696.1</v>
      </c>
      <c r="K14" s="41">
        <f t="shared" si="0"/>
        <v>0</v>
      </c>
    </row>
    <row r="15" spans="2:11" ht="15.75" x14ac:dyDescent="0.25">
      <c r="B15" s="53">
        <v>42313</v>
      </c>
      <c r="C15" s="54">
        <v>15586</v>
      </c>
      <c r="D15" s="36" t="s">
        <v>93</v>
      </c>
      <c r="E15" s="55">
        <v>178.25</v>
      </c>
      <c r="F15" s="52">
        <v>6949.8</v>
      </c>
      <c r="K15" s="41">
        <f t="shared" si="0"/>
        <v>0</v>
      </c>
    </row>
    <row r="16" spans="2:11" ht="15.75" x14ac:dyDescent="0.25">
      <c r="B16" s="53">
        <v>42314</v>
      </c>
      <c r="C16" s="54">
        <v>15707</v>
      </c>
      <c r="D16" s="36" t="s">
        <v>93</v>
      </c>
      <c r="E16" s="55">
        <f>61.8+392.4</f>
        <v>454.2</v>
      </c>
      <c r="F16" s="52">
        <v>13989</v>
      </c>
      <c r="K16" s="41">
        <f t="shared" si="0"/>
        <v>0</v>
      </c>
    </row>
    <row r="17" spans="2:11" ht="15.75" x14ac:dyDescent="0.25">
      <c r="B17" s="53">
        <v>42314</v>
      </c>
      <c r="C17" s="54">
        <v>15708</v>
      </c>
      <c r="D17" s="36" t="s">
        <v>9</v>
      </c>
      <c r="E17" s="55">
        <f>31.1+134.4</f>
        <v>165.5</v>
      </c>
      <c r="F17" s="52">
        <v>4747.3</v>
      </c>
      <c r="K17" s="41">
        <f t="shared" si="0"/>
        <v>0</v>
      </c>
    </row>
    <row r="18" spans="2:11" ht="15.75" x14ac:dyDescent="0.25">
      <c r="B18" s="53">
        <v>42314</v>
      </c>
      <c r="C18" s="54">
        <v>15709</v>
      </c>
      <c r="D18" s="36" t="s">
        <v>569</v>
      </c>
      <c r="E18" s="55">
        <f>242.6+472.4</f>
        <v>715</v>
      </c>
      <c r="F18" s="52">
        <v>22158.6</v>
      </c>
      <c r="K18" s="41">
        <f t="shared" si="0"/>
        <v>0</v>
      </c>
    </row>
    <row r="19" spans="2:11" ht="15.75" x14ac:dyDescent="0.25">
      <c r="B19" s="53">
        <v>42314</v>
      </c>
      <c r="C19" s="54">
        <v>15711</v>
      </c>
      <c r="D19" s="36" t="s">
        <v>16</v>
      </c>
      <c r="E19" s="55">
        <v>177.6</v>
      </c>
      <c r="F19" s="52">
        <v>5594.4</v>
      </c>
      <c r="K19" s="41">
        <f>SUM(K6:K18)</f>
        <v>0</v>
      </c>
    </row>
    <row r="20" spans="2:11" ht="15.75" x14ac:dyDescent="0.25">
      <c r="B20" s="53">
        <v>42314</v>
      </c>
      <c r="C20" s="54">
        <v>15714</v>
      </c>
      <c r="D20" s="36" t="s">
        <v>11</v>
      </c>
      <c r="E20" s="55">
        <v>57</v>
      </c>
      <c r="F20" s="52">
        <v>2223</v>
      </c>
    </row>
    <row r="21" spans="2:11" ht="15.75" x14ac:dyDescent="0.25">
      <c r="B21" s="53">
        <v>42314</v>
      </c>
      <c r="C21" s="54">
        <v>15715</v>
      </c>
      <c r="D21" s="36" t="s">
        <v>11</v>
      </c>
      <c r="E21" s="55">
        <v>48.8</v>
      </c>
      <c r="F21" s="52">
        <v>1952</v>
      </c>
    </row>
    <row r="22" spans="2:11" ht="15.75" x14ac:dyDescent="0.25">
      <c r="B22" s="53">
        <v>42315</v>
      </c>
      <c r="C22" s="54">
        <v>15886</v>
      </c>
      <c r="D22" s="36" t="s">
        <v>4</v>
      </c>
      <c r="E22" s="55">
        <f>918.5+360.8</f>
        <v>1279.3</v>
      </c>
      <c r="F22" s="52">
        <v>37542.449999999997</v>
      </c>
    </row>
    <row r="23" spans="2:11" x14ac:dyDescent="0.25">
      <c r="B23" s="53">
        <v>42315</v>
      </c>
      <c r="C23" s="56">
        <v>15887</v>
      </c>
      <c r="D23" s="36" t="s">
        <v>8</v>
      </c>
      <c r="E23" s="55">
        <v>408.4</v>
      </c>
      <c r="F23" s="52">
        <v>12864.6</v>
      </c>
    </row>
    <row r="24" spans="2:11" ht="15.75" x14ac:dyDescent="0.25">
      <c r="B24" s="53">
        <v>42315</v>
      </c>
      <c r="C24" s="54">
        <v>15888</v>
      </c>
      <c r="D24" s="36" t="s">
        <v>93</v>
      </c>
      <c r="E24" s="55">
        <f>113.4+770.6</f>
        <v>884</v>
      </c>
      <c r="F24" s="52">
        <v>28446.5</v>
      </c>
    </row>
    <row r="25" spans="2:11" ht="15.75" x14ac:dyDescent="0.25">
      <c r="B25" s="53">
        <v>42315</v>
      </c>
      <c r="C25" s="54">
        <v>15889</v>
      </c>
      <c r="D25" s="36" t="s">
        <v>7</v>
      </c>
      <c r="E25" s="55">
        <v>165.6</v>
      </c>
      <c r="F25" s="52">
        <v>5216.3999999999996</v>
      </c>
    </row>
    <row r="26" spans="2:11" ht="15.75" x14ac:dyDescent="0.25">
      <c r="B26" s="53">
        <v>42315</v>
      </c>
      <c r="C26" s="54">
        <v>15890</v>
      </c>
      <c r="D26" s="36" t="s">
        <v>569</v>
      </c>
      <c r="E26" s="55">
        <f>95.2+855.8+49.9</f>
        <v>1000.9</v>
      </c>
      <c r="F26" s="52">
        <v>30358.7</v>
      </c>
    </row>
    <row r="27" spans="2:11" ht="15.75" x14ac:dyDescent="0.25">
      <c r="B27" s="53">
        <v>42315</v>
      </c>
      <c r="C27" s="54">
        <v>15891</v>
      </c>
      <c r="D27" s="36" t="s">
        <v>11</v>
      </c>
      <c r="E27" s="55">
        <f>12.8+60.5+160.6</f>
        <v>233.89999999999998</v>
      </c>
      <c r="F27" s="52">
        <v>7873.4</v>
      </c>
    </row>
    <row r="28" spans="2:11" ht="15.75" x14ac:dyDescent="0.25">
      <c r="B28" s="53">
        <v>42315</v>
      </c>
      <c r="C28" s="54">
        <v>15892</v>
      </c>
      <c r="D28" s="36" t="s">
        <v>9</v>
      </c>
      <c r="E28" s="55">
        <f>29.6+145.2+209.5</f>
        <v>384.29999999999995</v>
      </c>
      <c r="F28" s="52">
        <v>14883.3</v>
      </c>
    </row>
    <row r="29" spans="2:11" ht="15.75" x14ac:dyDescent="0.25">
      <c r="B29" s="53">
        <v>42315</v>
      </c>
      <c r="C29" s="54">
        <v>15893</v>
      </c>
      <c r="D29" s="36" t="s">
        <v>10</v>
      </c>
      <c r="E29" s="55">
        <v>1</v>
      </c>
      <c r="F29" s="52">
        <v>770</v>
      </c>
    </row>
    <row r="30" spans="2:11" ht="15.75" x14ac:dyDescent="0.25">
      <c r="B30" s="53">
        <v>42315</v>
      </c>
      <c r="C30" s="54">
        <v>15895</v>
      </c>
      <c r="D30" s="36" t="s">
        <v>16</v>
      </c>
      <c r="E30" s="55">
        <f>65+61.3+98.7+29.1</f>
        <v>254.1</v>
      </c>
      <c r="F30" s="52">
        <v>7064.1</v>
      </c>
      <c r="K30" s="41">
        <f>J30*I30</f>
        <v>0</v>
      </c>
    </row>
    <row r="31" spans="2:11" x14ac:dyDescent="0.25">
      <c r="B31" s="53">
        <v>42315</v>
      </c>
      <c r="C31" s="56">
        <v>15939</v>
      </c>
      <c r="D31" s="36" t="s">
        <v>9</v>
      </c>
      <c r="E31" s="55">
        <v>102.8</v>
      </c>
      <c r="F31" s="52">
        <v>1747.6</v>
      </c>
      <c r="K31" s="41">
        <f t="shared" ref="K31:K34" si="1">J31*I31</f>
        <v>0</v>
      </c>
    </row>
    <row r="32" spans="2:11" ht="15.75" x14ac:dyDescent="0.25">
      <c r="B32" s="53">
        <v>42313</v>
      </c>
      <c r="C32" s="54">
        <v>15582</v>
      </c>
      <c r="D32" s="36" t="s">
        <v>11</v>
      </c>
      <c r="E32" s="55">
        <f>142.2+250</f>
        <v>392.2</v>
      </c>
      <c r="F32" s="52">
        <v>12069.9</v>
      </c>
      <c r="K32" s="41">
        <f t="shared" si="1"/>
        <v>0</v>
      </c>
    </row>
    <row r="33" spans="2:11" ht="15.75" x14ac:dyDescent="0.25">
      <c r="B33" s="53"/>
      <c r="C33" s="54"/>
      <c r="D33" s="36"/>
      <c r="E33" s="55"/>
      <c r="F33" s="52"/>
      <c r="K33" s="41">
        <f t="shared" si="1"/>
        <v>0</v>
      </c>
    </row>
    <row r="34" spans="2:11" ht="16.5" thickBot="1" x14ac:dyDescent="0.3">
      <c r="B34" s="53"/>
      <c r="C34" s="54"/>
      <c r="D34" s="36"/>
      <c r="E34" s="55"/>
      <c r="F34" s="52"/>
      <c r="K34" s="41">
        <f t="shared" si="1"/>
        <v>0</v>
      </c>
    </row>
    <row r="35" spans="2:11" ht="15.75" thickBot="1" x14ac:dyDescent="0.3">
      <c r="B35" s="16"/>
      <c r="C35" s="17"/>
      <c r="D35" s="18"/>
      <c r="E35" s="44">
        <v>0</v>
      </c>
      <c r="F35" s="43">
        <f>SUM(F3:F34)</f>
        <v>323447.55</v>
      </c>
      <c r="K35" s="71">
        <f>SUM(K30:K34)</f>
        <v>0</v>
      </c>
    </row>
    <row r="36" spans="2:11" ht="19.5" thickBot="1" x14ac:dyDescent="0.35">
      <c r="B36" s="19"/>
      <c r="C36" s="20"/>
      <c r="D36" s="23" t="s">
        <v>3</v>
      </c>
      <c r="E36" s="25">
        <f>SUM(E3:E35)</f>
        <v>10227.459999999999</v>
      </c>
      <c r="K36"/>
    </row>
    <row r="37" spans="2:11" x14ac:dyDescent="0.25">
      <c r="B37" s="19"/>
      <c r="C37" s="20"/>
      <c r="D37" s="21"/>
      <c r="E37" s="22"/>
      <c r="K37"/>
    </row>
    <row r="38" spans="2:11" ht="21.75" thickBot="1" x14ac:dyDescent="0.4">
      <c r="B38" s="40"/>
      <c r="C38" s="27" t="s">
        <v>18</v>
      </c>
      <c r="D38" s="26">
        <f>E36*0.2</f>
        <v>2045.492</v>
      </c>
      <c r="F38"/>
      <c r="K38"/>
    </row>
    <row r="39" spans="2:11" ht="21.75" thickBot="1" x14ac:dyDescent="0.4">
      <c r="C39" s="11" t="s">
        <v>422</v>
      </c>
      <c r="D39" s="61">
        <v>3000</v>
      </c>
      <c r="E39" s="62"/>
      <c r="F39" s="80">
        <f>D38+D39</f>
        <v>5045.4920000000002</v>
      </c>
      <c r="G39" s="81"/>
      <c r="K39"/>
    </row>
    <row r="40" spans="2:11" ht="15.75" thickTop="1" x14ac:dyDescent="0.25">
      <c r="K40"/>
    </row>
    <row r="41" spans="2:11" ht="19.5" thickBot="1" x14ac:dyDescent="0.35">
      <c r="E41" s="70" t="s">
        <v>470</v>
      </c>
      <c r="F41" s="82">
        <v>0</v>
      </c>
      <c r="G41" s="82"/>
      <c r="K41"/>
    </row>
    <row r="42" spans="2:11" ht="15.75" thickTop="1" x14ac:dyDescent="0.25">
      <c r="C42"/>
      <c r="F42" s="83">
        <f>F39+F41</f>
        <v>5045.4920000000002</v>
      </c>
      <c r="G42" s="83"/>
      <c r="K42"/>
    </row>
    <row r="43" spans="2:11" ht="18.75" x14ac:dyDescent="0.3">
      <c r="C43"/>
      <c r="E43" s="47" t="s">
        <v>471</v>
      </c>
      <c r="F43" s="84"/>
      <c r="G43" s="84"/>
      <c r="K43"/>
    </row>
  </sheetData>
  <mergeCells count="4">
    <mergeCell ref="B1:C1"/>
    <mergeCell ref="F39:G39"/>
    <mergeCell ref="F41:G41"/>
    <mergeCell ref="F42:G4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54"/>
  <sheetViews>
    <sheetView topLeftCell="A31" workbookViewId="0">
      <selection activeCell="D36" sqref="D36:D3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42325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579</v>
      </c>
      <c r="G2" s="63"/>
      <c r="K2"/>
    </row>
    <row r="3" spans="2:11" ht="15.75" x14ac:dyDescent="0.25">
      <c r="B3" s="48">
        <v>42317</v>
      </c>
      <c r="C3" s="49">
        <v>15710</v>
      </c>
      <c r="D3" s="50" t="s">
        <v>7</v>
      </c>
      <c r="E3" s="51">
        <v>433.8</v>
      </c>
      <c r="F3" s="52">
        <v>13664.7</v>
      </c>
      <c r="K3"/>
    </row>
    <row r="4" spans="2:11" ht="15.75" x14ac:dyDescent="0.25">
      <c r="B4" s="53">
        <v>42013</v>
      </c>
      <c r="C4" s="54">
        <v>16177</v>
      </c>
      <c r="D4" s="36" t="s">
        <v>4</v>
      </c>
      <c r="E4" s="55">
        <f>17.3+27.24</f>
        <v>44.54</v>
      </c>
      <c r="F4" s="52">
        <v>1759.9</v>
      </c>
      <c r="K4"/>
    </row>
    <row r="5" spans="2:11" ht="15.75" x14ac:dyDescent="0.25">
      <c r="B5" s="53">
        <v>42317</v>
      </c>
      <c r="C5" s="54">
        <v>16178</v>
      </c>
      <c r="D5" s="36" t="s">
        <v>93</v>
      </c>
      <c r="E5" s="55">
        <f>27.2+125.2</f>
        <v>152.4</v>
      </c>
      <c r="F5" s="52">
        <v>4789.6000000000004</v>
      </c>
      <c r="K5"/>
    </row>
    <row r="6" spans="2:11" ht="15.75" x14ac:dyDescent="0.25">
      <c r="B6" s="53">
        <v>42317</v>
      </c>
      <c r="C6" s="54">
        <v>16179</v>
      </c>
      <c r="D6" s="36" t="s">
        <v>20</v>
      </c>
      <c r="E6" s="55">
        <f>2+69+65.6</f>
        <v>136.6</v>
      </c>
      <c r="F6" s="52">
        <v>5619.4</v>
      </c>
      <c r="K6" s="41">
        <f t="shared" ref="K6:K18" si="0">J6*I6</f>
        <v>0</v>
      </c>
    </row>
    <row r="7" spans="2:11" ht="15.75" x14ac:dyDescent="0.25">
      <c r="B7" s="53">
        <v>42317</v>
      </c>
      <c r="C7" s="54">
        <v>16180</v>
      </c>
      <c r="D7" s="36" t="s">
        <v>9</v>
      </c>
      <c r="E7" s="55">
        <v>266.2</v>
      </c>
      <c r="F7" s="52">
        <v>8385.2999999999993</v>
      </c>
      <c r="K7" s="41">
        <f t="shared" si="0"/>
        <v>0</v>
      </c>
    </row>
    <row r="8" spans="2:11" ht="15.75" x14ac:dyDescent="0.25">
      <c r="B8" s="53">
        <v>42317</v>
      </c>
      <c r="C8" s="54">
        <v>16181</v>
      </c>
      <c r="D8" s="36" t="s">
        <v>7</v>
      </c>
      <c r="E8" s="55">
        <f>62.4+22.3</f>
        <v>84.7</v>
      </c>
      <c r="F8" s="52">
        <v>2318</v>
      </c>
      <c r="K8" s="41">
        <f t="shared" si="0"/>
        <v>0</v>
      </c>
    </row>
    <row r="9" spans="2:11" ht="15.75" x14ac:dyDescent="0.25">
      <c r="B9" s="53">
        <v>42317</v>
      </c>
      <c r="C9" s="54">
        <v>16182</v>
      </c>
      <c r="D9" s="36" t="s">
        <v>16</v>
      </c>
      <c r="E9" s="55">
        <v>87.8</v>
      </c>
      <c r="F9" s="52">
        <v>27657</v>
      </c>
      <c r="K9" s="41">
        <f t="shared" si="0"/>
        <v>0</v>
      </c>
    </row>
    <row r="10" spans="2:11" ht="15.75" x14ac:dyDescent="0.25">
      <c r="B10" s="53">
        <v>42317</v>
      </c>
      <c r="C10" s="54">
        <v>16183</v>
      </c>
      <c r="D10" s="36" t="s">
        <v>10</v>
      </c>
      <c r="E10" s="55">
        <v>86.4</v>
      </c>
      <c r="F10" s="52">
        <v>2721.6</v>
      </c>
      <c r="K10" s="41">
        <f t="shared" si="0"/>
        <v>0</v>
      </c>
    </row>
    <row r="11" spans="2:11" ht="15.75" x14ac:dyDescent="0.25">
      <c r="B11" s="53">
        <v>42318</v>
      </c>
      <c r="C11" s="54">
        <v>16295</v>
      </c>
      <c r="D11" s="36" t="s">
        <v>16</v>
      </c>
      <c r="E11" s="55">
        <v>128.4</v>
      </c>
      <c r="F11" s="52">
        <v>5007.6000000000004</v>
      </c>
      <c r="K11" s="41">
        <f t="shared" si="0"/>
        <v>0</v>
      </c>
    </row>
    <row r="12" spans="2:11" ht="15.75" x14ac:dyDescent="0.25">
      <c r="B12" s="53">
        <v>42318</v>
      </c>
      <c r="C12" s="54">
        <v>16299</v>
      </c>
      <c r="D12" s="36" t="s">
        <v>8</v>
      </c>
      <c r="E12" s="55">
        <f>133.8+46.54</f>
        <v>180.34</v>
      </c>
      <c r="F12" s="52">
        <v>7457.96</v>
      </c>
      <c r="K12" s="41">
        <f t="shared" si="0"/>
        <v>0</v>
      </c>
    </row>
    <row r="13" spans="2:11" ht="15.75" x14ac:dyDescent="0.25">
      <c r="B13" s="53">
        <v>42319</v>
      </c>
      <c r="C13" s="54">
        <v>16392</v>
      </c>
      <c r="D13" s="36" t="s">
        <v>9</v>
      </c>
      <c r="E13" s="55">
        <f>284.2</f>
        <v>284.2</v>
      </c>
      <c r="F13" s="52">
        <v>7260.2</v>
      </c>
      <c r="K13" s="41">
        <f t="shared" si="0"/>
        <v>0</v>
      </c>
    </row>
    <row r="14" spans="2:11" ht="15.75" x14ac:dyDescent="0.25">
      <c r="B14" s="53">
        <v>42319</v>
      </c>
      <c r="C14" s="54">
        <v>16393</v>
      </c>
      <c r="D14" s="36" t="s">
        <v>10</v>
      </c>
      <c r="E14" s="55">
        <v>74.400000000000006</v>
      </c>
      <c r="F14" s="52">
        <v>2306.4</v>
      </c>
      <c r="K14" s="41">
        <f t="shared" si="0"/>
        <v>0</v>
      </c>
    </row>
    <row r="15" spans="2:11" ht="15.75" x14ac:dyDescent="0.25">
      <c r="B15" s="53">
        <v>42319</v>
      </c>
      <c r="C15" s="54">
        <v>16394</v>
      </c>
      <c r="D15" s="36" t="s">
        <v>5</v>
      </c>
      <c r="E15" s="55">
        <v>302.8</v>
      </c>
      <c r="F15" s="52">
        <v>9386.7999999999993</v>
      </c>
      <c r="K15" s="41">
        <f t="shared" si="0"/>
        <v>0</v>
      </c>
    </row>
    <row r="16" spans="2:11" ht="15.75" x14ac:dyDescent="0.25">
      <c r="B16" s="53">
        <v>42319</v>
      </c>
      <c r="C16" s="54">
        <v>16395</v>
      </c>
      <c r="D16" s="36" t="s">
        <v>93</v>
      </c>
      <c r="E16" s="55">
        <v>282.2</v>
      </c>
      <c r="F16" s="52">
        <v>9030.4</v>
      </c>
      <c r="K16" s="41">
        <f t="shared" si="0"/>
        <v>0</v>
      </c>
    </row>
    <row r="17" spans="2:11" ht="15.75" x14ac:dyDescent="0.25">
      <c r="B17" s="53">
        <v>42319</v>
      </c>
      <c r="C17" s="54">
        <v>16396</v>
      </c>
      <c r="D17" s="36" t="s">
        <v>7</v>
      </c>
      <c r="E17" s="55">
        <f>154.6+128</f>
        <v>282.60000000000002</v>
      </c>
      <c r="F17" s="52">
        <v>8632.6</v>
      </c>
      <c r="K17" s="41">
        <f t="shared" si="0"/>
        <v>0</v>
      </c>
    </row>
    <row r="18" spans="2:11" ht="15.75" x14ac:dyDescent="0.25">
      <c r="B18" s="53">
        <v>42319</v>
      </c>
      <c r="C18" s="54">
        <v>16397</v>
      </c>
      <c r="D18" s="36" t="s">
        <v>16</v>
      </c>
      <c r="E18" s="55">
        <v>86.8</v>
      </c>
      <c r="F18" s="52">
        <v>2690.8</v>
      </c>
      <c r="K18" s="41">
        <f t="shared" si="0"/>
        <v>0</v>
      </c>
    </row>
    <row r="19" spans="2:11" ht="15.75" x14ac:dyDescent="0.25">
      <c r="B19" s="53">
        <v>42320</v>
      </c>
      <c r="C19" s="54">
        <v>16518</v>
      </c>
      <c r="D19" s="36" t="s">
        <v>9</v>
      </c>
      <c r="E19" s="55">
        <v>389.2</v>
      </c>
      <c r="F19" s="52">
        <v>12065.2</v>
      </c>
      <c r="K19" s="41">
        <f>SUM(K6:K18)</f>
        <v>0</v>
      </c>
    </row>
    <row r="20" spans="2:11" ht="15.75" x14ac:dyDescent="0.25">
      <c r="B20" s="53">
        <v>42320</v>
      </c>
      <c r="C20" s="54">
        <v>16520</v>
      </c>
      <c r="D20" s="36" t="s">
        <v>5</v>
      </c>
      <c r="E20" s="55">
        <f>138.4+216.2</f>
        <v>354.6</v>
      </c>
      <c r="F20" s="52">
        <v>10854.2</v>
      </c>
    </row>
    <row r="21" spans="2:11" ht="15.75" x14ac:dyDescent="0.25">
      <c r="B21" s="53">
        <v>42320</v>
      </c>
      <c r="C21" s="54">
        <v>16521</v>
      </c>
      <c r="D21" s="36" t="s">
        <v>93</v>
      </c>
      <c r="E21" s="55">
        <f>143.4+212</f>
        <v>355.4</v>
      </c>
      <c r="F21" s="52">
        <v>11086</v>
      </c>
    </row>
    <row r="22" spans="2:11" ht="15.75" x14ac:dyDescent="0.25">
      <c r="B22" s="53">
        <v>42320</v>
      </c>
      <c r="C22" s="54">
        <v>16522</v>
      </c>
      <c r="D22" s="36" t="s">
        <v>16</v>
      </c>
      <c r="E22" s="55">
        <f>6.1+48.2</f>
        <v>54.300000000000004</v>
      </c>
      <c r="F22" s="52">
        <v>2263.5</v>
      </c>
    </row>
    <row r="23" spans="2:11" x14ac:dyDescent="0.25">
      <c r="B23" s="53">
        <v>42320</v>
      </c>
      <c r="C23" s="56">
        <v>16538</v>
      </c>
      <c r="D23" s="36" t="s">
        <v>4</v>
      </c>
      <c r="E23" s="55">
        <f>55.6+950.11</f>
        <v>1005.71</v>
      </c>
      <c r="F23" s="52">
        <v>28831.99</v>
      </c>
    </row>
    <row r="24" spans="2:11" x14ac:dyDescent="0.25">
      <c r="B24" s="53">
        <v>42320</v>
      </c>
      <c r="C24" s="56">
        <v>16547</v>
      </c>
      <c r="D24" s="36" t="s">
        <v>14</v>
      </c>
      <c r="E24" s="55">
        <v>21.2</v>
      </c>
      <c r="F24" s="52">
        <v>954</v>
      </c>
    </row>
    <row r="25" spans="2:11" x14ac:dyDescent="0.25">
      <c r="B25" s="53">
        <v>42320</v>
      </c>
      <c r="C25" s="56">
        <v>16552</v>
      </c>
      <c r="D25" s="36" t="s">
        <v>5</v>
      </c>
      <c r="E25" s="55">
        <f>6.5+13.61</f>
        <v>20.11</v>
      </c>
      <c r="F25" s="52">
        <v>874.68</v>
      </c>
    </row>
    <row r="26" spans="2:11" x14ac:dyDescent="0.25">
      <c r="B26" s="53">
        <v>42320</v>
      </c>
      <c r="C26" s="56">
        <v>16554</v>
      </c>
      <c r="D26" s="36" t="s">
        <v>14</v>
      </c>
      <c r="E26" s="55">
        <v>36.5</v>
      </c>
      <c r="F26" s="52">
        <v>1423.5</v>
      </c>
    </row>
    <row r="27" spans="2:11" x14ac:dyDescent="0.25">
      <c r="B27" s="53">
        <v>42320</v>
      </c>
      <c r="C27" s="56">
        <v>16556</v>
      </c>
      <c r="D27" s="36" t="s">
        <v>8</v>
      </c>
      <c r="E27" s="55">
        <v>19.5</v>
      </c>
      <c r="F27" s="52">
        <v>760.54</v>
      </c>
    </row>
    <row r="28" spans="2:11" x14ac:dyDescent="0.25">
      <c r="B28" s="53">
        <v>42321</v>
      </c>
      <c r="C28" s="56">
        <v>16685</v>
      </c>
      <c r="D28" s="36" t="s">
        <v>5</v>
      </c>
      <c r="E28" s="55">
        <f>341.4+52.2</f>
        <v>393.59999999999997</v>
      </c>
      <c r="F28" s="52">
        <v>11286</v>
      </c>
    </row>
    <row r="29" spans="2:11" x14ac:dyDescent="0.25">
      <c r="B29" s="53">
        <v>42321</v>
      </c>
      <c r="C29" s="56">
        <v>16686</v>
      </c>
      <c r="D29" s="36" t="s">
        <v>16</v>
      </c>
      <c r="E29" s="55">
        <f>20.2+4.7</f>
        <v>24.9</v>
      </c>
      <c r="F29" s="52">
        <v>1409.9</v>
      </c>
    </row>
    <row r="30" spans="2:11" x14ac:dyDescent="0.25">
      <c r="B30" s="53">
        <v>42321</v>
      </c>
      <c r="C30" s="56">
        <v>16687</v>
      </c>
      <c r="D30" s="36" t="s">
        <v>9</v>
      </c>
      <c r="E30" s="55">
        <v>270.8</v>
      </c>
      <c r="F30" s="52">
        <v>8394.7999999999993</v>
      </c>
    </row>
    <row r="31" spans="2:11" x14ac:dyDescent="0.25">
      <c r="B31" s="53">
        <v>42321</v>
      </c>
      <c r="C31" s="56">
        <v>16688</v>
      </c>
      <c r="D31" s="36" t="s">
        <v>7</v>
      </c>
      <c r="E31" s="55">
        <v>440.8</v>
      </c>
      <c r="F31" s="52">
        <v>31</v>
      </c>
    </row>
    <row r="32" spans="2:11" x14ac:dyDescent="0.25">
      <c r="B32" s="53">
        <v>42321</v>
      </c>
      <c r="C32" s="56">
        <v>16689</v>
      </c>
      <c r="D32" s="36" t="s">
        <v>8</v>
      </c>
      <c r="E32" s="55">
        <v>431.8</v>
      </c>
      <c r="F32" s="52">
        <v>13385.8</v>
      </c>
    </row>
    <row r="33" spans="2:11" x14ac:dyDescent="0.25">
      <c r="B33" s="53">
        <v>42321</v>
      </c>
      <c r="C33" s="56">
        <v>16690</v>
      </c>
      <c r="D33" s="36" t="s">
        <v>93</v>
      </c>
      <c r="E33" s="55">
        <f>42.8+148</f>
        <v>190.8</v>
      </c>
      <c r="F33" s="52">
        <v>3372</v>
      </c>
    </row>
    <row r="34" spans="2:11" x14ac:dyDescent="0.25">
      <c r="B34" s="53">
        <v>42321</v>
      </c>
      <c r="C34" s="56">
        <v>16691</v>
      </c>
      <c r="D34" s="36" t="s">
        <v>10</v>
      </c>
      <c r="E34" s="55">
        <v>157</v>
      </c>
      <c r="F34" s="52">
        <v>4867</v>
      </c>
      <c r="K34" s="41">
        <f t="shared" ref="K34:K40" si="1">J34*I34</f>
        <v>0</v>
      </c>
    </row>
    <row r="35" spans="2:11" ht="15.75" x14ac:dyDescent="0.25">
      <c r="B35" s="53">
        <v>42321</v>
      </c>
      <c r="C35" s="54">
        <v>16823</v>
      </c>
      <c r="D35" s="36" t="s">
        <v>93</v>
      </c>
      <c r="E35" s="55">
        <v>81.66</v>
      </c>
      <c r="F35" s="52">
        <v>4083</v>
      </c>
      <c r="K35" s="41">
        <f t="shared" si="1"/>
        <v>0</v>
      </c>
    </row>
    <row r="36" spans="2:11" ht="15.75" x14ac:dyDescent="0.25">
      <c r="B36" s="53">
        <v>42322</v>
      </c>
      <c r="C36" s="54">
        <v>16880</v>
      </c>
      <c r="D36" s="36" t="s">
        <v>9</v>
      </c>
      <c r="E36" s="55">
        <v>230.2</v>
      </c>
      <c r="F36" s="52">
        <v>7136.2</v>
      </c>
      <c r="I36" t="s">
        <v>580</v>
      </c>
      <c r="K36" s="41" t="e">
        <f t="shared" si="1"/>
        <v>#VALUE!</v>
      </c>
    </row>
    <row r="37" spans="2:11" ht="15.75" x14ac:dyDescent="0.25">
      <c r="B37" s="53">
        <v>42322</v>
      </c>
      <c r="C37" s="54">
        <v>16881</v>
      </c>
      <c r="D37" s="36" t="s">
        <v>93</v>
      </c>
      <c r="E37" s="55">
        <f>269.6+13.6+15</f>
        <v>298.20000000000005</v>
      </c>
      <c r="F37" s="52">
        <v>9954</v>
      </c>
      <c r="K37" s="41">
        <f t="shared" si="1"/>
        <v>0</v>
      </c>
    </row>
    <row r="38" spans="2:11" ht="15.75" x14ac:dyDescent="0.25">
      <c r="B38" s="53">
        <v>42322</v>
      </c>
      <c r="C38" s="54">
        <v>16882</v>
      </c>
      <c r="D38" s="36" t="s">
        <v>7</v>
      </c>
      <c r="E38" s="55">
        <v>377.8</v>
      </c>
      <c r="F38" s="52">
        <v>11711.8</v>
      </c>
      <c r="K38" s="41">
        <f t="shared" si="1"/>
        <v>0</v>
      </c>
    </row>
    <row r="39" spans="2:11" ht="15.75" x14ac:dyDescent="0.25">
      <c r="B39" s="53">
        <v>42322</v>
      </c>
      <c r="C39" s="54">
        <v>16883</v>
      </c>
      <c r="D39" s="36" t="s">
        <v>11</v>
      </c>
      <c r="E39" s="55">
        <v>100.6</v>
      </c>
      <c r="F39" s="52">
        <v>3018</v>
      </c>
      <c r="K39" s="41">
        <f t="shared" si="1"/>
        <v>0</v>
      </c>
    </row>
    <row r="40" spans="2:11" ht="15.75" x14ac:dyDescent="0.25">
      <c r="B40" s="53">
        <v>42322</v>
      </c>
      <c r="C40" s="54">
        <v>16884</v>
      </c>
      <c r="D40" s="36" t="s">
        <v>10</v>
      </c>
      <c r="E40" s="55">
        <v>27.24</v>
      </c>
      <c r="F40" s="52">
        <v>1362</v>
      </c>
      <c r="K40" s="41">
        <f t="shared" si="1"/>
        <v>0</v>
      </c>
    </row>
    <row r="41" spans="2:11" ht="15.75" x14ac:dyDescent="0.25">
      <c r="B41" s="53">
        <v>42322</v>
      </c>
      <c r="C41" s="54">
        <v>16906</v>
      </c>
      <c r="D41" s="36" t="s">
        <v>11</v>
      </c>
      <c r="E41" s="55">
        <f>24.6+2+58.2</f>
        <v>84.800000000000011</v>
      </c>
      <c r="F41" s="52">
        <v>3755.8</v>
      </c>
      <c r="K41" s="41">
        <f>J41*I41</f>
        <v>0</v>
      </c>
    </row>
    <row r="42" spans="2:11" x14ac:dyDescent="0.25">
      <c r="B42" s="53">
        <v>42323</v>
      </c>
      <c r="C42" s="56">
        <v>17035</v>
      </c>
      <c r="D42" s="36" t="s">
        <v>4</v>
      </c>
      <c r="E42" s="55">
        <f>920.8+1+96.6+174.8</f>
        <v>1193.2</v>
      </c>
      <c r="F42" s="52">
        <v>34736.6</v>
      </c>
      <c r="K42" s="41">
        <f t="shared" ref="K42:K45" si="2">J42*I42</f>
        <v>0</v>
      </c>
    </row>
    <row r="43" spans="2:11" ht="15.75" x14ac:dyDescent="0.25">
      <c r="B43" s="53"/>
      <c r="C43" s="54"/>
      <c r="D43" s="36"/>
      <c r="E43" s="55"/>
      <c r="F43" s="52"/>
      <c r="K43" s="41">
        <f t="shared" si="2"/>
        <v>0</v>
      </c>
    </row>
    <row r="44" spans="2:11" ht="15.75" x14ac:dyDescent="0.25">
      <c r="B44" s="53"/>
      <c r="C44" s="54"/>
      <c r="D44" s="36"/>
      <c r="E44" s="55"/>
      <c r="F44" s="52"/>
      <c r="K44" s="41">
        <f t="shared" si="2"/>
        <v>0</v>
      </c>
    </row>
    <row r="45" spans="2:11" ht="16.5" thickBot="1" x14ac:dyDescent="0.3">
      <c r="B45" s="53"/>
      <c r="C45" s="54"/>
      <c r="D45" s="36"/>
      <c r="E45" s="55"/>
      <c r="F45" s="52"/>
      <c r="K45" s="41">
        <f t="shared" si="2"/>
        <v>0</v>
      </c>
    </row>
    <row r="46" spans="2:11" ht="15.75" thickBot="1" x14ac:dyDescent="0.3">
      <c r="B46" s="16"/>
      <c r="C46" s="17"/>
      <c r="D46" s="18"/>
      <c r="E46" s="44">
        <v>0</v>
      </c>
      <c r="F46" s="43">
        <f>SUM(F3:F45)</f>
        <v>306305.76999999996</v>
      </c>
      <c r="K46" s="71">
        <v>0</v>
      </c>
    </row>
    <row r="47" spans="2:11" ht="19.5" thickBot="1" x14ac:dyDescent="0.35">
      <c r="B47" s="19"/>
      <c r="C47" s="20"/>
      <c r="D47" s="23" t="s">
        <v>3</v>
      </c>
      <c r="E47" s="25">
        <f>SUM(E3:E46)</f>
        <v>9474.1</v>
      </c>
      <c r="K47" s="71" t="e">
        <f>SUM(K34:K46)</f>
        <v>#VALUE!</v>
      </c>
    </row>
    <row r="48" spans="2:11" x14ac:dyDescent="0.25">
      <c r="B48" s="19"/>
      <c r="C48" s="20"/>
      <c r="D48" s="21"/>
      <c r="E48" s="22"/>
      <c r="K48"/>
    </row>
    <row r="49" spans="2:13" ht="21.75" thickBot="1" x14ac:dyDescent="0.4">
      <c r="B49" s="40"/>
      <c r="C49" s="27" t="s">
        <v>18</v>
      </c>
      <c r="D49" s="26">
        <f>E47*0.2</f>
        <v>1894.8200000000002</v>
      </c>
      <c r="F49"/>
      <c r="K49"/>
    </row>
    <row r="50" spans="2:13" ht="21.75" thickBot="1" x14ac:dyDescent="0.4">
      <c r="C50" s="11" t="s">
        <v>422</v>
      </c>
      <c r="D50" s="61">
        <v>3000</v>
      </c>
      <c r="E50" s="62"/>
      <c r="F50" s="80">
        <f>D49+D50</f>
        <v>4894.82</v>
      </c>
      <c r="G50" s="81"/>
      <c r="I50" t="s">
        <v>581</v>
      </c>
      <c r="K50"/>
    </row>
    <row r="51" spans="2:13" ht="15.75" thickTop="1" x14ac:dyDescent="0.25">
      <c r="I51" t="s">
        <v>582</v>
      </c>
      <c r="K51" s="72">
        <v>11136</v>
      </c>
      <c r="L51" s="72">
        <v>7500</v>
      </c>
      <c r="M51" s="72">
        <f>K51-L51</f>
        <v>3636</v>
      </c>
    </row>
    <row r="52" spans="2:13" ht="19.5" thickBot="1" x14ac:dyDescent="0.35">
      <c r="E52" s="70" t="s">
        <v>470</v>
      </c>
      <c r="F52" s="82">
        <v>-3000</v>
      </c>
      <c r="G52" s="82"/>
      <c r="K52" s="72"/>
      <c r="L52" s="72"/>
      <c r="M52" s="72"/>
    </row>
    <row r="53" spans="2:13" ht="15.75" thickTop="1" x14ac:dyDescent="0.25">
      <c r="C53"/>
      <c r="F53" s="83">
        <f>F50+F52</f>
        <v>1894.8199999999997</v>
      </c>
      <c r="G53" s="83"/>
      <c r="K53" s="72"/>
      <c r="L53" s="72"/>
      <c r="M53" s="72"/>
    </row>
    <row r="54" spans="2:13" ht="18.75" x14ac:dyDescent="0.3">
      <c r="C54"/>
      <c r="E54" s="47" t="s">
        <v>471</v>
      </c>
      <c r="F54" s="84"/>
      <c r="G54" s="84"/>
      <c r="K54"/>
    </row>
  </sheetData>
  <mergeCells count="4">
    <mergeCell ref="B1:C1"/>
    <mergeCell ref="F50:G50"/>
    <mergeCell ref="F52:G52"/>
    <mergeCell ref="F53:G54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41"/>
  <sheetViews>
    <sheetView topLeftCell="A30" workbookViewId="0">
      <selection activeCell="D52" sqref="D5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</cols>
  <sheetData>
    <row r="1" spans="2:5" ht="19.5" thickBot="1" x14ac:dyDescent="0.35">
      <c r="D1" s="28" t="s">
        <v>15</v>
      </c>
    </row>
    <row r="2" spans="2:5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5" ht="15.75" x14ac:dyDescent="0.25">
      <c r="B3" s="30">
        <v>42135</v>
      </c>
      <c r="C3" s="13">
        <v>20673</v>
      </c>
      <c r="D3" s="31" t="s">
        <v>7</v>
      </c>
      <c r="E3" s="32">
        <v>797.3</v>
      </c>
    </row>
    <row r="4" spans="2:5" ht="15.75" x14ac:dyDescent="0.25">
      <c r="B4" s="33">
        <v>42135</v>
      </c>
      <c r="C4" s="14">
        <v>20683</v>
      </c>
      <c r="D4" s="34" t="s">
        <v>7</v>
      </c>
      <c r="E4" s="35">
        <v>839.8</v>
      </c>
    </row>
    <row r="5" spans="2:5" ht="15.75" x14ac:dyDescent="0.25">
      <c r="B5" s="33">
        <v>42135</v>
      </c>
      <c r="C5" s="14">
        <v>20685</v>
      </c>
      <c r="D5" s="34" t="s">
        <v>6</v>
      </c>
      <c r="E5" s="35">
        <f>324.8+269.09</f>
        <v>593.89</v>
      </c>
    </row>
    <row r="6" spans="2:5" ht="15.75" x14ac:dyDescent="0.25">
      <c r="B6" s="33">
        <v>42135</v>
      </c>
      <c r="C6" s="14">
        <v>20687</v>
      </c>
      <c r="D6" s="34" t="s">
        <v>11</v>
      </c>
      <c r="E6" s="35">
        <v>81.8</v>
      </c>
    </row>
    <row r="7" spans="2:5" ht="15.75" x14ac:dyDescent="0.25">
      <c r="B7" s="33">
        <v>42135</v>
      </c>
      <c r="C7" s="14">
        <v>20688</v>
      </c>
      <c r="D7" s="34" t="s">
        <v>10</v>
      </c>
      <c r="E7" s="35">
        <v>80.2</v>
      </c>
    </row>
    <row r="8" spans="2:5" ht="15.75" x14ac:dyDescent="0.25">
      <c r="B8" s="33">
        <v>42135</v>
      </c>
      <c r="C8" s="14">
        <v>20748</v>
      </c>
      <c r="D8" s="34" t="s">
        <v>19</v>
      </c>
      <c r="E8" s="35">
        <f>263.6+112.2</f>
        <v>375.8</v>
      </c>
    </row>
    <row r="9" spans="2:5" ht="15.75" x14ac:dyDescent="0.25">
      <c r="B9" s="33">
        <v>42136</v>
      </c>
      <c r="C9" s="14">
        <v>20805</v>
      </c>
      <c r="D9" s="34" t="s">
        <v>17</v>
      </c>
      <c r="E9" s="35">
        <f>463.8+16.4+272.6</f>
        <v>752.8</v>
      </c>
    </row>
    <row r="10" spans="2:5" ht="15.75" x14ac:dyDescent="0.25">
      <c r="B10" s="33">
        <v>42136</v>
      </c>
      <c r="C10" s="14">
        <v>20806</v>
      </c>
      <c r="D10" s="34" t="s">
        <v>6</v>
      </c>
      <c r="E10" s="35">
        <f>54.44+136.2</f>
        <v>190.64</v>
      </c>
    </row>
    <row r="11" spans="2:5" ht="15.75" x14ac:dyDescent="0.25">
      <c r="B11" s="33">
        <v>42136</v>
      </c>
      <c r="C11" s="14">
        <v>20809</v>
      </c>
      <c r="D11" s="34" t="s">
        <v>11</v>
      </c>
      <c r="E11" s="35">
        <v>181</v>
      </c>
    </row>
    <row r="12" spans="2:5" ht="15.75" x14ac:dyDescent="0.25">
      <c r="B12" s="33">
        <v>42137</v>
      </c>
      <c r="C12" s="14">
        <v>20887</v>
      </c>
      <c r="D12" s="34" t="s">
        <v>7</v>
      </c>
      <c r="E12" s="35">
        <v>125.4</v>
      </c>
    </row>
    <row r="13" spans="2:5" ht="15.75" x14ac:dyDescent="0.25">
      <c r="B13" s="33">
        <v>42137</v>
      </c>
      <c r="C13" s="14">
        <v>20889</v>
      </c>
      <c r="D13" s="34" t="s">
        <v>11</v>
      </c>
      <c r="E13" s="35">
        <f>39.2+8.8</f>
        <v>48</v>
      </c>
    </row>
    <row r="14" spans="2:5" ht="15.75" x14ac:dyDescent="0.25">
      <c r="B14" s="33">
        <v>42137</v>
      </c>
      <c r="C14" s="14">
        <v>20890</v>
      </c>
      <c r="D14" s="34" t="s">
        <v>19</v>
      </c>
      <c r="E14" s="35">
        <v>284.8</v>
      </c>
    </row>
    <row r="15" spans="2:5" ht="15.75" x14ac:dyDescent="0.25">
      <c r="B15" s="33">
        <v>42137</v>
      </c>
      <c r="C15" s="14">
        <v>20891</v>
      </c>
      <c r="D15" s="34" t="s">
        <v>10</v>
      </c>
      <c r="E15" s="35">
        <v>86.8</v>
      </c>
    </row>
    <row r="16" spans="2:5" ht="15.75" x14ac:dyDescent="0.25">
      <c r="B16" s="33">
        <v>42137</v>
      </c>
      <c r="C16" s="14">
        <v>20944</v>
      </c>
      <c r="D16" s="34" t="s">
        <v>6</v>
      </c>
      <c r="E16" s="35">
        <v>212</v>
      </c>
    </row>
    <row r="17" spans="2:5" ht="15.75" x14ac:dyDescent="0.25">
      <c r="B17" s="33">
        <v>42137</v>
      </c>
      <c r="C17" s="14">
        <v>20948</v>
      </c>
      <c r="D17" s="34" t="s">
        <v>7</v>
      </c>
      <c r="E17" s="35">
        <v>816.4</v>
      </c>
    </row>
    <row r="18" spans="2:5" ht="15.75" x14ac:dyDescent="0.25">
      <c r="B18" s="33">
        <v>42138</v>
      </c>
      <c r="C18" s="14">
        <v>20998</v>
      </c>
      <c r="D18" s="34" t="s">
        <v>19</v>
      </c>
      <c r="E18" s="35">
        <v>129.19999999999999</v>
      </c>
    </row>
    <row r="19" spans="2:5" ht="15.75" x14ac:dyDescent="0.25">
      <c r="B19" s="33">
        <v>42138</v>
      </c>
      <c r="C19" s="14">
        <v>20999</v>
      </c>
      <c r="D19" s="34" t="s">
        <v>10</v>
      </c>
      <c r="E19" s="35">
        <f>59.2+78.09</f>
        <v>137.29000000000002</v>
      </c>
    </row>
    <row r="20" spans="2:5" ht="15.75" x14ac:dyDescent="0.25">
      <c r="B20" s="33">
        <v>42138</v>
      </c>
      <c r="C20" s="14">
        <v>21000</v>
      </c>
      <c r="D20" s="34" t="s">
        <v>11</v>
      </c>
      <c r="E20" s="35">
        <f>76.6+18.4</f>
        <v>95</v>
      </c>
    </row>
    <row r="21" spans="2:5" x14ac:dyDescent="0.25">
      <c r="B21" s="33">
        <v>42138</v>
      </c>
      <c r="C21" s="12">
        <v>21001</v>
      </c>
      <c r="D21" s="36" t="s">
        <v>17</v>
      </c>
      <c r="E21" s="35">
        <v>254</v>
      </c>
    </row>
    <row r="22" spans="2:5" ht="15.75" x14ac:dyDescent="0.25">
      <c r="B22" s="33">
        <v>42138</v>
      </c>
      <c r="C22" s="14">
        <v>21002</v>
      </c>
      <c r="D22" s="34" t="s">
        <v>17</v>
      </c>
      <c r="E22" s="35">
        <v>256</v>
      </c>
    </row>
    <row r="23" spans="2:5" ht="15.75" x14ac:dyDescent="0.25">
      <c r="B23" s="33">
        <v>42139</v>
      </c>
      <c r="C23" s="14">
        <v>21092</v>
      </c>
      <c r="D23" s="34" t="s">
        <v>16</v>
      </c>
      <c r="E23" s="35">
        <f>185.8+25.2</f>
        <v>211</v>
      </c>
    </row>
    <row r="24" spans="2:5" ht="15.75" x14ac:dyDescent="0.25">
      <c r="B24" s="33">
        <v>42139</v>
      </c>
      <c r="C24" s="14">
        <v>21100</v>
      </c>
      <c r="D24" s="34" t="s">
        <v>11</v>
      </c>
      <c r="E24" s="35">
        <f>37.2+10.4</f>
        <v>47.6</v>
      </c>
    </row>
    <row r="25" spans="2:5" ht="15.75" x14ac:dyDescent="0.25">
      <c r="B25" s="33">
        <v>42139</v>
      </c>
      <c r="C25" s="14">
        <v>21101</v>
      </c>
      <c r="D25" s="34" t="s">
        <v>17</v>
      </c>
      <c r="E25" s="35">
        <f>297.2+86.2</f>
        <v>383.4</v>
      </c>
    </row>
    <row r="26" spans="2:5" ht="15.75" x14ac:dyDescent="0.25">
      <c r="B26" s="33">
        <v>42139</v>
      </c>
      <c r="C26" s="14">
        <v>21102</v>
      </c>
      <c r="D26" s="34" t="s">
        <v>7</v>
      </c>
      <c r="E26" s="35">
        <v>985.6</v>
      </c>
    </row>
    <row r="27" spans="2:5" ht="15.75" x14ac:dyDescent="0.25">
      <c r="B27" s="33">
        <v>42139</v>
      </c>
      <c r="C27" s="14">
        <v>21107</v>
      </c>
      <c r="D27" s="36" t="s">
        <v>6</v>
      </c>
      <c r="E27" s="35">
        <v>162.6</v>
      </c>
    </row>
    <row r="28" spans="2:5" ht="15.75" x14ac:dyDescent="0.25">
      <c r="B28" s="33">
        <v>42140</v>
      </c>
      <c r="C28" s="14">
        <v>21214</v>
      </c>
      <c r="D28" s="34" t="s">
        <v>11</v>
      </c>
      <c r="E28" s="35">
        <f>11.2+164.5</f>
        <v>175.7</v>
      </c>
    </row>
    <row r="29" spans="2:5" ht="15.75" x14ac:dyDescent="0.25">
      <c r="B29" s="33">
        <v>42140</v>
      </c>
      <c r="C29" s="14">
        <v>21215</v>
      </c>
      <c r="D29" s="34" t="s">
        <v>4</v>
      </c>
      <c r="E29" s="35">
        <v>378.7</v>
      </c>
    </row>
    <row r="30" spans="2:5" ht="15.75" x14ac:dyDescent="0.25">
      <c r="B30" s="33">
        <v>42140</v>
      </c>
      <c r="C30" s="14">
        <v>21217</v>
      </c>
      <c r="D30" s="34" t="s">
        <v>6</v>
      </c>
      <c r="E30" s="35">
        <f>435.6+389.6+163.8</f>
        <v>989</v>
      </c>
    </row>
    <row r="31" spans="2:5" x14ac:dyDescent="0.25">
      <c r="B31" s="33">
        <v>42140</v>
      </c>
      <c r="C31" s="12">
        <v>21218</v>
      </c>
      <c r="D31" s="34" t="s">
        <v>7</v>
      </c>
      <c r="E31" s="35">
        <v>1313.9</v>
      </c>
    </row>
    <row r="32" spans="2:5" ht="15.75" x14ac:dyDescent="0.25">
      <c r="B32" s="33">
        <v>42140</v>
      </c>
      <c r="C32" s="14">
        <v>21230</v>
      </c>
      <c r="D32" s="34" t="s">
        <v>9</v>
      </c>
      <c r="E32" s="35">
        <f>391.4+227.6</f>
        <v>619</v>
      </c>
    </row>
    <row r="33" spans="2:5" x14ac:dyDescent="0.25">
      <c r="B33" s="33">
        <v>42140</v>
      </c>
      <c r="C33" s="12">
        <v>21280</v>
      </c>
      <c r="D33" s="34" t="s">
        <v>16</v>
      </c>
      <c r="E33" s="35">
        <v>24.3</v>
      </c>
    </row>
    <row r="34" spans="2:5" x14ac:dyDescent="0.25">
      <c r="B34" s="33">
        <v>42140</v>
      </c>
      <c r="C34" s="12">
        <v>21281</v>
      </c>
      <c r="D34" s="34" t="s">
        <v>11</v>
      </c>
      <c r="E34" s="35">
        <v>77.8</v>
      </c>
    </row>
    <row r="35" spans="2:5" x14ac:dyDescent="0.25">
      <c r="B35" s="33"/>
      <c r="C35" s="12"/>
      <c r="D35" s="34"/>
      <c r="E35" s="35"/>
    </row>
    <row r="36" spans="2:5" x14ac:dyDescent="0.25">
      <c r="B36" s="33"/>
      <c r="C36" s="12"/>
      <c r="D36" s="34"/>
      <c r="E36" s="35"/>
    </row>
    <row r="37" spans="2:5" x14ac:dyDescent="0.25">
      <c r="B37" s="9"/>
      <c r="C37" s="29"/>
      <c r="D37" s="4"/>
      <c r="E37" s="37">
        <v>0</v>
      </c>
    </row>
    <row r="38" spans="2:5" ht="15.75" thickBot="1" x14ac:dyDescent="0.3">
      <c r="B38" s="16"/>
      <c r="C38" s="17"/>
      <c r="D38" s="18"/>
      <c r="E38" s="38">
        <v>0</v>
      </c>
    </row>
    <row r="39" spans="2:5" ht="19.5" thickBot="1" x14ac:dyDescent="0.35">
      <c r="B39" s="19"/>
      <c r="C39" s="20"/>
      <c r="D39" s="23" t="s">
        <v>3</v>
      </c>
      <c r="E39" s="25">
        <f>SUM(E3:E38)</f>
        <v>11706.72</v>
      </c>
    </row>
    <row r="40" spans="2:5" x14ac:dyDescent="0.25">
      <c r="B40" s="19"/>
      <c r="C40" s="20"/>
      <c r="D40" s="21"/>
      <c r="E40" s="22"/>
    </row>
    <row r="41" spans="2:5" ht="21" x14ac:dyDescent="0.35">
      <c r="B41" s="40">
        <v>42140</v>
      </c>
      <c r="C41" s="27" t="s">
        <v>18</v>
      </c>
      <c r="D41" s="26">
        <f>E39*0.2</f>
        <v>2341.3440000000001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M57"/>
  <sheetViews>
    <sheetView topLeftCell="A4" workbookViewId="0">
      <selection activeCell="G60" sqref="G60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42332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583</v>
      </c>
      <c r="G2" s="63"/>
      <c r="K2"/>
    </row>
    <row r="3" spans="2:11" ht="15.75" x14ac:dyDescent="0.25">
      <c r="B3" s="48">
        <v>42322</v>
      </c>
      <c r="C3" s="49">
        <v>16878</v>
      </c>
      <c r="D3" s="50" t="s">
        <v>16</v>
      </c>
      <c r="E3" s="51">
        <f>23.9+40.6+13.6+106.4+36.2</f>
        <v>220.7</v>
      </c>
      <c r="F3" s="52">
        <v>6638.4</v>
      </c>
      <c r="K3"/>
    </row>
    <row r="4" spans="2:11" ht="15.75" x14ac:dyDescent="0.25">
      <c r="B4" s="53">
        <v>42322</v>
      </c>
      <c r="C4" s="54">
        <v>16879</v>
      </c>
      <c r="D4" s="36" t="s">
        <v>5</v>
      </c>
      <c r="E4" s="55">
        <f>38.8+330.2</f>
        <v>369</v>
      </c>
      <c r="F4" s="52">
        <v>10682</v>
      </c>
      <c r="K4"/>
    </row>
    <row r="5" spans="2:11" ht="15.75" x14ac:dyDescent="0.25">
      <c r="B5" s="53">
        <v>42324</v>
      </c>
      <c r="C5" s="54">
        <v>17128</v>
      </c>
      <c r="D5" s="36" t="s">
        <v>9</v>
      </c>
      <c r="E5" s="55">
        <v>339.4</v>
      </c>
      <c r="F5" s="52">
        <v>10521.4</v>
      </c>
      <c r="K5"/>
    </row>
    <row r="6" spans="2:11" ht="15.75" x14ac:dyDescent="0.25">
      <c r="B6" s="53">
        <v>42324</v>
      </c>
      <c r="C6" s="54">
        <v>17129</v>
      </c>
      <c r="D6" s="36" t="s">
        <v>93</v>
      </c>
      <c r="E6" s="55">
        <f>136.1+325.8</f>
        <v>461.9</v>
      </c>
      <c r="F6" s="52">
        <v>16904.8</v>
      </c>
      <c r="K6" s="41">
        <f t="shared" ref="K6:K18" si="0">J6*I6</f>
        <v>0</v>
      </c>
    </row>
    <row r="7" spans="2:11" ht="15.75" x14ac:dyDescent="0.25">
      <c r="B7" s="53">
        <v>42324</v>
      </c>
      <c r="C7" s="54">
        <v>17130</v>
      </c>
      <c r="D7" s="36" t="s">
        <v>11</v>
      </c>
      <c r="E7" s="55">
        <f>9+72.4+50</f>
        <v>131.4</v>
      </c>
      <c r="F7" s="52">
        <v>4523.8</v>
      </c>
      <c r="K7" s="41">
        <f t="shared" si="0"/>
        <v>0</v>
      </c>
    </row>
    <row r="8" spans="2:11" ht="15.75" x14ac:dyDescent="0.25">
      <c r="B8" s="53">
        <v>42324</v>
      </c>
      <c r="C8" s="54">
        <v>17132</v>
      </c>
      <c r="D8" s="36" t="s">
        <v>7</v>
      </c>
      <c r="E8" s="55">
        <f>52+439.8</f>
        <v>491.8</v>
      </c>
      <c r="F8" s="52">
        <v>14673.8</v>
      </c>
      <c r="K8" s="41">
        <f t="shared" si="0"/>
        <v>0</v>
      </c>
    </row>
    <row r="9" spans="2:11" ht="15.75" x14ac:dyDescent="0.25">
      <c r="B9" s="53">
        <v>42324</v>
      </c>
      <c r="C9" s="54">
        <v>17133</v>
      </c>
      <c r="D9" s="36" t="s">
        <v>16</v>
      </c>
      <c r="E9" s="55">
        <f>25.8+10.4</f>
        <v>36.200000000000003</v>
      </c>
      <c r="F9" s="52">
        <v>1437.6</v>
      </c>
      <c r="K9" s="41">
        <f t="shared" si="0"/>
        <v>0</v>
      </c>
    </row>
    <row r="10" spans="2:11" ht="15.75" x14ac:dyDescent="0.25">
      <c r="B10" s="53">
        <v>42324</v>
      </c>
      <c r="C10" s="54">
        <v>17134</v>
      </c>
      <c r="D10" s="36" t="s">
        <v>10</v>
      </c>
      <c r="E10" s="55">
        <v>85.6</v>
      </c>
      <c r="F10" s="52">
        <v>2653.6</v>
      </c>
      <c r="K10" s="41">
        <f t="shared" si="0"/>
        <v>0</v>
      </c>
    </row>
    <row r="11" spans="2:11" ht="15.75" x14ac:dyDescent="0.25">
      <c r="B11" s="53">
        <v>42325</v>
      </c>
      <c r="C11" s="54">
        <v>17279</v>
      </c>
      <c r="D11" s="36" t="s">
        <v>9</v>
      </c>
      <c r="E11" s="55">
        <v>170.8</v>
      </c>
      <c r="F11" s="52">
        <v>5124</v>
      </c>
      <c r="K11" s="41">
        <f t="shared" si="0"/>
        <v>0</v>
      </c>
    </row>
    <row r="12" spans="2:11" ht="15.75" x14ac:dyDescent="0.25">
      <c r="B12" s="53">
        <v>42325</v>
      </c>
      <c r="C12" s="54">
        <v>17281</v>
      </c>
      <c r="D12" s="36" t="s">
        <v>8</v>
      </c>
      <c r="E12" s="55">
        <v>94</v>
      </c>
      <c r="F12" s="52">
        <v>2820</v>
      </c>
      <c r="K12" s="41">
        <f t="shared" si="0"/>
        <v>0</v>
      </c>
    </row>
    <row r="13" spans="2:11" ht="15.75" x14ac:dyDescent="0.25">
      <c r="B13" s="53">
        <v>42325</v>
      </c>
      <c r="C13" s="54">
        <v>17282</v>
      </c>
      <c r="D13" s="36" t="s">
        <v>11</v>
      </c>
      <c r="E13" s="55">
        <v>123.4</v>
      </c>
      <c r="F13" s="52">
        <v>4689.2</v>
      </c>
      <c r="K13" s="41">
        <f t="shared" si="0"/>
        <v>0</v>
      </c>
    </row>
    <row r="14" spans="2:11" ht="15.75" x14ac:dyDescent="0.25">
      <c r="B14" s="53">
        <v>42325</v>
      </c>
      <c r="C14" s="54">
        <v>17283</v>
      </c>
      <c r="D14" s="36" t="s">
        <v>93</v>
      </c>
      <c r="E14" s="55">
        <f>21.1+5+258</f>
        <v>284.10000000000002</v>
      </c>
      <c r="F14" s="52">
        <v>14139.3</v>
      </c>
      <c r="K14" s="41">
        <f t="shared" si="0"/>
        <v>0</v>
      </c>
    </row>
    <row r="15" spans="2:11" ht="15.75" x14ac:dyDescent="0.25">
      <c r="B15" s="53">
        <v>42325</v>
      </c>
      <c r="C15" s="54">
        <v>17284</v>
      </c>
      <c r="D15" s="36" t="s">
        <v>16</v>
      </c>
      <c r="E15" s="55">
        <f>57+30.7</f>
        <v>87.7</v>
      </c>
      <c r="F15" s="52">
        <v>3420.3</v>
      </c>
      <c r="K15" s="41">
        <f t="shared" si="0"/>
        <v>0</v>
      </c>
    </row>
    <row r="16" spans="2:11" ht="15.75" x14ac:dyDescent="0.25">
      <c r="B16" s="53">
        <v>42325</v>
      </c>
      <c r="C16" s="54">
        <v>17286</v>
      </c>
      <c r="D16" s="36" t="s">
        <v>521</v>
      </c>
      <c r="E16" s="55">
        <v>61.8</v>
      </c>
      <c r="F16" s="52">
        <v>4140.6000000000004</v>
      </c>
      <c r="K16" s="41">
        <f t="shared" si="0"/>
        <v>0</v>
      </c>
    </row>
    <row r="17" spans="2:11" ht="15.75" x14ac:dyDescent="0.25">
      <c r="B17" s="53">
        <v>42325</v>
      </c>
      <c r="C17" s="54">
        <v>17287</v>
      </c>
      <c r="D17" s="36" t="s">
        <v>16</v>
      </c>
      <c r="E17" s="55">
        <v>31.1</v>
      </c>
      <c r="F17" s="52">
        <v>1212.9000000000001</v>
      </c>
      <c r="K17" s="41">
        <f t="shared" si="0"/>
        <v>0</v>
      </c>
    </row>
    <row r="18" spans="2:11" ht="15.75" x14ac:dyDescent="0.25">
      <c r="B18" s="53">
        <v>42326</v>
      </c>
      <c r="C18" s="54">
        <v>17427</v>
      </c>
      <c r="D18" s="36" t="s">
        <v>9</v>
      </c>
      <c r="E18" s="55">
        <f>19.7+130.8+67.96</f>
        <v>218.45999999999998</v>
      </c>
      <c r="F18" s="52">
        <v>7662.62</v>
      </c>
      <c r="K18" s="41">
        <f t="shared" si="0"/>
        <v>0</v>
      </c>
    </row>
    <row r="19" spans="2:11" ht="15.75" x14ac:dyDescent="0.25">
      <c r="B19" s="53">
        <v>42326</v>
      </c>
      <c r="C19" s="54">
        <v>17436</v>
      </c>
      <c r="D19" s="36" t="s">
        <v>11</v>
      </c>
      <c r="E19" s="55">
        <f>25.6+3+1</f>
        <v>29.6</v>
      </c>
      <c r="F19" s="52">
        <v>2451.4</v>
      </c>
      <c r="K19" s="41">
        <f>SUM(K6:K18)</f>
        <v>0</v>
      </c>
    </row>
    <row r="20" spans="2:11" ht="15.75" x14ac:dyDescent="0.25">
      <c r="B20" s="53">
        <v>42326</v>
      </c>
      <c r="C20" s="54">
        <v>17437</v>
      </c>
      <c r="D20" s="36" t="s">
        <v>5</v>
      </c>
      <c r="E20" s="55">
        <v>179.6</v>
      </c>
      <c r="F20" s="52">
        <v>5388</v>
      </c>
    </row>
    <row r="21" spans="2:11" ht="15.75" x14ac:dyDescent="0.25">
      <c r="B21" s="53">
        <v>42326</v>
      </c>
      <c r="C21" s="54">
        <v>17438</v>
      </c>
      <c r="D21" s="36" t="s">
        <v>93</v>
      </c>
      <c r="E21" s="55">
        <v>309</v>
      </c>
      <c r="F21" s="52">
        <v>9579</v>
      </c>
    </row>
    <row r="22" spans="2:11" ht="15.75" x14ac:dyDescent="0.25">
      <c r="B22" s="53">
        <v>42326</v>
      </c>
      <c r="C22" s="54">
        <v>17541</v>
      </c>
      <c r="D22" s="36" t="s">
        <v>17</v>
      </c>
      <c r="E22" s="55">
        <f>936.05+374.8</f>
        <v>1310.85</v>
      </c>
      <c r="F22" s="52">
        <v>39325.5</v>
      </c>
    </row>
    <row r="23" spans="2:11" x14ac:dyDescent="0.25">
      <c r="B23" s="53">
        <v>42326</v>
      </c>
      <c r="C23" s="56">
        <v>17542</v>
      </c>
      <c r="D23" s="36" t="s">
        <v>9</v>
      </c>
      <c r="E23" s="55">
        <v>317.2</v>
      </c>
      <c r="F23" s="52">
        <v>9516</v>
      </c>
    </row>
    <row r="24" spans="2:11" x14ac:dyDescent="0.25">
      <c r="B24" s="53">
        <v>42327</v>
      </c>
      <c r="C24" s="56">
        <v>17543</v>
      </c>
      <c r="D24" s="36" t="s">
        <v>93</v>
      </c>
      <c r="E24" s="55">
        <f>63.4+433.8</f>
        <v>497.2</v>
      </c>
      <c r="F24" s="52">
        <v>14282</v>
      </c>
    </row>
    <row r="25" spans="2:11" x14ac:dyDescent="0.25">
      <c r="B25" s="53">
        <v>42327</v>
      </c>
      <c r="C25" s="56">
        <v>17544</v>
      </c>
      <c r="D25" s="36" t="s">
        <v>5</v>
      </c>
      <c r="E25" s="55">
        <f>386.8</f>
        <v>386.8</v>
      </c>
      <c r="F25" s="52">
        <v>11990.8</v>
      </c>
    </row>
    <row r="26" spans="2:11" x14ac:dyDescent="0.25">
      <c r="B26" s="53">
        <v>42327</v>
      </c>
      <c r="C26" s="56">
        <v>17545</v>
      </c>
      <c r="D26" s="36" t="s">
        <v>584</v>
      </c>
      <c r="E26" s="55">
        <v>78.8</v>
      </c>
      <c r="F26" s="52">
        <v>2364</v>
      </c>
    </row>
    <row r="27" spans="2:11" x14ac:dyDescent="0.25">
      <c r="B27" s="53">
        <v>42327</v>
      </c>
      <c r="C27" s="56">
        <v>17546</v>
      </c>
      <c r="D27" s="36" t="s">
        <v>16</v>
      </c>
      <c r="E27" s="55">
        <v>56</v>
      </c>
      <c r="F27" s="52">
        <v>2184</v>
      </c>
    </row>
    <row r="28" spans="2:11" x14ac:dyDescent="0.25">
      <c r="B28" s="53">
        <v>42327</v>
      </c>
      <c r="C28" s="56">
        <v>17547</v>
      </c>
      <c r="D28" s="36" t="s">
        <v>7</v>
      </c>
      <c r="E28" s="55">
        <v>27.24</v>
      </c>
      <c r="F28" s="52">
        <v>1362</v>
      </c>
    </row>
    <row r="29" spans="2:11" x14ac:dyDescent="0.25">
      <c r="B29" s="53">
        <v>42327</v>
      </c>
      <c r="C29" s="56">
        <v>17548</v>
      </c>
      <c r="D29" s="36" t="s">
        <v>521</v>
      </c>
      <c r="E29" s="55">
        <f>54.1+113.6+148.9</f>
        <v>316.60000000000002</v>
      </c>
      <c r="F29" s="52">
        <v>15322.7</v>
      </c>
    </row>
    <row r="30" spans="2:11" x14ac:dyDescent="0.25">
      <c r="B30" s="53">
        <v>42327</v>
      </c>
      <c r="C30" s="56">
        <v>17500</v>
      </c>
      <c r="D30" s="36" t="s">
        <v>4</v>
      </c>
      <c r="E30" s="55">
        <v>897.51</v>
      </c>
      <c r="F30" s="52">
        <v>26925.3</v>
      </c>
    </row>
    <row r="31" spans="2:11" x14ac:dyDescent="0.25">
      <c r="B31" s="53">
        <v>42327</v>
      </c>
      <c r="C31" s="56">
        <v>17556</v>
      </c>
      <c r="D31" s="36" t="s">
        <v>11</v>
      </c>
      <c r="E31" s="55">
        <f>21.8+133.2+8.2+43.8</f>
        <v>207</v>
      </c>
      <c r="F31" s="52">
        <v>7792.2</v>
      </c>
    </row>
    <row r="32" spans="2:11" x14ac:dyDescent="0.25">
      <c r="B32" s="53">
        <v>42328</v>
      </c>
      <c r="C32" s="56">
        <v>17718</v>
      </c>
      <c r="D32" s="36" t="s">
        <v>5</v>
      </c>
      <c r="E32" s="55">
        <f>55.6+952.2</f>
        <v>1007.8000000000001</v>
      </c>
      <c r="F32" s="52">
        <v>29878</v>
      </c>
    </row>
    <row r="33" spans="2:11" x14ac:dyDescent="0.25">
      <c r="B33" s="53">
        <v>42328</v>
      </c>
      <c r="C33" s="56">
        <v>17720</v>
      </c>
      <c r="D33" s="36" t="s">
        <v>93</v>
      </c>
      <c r="E33" s="55">
        <f>40.5+139+427.8+67.5+22.7</f>
        <v>697.5</v>
      </c>
      <c r="F33" s="52">
        <v>20530.599999999999</v>
      </c>
    </row>
    <row r="34" spans="2:11" x14ac:dyDescent="0.25">
      <c r="B34" s="53">
        <v>42328</v>
      </c>
      <c r="C34" s="56">
        <v>17721</v>
      </c>
      <c r="D34" s="36" t="s">
        <v>10</v>
      </c>
      <c r="E34" s="55">
        <f>222.4</f>
        <v>222.4</v>
      </c>
      <c r="F34" s="52">
        <v>6894.4</v>
      </c>
      <c r="K34" s="41">
        <f t="shared" ref="K34:K40" si="1">J34*I34</f>
        <v>0</v>
      </c>
    </row>
    <row r="35" spans="2:11" ht="15.75" x14ac:dyDescent="0.25">
      <c r="B35" s="53">
        <v>42328</v>
      </c>
      <c r="C35" s="54">
        <v>17722</v>
      </c>
      <c r="D35" s="36" t="s">
        <v>11</v>
      </c>
      <c r="E35" s="55">
        <f>204.8</f>
        <v>204.8</v>
      </c>
      <c r="F35" s="52">
        <v>6144</v>
      </c>
      <c r="K35" s="41">
        <f t="shared" si="1"/>
        <v>0</v>
      </c>
    </row>
    <row r="36" spans="2:11" ht="15.75" x14ac:dyDescent="0.25">
      <c r="B36" s="53">
        <v>42328</v>
      </c>
      <c r="C36" s="54">
        <v>17723</v>
      </c>
      <c r="D36" s="36" t="s">
        <v>9</v>
      </c>
      <c r="E36" s="55">
        <v>272.39999999999998</v>
      </c>
      <c r="F36" s="52">
        <v>8172</v>
      </c>
      <c r="K36" s="41">
        <f t="shared" si="1"/>
        <v>0</v>
      </c>
    </row>
    <row r="37" spans="2:11" ht="15.75" x14ac:dyDescent="0.25">
      <c r="B37" s="53">
        <v>42328</v>
      </c>
      <c r="C37" s="54">
        <v>17724</v>
      </c>
      <c r="D37" s="36" t="s">
        <v>7</v>
      </c>
      <c r="E37" s="55">
        <v>278.2</v>
      </c>
      <c r="F37" s="52">
        <v>8624.2000000000007</v>
      </c>
      <c r="K37" s="41">
        <f t="shared" si="1"/>
        <v>0</v>
      </c>
    </row>
    <row r="38" spans="2:11" ht="15.75" x14ac:dyDescent="0.25">
      <c r="B38" s="53">
        <v>42328</v>
      </c>
      <c r="C38" s="54">
        <v>17725</v>
      </c>
      <c r="D38" s="36" t="s">
        <v>16</v>
      </c>
      <c r="E38" s="55">
        <v>46.9</v>
      </c>
      <c r="F38" s="52">
        <v>1829.1</v>
      </c>
      <c r="K38" s="41">
        <f t="shared" si="1"/>
        <v>0</v>
      </c>
    </row>
    <row r="39" spans="2:11" x14ac:dyDescent="0.25">
      <c r="B39" s="53">
        <v>42328</v>
      </c>
      <c r="C39" s="56" t="s">
        <v>585</v>
      </c>
      <c r="D39" s="36" t="s">
        <v>10</v>
      </c>
      <c r="E39" s="55">
        <f>1</f>
        <v>1</v>
      </c>
      <c r="F39" s="52">
        <v>185</v>
      </c>
      <c r="K39" s="41">
        <f t="shared" si="1"/>
        <v>0</v>
      </c>
    </row>
    <row r="40" spans="2:11" ht="15.75" x14ac:dyDescent="0.25">
      <c r="B40" s="53">
        <v>42329</v>
      </c>
      <c r="C40" s="54">
        <v>17899</v>
      </c>
      <c r="D40" s="36" t="s">
        <v>11</v>
      </c>
      <c r="E40" s="55">
        <f>12.4+49.5+76.4+68</f>
        <v>206.3</v>
      </c>
      <c r="F40" s="52">
        <v>7550.1</v>
      </c>
      <c r="K40" s="41">
        <f t="shared" si="1"/>
        <v>0</v>
      </c>
    </row>
    <row r="41" spans="2:11" ht="15.75" x14ac:dyDescent="0.25">
      <c r="B41" s="53">
        <v>42329</v>
      </c>
      <c r="C41" s="54">
        <v>17900</v>
      </c>
      <c r="D41" s="36" t="s">
        <v>8</v>
      </c>
      <c r="E41" s="55">
        <v>168.6</v>
      </c>
      <c r="F41" s="52">
        <v>5058</v>
      </c>
      <c r="K41" s="41">
        <f>J41*I41</f>
        <v>0</v>
      </c>
    </row>
    <row r="42" spans="2:11" x14ac:dyDescent="0.25">
      <c r="B42" s="53">
        <v>42329</v>
      </c>
      <c r="C42" s="56">
        <v>17901</v>
      </c>
      <c r="D42" s="36" t="s">
        <v>93</v>
      </c>
      <c r="E42" s="55">
        <f>22.68+353</f>
        <v>375.68</v>
      </c>
      <c r="F42" s="52">
        <v>12621.32</v>
      </c>
      <c r="K42" s="41">
        <f t="shared" ref="K42:K49" si="2">J42*I42</f>
        <v>0</v>
      </c>
    </row>
    <row r="43" spans="2:11" ht="15.75" x14ac:dyDescent="0.25">
      <c r="B43" s="53">
        <v>42329</v>
      </c>
      <c r="C43" s="54">
        <v>17902</v>
      </c>
      <c r="D43" s="36" t="s">
        <v>7</v>
      </c>
      <c r="E43" s="55">
        <f>279.6+84.8+827.6</f>
        <v>1192</v>
      </c>
      <c r="F43" s="52">
        <v>34791.599999999999</v>
      </c>
      <c r="K43" s="41">
        <f t="shared" si="2"/>
        <v>0</v>
      </c>
    </row>
    <row r="44" spans="2:11" ht="15.75" x14ac:dyDescent="0.25">
      <c r="B44" s="53">
        <v>42329</v>
      </c>
      <c r="C44" s="54">
        <v>17903</v>
      </c>
      <c r="D44" s="36" t="s">
        <v>16</v>
      </c>
      <c r="E44" s="55">
        <f>63.3+41.7+34.8+123.2</f>
        <v>263</v>
      </c>
      <c r="F44" s="52">
        <v>7472.95</v>
      </c>
      <c r="K44" s="41">
        <f t="shared" si="2"/>
        <v>0</v>
      </c>
    </row>
    <row r="45" spans="2:11" ht="15.75" x14ac:dyDescent="0.25">
      <c r="B45" s="53">
        <v>42329</v>
      </c>
      <c r="C45" s="54">
        <v>17904</v>
      </c>
      <c r="D45" s="36" t="s">
        <v>17</v>
      </c>
      <c r="E45" s="55">
        <f>884+455.4+77</f>
        <v>1416.4</v>
      </c>
      <c r="F45" s="52">
        <v>45086.7</v>
      </c>
      <c r="K45" s="41">
        <f t="shared" si="2"/>
        <v>0</v>
      </c>
    </row>
    <row r="46" spans="2:11" ht="15.75" x14ac:dyDescent="0.25">
      <c r="B46" s="53">
        <v>42329</v>
      </c>
      <c r="C46" s="54">
        <v>17905</v>
      </c>
      <c r="D46" s="36" t="s">
        <v>9</v>
      </c>
      <c r="E46" s="55">
        <f>126.2+32.3+91.8+5</f>
        <v>255.3</v>
      </c>
      <c r="F46" s="52">
        <v>9830.1</v>
      </c>
      <c r="K46" s="41">
        <f t="shared" si="2"/>
        <v>0</v>
      </c>
    </row>
    <row r="47" spans="2:11" ht="15.75" x14ac:dyDescent="0.25">
      <c r="B47" s="53">
        <v>42329</v>
      </c>
      <c r="C47" s="54">
        <v>17906</v>
      </c>
      <c r="D47" s="36" t="s">
        <v>10</v>
      </c>
      <c r="E47" s="55">
        <f>12.2+1</f>
        <v>13.2</v>
      </c>
      <c r="F47" s="52">
        <v>856</v>
      </c>
      <c r="K47" s="41">
        <f t="shared" si="2"/>
        <v>0</v>
      </c>
    </row>
    <row r="48" spans="2:11" ht="16.5" thickBot="1" x14ac:dyDescent="0.3">
      <c r="B48" s="53"/>
      <c r="C48" s="54"/>
      <c r="D48" s="36"/>
      <c r="E48" s="55"/>
      <c r="F48" s="52"/>
      <c r="K48" s="41">
        <f t="shared" si="2"/>
        <v>0</v>
      </c>
    </row>
    <row r="49" spans="2:13" ht="15.75" thickBot="1" x14ac:dyDescent="0.3">
      <c r="B49" s="16"/>
      <c r="C49" s="17"/>
      <c r="D49" s="18"/>
      <c r="E49" s="44">
        <v>0</v>
      </c>
      <c r="F49" s="43">
        <f>SUM(F3:F48)</f>
        <v>465251.28999999992</v>
      </c>
      <c r="K49" s="41">
        <f t="shared" si="2"/>
        <v>0</v>
      </c>
    </row>
    <row r="50" spans="2:13" ht="19.5" thickBot="1" x14ac:dyDescent="0.35">
      <c r="B50" s="19"/>
      <c r="C50" s="20"/>
      <c r="D50" s="23" t="s">
        <v>3</v>
      </c>
      <c r="E50" s="25">
        <f>SUM(E3:E49)</f>
        <v>14442.239999999998</v>
      </c>
      <c r="K50" s="71">
        <f>SUM(K34:K49)</f>
        <v>0</v>
      </c>
    </row>
    <row r="51" spans="2:13" x14ac:dyDescent="0.25">
      <c r="B51" s="19"/>
      <c r="C51" s="20"/>
      <c r="D51" s="21"/>
      <c r="E51" s="22"/>
      <c r="K51"/>
    </row>
    <row r="52" spans="2:13" ht="21.75" thickBot="1" x14ac:dyDescent="0.4">
      <c r="B52" s="40"/>
      <c r="C52" s="27" t="s">
        <v>18</v>
      </c>
      <c r="D52" s="26">
        <f>E50*0.2</f>
        <v>2888.4479999999999</v>
      </c>
      <c r="F52"/>
      <c r="K52"/>
    </row>
    <row r="53" spans="2:13" ht="21.75" thickBot="1" x14ac:dyDescent="0.4">
      <c r="C53" s="11" t="s">
        <v>422</v>
      </c>
      <c r="D53" s="61">
        <v>3000</v>
      </c>
      <c r="E53" s="62"/>
      <c r="F53" s="80">
        <f>D52+D53</f>
        <v>5888.4480000000003</v>
      </c>
      <c r="G53" s="81"/>
      <c r="I53" s="73"/>
      <c r="J53" s="73"/>
      <c r="K53" s="73"/>
      <c r="L53" s="73"/>
      <c r="M53" s="73"/>
    </row>
    <row r="54" spans="2:13" ht="15.75" thickTop="1" x14ac:dyDescent="0.25">
      <c r="I54" s="73"/>
      <c r="J54" s="73"/>
      <c r="K54" s="74"/>
      <c r="L54" s="74"/>
      <c r="M54" s="74"/>
    </row>
    <row r="55" spans="2:13" ht="19.5" thickBot="1" x14ac:dyDescent="0.35">
      <c r="E55" s="70" t="s">
        <v>470</v>
      </c>
      <c r="F55" s="82">
        <v>0</v>
      </c>
      <c r="G55" s="82"/>
      <c r="I55" s="73"/>
      <c r="J55" s="73"/>
      <c r="K55" s="74"/>
      <c r="L55" s="74"/>
      <c r="M55" s="74"/>
    </row>
    <row r="56" spans="2:13" ht="15.75" thickTop="1" x14ac:dyDescent="0.25">
      <c r="C56"/>
      <c r="F56" s="83">
        <f>F53+F55</f>
        <v>5888.4480000000003</v>
      </c>
      <c r="G56" s="83"/>
      <c r="I56" s="73"/>
      <c r="J56" s="73"/>
      <c r="K56" s="74"/>
      <c r="L56" s="74"/>
      <c r="M56" s="74"/>
    </row>
    <row r="57" spans="2:13" ht="18.75" x14ac:dyDescent="0.3">
      <c r="C57"/>
      <c r="E57" s="47" t="s">
        <v>471</v>
      </c>
      <c r="F57" s="84"/>
      <c r="G57" s="84"/>
      <c r="K57"/>
    </row>
  </sheetData>
  <mergeCells count="4">
    <mergeCell ref="B1:C1"/>
    <mergeCell ref="F53:G53"/>
    <mergeCell ref="F55:G55"/>
    <mergeCell ref="F56:G57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57"/>
  <sheetViews>
    <sheetView topLeftCell="A10" workbookViewId="0">
      <selection activeCell="H22" sqref="H2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42339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586</v>
      </c>
      <c r="G2" s="63"/>
      <c r="K2"/>
    </row>
    <row r="3" spans="2:11" ht="15.75" x14ac:dyDescent="0.25">
      <c r="B3" s="48">
        <v>42325</v>
      </c>
      <c r="C3" s="49">
        <v>17285</v>
      </c>
      <c r="D3" s="50" t="s">
        <v>10</v>
      </c>
      <c r="E3" s="51">
        <v>27.2</v>
      </c>
      <c r="F3" s="52">
        <v>1033.5999999999999</v>
      </c>
      <c r="K3"/>
    </row>
    <row r="4" spans="2:11" ht="15.75" x14ac:dyDescent="0.25">
      <c r="B4" s="53">
        <v>42331</v>
      </c>
      <c r="C4" s="54">
        <v>18137</v>
      </c>
      <c r="D4" s="36" t="s">
        <v>9</v>
      </c>
      <c r="E4" s="55">
        <f>37.7+86.8+261.2</f>
        <v>385.7</v>
      </c>
      <c r="F4" s="52">
        <v>12707.3</v>
      </c>
      <c r="K4"/>
    </row>
    <row r="5" spans="2:11" ht="15.75" x14ac:dyDescent="0.25">
      <c r="B5" s="53">
        <v>42331</v>
      </c>
      <c r="C5" s="54">
        <v>18138</v>
      </c>
      <c r="D5" s="36" t="s">
        <v>6</v>
      </c>
      <c r="E5" s="55">
        <f>12+698.6</f>
        <v>710.6</v>
      </c>
      <c r="F5" s="52">
        <v>21210</v>
      </c>
      <c r="K5"/>
    </row>
    <row r="6" spans="2:11" ht="15.75" x14ac:dyDescent="0.25">
      <c r="B6" s="53">
        <v>42331</v>
      </c>
      <c r="C6" s="54">
        <v>18139</v>
      </c>
      <c r="D6" s="36" t="s">
        <v>7</v>
      </c>
      <c r="E6" s="55">
        <v>738.2</v>
      </c>
      <c r="F6" s="52">
        <v>22146</v>
      </c>
      <c r="K6" s="41">
        <f t="shared" ref="K6:K18" si="0">J6*I6</f>
        <v>0</v>
      </c>
    </row>
    <row r="7" spans="2:11" ht="15.75" x14ac:dyDescent="0.25">
      <c r="B7" s="53">
        <v>42331</v>
      </c>
      <c r="C7" s="54">
        <v>18140</v>
      </c>
      <c r="D7" s="36" t="s">
        <v>10</v>
      </c>
      <c r="E7" s="55">
        <v>94.2</v>
      </c>
      <c r="F7" s="52">
        <v>2826</v>
      </c>
      <c r="K7" s="41">
        <f t="shared" si="0"/>
        <v>0</v>
      </c>
    </row>
    <row r="8" spans="2:11" ht="15.75" x14ac:dyDescent="0.25">
      <c r="B8" s="53">
        <v>42331</v>
      </c>
      <c r="C8" s="54">
        <v>18141</v>
      </c>
      <c r="D8" s="36" t="s">
        <v>6</v>
      </c>
      <c r="E8" s="55">
        <v>252.8</v>
      </c>
      <c r="F8" s="52">
        <v>9606.4</v>
      </c>
      <c r="K8" s="41">
        <f t="shared" si="0"/>
        <v>0</v>
      </c>
    </row>
    <row r="9" spans="2:11" ht="15.75" x14ac:dyDescent="0.25">
      <c r="B9" s="53">
        <v>42331</v>
      </c>
      <c r="C9" s="54">
        <v>18142</v>
      </c>
      <c r="D9" s="36" t="s">
        <v>4</v>
      </c>
      <c r="E9" s="55">
        <f>50.9+102.7+80.6</f>
        <v>234.2</v>
      </c>
      <c r="F9" s="52">
        <v>7555.9</v>
      </c>
      <c r="K9" s="41">
        <f t="shared" si="0"/>
        <v>0</v>
      </c>
    </row>
    <row r="10" spans="2:11" ht="15.75" x14ac:dyDescent="0.25">
      <c r="B10" s="53">
        <v>42331</v>
      </c>
      <c r="C10" s="54">
        <v>18143</v>
      </c>
      <c r="D10" s="36" t="s">
        <v>16</v>
      </c>
      <c r="E10" s="55">
        <f>13.6+21.6</f>
        <v>35.200000000000003</v>
      </c>
      <c r="F10" s="52">
        <v>1617.6</v>
      </c>
      <c r="K10" s="41">
        <f t="shared" si="0"/>
        <v>0</v>
      </c>
    </row>
    <row r="11" spans="2:11" ht="15.75" x14ac:dyDescent="0.25">
      <c r="B11" s="53">
        <v>42331</v>
      </c>
      <c r="C11" s="54">
        <v>18144</v>
      </c>
      <c r="D11" s="36" t="s">
        <v>11</v>
      </c>
      <c r="E11" s="55">
        <v>21.7</v>
      </c>
      <c r="F11" s="52">
        <v>954.8</v>
      </c>
      <c r="K11" s="41">
        <f t="shared" si="0"/>
        <v>0</v>
      </c>
    </row>
    <row r="12" spans="2:11" ht="15.75" x14ac:dyDescent="0.25">
      <c r="B12" s="53">
        <v>42331</v>
      </c>
      <c r="C12" s="54">
        <v>18145</v>
      </c>
      <c r="D12" s="36" t="s">
        <v>569</v>
      </c>
      <c r="E12" s="55">
        <v>234</v>
      </c>
      <c r="F12" s="52">
        <v>7254</v>
      </c>
      <c r="K12" s="41">
        <f t="shared" si="0"/>
        <v>0</v>
      </c>
    </row>
    <row r="13" spans="2:11" ht="15.75" x14ac:dyDescent="0.25">
      <c r="B13" s="53">
        <v>42332</v>
      </c>
      <c r="C13" s="54">
        <v>18309</v>
      </c>
      <c r="D13" s="36" t="s">
        <v>9</v>
      </c>
      <c r="E13" s="55">
        <v>172.4</v>
      </c>
      <c r="F13" s="52">
        <v>5172</v>
      </c>
      <c r="K13" s="41">
        <f t="shared" si="0"/>
        <v>0</v>
      </c>
    </row>
    <row r="14" spans="2:11" ht="15.75" x14ac:dyDescent="0.25">
      <c r="B14" s="53">
        <v>42332</v>
      </c>
      <c r="C14" s="54">
        <v>18313</v>
      </c>
      <c r="D14" s="36" t="s">
        <v>6</v>
      </c>
      <c r="E14" s="55">
        <f>265+132.2</f>
        <v>397.2</v>
      </c>
      <c r="F14" s="52">
        <v>12973.6</v>
      </c>
      <c r="K14" s="41">
        <f t="shared" si="0"/>
        <v>0</v>
      </c>
    </row>
    <row r="15" spans="2:11" ht="15.75" x14ac:dyDescent="0.25">
      <c r="B15" s="53">
        <v>42332</v>
      </c>
      <c r="C15" s="54">
        <v>18314</v>
      </c>
      <c r="D15" s="36" t="s">
        <v>569</v>
      </c>
      <c r="E15" s="55">
        <f>122.4+466.8</f>
        <v>589.20000000000005</v>
      </c>
      <c r="F15" s="52">
        <v>17798.400000000001</v>
      </c>
      <c r="K15" s="41">
        <f t="shared" si="0"/>
        <v>0</v>
      </c>
    </row>
    <row r="16" spans="2:11" ht="15.75" x14ac:dyDescent="0.25">
      <c r="B16" s="53">
        <v>42332</v>
      </c>
      <c r="C16" s="54">
        <v>18315</v>
      </c>
      <c r="D16" s="36" t="s">
        <v>10</v>
      </c>
      <c r="E16" s="55">
        <v>79.599999999999994</v>
      </c>
      <c r="F16" s="52">
        <v>2467.6</v>
      </c>
      <c r="K16" s="41">
        <f t="shared" si="0"/>
        <v>0</v>
      </c>
    </row>
    <row r="17" spans="1:11" ht="15.75" x14ac:dyDescent="0.25">
      <c r="B17" s="53">
        <v>42332</v>
      </c>
      <c r="C17" s="54">
        <v>18316</v>
      </c>
      <c r="D17" s="36" t="s">
        <v>16</v>
      </c>
      <c r="E17" s="55">
        <v>53.4</v>
      </c>
      <c r="F17" s="52">
        <v>3524.4</v>
      </c>
      <c r="K17" s="41">
        <f t="shared" si="0"/>
        <v>0</v>
      </c>
    </row>
    <row r="18" spans="1:11" ht="15.75" x14ac:dyDescent="0.25">
      <c r="B18" s="53">
        <v>42333</v>
      </c>
      <c r="C18" s="54">
        <v>18388</v>
      </c>
      <c r="D18" s="36" t="s">
        <v>17</v>
      </c>
      <c r="E18" s="55">
        <v>916.3</v>
      </c>
      <c r="F18" s="52">
        <v>27489</v>
      </c>
      <c r="K18" s="41">
        <f t="shared" si="0"/>
        <v>0</v>
      </c>
    </row>
    <row r="19" spans="1:11" ht="15.75" x14ac:dyDescent="0.25">
      <c r="B19" s="53">
        <v>42333</v>
      </c>
      <c r="C19" s="54">
        <v>18389</v>
      </c>
      <c r="D19" s="36" t="s">
        <v>9</v>
      </c>
      <c r="E19" s="55">
        <f>15.5+363</f>
        <v>378.5</v>
      </c>
      <c r="F19" s="52">
        <v>11200</v>
      </c>
      <c r="K19" s="41">
        <f>SUM(K6:K18)</f>
        <v>0</v>
      </c>
    </row>
    <row r="20" spans="1:11" ht="15.75" x14ac:dyDescent="0.25">
      <c r="B20" s="53">
        <v>42333</v>
      </c>
      <c r="C20" s="54">
        <v>18390</v>
      </c>
      <c r="D20" s="36" t="s">
        <v>6</v>
      </c>
      <c r="E20" s="55">
        <v>415.2</v>
      </c>
      <c r="F20" s="52">
        <v>12456</v>
      </c>
    </row>
    <row r="21" spans="1:11" ht="15.75" x14ac:dyDescent="0.25">
      <c r="B21" s="53">
        <v>42333</v>
      </c>
      <c r="C21" s="54">
        <v>18391</v>
      </c>
      <c r="D21" s="36" t="s">
        <v>8</v>
      </c>
      <c r="E21" s="55">
        <v>407.6</v>
      </c>
      <c r="F21" s="52">
        <v>12228</v>
      </c>
    </row>
    <row r="22" spans="1:11" ht="15.75" x14ac:dyDescent="0.25">
      <c r="A22" s="75"/>
      <c r="B22" s="53">
        <v>42333</v>
      </c>
      <c r="C22" s="54">
        <v>18392</v>
      </c>
      <c r="D22" s="36" t="s">
        <v>7</v>
      </c>
      <c r="E22" s="55">
        <v>423.8</v>
      </c>
      <c r="F22" s="52">
        <v>12714</v>
      </c>
    </row>
    <row r="23" spans="1:11" x14ac:dyDescent="0.25">
      <c r="B23" s="53">
        <v>42333</v>
      </c>
      <c r="C23" s="56">
        <v>18393</v>
      </c>
      <c r="D23" s="36" t="s">
        <v>11</v>
      </c>
      <c r="E23" s="55">
        <f>2+61.6+37.6</f>
        <v>101.2</v>
      </c>
      <c r="F23" s="52">
        <v>4327.6000000000004</v>
      </c>
    </row>
    <row r="24" spans="1:11" x14ac:dyDescent="0.25">
      <c r="B24" s="53">
        <v>42333</v>
      </c>
      <c r="C24" s="56">
        <v>18394</v>
      </c>
      <c r="D24" s="36" t="s">
        <v>16</v>
      </c>
      <c r="E24" s="55">
        <f>54.2+36.1+7.6</f>
        <v>97.9</v>
      </c>
      <c r="F24" s="52">
        <v>3668.95</v>
      </c>
    </row>
    <row r="25" spans="1:11" x14ac:dyDescent="0.25">
      <c r="B25" s="53">
        <v>42334</v>
      </c>
      <c r="C25" s="56">
        <v>18532</v>
      </c>
      <c r="D25" s="36" t="s">
        <v>9</v>
      </c>
      <c r="E25" s="55">
        <v>170</v>
      </c>
      <c r="F25" s="52">
        <v>5100</v>
      </c>
    </row>
    <row r="26" spans="1:11" x14ac:dyDescent="0.25">
      <c r="B26" s="53">
        <v>42334</v>
      </c>
      <c r="C26" s="56">
        <v>18533</v>
      </c>
      <c r="D26" s="36" t="s">
        <v>11</v>
      </c>
      <c r="E26" s="55">
        <v>76</v>
      </c>
      <c r="F26" s="52">
        <v>2280</v>
      </c>
    </row>
    <row r="27" spans="1:11" x14ac:dyDescent="0.25">
      <c r="B27" s="53">
        <v>42334</v>
      </c>
      <c r="C27" s="56">
        <v>18534</v>
      </c>
      <c r="D27" s="36" t="s">
        <v>10</v>
      </c>
      <c r="E27" s="55">
        <v>74.2</v>
      </c>
      <c r="F27" s="52">
        <v>2226</v>
      </c>
    </row>
    <row r="28" spans="1:11" x14ac:dyDescent="0.25">
      <c r="B28" s="53">
        <v>42334</v>
      </c>
      <c r="C28" s="56">
        <v>18535</v>
      </c>
      <c r="D28" s="36" t="s">
        <v>8</v>
      </c>
      <c r="E28" s="55">
        <v>362</v>
      </c>
      <c r="F28" s="52">
        <v>11222</v>
      </c>
    </row>
    <row r="29" spans="1:11" x14ac:dyDescent="0.25">
      <c r="B29" s="53">
        <v>42334</v>
      </c>
      <c r="C29" s="56">
        <v>18537</v>
      </c>
      <c r="D29" s="36" t="s">
        <v>16</v>
      </c>
      <c r="E29" s="55">
        <f>18.3+5.7</f>
        <v>24</v>
      </c>
      <c r="F29" s="52">
        <v>1027.2</v>
      </c>
    </row>
    <row r="30" spans="1:11" x14ac:dyDescent="0.25">
      <c r="B30" s="53">
        <v>42334</v>
      </c>
      <c r="C30" s="56">
        <v>18538</v>
      </c>
      <c r="D30" s="36" t="s">
        <v>6</v>
      </c>
      <c r="E30" s="55">
        <v>356.8</v>
      </c>
      <c r="F30" s="52">
        <v>10704</v>
      </c>
    </row>
    <row r="31" spans="1:11" x14ac:dyDescent="0.25">
      <c r="B31" s="53">
        <v>42334</v>
      </c>
      <c r="C31" s="56">
        <v>18539</v>
      </c>
      <c r="D31" s="36" t="s">
        <v>569</v>
      </c>
      <c r="E31" s="55">
        <v>375.6</v>
      </c>
      <c r="F31" s="52">
        <v>11268</v>
      </c>
    </row>
    <row r="32" spans="1:11" x14ac:dyDescent="0.25">
      <c r="B32" s="53">
        <v>42335</v>
      </c>
      <c r="C32" s="56">
        <v>18687</v>
      </c>
      <c r="D32" s="36" t="s">
        <v>4</v>
      </c>
      <c r="E32" s="55">
        <f>919.4+957.1+27.24+51.8+170.4</f>
        <v>2125.94</v>
      </c>
      <c r="F32" s="52">
        <v>66032.399999999994</v>
      </c>
    </row>
    <row r="33" spans="2:11" x14ac:dyDescent="0.25">
      <c r="B33" s="53">
        <v>42335</v>
      </c>
      <c r="C33" s="56">
        <v>18690</v>
      </c>
      <c r="D33" s="36" t="s">
        <v>9</v>
      </c>
      <c r="E33" s="55">
        <v>361.4</v>
      </c>
      <c r="F33" s="52">
        <v>10842</v>
      </c>
    </row>
    <row r="34" spans="2:11" x14ac:dyDescent="0.25">
      <c r="B34" s="53">
        <v>42335</v>
      </c>
      <c r="C34" s="56">
        <v>18695</v>
      </c>
      <c r="D34" s="36" t="s">
        <v>6</v>
      </c>
      <c r="E34" s="55">
        <f>127.4+81.72+40.9+609.2</f>
        <v>859.22</v>
      </c>
      <c r="F34" s="52">
        <v>27129.4</v>
      </c>
      <c r="K34" s="41">
        <f t="shared" ref="K34:K40" si="1">J34*I34</f>
        <v>0</v>
      </c>
    </row>
    <row r="35" spans="2:11" ht="15.75" x14ac:dyDescent="0.25">
      <c r="B35" s="53">
        <v>42335</v>
      </c>
      <c r="C35" s="54">
        <v>18696</v>
      </c>
      <c r="D35" s="36" t="s">
        <v>7</v>
      </c>
      <c r="E35" s="55">
        <f>266+58.2</f>
        <v>324.2</v>
      </c>
      <c r="F35" s="52">
        <v>9410</v>
      </c>
      <c r="K35" s="41">
        <f t="shared" si="1"/>
        <v>0</v>
      </c>
    </row>
    <row r="36" spans="2:11" ht="15.75" x14ac:dyDescent="0.25">
      <c r="B36" s="53">
        <v>42335</v>
      </c>
      <c r="C36" s="54">
        <v>18697</v>
      </c>
      <c r="D36" s="36" t="s">
        <v>8</v>
      </c>
      <c r="E36" s="55">
        <v>411.4</v>
      </c>
      <c r="F36" s="52">
        <v>12342</v>
      </c>
      <c r="K36" s="41">
        <f t="shared" si="1"/>
        <v>0</v>
      </c>
    </row>
    <row r="37" spans="2:11" ht="15.75" x14ac:dyDescent="0.25">
      <c r="B37" s="53">
        <v>42336</v>
      </c>
      <c r="C37" s="54">
        <v>18866</v>
      </c>
      <c r="D37" s="36" t="s">
        <v>4</v>
      </c>
      <c r="E37" s="55">
        <f>959+20.9+95.4+187.6</f>
        <v>1262.8999999999999</v>
      </c>
      <c r="F37" s="52">
        <v>36744.9</v>
      </c>
      <c r="K37" s="41">
        <f t="shared" si="1"/>
        <v>0</v>
      </c>
    </row>
    <row r="38" spans="2:11" ht="15.75" x14ac:dyDescent="0.25">
      <c r="B38" s="53">
        <v>42336</v>
      </c>
      <c r="C38" s="54">
        <v>18867</v>
      </c>
      <c r="D38" s="36" t="s">
        <v>7</v>
      </c>
      <c r="E38" s="55">
        <f>93.6+27.2+241.2</f>
        <v>362</v>
      </c>
      <c r="F38" s="52">
        <v>10382.799999999999</v>
      </c>
      <c r="K38" s="41">
        <f t="shared" si="1"/>
        <v>0</v>
      </c>
    </row>
    <row r="39" spans="2:11" x14ac:dyDescent="0.25">
      <c r="B39" s="53">
        <v>42336</v>
      </c>
      <c r="C39" s="56">
        <v>18868</v>
      </c>
      <c r="D39" s="36" t="s">
        <v>16</v>
      </c>
      <c r="E39" s="55">
        <f>42.2+75.9+113.4+34.4+79.2</f>
        <v>345.09999999999997</v>
      </c>
      <c r="F39" s="52">
        <v>12695.5</v>
      </c>
      <c r="K39" s="41">
        <f t="shared" si="1"/>
        <v>0</v>
      </c>
    </row>
    <row r="40" spans="2:11" ht="15.75" x14ac:dyDescent="0.25">
      <c r="B40" s="53">
        <v>42336</v>
      </c>
      <c r="C40" s="54">
        <v>18869</v>
      </c>
      <c r="D40" s="36" t="s">
        <v>6</v>
      </c>
      <c r="E40" s="55">
        <f>135.6+339.4</f>
        <v>475</v>
      </c>
      <c r="F40" s="52">
        <v>14385.6</v>
      </c>
      <c r="K40" s="41">
        <f t="shared" si="1"/>
        <v>0</v>
      </c>
    </row>
    <row r="41" spans="2:11" ht="15.75" x14ac:dyDescent="0.25">
      <c r="B41" s="53">
        <v>42336</v>
      </c>
      <c r="C41" s="54">
        <v>18870</v>
      </c>
      <c r="D41" s="36" t="s">
        <v>11</v>
      </c>
      <c r="E41" s="55">
        <f>51.8+180.8+2</f>
        <v>234.60000000000002</v>
      </c>
      <c r="F41" s="52">
        <v>8746.6</v>
      </c>
      <c r="K41" s="41">
        <f>J41*I41</f>
        <v>0</v>
      </c>
    </row>
    <row r="42" spans="2:11" x14ac:dyDescent="0.25">
      <c r="B42" s="53">
        <v>42336</v>
      </c>
      <c r="C42" s="56">
        <v>18871</v>
      </c>
      <c r="D42" s="36" t="s">
        <v>4</v>
      </c>
      <c r="E42" s="55">
        <v>104.8</v>
      </c>
      <c r="F42" s="52">
        <v>6602.4</v>
      </c>
      <c r="K42" s="41">
        <f t="shared" ref="K42:K49" si="2">J42*I42</f>
        <v>0</v>
      </c>
    </row>
    <row r="43" spans="2:11" ht="15.75" x14ac:dyDescent="0.25">
      <c r="B43" s="53">
        <v>42336</v>
      </c>
      <c r="C43" s="54">
        <v>18873</v>
      </c>
      <c r="D43" s="36" t="s">
        <v>569</v>
      </c>
      <c r="E43" s="55">
        <v>817.8</v>
      </c>
      <c r="F43" s="52">
        <v>24534</v>
      </c>
      <c r="K43" s="41">
        <f t="shared" si="2"/>
        <v>0</v>
      </c>
    </row>
    <row r="44" spans="2:11" ht="15.75" x14ac:dyDescent="0.25">
      <c r="B44" s="53">
        <v>42337</v>
      </c>
      <c r="C44" s="54">
        <v>19056</v>
      </c>
      <c r="D44" s="36" t="s">
        <v>17</v>
      </c>
      <c r="E44" s="55">
        <f>1002+330.6+68.8</f>
        <v>1401.3999999999999</v>
      </c>
      <c r="F44" s="52">
        <v>46406.8</v>
      </c>
      <c r="K44" s="41">
        <f t="shared" si="2"/>
        <v>0</v>
      </c>
    </row>
    <row r="45" spans="2:11" ht="15.75" x14ac:dyDescent="0.25">
      <c r="B45" s="53"/>
      <c r="C45" s="54"/>
      <c r="D45" s="36"/>
      <c r="E45" s="55"/>
      <c r="F45" s="52"/>
      <c r="K45" s="41">
        <f t="shared" si="2"/>
        <v>0</v>
      </c>
    </row>
    <row r="46" spans="2:11" ht="15.75" x14ac:dyDescent="0.25">
      <c r="B46" s="53"/>
      <c r="C46" s="54"/>
      <c r="D46" s="36"/>
      <c r="E46" s="55"/>
      <c r="F46" s="52"/>
      <c r="K46" s="41">
        <f t="shared" si="2"/>
        <v>0</v>
      </c>
    </row>
    <row r="47" spans="2:11" ht="15.75" x14ac:dyDescent="0.25">
      <c r="B47" s="53"/>
      <c r="C47" s="54"/>
      <c r="D47" s="36"/>
      <c r="E47" s="55"/>
      <c r="F47" s="52"/>
      <c r="K47" s="41">
        <f t="shared" si="2"/>
        <v>0</v>
      </c>
    </row>
    <row r="48" spans="2:11" ht="16.5" thickBot="1" x14ac:dyDescent="0.3">
      <c r="B48" s="53"/>
      <c r="C48" s="54"/>
      <c r="D48" s="36"/>
      <c r="E48" s="55"/>
      <c r="F48" s="52"/>
      <c r="K48" s="41">
        <f t="shared" si="2"/>
        <v>0</v>
      </c>
    </row>
    <row r="49" spans="2:13" ht="15.75" thickBot="1" x14ac:dyDescent="0.3">
      <c r="B49" s="16"/>
      <c r="C49" s="17"/>
      <c r="D49" s="18"/>
      <c r="E49" s="44">
        <v>0</v>
      </c>
      <c r="F49" s="43">
        <f>SUM(F3:F48)</f>
        <v>543012.75</v>
      </c>
      <c r="K49" s="41">
        <f t="shared" si="2"/>
        <v>0</v>
      </c>
    </row>
    <row r="50" spans="2:13" ht="19.5" thickBot="1" x14ac:dyDescent="0.35">
      <c r="B50" s="19"/>
      <c r="C50" s="20"/>
      <c r="D50" s="23" t="s">
        <v>3</v>
      </c>
      <c r="E50" s="25">
        <f>SUM(E3:E49)</f>
        <v>17290.46</v>
      </c>
      <c r="K50" s="71">
        <f>SUM(K34:K49)</f>
        <v>0</v>
      </c>
    </row>
    <row r="51" spans="2:13" x14ac:dyDescent="0.25">
      <c r="B51" s="19"/>
      <c r="C51" s="20"/>
      <c r="D51" s="21"/>
      <c r="E51" s="22"/>
      <c r="K51"/>
    </row>
    <row r="52" spans="2:13" ht="21.75" thickBot="1" x14ac:dyDescent="0.4">
      <c r="B52" s="40"/>
      <c r="C52" s="27" t="s">
        <v>18</v>
      </c>
      <c r="D52" s="26">
        <f>E50*0.2</f>
        <v>3458.0920000000001</v>
      </c>
      <c r="F52"/>
      <c r="K52"/>
    </row>
    <row r="53" spans="2:13" ht="21.75" thickBot="1" x14ac:dyDescent="0.4">
      <c r="C53" s="11" t="s">
        <v>422</v>
      </c>
      <c r="D53" s="61">
        <v>3000</v>
      </c>
      <c r="E53" s="62"/>
      <c r="F53" s="80">
        <f>D52+D53</f>
        <v>6458.0920000000006</v>
      </c>
      <c r="G53" s="81"/>
      <c r="I53" s="73"/>
      <c r="J53" s="73"/>
      <c r="K53" s="73"/>
      <c r="L53" s="73"/>
      <c r="M53" s="73"/>
    </row>
    <row r="54" spans="2:13" ht="15.75" thickTop="1" x14ac:dyDescent="0.25">
      <c r="I54" s="73"/>
      <c r="J54" s="73"/>
      <c r="K54" s="74"/>
      <c r="L54" s="74"/>
      <c r="M54" s="74"/>
    </row>
    <row r="55" spans="2:13" ht="19.5" thickBot="1" x14ac:dyDescent="0.35">
      <c r="E55" s="70" t="s">
        <v>470</v>
      </c>
      <c r="F55" s="82">
        <v>0</v>
      </c>
      <c r="G55" s="82"/>
      <c r="I55" s="73"/>
      <c r="J55" s="73"/>
      <c r="K55" s="74"/>
      <c r="L55" s="74"/>
      <c r="M55" s="74"/>
    </row>
    <row r="56" spans="2:13" ht="15.75" thickTop="1" x14ac:dyDescent="0.25">
      <c r="C56"/>
      <c r="F56" s="83">
        <f>F53+F55</f>
        <v>6458.0920000000006</v>
      </c>
      <c r="G56" s="83"/>
      <c r="I56" s="73"/>
      <c r="J56" s="73"/>
      <c r="K56" s="74"/>
      <c r="L56" s="74"/>
      <c r="M56" s="74"/>
    </row>
    <row r="57" spans="2:13" ht="18.75" x14ac:dyDescent="0.3">
      <c r="C57"/>
      <c r="E57" s="47" t="s">
        <v>471</v>
      </c>
      <c r="F57" s="84"/>
      <c r="G57" s="84"/>
      <c r="K57"/>
    </row>
  </sheetData>
  <mergeCells count="4">
    <mergeCell ref="B1:C1"/>
    <mergeCell ref="F53:G53"/>
    <mergeCell ref="F55:G55"/>
    <mergeCell ref="F56:G57"/>
  </mergeCells>
  <pageMargins left="0.70866141732283472" right="0.70866141732283472" top="0.35433070866141736" bottom="0.35433070866141736" header="0.31496062992125984" footer="0.31496062992125984"/>
  <pageSetup scale="80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12" sqref="C1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42346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587</v>
      </c>
      <c r="G2" s="63"/>
      <c r="K2"/>
    </row>
    <row r="3" spans="2:11" ht="15.75" x14ac:dyDescent="0.25">
      <c r="B3" s="48">
        <v>42338</v>
      </c>
      <c r="C3" s="49" t="s">
        <v>588</v>
      </c>
      <c r="D3" s="50" t="s">
        <v>589</v>
      </c>
      <c r="E3" s="51">
        <f>94.6+76+100.2</f>
        <v>270.8</v>
      </c>
      <c r="F3" s="52">
        <v>13753.8</v>
      </c>
      <c r="K3"/>
    </row>
    <row r="4" spans="2:11" ht="15.75" x14ac:dyDescent="0.25">
      <c r="B4" s="53">
        <v>42338</v>
      </c>
      <c r="C4" s="54" t="s">
        <v>590</v>
      </c>
      <c r="D4" s="36" t="s">
        <v>8</v>
      </c>
      <c r="E4" s="55">
        <v>343.6</v>
      </c>
      <c r="F4" s="52">
        <v>10308</v>
      </c>
      <c r="K4"/>
    </row>
    <row r="5" spans="2:11" ht="15.75" x14ac:dyDescent="0.25">
      <c r="B5" s="53">
        <v>42338</v>
      </c>
      <c r="C5" s="54" t="s">
        <v>591</v>
      </c>
      <c r="D5" s="36" t="s">
        <v>6</v>
      </c>
      <c r="E5" s="55">
        <f>403+388.8</f>
        <v>791.8</v>
      </c>
      <c r="F5" s="52">
        <v>24142.799999999999</v>
      </c>
      <c r="K5"/>
    </row>
    <row r="6" spans="2:11" ht="15.75" x14ac:dyDescent="0.25">
      <c r="B6" s="53">
        <v>42338</v>
      </c>
      <c r="C6" s="54" t="s">
        <v>592</v>
      </c>
      <c r="D6" s="36" t="s">
        <v>7</v>
      </c>
      <c r="E6" s="55">
        <f>254.8+26.2+670.2</f>
        <v>951.2</v>
      </c>
      <c r="F6" s="52">
        <v>28528.799999999999</v>
      </c>
      <c r="K6" s="41">
        <f t="shared" ref="K6:K18" si="0">J6*I6</f>
        <v>0</v>
      </c>
    </row>
    <row r="7" spans="2:11" ht="15.75" x14ac:dyDescent="0.25">
      <c r="B7" s="53">
        <v>42338</v>
      </c>
      <c r="C7" s="54" t="s">
        <v>593</v>
      </c>
      <c r="D7" s="36" t="s">
        <v>16</v>
      </c>
      <c r="E7" s="55">
        <f>14+22.6+95</f>
        <v>131.6</v>
      </c>
      <c r="F7" s="52">
        <v>4501.3999999999996</v>
      </c>
      <c r="K7" s="41">
        <f t="shared" si="0"/>
        <v>0</v>
      </c>
    </row>
    <row r="8" spans="2:11" ht="15.75" x14ac:dyDescent="0.25">
      <c r="B8" s="53">
        <v>42338</v>
      </c>
      <c r="C8" s="54" t="s">
        <v>594</v>
      </c>
      <c r="D8" s="36" t="s">
        <v>10</v>
      </c>
      <c r="E8" s="55">
        <v>201.8</v>
      </c>
      <c r="F8" s="52">
        <v>6255.8</v>
      </c>
      <c r="K8" s="41">
        <f t="shared" si="0"/>
        <v>0</v>
      </c>
    </row>
    <row r="9" spans="2:11" ht="15.75" x14ac:dyDescent="0.25">
      <c r="B9" s="53">
        <v>42338</v>
      </c>
      <c r="C9" s="54" t="s">
        <v>595</v>
      </c>
      <c r="D9" s="36" t="s">
        <v>9</v>
      </c>
      <c r="E9" s="55">
        <f>128+14.6</f>
        <v>142.6</v>
      </c>
      <c r="F9" s="52">
        <v>4274.6000000000004</v>
      </c>
      <c r="K9" s="41">
        <f t="shared" si="0"/>
        <v>0</v>
      </c>
    </row>
    <row r="10" spans="2:11" ht="15.75" x14ac:dyDescent="0.25">
      <c r="B10" s="53">
        <v>42338</v>
      </c>
      <c r="C10" s="54" t="s">
        <v>596</v>
      </c>
      <c r="D10" s="36" t="s">
        <v>11</v>
      </c>
      <c r="E10" s="55">
        <f>81.4+23.9</f>
        <v>105.30000000000001</v>
      </c>
      <c r="F10" s="52">
        <v>4551.8</v>
      </c>
      <c r="K10" s="41">
        <f t="shared" si="0"/>
        <v>0</v>
      </c>
    </row>
    <row r="11" spans="2:11" ht="15.75" x14ac:dyDescent="0.25">
      <c r="B11" s="53">
        <v>42339</v>
      </c>
      <c r="C11" s="54" t="s">
        <v>597</v>
      </c>
      <c r="D11" s="36" t="s">
        <v>10</v>
      </c>
      <c r="E11" s="55">
        <v>84</v>
      </c>
      <c r="F11" s="52">
        <v>2604</v>
      </c>
      <c r="K11" s="41">
        <f t="shared" si="0"/>
        <v>0</v>
      </c>
    </row>
    <row r="12" spans="2:11" ht="15.75" x14ac:dyDescent="0.25">
      <c r="B12" s="53">
        <v>42339</v>
      </c>
      <c r="C12" s="54" t="s">
        <v>598</v>
      </c>
      <c r="D12" s="36" t="s">
        <v>9</v>
      </c>
      <c r="E12" s="55">
        <f>10+176.4</f>
        <v>186.4</v>
      </c>
      <c r="F12" s="52">
        <v>5668.4</v>
      </c>
      <c r="K12" s="41">
        <f t="shared" si="0"/>
        <v>0</v>
      </c>
    </row>
    <row r="13" spans="2:11" ht="15.75" x14ac:dyDescent="0.25">
      <c r="B13" s="53">
        <v>42339</v>
      </c>
      <c r="C13" s="54" t="s">
        <v>599</v>
      </c>
      <c r="D13" s="36" t="s">
        <v>6</v>
      </c>
      <c r="E13" s="55">
        <f>13.8+66.7+416.8</f>
        <v>497.3</v>
      </c>
      <c r="F13" s="52">
        <v>15811.9</v>
      </c>
      <c r="K13" s="41">
        <f t="shared" si="0"/>
        <v>0</v>
      </c>
    </row>
    <row r="14" spans="2:11" ht="15.75" x14ac:dyDescent="0.25">
      <c r="B14" s="53">
        <v>42339</v>
      </c>
      <c r="C14" s="54" t="s">
        <v>600</v>
      </c>
      <c r="D14" s="36" t="s">
        <v>7</v>
      </c>
      <c r="E14" s="55">
        <v>722.2</v>
      </c>
      <c r="F14" s="52">
        <v>22388.2</v>
      </c>
      <c r="K14" s="41">
        <f t="shared" si="0"/>
        <v>0</v>
      </c>
    </row>
    <row r="15" spans="2:11" ht="15.75" x14ac:dyDescent="0.25">
      <c r="B15" s="53">
        <v>42340</v>
      </c>
      <c r="C15" s="54" t="s">
        <v>601</v>
      </c>
      <c r="D15" s="36" t="s">
        <v>9</v>
      </c>
      <c r="E15" s="55">
        <v>252.5</v>
      </c>
      <c r="F15" s="52">
        <v>7827.5</v>
      </c>
      <c r="K15" s="41">
        <f t="shared" si="0"/>
        <v>0</v>
      </c>
    </row>
    <row r="16" spans="2:11" ht="15.75" x14ac:dyDescent="0.25">
      <c r="B16" s="53">
        <v>42340</v>
      </c>
      <c r="C16" s="54" t="s">
        <v>602</v>
      </c>
      <c r="D16" s="36" t="s">
        <v>16</v>
      </c>
      <c r="E16" s="55">
        <f>87.6+29.9</f>
        <v>117.5</v>
      </c>
      <c r="F16" s="52">
        <v>3941.5</v>
      </c>
      <c r="K16" s="41">
        <f t="shared" si="0"/>
        <v>0</v>
      </c>
    </row>
    <row r="17" spans="1:11" ht="15.75" x14ac:dyDescent="0.25">
      <c r="B17" s="53">
        <v>42340</v>
      </c>
      <c r="C17" s="54" t="s">
        <v>603</v>
      </c>
      <c r="D17" s="36" t="s">
        <v>10</v>
      </c>
      <c r="E17" s="55">
        <v>85.9</v>
      </c>
      <c r="F17" s="52">
        <v>2662.9</v>
      </c>
      <c r="K17" s="41">
        <f t="shared" si="0"/>
        <v>0</v>
      </c>
    </row>
    <row r="18" spans="1:11" ht="15.75" x14ac:dyDescent="0.25">
      <c r="B18" s="53">
        <v>42340</v>
      </c>
      <c r="C18" s="54" t="s">
        <v>604</v>
      </c>
      <c r="D18" s="36" t="s">
        <v>589</v>
      </c>
      <c r="E18" s="55">
        <v>125.6</v>
      </c>
      <c r="F18" s="52">
        <v>2009.6</v>
      </c>
      <c r="K18" s="41">
        <f t="shared" si="0"/>
        <v>0</v>
      </c>
    </row>
    <row r="19" spans="1:11" ht="15.75" x14ac:dyDescent="0.25">
      <c r="B19" s="53">
        <v>42340</v>
      </c>
      <c r="C19" s="54" t="s">
        <v>605</v>
      </c>
      <c r="D19" s="36" t="s">
        <v>11</v>
      </c>
      <c r="E19" s="55">
        <v>45.9</v>
      </c>
      <c r="F19" s="52">
        <v>1973.7</v>
      </c>
      <c r="K19" s="41">
        <f>SUM(K6:K18)</f>
        <v>0</v>
      </c>
    </row>
    <row r="20" spans="1:11" ht="15.75" x14ac:dyDescent="0.25">
      <c r="B20" s="53">
        <v>42340</v>
      </c>
      <c r="C20" s="54" t="s">
        <v>606</v>
      </c>
      <c r="D20" s="36" t="s">
        <v>6</v>
      </c>
      <c r="E20" s="55">
        <v>132</v>
      </c>
      <c r="F20" s="52">
        <v>4092</v>
      </c>
    </row>
    <row r="21" spans="1:11" ht="15.75" x14ac:dyDescent="0.25">
      <c r="B21" s="53">
        <v>42340</v>
      </c>
      <c r="C21" s="54" t="s">
        <v>607</v>
      </c>
      <c r="D21" s="36" t="s">
        <v>569</v>
      </c>
      <c r="E21" s="55">
        <f>24.9+130.8</f>
        <v>155.70000000000002</v>
      </c>
      <c r="F21" s="52">
        <v>4552.8</v>
      </c>
    </row>
    <row r="22" spans="1:11" ht="15.75" x14ac:dyDescent="0.25">
      <c r="A22" s="75"/>
      <c r="B22" s="53">
        <v>42340</v>
      </c>
      <c r="C22" s="54" t="s">
        <v>608</v>
      </c>
      <c r="D22" s="36" t="s">
        <v>11</v>
      </c>
      <c r="E22" s="55">
        <v>66.8</v>
      </c>
      <c r="F22" s="52">
        <v>2605.1999999999998</v>
      </c>
    </row>
    <row r="23" spans="1:11" x14ac:dyDescent="0.25">
      <c r="B23" s="53">
        <v>42341</v>
      </c>
      <c r="C23" s="56" t="s">
        <v>609</v>
      </c>
      <c r="D23" s="36" t="s">
        <v>17</v>
      </c>
      <c r="E23" s="55">
        <f>864.5+19.5+27.24+158.8</f>
        <v>1070.04</v>
      </c>
      <c r="F23" s="52">
        <v>32629.3</v>
      </c>
    </row>
    <row r="24" spans="1:11" x14ac:dyDescent="0.25">
      <c r="B24" s="53">
        <v>42341</v>
      </c>
      <c r="C24" s="56" t="s">
        <v>610</v>
      </c>
      <c r="D24" s="36" t="s">
        <v>6</v>
      </c>
      <c r="E24" s="55">
        <f>56.4+13+58.4</f>
        <v>127.80000000000001</v>
      </c>
      <c r="F24" s="52">
        <v>2335.4</v>
      </c>
    </row>
    <row r="25" spans="1:11" x14ac:dyDescent="0.25">
      <c r="B25" s="53">
        <v>42341</v>
      </c>
      <c r="C25" s="56" t="s">
        <v>611</v>
      </c>
      <c r="D25" s="36" t="s">
        <v>10</v>
      </c>
      <c r="E25" s="55">
        <v>74.599999999999994</v>
      </c>
      <c r="F25" s="52">
        <v>2312.6</v>
      </c>
    </row>
    <row r="26" spans="1:11" x14ac:dyDescent="0.25">
      <c r="B26" s="53">
        <v>42341</v>
      </c>
      <c r="C26" s="56" t="s">
        <v>612</v>
      </c>
      <c r="D26" s="36" t="s">
        <v>8</v>
      </c>
      <c r="E26" s="55">
        <v>292.39999999999998</v>
      </c>
      <c r="F26" s="52">
        <v>9064.4</v>
      </c>
    </row>
    <row r="27" spans="1:11" x14ac:dyDescent="0.25">
      <c r="B27" s="53">
        <v>42341</v>
      </c>
      <c r="C27" s="56" t="s">
        <v>613</v>
      </c>
      <c r="D27" s="36" t="s">
        <v>9</v>
      </c>
      <c r="E27" s="55">
        <f>21.4+4+121.6+38.2</f>
        <v>185.2</v>
      </c>
      <c r="F27" s="52">
        <v>5761.2</v>
      </c>
    </row>
    <row r="28" spans="1:11" x14ac:dyDescent="0.25">
      <c r="B28" s="53">
        <v>42341</v>
      </c>
      <c r="C28" s="56" t="s">
        <v>614</v>
      </c>
      <c r="D28" s="36" t="s">
        <v>16</v>
      </c>
      <c r="E28" s="55">
        <f>7.1+20.2+66.6+149.6</f>
        <v>243.5</v>
      </c>
      <c r="F28" s="52">
        <v>10918.5</v>
      </c>
    </row>
    <row r="29" spans="1:11" x14ac:dyDescent="0.25">
      <c r="B29" s="53">
        <v>42341</v>
      </c>
      <c r="C29" s="56" t="s">
        <v>615</v>
      </c>
      <c r="D29" s="36" t="s">
        <v>17</v>
      </c>
      <c r="E29" s="55">
        <v>137.6</v>
      </c>
      <c r="F29" s="52">
        <v>5366.4</v>
      </c>
    </row>
    <row r="30" spans="1:11" x14ac:dyDescent="0.25">
      <c r="B30" s="53">
        <v>42341</v>
      </c>
      <c r="C30" s="56" t="s">
        <v>616</v>
      </c>
      <c r="D30" s="36" t="s">
        <v>11</v>
      </c>
      <c r="E30" s="55">
        <v>51</v>
      </c>
      <c r="F30" s="52">
        <v>2193</v>
      </c>
    </row>
    <row r="31" spans="1:11" x14ac:dyDescent="0.25">
      <c r="B31" s="53">
        <v>42341</v>
      </c>
      <c r="C31" s="56" t="s">
        <v>617</v>
      </c>
      <c r="D31" s="36" t="s">
        <v>589</v>
      </c>
      <c r="E31" s="55">
        <f>65.7+38.4</f>
        <v>104.1</v>
      </c>
      <c r="F31" s="52">
        <v>6135.9</v>
      </c>
    </row>
    <row r="32" spans="1:11" x14ac:dyDescent="0.25">
      <c r="B32" s="53">
        <v>42342</v>
      </c>
      <c r="C32" s="56" t="s">
        <v>618</v>
      </c>
      <c r="D32" s="36" t="s">
        <v>7</v>
      </c>
      <c r="E32" s="55">
        <f>60.8+947.4</f>
        <v>1008.1999999999999</v>
      </c>
      <c r="F32" s="52">
        <v>30585.4</v>
      </c>
    </row>
    <row r="33" spans="2:11" x14ac:dyDescent="0.25">
      <c r="B33" s="53">
        <v>42342</v>
      </c>
      <c r="C33" s="56" t="s">
        <v>619</v>
      </c>
      <c r="D33" s="36" t="s">
        <v>6</v>
      </c>
      <c r="E33" s="55">
        <f>21+858.8</f>
        <v>879.8</v>
      </c>
      <c r="F33" s="52">
        <v>27922.6</v>
      </c>
    </row>
    <row r="34" spans="2:11" x14ac:dyDescent="0.25">
      <c r="B34" s="53">
        <v>42342</v>
      </c>
      <c r="C34" s="56" t="s">
        <v>620</v>
      </c>
      <c r="D34" s="36" t="s">
        <v>8</v>
      </c>
      <c r="E34" s="55">
        <v>290.39999999999998</v>
      </c>
      <c r="F34" s="52">
        <v>9002.4</v>
      </c>
      <c r="K34" s="41">
        <f t="shared" ref="K34:K40" si="1">J34*I34</f>
        <v>0</v>
      </c>
    </row>
    <row r="35" spans="2:11" ht="15.75" x14ac:dyDescent="0.25">
      <c r="B35" s="53">
        <v>42342</v>
      </c>
      <c r="C35" s="54" t="s">
        <v>621</v>
      </c>
      <c r="D35" s="36" t="s">
        <v>11</v>
      </c>
      <c r="E35" s="55">
        <f>82.2+112.6</f>
        <v>194.8</v>
      </c>
      <c r="F35" s="52">
        <v>6939.6</v>
      </c>
      <c r="K35" s="41">
        <f t="shared" si="1"/>
        <v>0</v>
      </c>
    </row>
    <row r="36" spans="2:11" ht="15.75" x14ac:dyDescent="0.25">
      <c r="B36" s="53">
        <v>42342</v>
      </c>
      <c r="C36" s="54" t="s">
        <v>622</v>
      </c>
      <c r="D36" s="36" t="s">
        <v>10</v>
      </c>
      <c r="E36" s="55">
        <v>85.2</v>
      </c>
      <c r="F36" s="52">
        <v>2641.2</v>
      </c>
      <c r="K36" s="41">
        <f t="shared" si="1"/>
        <v>0</v>
      </c>
    </row>
    <row r="37" spans="2:11" ht="15.75" x14ac:dyDescent="0.25">
      <c r="B37" s="53">
        <v>42342</v>
      </c>
      <c r="C37" s="54" t="s">
        <v>623</v>
      </c>
      <c r="D37" s="36" t="s">
        <v>569</v>
      </c>
      <c r="E37" s="55">
        <v>970.4</v>
      </c>
      <c r="F37" s="52">
        <v>30082.400000000001</v>
      </c>
      <c r="K37" s="41">
        <f t="shared" si="1"/>
        <v>0</v>
      </c>
    </row>
    <row r="38" spans="2:11" ht="15.75" x14ac:dyDescent="0.25">
      <c r="B38" s="53">
        <v>42342</v>
      </c>
      <c r="C38" s="54" t="s">
        <v>624</v>
      </c>
      <c r="D38" s="36" t="s">
        <v>9</v>
      </c>
      <c r="E38" s="55">
        <v>182.8</v>
      </c>
      <c r="F38" s="52">
        <v>7129.2</v>
      </c>
      <c r="K38" s="41">
        <f t="shared" si="1"/>
        <v>0</v>
      </c>
    </row>
    <row r="39" spans="2:11" x14ac:dyDescent="0.25">
      <c r="B39" s="53">
        <v>42342</v>
      </c>
      <c r="C39" s="56" t="s">
        <v>625</v>
      </c>
      <c r="D39" s="36" t="s">
        <v>589</v>
      </c>
      <c r="E39" s="55">
        <f>917.91+917.91+19.5+68+120.7</f>
        <v>2044.02</v>
      </c>
      <c r="F39" s="52">
        <v>63258.28</v>
      </c>
      <c r="K39" s="41">
        <f t="shared" si="1"/>
        <v>0</v>
      </c>
    </row>
    <row r="40" spans="2:11" ht="15.75" x14ac:dyDescent="0.25">
      <c r="B40" s="53">
        <v>42343</v>
      </c>
      <c r="C40" s="54" t="s">
        <v>626</v>
      </c>
      <c r="D40" s="36" t="s">
        <v>7</v>
      </c>
      <c r="E40" s="55">
        <v>850.6</v>
      </c>
      <c r="F40" s="52">
        <v>26368.6</v>
      </c>
      <c r="K40" s="41">
        <f t="shared" si="1"/>
        <v>0</v>
      </c>
    </row>
    <row r="41" spans="2:11" ht="15.75" x14ac:dyDescent="0.25">
      <c r="B41" s="53">
        <v>42343</v>
      </c>
      <c r="C41" s="54" t="s">
        <v>627</v>
      </c>
      <c r="D41" s="36" t="s">
        <v>16</v>
      </c>
      <c r="E41" s="55">
        <f>63.7+38.2+166.2+30.6+120.6</f>
        <v>419.30000000000007</v>
      </c>
      <c r="F41" s="52">
        <v>12677.7</v>
      </c>
      <c r="K41" s="41">
        <f>J41*I41</f>
        <v>0</v>
      </c>
    </row>
    <row r="42" spans="2:11" x14ac:dyDescent="0.25">
      <c r="B42" s="53">
        <v>42343</v>
      </c>
      <c r="C42" s="56" t="s">
        <v>628</v>
      </c>
      <c r="D42" s="36" t="s">
        <v>8</v>
      </c>
      <c r="E42" s="55">
        <f>19.5+360.8</f>
        <v>380.3</v>
      </c>
      <c r="F42" s="52">
        <v>11574.8</v>
      </c>
      <c r="K42" s="41">
        <f t="shared" ref="K42:K53" si="2">J42*I42</f>
        <v>0</v>
      </c>
    </row>
    <row r="43" spans="2:11" ht="15.75" x14ac:dyDescent="0.25">
      <c r="B43" s="53">
        <v>42343</v>
      </c>
      <c r="C43" s="54" t="s">
        <v>629</v>
      </c>
      <c r="D43" s="36" t="s">
        <v>6</v>
      </c>
      <c r="E43" s="55">
        <f>841.6+382.8</f>
        <v>1224.4000000000001</v>
      </c>
      <c r="F43" s="52">
        <v>38339.199999999997</v>
      </c>
      <c r="K43" s="41">
        <f t="shared" si="2"/>
        <v>0</v>
      </c>
    </row>
    <row r="44" spans="2:11" ht="15.75" x14ac:dyDescent="0.25">
      <c r="B44" s="53">
        <v>42343</v>
      </c>
      <c r="C44" s="54" t="s">
        <v>630</v>
      </c>
      <c r="D44" s="36" t="s">
        <v>11</v>
      </c>
      <c r="E44" s="55">
        <f>130.4+29.5</f>
        <v>159.9</v>
      </c>
      <c r="F44" s="52">
        <v>6767.1</v>
      </c>
      <c r="K44" s="41">
        <f t="shared" si="2"/>
        <v>0</v>
      </c>
    </row>
    <row r="45" spans="2:11" ht="15.75" x14ac:dyDescent="0.25">
      <c r="B45" s="53">
        <v>42343</v>
      </c>
      <c r="C45" s="54" t="s">
        <v>631</v>
      </c>
      <c r="D45" s="36" t="s">
        <v>10</v>
      </c>
      <c r="E45" s="55">
        <f>1+27.24+77.2</f>
        <v>105.44</v>
      </c>
      <c r="F45" s="52">
        <v>4525.2</v>
      </c>
    </row>
    <row r="46" spans="2:11" ht="15.75" x14ac:dyDescent="0.25">
      <c r="B46" s="53">
        <v>42343</v>
      </c>
      <c r="C46" s="54" t="s">
        <v>632</v>
      </c>
      <c r="D46" s="36" t="s">
        <v>589</v>
      </c>
      <c r="E46" s="55">
        <v>13.8</v>
      </c>
      <c r="F46" s="52">
        <v>717.6</v>
      </c>
    </row>
    <row r="47" spans="2:11" ht="15.75" x14ac:dyDescent="0.25">
      <c r="B47" s="53">
        <v>42343</v>
      </c>
      <c r="C47" s="54" t="s">
        <v>633</v>
      </c>
      <c r="D47" s="36" t="s">
        <v>569</v>
      </c>
      <c r="E47" s="55">
        <v>918.5</v>
      </c>
      <c r="F47" s="52">
        <v>27555</v>
      </c>
    </row>
    <row r="48" spans="2:11" ht="15.75" x14ac:dyDescent="0.25">
      <c r="B48" s="53">
        <v>42343</v>
      </c>
      <c r="C48" s="54" t="s">
        <v>634</v>
      </c>
      <c r="D48" s="36" t="s">
        <v>9</v>
      </c>
      <c r="E48" s="55">
        <f>122.8+118</f>
        <v>240.8</v>
      </c>
      <c r="F48" s="52">
        <v>9475.6</v>
      </c>
    </row>
    <row r="49" spans="2:13" ht="15.75" x14ac:dyDescent="0.25">
      <c r="B49" s="53">
        <v>42343</v>
      </c>
      <c r="C49" s="54" t="s">
        <v>635</v>
      </c>
      <c r="D49" s="36" t="s">
        <v>569</v>
      </c>
      <c r="E49" s="55">
        <f>27.22+48.3</f>
        <v>75.52</v>
      </c>
      <c r="F49" s="52">
        <v>2000.36</v>
      </c>
      <c r="K49" s="41">
        <f t="shared" si="2"/>
        <v>0</v>
      </c>
    </row>
    <row r="50" spans="2:13" ht="15.75" x14ac:dyDescent="0.25">
      <c r="B50" s="53">
        <v>42344</v>
      </c>
      <c r="C50" s="54" t="s">
        <v>636</v>
      </c>
      <c r="D50" s="36" t="s">
        <v>17</v>
      </c>
      <c r="E50" s="55">
        <f>999+238.4</f>
        <v>1237.4000000000001</v>
      </c>
      <c r="F50" s="52">
        <v>40266.6</v>
      </c>
      <c r="K50" s="41">
        <f t="shared" si="2"/>
        <v>0</v>
      </c>
    </row>
    <row r="51" spans="2:13" ht="15.75" x14ac:dyDescent="0.25">
      <c r="B51" s="53">
        <v>42344</v>
      </c>
      <c r="C51" s="54" t="s">
        <v>637</v>
      </c>
      <c r="D51" s="36" t="s">
        <v>589</v>
      </c>
      <c r="E51" s="55">
        <f>1002+59.2+40.8+45</f>
        <v>1147</v>
      </c>
      <c r="F51" s="52">
        <v>36226.400000000001</v>
      </c>
      <c r="K51" s="41">
        <f t="shared" si="2"/>
        <v>0</v>
      </c>
    </row>
    <row r="52" spans="2:13" ht="16.5" thickBot="1" x14ac:dyDescent="0.3">
      <c r="B52" s="53"/>
      <c r="C52" s="54"/>
      <c r="D52" s="36"/>
      <c r="E52" s="55"/>
      <c r="F52" s="52"/>
      <c r="K52" s="41">
        <f t="shared" si="2"/>
        <v>0</v>
      </c>
    </row>
    <row r="53" spans="2:13" ht="15.75" thickBot="1" x14ac:dyDescent="0.3">
      <c r="B53" s="16"/>
      <c r="C53" s="17"/>
      <c r="D53" s="18"/>
      <c r="E53" s="44">
        <v>0</v>
      </c>
      <c r="F53" s="43">
        <f>SUM(F3:F52)</f>
        <v>643226.6399999999</v>
      </c>
      <c r="K53" s="41">
        <f t="shared" si="2"/>
        <v>0</v>
      </c>
    </row>
    <row r="54" spans="2:13" ht="19.5" thickBot="1" x14ac:dyDescent="0.35">
      <c r="B54" s="19"/>
      <c r="C54" s="20"/>
      <c r="D54" s="23" t="s">
        <v>3</v>
      </c>
      <c r="E54" s="25">
        <f>SUM(E3:E53)</f>
        <v>20125.319999999996</v>
      </c>
      <c r="K54" s="71">
        <f>SUM(K34:K53)</f>
        <v>0</v>
      </c>
    </row>
    <row r="55" spans="2:13" x14ac:dyDescent="0.25">
      <c r="B55" s="19"/>
      <c r="C55" s="20"/>
      <c r="D55" s="21"/>
      <c r="E55" s="22"/>
      <c r="K55"/>
    </row>
    <row r="56" spans="2:13" ht="21.75" thickBot="1" x14ac:dyDescent="0.4">
      <c r="B56" s="40"/>
      <c r="C56" s="27" t="s">
        <v>18</v>
      </c>
      <c r="D56" s="26">
        <f>E54*0.2</f>
        <v>4025.0639999999994</v>
      </c>
      <c r="F56"/>
      <c r="K56"/>
    </row>
    <row r="57" spans="2:13" ht="21.75" thickBot="1" x14ac:dyDescent="0.4">
      <c r="C57" s="11" t="s">
        <v>422</v>
      </c>
      <c r="D57" s="61">
        <v>3000</v>
      </c>
      <c r="E57" s="62"/>
      <c r="F57" s="80">
        <f>D56+D57</f>
        <v>7025.0639999999994</v>
      </c>
      <c r="G57" s="81"/>
      <c r="I57" s="73"/>
      <c r="J57" s="73"/>
      <c r="K57" s="73"/>
      <c r="L57" s="73"/>
      <c r="M57" s="73"/>
    </row>
    <row r="58" spans="2:13" ht="15.75" thickTop="1" x14ac:dyDescent="0.25">
      <c r="I58" s="73"/>
      <c r="J58" s="73"/>
      <c r="K58" s="74"/>
      <c r="L58" s="74"/>
      <c r="M58" s="74"/>
    </row>
    <row r="59" spans="2:13" ht="19.5" thickBot="1" x14ac:dyDescent="0.35">
      <c r="E59" s="70" t="s">
        <v>470</v>
      </c>
      <c r="F59" s="82">
        <v>0</v>
      </c>
      <c r="G59" s="82"/>
      <c r="I59" s="73"/>
      <c r="J59" s="73"/>
      <c r="K59" s="74"/>
      <c r="L59" s="74"/>
      <c r="M59" s="74"/>
    </row>
    <row r="60" spans="2:13" ht="15.75" thickTop="1" x14ac:dyDescent="0.25">
      <c r="C60"/>
      <c r="F60" s="83">
        <f>F57+F59</f>
        <v>7025.0639999999994</v>
      </c>
      <c r="G60" s="83"/>
      <c r="I60" s="73"/>
      <c r="J60" s="73"/>
      <c r="K60" s="74"/>
      <c r="L60" s="74"/>
      <c r="M60" s="74"/>
    </row>
    <row r="61" spans="2:13" ht="18.75" x14ac:dyDescent="0.3">
      <c r="C61"/>
      <c r="E61" s="47" t="s">
        <v>471</v>
      </c>
      <c r="F61" s="84"/>
      <c r="G61" s="84"/>
      <c r="K61"/>
    </row>
  </sheetData>
  <mergeCells count="4">
    <mergeCell ref="B1:C1"/>
    <mergeCell ref="F57:G57"/>
    <mergeCell ref="F59:G59"/>
    <mergeCell ref="F60:G61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29" sqref="E2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42353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638</v>
      </c>
      <c r="G2" s="63"/>
      <c r="K2"/>
    </row>
    <row r="3" spans="2:11" ht="15.75" x14ac:dyDescent="0.25">
      <c r="B3" s="48">
        <v>42345</v>
      </c>
      <c r="C3" s="49" t="s">
        <v>639</v>
      </c>
      <c r="D3" s="50" t="s">
        <v>10</v>
      </c>
      <c r="E3" s="51">
        <v>70.2</v>
      </c>
      <c r="F3" s="52">
        <v>2176.1999999999998</v>
      </c>
      <c r="K3"/>
    </row>
    <row r="4" spans="2:11" ht="15.75" x14ac:dyDescent="0.25">
      <c r="B4" s="53">
        <v>42345</v>
      </c>
      <c r="C4" s="54" t="s">
        <v>640</v>
      </c>
      <c r="D4" s="36" t="s">
        <v>16</v>
      </c>
      <c r="E4" s="55">
        <v>12.2</v>
      </c>
      <c r="F4" s="52">
        <v>634.4</v>
      </c>
      <c r="K4"/>
    </row>
    <row r="5" spans="2:11" ht="15.75" x14ac:dyDescent="0.25">
      <c r="B5" s="53">
        <v>42345</v>
      </c>
      <c r="C5" s="54" t="s">
        <v>641</v>
      </c>
      <c r="D5" s="36" t="s">
        <v>7</v>
      </c>
      <c r="E5" s="55">
        <v>394.4</v>
      </c>
      <c r="F5" s="52">
        <v>12226.4</v>
      </c>
      <c r="K5"/>
    </row>
    <row r="6" spans="2:11" ht="15.75" x14ac:dyDescent="0.25">
      <c r="B6" s="53">
        <v>42345</v>
      </c>
      <c r="C6" s="54" t="s">
        <v>642</v>
      </c>
      <c r="D6" s="36" t="s">
        <v>569</v>
      </c>
      <c r="E6" s="55">
        <v>392</v>
      </c>
      <c r="F6" s="52">
        <v>12152</v>
      </c>
      <c r="K6" s="41">
        <f t="shared" ref="K6:K18" si="0">J6*I6</f>
        <v>0</v>
      </c>
    </row>
    <row r="7" spans="2:11" ht="15.75" x14ac:dyDescent="0.25">
      <c r="B7" s="53">
        <v>42345</v>
      </c>
      <c r="C7" s="54" t="s">
        <v>643</v>
      </c>
      <c r="D7" s="36" t="s">
        <v>8</v>
      </c>
      <c r="E7" s="55">
        <v>152.4</v>
      </c>
      <c r="F7" s="52">
        <v>4724.3999999999996</v>
      </c>
      <c r="K7" s="41">
        <f t="shared" si="0"/>
        <v>0</v>
      </c>
    </row>
    <row r="8" spans="2:11" ht="15.75" x14ac:dyDescent="0.25">
      <c r="B8" s="53">
        <v>42345</v>
      </c>
      <c r="C8" s="54" t="s">
        <v>645</v>
      </c>
      <c r="D8" s="36" t="s">
        <v>6</v>
      </c>
      <c r="E8" s="55">
        <f>37.4+10+40.9+133.4+210.4</f>
        <v>432.1</v>
      </c>
      <c r="F8" s="52">
        <v>15160.9</v>
      </c>
      <c r="K8" s="41">
        <f t="shared" si="0"/>
        <v>0</v>
      </c>
    </row>
    <row r="9" spans="2:11" ht="15.75" x14ac:dyDescent="0.25">
      <c r="B9" s="53">
        <v>42345</v>
      </c>
      <c r="C9" s="54" t="s">
        <v>644</v>
      </c>
      <c r="D9" s="36" t="s">
        <v>4</v>
      </c>
      <c r="E9" s="55">
        <f>1013+134.6+78.8</f>
        <v>1226.3999999999999</v>
      </c>
      <c r="F9" s="52">
        <v>37012.400000000001</v>
      </c>
      <c r="K9" s="41">
        <f t="shared" si="0"/>
        <v>0</v>
      </c>
    </row>
    <row r="10" spans="2:11" ht="15.75" x14ac:dyDescent="0.25">
      <c r="B10" s="53">
        <v>42346</v>
      </c>
      <c r="C10" s="54" t="s">
        <v>652</v>
      </c>
      <c r="D10" s="36" t="s">
        <v>11</v>
      </c>
      <c r="E10" s="55">
        <f>7.2+26.5+87</f>
        <v>120.7</v>
      </c>
      <c r="F10" s="52">
        <v>4127.7</v>
      </c>
      <c r="K10" s="41">
        <f t="shared" si="0"/>
        <v>0</v>
      </c>
    </row>
    <row r="11" spans="2:11" ht="15.75" x14ac:dyDescent="0.25">
      <c r="B11" s="53">
        <v>42346</v>
      </c>
      <c r="C11" s="54" t="s">
        <v>653</v>
      </c>
      <c r="D11" s="36" t="s">
        <v>16</v>
      </c>
      <c r="E11" s="55">
        <v>57.2</v>
      </c>
      <c r="F11" s="52">
        <v>2345.1999999999998</v>
      </c>
      <c r="K11" s="41">
        <f t="shared" si="0"/>
        <v>0</v>
      </c>
    </row>
    <row r="12" spans="2:11" ht="15.75" x14ac:dyDescent="0.25">
      <c r="B12" s="53">
        <v>42346</v>
      </c>
      <c r="C12" s="54" t="s">
        <v>654</v>
      </c>
      <c r="D12" s="36" t="s">
        <v>6</v>
      </c>
      <c r="E12" s="55">
        <f>25.7+30.8+128.4</f>
        <v>184.9</v>
      </c>
      <c r="F12" s="52">
        <v>6778.9</v>
      </c>
      <c r="K12" s="41">
        <f t="shared" si="0"/>
        <v>0</v>
      </c>
    </row>
    <row r="13" spans="2:11" ht="15.75" x14ac:dyDescent="0.25">
      <c r="B13" s="53">
        <v>42346</v>
      </c>
      <c r="C13" s="54" t="s">
        <v>655</v>
      </c>
      <c r="D13" s="36" t="s">
        <v>7</v>
      </c>
      <c r="E13" s="55">
        <v>427.8</v>
      </c>
      <c r="F13" s="52">
        <v>13689.6</v>
      </c>
      <c r="K13" s="41">
        <f t="shared" si="0"/>
        <v>0</v>
      </c>
    </row>
    <row r="14" spans="2:11" ht="15.75" x14ac:dyDescent="0.25">
      <c r="B14" s="53">
        <v>42346</v>
      </c>
      <c r="C14" s="54" t="s">
        <v>656</v>
      </c>
      <c r="D14" s="36" t="s">
        <v>17</v>
      </c>
      <c r="E14" s="55">
        <f>10.9+52.7+45.1+6.7</f>
        <v>115.4</v>
      </c>
      <c r="F14" s="52">
        <v>5106</v>
      </c>
      <c r="K14" s="41">
        <f t="shared" si="0"/>
        <v>0</v>
      </c>
    </row>
    <row r="15" spans="2:11" ht="15.75" x14ac:dyDescent="0.25">
      <c r="B15" s="53">
        <v>42346</v>
      </c>
      <c r="C15" s="54" t="s">
        <v>657</v>
      </c>
      <c r="D15" s="36" t="s">
        <v>9</v>
      </c>
      <c r="E15" s="55">
        <f>130+118</f>
        <v>248</v>
      </c>
      <c r="F15" s="52">
        <v>9836</v>
      </c>
      <c r="K15" s="41">
        <f t="shared" si="0"/>
        <v>0</v>
      </c>
    </row>
    <row r="16" spans="2:11" ht="15.75" x14ac:dyDescent="0.25">
      <c r="B16" s="53">
        <v>42347</v>
      </c>
      <c r="C16" s="54" t="s">
        <v>646</v>
      </c>
      <c r="D16" s="36" t="s">
        <v>8</v>
      </c>
      <c r="E16" s="55">
        <v>226.2</v>
      </c>
      <c r="F16" s="52">
        <v>7238.4</v>
      </c>
      <c r="K16" s="41">
        <f t="shared" si="0"/>
        <v>0</v>
      </c>
    </row>
    <row r="17" spans="1:11" ht="15.75" x14ac:dyDescent="0.25">
      <c r="B17" s="53">
        <v>42347</v>
      </c>
      <c r="C17" s="54" t="s">
        <v>647</v>
      </c>
      <c r="D17" s="36" t="s">
        <v>16</v>
      </c>
      <c r="E17" s="55">
        <v>81</v>
      </c>
      <c r="F17" s="52">
        <v>2592</v>
      </c>
      <c r="K17" s="41">
        <f t="shared" si="0"/>
        <v>0</v>
      </c>
    </row>
    <row r="18" spans="1:11" ht="15.75" x14ac:dyDescent="0.25">
      <c r="B18" s="53">
        <v>42347</v>
      </c>
      <c r="C18" s="54" t="s">
        <v>651</v>
      </c>
      <c r="D18" s="36" t="s">
        <v>7</v>
      </c>
      <c r="E18" s="55">
        <f>20+391.2</f>
        <v>411.2</v>
      </c>
      <c r="F18" s="52">
        <v>12918.4</v>
      </c>
      <c r="K18" s="41">
        <f t="shared" si="0"/>
        <v>0</v>
      </c>
    </row>
    <row r="19" spans="1:11" ht="15.75" x14ac:dyDescent="0.25">
      <c r="B19" s="53">
        <v>42347</v>
      </c>
      <c r="C19" s="54" t="s">
        <v>681</v>
      </c>
      <c r="D19" s="36" t="s">
        <v>10</v>
      </c>
      <c r="E19" s="55">
        <v>73.400000000000006</v>
      </c>
      <c r="F19" s="52">
        <v>2348.8000000000002</v>
      </c>
      <c r="K19" s="41">
        <f>SUM(K6:K18)</f>
        <v>0</v>
      </c>
    </row>
    <row r="20" spans="1:11" ht="15.75" x14ac:dyDescent="0.25">
      <c r="B20" s="53">
        <v>42347</v>
      </c>
      <c r="C20" s="54" t="s">
        <v>680</v>
      </c>
      <c r="D20" s="36" t="s">
        <v>648</v>
      </c>
      <c r="E20" s="55">
        <v>111.4</v>
      </c>
      <c r="F20" s="52">
        <v>7463.8</v>
      </c>
    </row>
    <row r="21" spans="1:11" ht="15.75" x14ac:dyDescent="0.25">
      <c r="B21" s="53">
        <v>42347</v>
      </c>
      <c r="C21" s="54" t="s">
        <v>649</v>
      </c>
      <c r="D21" s="36" t="s">
        <v>6</v>
      </c>
      <c r="E21" s="55">
        <f>178.6+62</f>
        <v>240.6</v>
      </c>
      <c r="F21" s="52">
        <v>7133.8</v>
      </c>
    </row>
    <row r="22" spans="1:11" ht="15.75" x14ac:dyDescent="0.25">
      <c r="A22" s="75"/>
      <c r="B22" s="53">
        <v>42347</v>
      </c>
      <c r="C22" s="54" t="s">
        <v>650</v>
      </c>
      <c r="D22" s="36" t="s">
        <v>11</v>
      </c>
      <c r="E22" s="55">
        <f>24+48.9</f>
        <v>72.900000000000006</v>
      </c>
      <c r="F22" s="52">
        <v>3231.6</v>
      </c>
    </row>
    <row r="23" spans="1:11" x14ac:dyDescent="0.25">
      <c r="B23" s="53">
        <v>42348</v>
      </c>
      <c r="C23" s="56" t="s">
        <v>658</v>
      </c>
      <c r="D23" s="36" t="s">
        <v>6</v>
      </c>
      <c r="E23" s="55">
        <f>39.7+404.2</f>
        <v>443.9</v>
      </c>
      <c r="F23" s="52">
        <v>15514.9</v>
      </c>
    </row>
    <row r="24" spans="1:11" x14ac:dyDescent="0.25">
      <c r="B24" s="53">
        <v>42348</v>
      </c>
      <c r="C24" s="56" t="s">
        <v>659</v>
      </c>
      <c r="D24" s="36" t="s">
        <v>569</v>
      </c>
      <c r="E24" s="55">
        <v>422</v>
      </c>
      <c r="F24" s="52">
        <v>13504</v>
      </c>
    </row>
    <row r="25" spans="1:11" x14ac:dyDescent="0.25">
      <c r="B25" s="53">
        <v>42348</v>
      </c>
      <c r="C25" s="56" t="s">
        <v>660</v>
      </c>
      <c r="D25" s="36" t="s">
        <v>11</v>
      </c>
      <c r="E25" s="55">
        <f>31.8+18.4+164.2</f>
        <v>214.39999999999998</v>
      </c>
      <c r="F25" s="52">
        <v>7841.6</v>
      </c>
    </row>
    <row r="26" spans="1:11" x14ac:dyDescent="0.25">
      <c r="B26" s="53">
        <v>42348</v>
      </c>
      <c r="C26" s="56" t="s">
        <v>661</v>
      </c>
      <c r="D26" s="36" t="s">
        <v>10</v>
      </c>
      <c r="E26" s="55">
        <v>94.8</v>
      </c>
      <c r="F26" s="52">
        <v>3033.6</v>
      </c>
    </row>
    <row r="27" spans="1:11" x14ac:dyDescent="0.25">
      <c r="B27" s="53">
        <v>42348</v>
      </c>
      <c r="C27" s="56" t="s">
        <v>663</v>
      </c>
      <c r="D27" s="36" t="s">
        <v>16</v>
      </c>
      <c r="E27" s="55">
        <f>10.4+43.1+85.2+72.2</f>
        <v>210.89999999999998</v>
      </c>
      <c r="F27" s="52">
        <v>9454.7000000000007</v>
      </c>
    </row>
    <row r="28" spans="1:11" x14ac:dyDescent="0.25">
      <c r="B28" s="53">
        <v>42348</v>
      </c>
      <c r="C28" s="56" t="s">
        <v>662</v>
      </c>
      <c r="D28" s="36" t="s">
        <v>7</v>
      </c>
      <c r="E28" s="55">
        <v>41.4</v>
      </c>
      <c r="F28" s="52">
        <v>828</v>
      </c>
    </row>
    <row r="29" spans="1:11" x14ac:dyDescent="0.25">
      <c r="B29" s="53">
        <v>42348</v>
      </c>
      <c r="C29" s="56" t="s">
        <v>664</v>
      </c>
      <c r="D29" s="36" t="s">
        <v>4</v>
      </c>
      <c r="E29" s="55">
        <v>990.48</v>
      </c>
      <c r="F29" s="52">
        <v>31695.360000000001</v>
      </c>
    </row>
    <row r="30" spans="1:11" x14ac:dyDescent="0.25">
      <c r="B30" s="53">
        <v>42349</v>
      </c>
      <c r="C30" s="56" t="s">
        <v>665</v>
      </c>
      <c r="D30" s="36" t="s">
        <v>9</v>
      </c>
      <c r="E30" s="55">
        <v>940.3</v>
      </c>
      <c r="F30" s="52">
        <v>31029.9</v>
      </c>
    </row>
    <row r="31" spans="1:11" x14ac:dyDescent="0.25">
      <c r="B31" s="53">
        <v>42349</v>
      </c>
      <c r="C31" s="56" t="s">
        <v>666</v>
      </c>
      <c r="D31" s="36" t="s">
        <v>569</v>
      </c>
      <c r="E31" s="55">
        <f>50.5+960.2+876.4</f>
        <v>1887.1</v>
      </c>
      <c r="F31" s="52">
        <v>61617.8</v>
      </c>
    </row>
    <row r="32" spans="1:11" ht="15.75" x14ac:dyDescent="0.25">
      <c r="B32" s="53">
        <v>42349</v>
      </c>
      <c r="C32" s="54" t="s">
        <v>675</v>
      </c>
      <c r="D32" s="36" t="s">
        <v>7</v>
      </c>
      <c r="E32" s="55">
        <f>893.4+904.8+67.3</f>
        <v>1865.4999999999998</v>
      </c>
      <c r="F32" s="52">
        <v>60686.6</v>
      </c>
    </row>
    <row r="33" spans="2:11" x14ac:dyDescent="0.25">
      <c r="B33" s="53">
        <v>42349</v>
      </c>
      <c r="C33" s="56" t="s">
        <v>667</v>
      </c>
      <c r="D33" s="36" t="s">
        <v>6</v>
      </c>
      <c r="E33" s="55">
        <v>813.6</v>
      </c>
      <c r="F33" s="52">
        <v>26848.799999999999</v>
      </c>
    </row>
    <row r="34" spans="2:11" x14ac:dyDescent="0.25">
      <c r="B34" s="53">
        <v>42349</v>
      </c>
      <c r="C34" s="56" t="s">
        <v>668</v>
      </c>
      <c r="D34" s="36" t="s">
        <v>16</v>
      </c>
      <c r="E34" s="55">
        <v>131.80000000000001</v>
      </c>
      <c r="F34" s="52">
        <v>8698.7999999999993</v>
      </c>
      <c r="K34" s="41">
        <f t="shared" ref="K34:K40" si="1">J34*I34</f>
        <v>0</v>
      </c>
    </row>
    <row r="35" spans="2:11" x14ac:dyDescent="0.25">
      <c r="B35" s="53">
        <v>42349</v>
      </c>
      <c r="C35" s="56" t="s">
        <v>669</v>
      </c>
      <c r="D35" s="36" t="s">
        <v>8</v>
      </c>
      <c r="E35" s="55">
        <f>393.4+19.7+23.1</f>
        <v>436.2</v>
      </c>
      <c r="F35" s="52">
        <v>13779.1</v>
      </c>
      <c r="K35" s="41">
        <f t="shared" si="1"/>
        <v>0</v>
      </c>
    </row>
    <row r="36" spans="2:11" ht="15.75" x14ac:dyDescent="0.25">
      <c r="B36" s="53">
        <v>42349</v>
      </c>
      <c r="C36" s="54" t="s">
        <v>670</v>
      </c>
      <c r="D36" s="36" t="s">
        <v>17</v>
      </c>
      <c r="E36" s="55">
        <v>941.2</v>
      </c>
      <c r="F36" s="52">
        <v>31059.599999999999</v>
      </c>
      <c r="K36" s="41">
        <f t="shared" si="1"/>
        <v>0</v>
      </c>
    </row>
    <row r="37" spans="2:11" ht="15.75" x14ac:dyDescent="0.25">
      <c r="B37" s="53">
        <v>42350</v>
      </c>
      <c r="C37" s="54" t="s">
        <v>671</v>
      </c>
      <c r="D37" s="36" t="s">
        <v>11</v>
      </c>
      <c r="E37" s="55">
        <f>3+93.4</f>
        <v>96.4</v>
      </c>
      <c r="F37" s="52">
        <v>3637.2</v>
      </c>
      <c r="K37" s="41">
        <f t="shared" si="1"/>
        <v>0</v>
      </c>
    </row>
    <row r="38" spans="2:11" ht="15.75" x14ac:dyDescent="0.25">
      <c r="B38" s="53">
        <v>42350</v>
      </c>
      <c r="C38" s="54" t="s">
        <v>672</v>
      </c>
      <c r="D38" s="36" t="s">
        <v>8</v>
      </c>
      <c r="E38" s="55">
        <v>276.8</v>
      </c>
      <c r="F38" s="52">
        <v>9134.4</v>
      </c>
      <c r="K38" s="41">
        <f t="shared" si="1"/>
        <v>0</v>
      </c>
    </row>
    <row r="39" spans="2:11" ht="15.75" x14ac:dyDescent="0.25">
      <c r="B39" s="53">
        <v>42350</v>
      </c>
      <c r="C39" s="54" t="s">
        <v>673</v>
      </c>
      <c r="D39" s="36" t="s">
        <v>16</v>
      </c>
      <c r="E39" s="55">
        <f>79.6+58+63.8</f>
        <v>201.39999999999998</v>
      </c>
      <c r="F39" s="52">
        <v>6150.4</v>
      </c>
      <c r="K39" s="41">
        <f t="shared" si="1"/>
        <v>0</v>
      </c>
    </row>
    <row r="40" spans="2:11" x14ac:dyDescent="0.25">
      <c r="B40" s="53">
        <v>42350</v>
      </c>
      <c r="C40" s="56" t="s">
        <v>674</v>
      </c>
      <c r="D40" s="36" t="s">
        <v>9</v>
      </c>
      <c r="E40" s="55">
        <f>2130+5+269.4</f>
        <v>2404.4</v>
      </c>
      <c r="F40" s="52">
        <v>10666.6</v>
      </c>
      <c r="K40" s="41">
        <f t="shared" si="1"/>
        <v>0</v>
      </c>
    </row>
    <row r="41" spans="2:11" ht="15.75" x14ac:dyDescent="0.25">
      <c r="B41" s="53">
        <v>42350</v>
      </c>
      <c r="C41" s="54" t="s">
        <v>676</v>
      </c>
      <c r="D41" s="36" t="s">
        <v>10</v>
      </c>
      <c r="E41" s="55">
        <f>58.1+31.4</f>
        <v>89.5</v>
      </c>
      <c r="F41" s="52">
        <v>4014.9</v>
      </c>
      <c r="K41" s="41">
        <f>J41*I41</f>
        <v>0</v>
      </c>
    </row>
    <row r="42" spans="2:11" x14ac:dyDescent="0.25">
      <c r="B42" s="53">
        <v>42350</v>
      </c>
      <c r="C42" s="56" t="s">
        <v>677</v>
      </c>
      <c r="D42" s="36" t="s">
        <v>7</v>
      </c>
      <c r="E42" s="55">
        <f>27.2+85.8</f>
        <v>113</v>
      </c>
      <c r="F42" s="52">
        <v>2749.6</v>
      </c>
      <c r="K42" s="41">
        <f t="shared" ref="K42:K47" si="2">J42*I42</f>
        <v>0</v>
      </c>
    </row>
    <row r="43" spans="2:11" ht="15.75" x14ac:dyDescent="0.25">
      <c r="B43" s="53">
        <v>42350</v>
      </c>
      <c r="C43" s="54" t="s">
        <v>678</v>
      </c>
      <c r="D43" s="36" t="s">
        <v>6</v>
      </c>
      <c r="E43" s="55">
        <f>29.7+1+22.7+47+130.2+836</f>
        <v>1066.5999999999999</v>
      </c>
      <c r="F43" s="52">
        <v>36929.4</v>
      </c>
      <c r="K43" s="41">
        <f t="shared" si="2"/>
        <v>0</v>
      </c>
    </row>
    <row r="44" spans="2:11" ht="15.75" x14ac:dyDescent="0.25">
      <c r="B44" s="53">
        <v>42350</v>
      </c>
      <c r="C44" s="54" t="s">
        <v>679</v>
      </c>
      <c r="D44" s="36" t="s">
        <v>16</v>
      </c>
      <c r="E44" s="55">
        <v>45.1</v>
      </c>
      <c r="F44" s="52">
        <v>1555.95</v>
      </c>
      <c r="K44" s="41">
        <f t="shared" si="2"/>
        <v>0</v>
      </c>
    </row>
    <row r="45" spans="2:11" ht="15.75" x14ac:dyDescent="0.25">
      <c r="B45" s="53"/>
      <c r="C45" s="54"/>
      <c r="D45" s="36"/>
      <c r="E45" s="55"/>
      <c r="F45" s="52"/>
    </row>
    <row r="46" spans="2:11" ht="16.5" thickBot="1" x14ac:dyDescent="0.3">
      <c r="B46" s="53"/>
      <c r="C46" s="54"/>
      <c r="D46" s="36"/>
      <c r="E46" s="55"/>
      <c r="F46" s="52"/>
      <c r="K46" s="41">
        <f t="shared" si="2"/>
        <v>0</v>
      </c>
    </row>
    <row r="47" spans="2:11" ht="15.75" thickBot="1" x14ac:dyDescent="0.3">
      <c r="B47" s="16"/>
      <c r="C47" s="17"/>
      <c r="D47" s="18"/>
      <c r="E47" s="44">
        <v>0</v>
      </c>
      <c r="F47" s="43">
        <f>SUM(F3:F46)</f>
        <v>559328.10999999987</v>
      </c>
      <c r="K47" s="41">
        <f t="shared" si="2"/>
        <v>0</v>
      </c>
    </row>
    <row r="48" spans="2:11" ht="19.5" thickBot="1" x14ac:dyDescent="0.35">
      <c r="B48" s="19"/>
      <c r="C48" s="20"/>
      <c r="D48" s="23" t="s">
        <v>3</v>
      </c>
      <c r="E48" s="25">
        <f>SUM(E3:E47)</f>
        <v>18777.179999999993</v>
      </c>
      <c r="K48" s="71">
        <f>SUM(K34:K47)</f>
        <v>0</v>
      </c>
    </row>
    <row r="49" spans="2:13" x14ac:dyDescent="0.25">
      <c r="B49" s="19"/>
      <c r="C49" s="20"/>
      <c r="D49" s="21"/>
      <c r="E49" s="22"/>
      <c r="K49"/>
    </row>
    <row r="50" spans="2:13" ht="21.75" thickBot="1" x14ac:dyDescent="0.4">
      <c r="B50" s="40"/>
      <c r="C50" s="27" t="s">
        <v>18</v>
      </c>
      <c r="D50" s="26">
        <f>E48*0.2</f>
        <v>3755.4359999999988</v>
      </c>
      <c r="F50"/>
      <c r="K50"/>
    </row>
    <row r="51" spans="2:13" ht="21.75" thickBot="1" x14ac:dyDescent="0.4">
      <c r="C51" s="11" t="s">
        <v>422</v>
      </c>
      <c r="D51" s="61">
        <v>3000</v>
      </c>
      <c r="E51" s="62"/>
      <c r="F51" s="80">
        <f>D50+D51</f>
        <v>6755.4359999999988</v>
      </c>
      <c r="G51" s="81"/>
      <c r="I51" s="73"/>
      <c r="J51" s="73"/>
      <c r="K51" s="73"/>
      <c r="L51" s="73"/>
      <c r="M51" s="73"/>
    </row>
    <row r="52" spans="2:13" ht="15.75" thickTop="1" x14ac:dyDescent="0.25">
      <c r="I52" s="73"/>
      <c r="J52" s="73"/>
      <c r="K52" s="74"/>
      <c r="L52" s="74"/>
      <c r="M52" s="74"/>
    </row>
    <row r="53" spans="2:13" ht="19.5" thickBot="1" x14ac:dyDescent="0.35">
      <c r="E53" s="70" t="s">
        <v>470</v>
      </c>
      <c r="F53" s="82">
        <v>0</v>
      </c>
      <c r="G53" s="82"/>
      <c r="I53" s="73"/>
      <c r="J53" s="73"/>
      <c r="K53" s="74"/>
      <c r="L53" s="74"/>
      <c r="M53" s="74"/>
    </row>
    <row r="54" spans="2:13" ht="15.75" thickTop="1" x14ac:dyDescent="0.25">
      <c r="C54"/>
      <c r="F54" s="83">
        <f>F51+F53</f>
        <v>6755.4359999999988</v>
      </c>
      <c r="G54" s="83"/>
      <c r="I54" s="73"/>
      <c r="J54" s="73"/>
      <c r="K54" s="74"/>
      <c r="L54" s="74"/>
      <c r="M54" s="74"/>
    </row>
    <row r="55" spans="2:13" ht="18.75" x14ac:dyDescent="0.3">
      <c r="C55"/>
      <c r="E55" s="47" t="s">
        <v>471</v>
      </c>
      <c r="F55" s="84"/>
      <c r="G55" s="84"/>
      <c r="K55"/>
    </row>
  </sheetData>
  <sortState ref="B3:F44">
    <sortCondition ref="C3:C44"/>
  </sortState>
  <mergeCells count="4">
    <mergeCell ref="B1:C1"/>
    <mergeCell ref="F51:G51"/>
    <mergeCell ref="F53:G53"/>
    <mergeCell ref="F54:G55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6" workbookViewId="0">
      <selection activeCell="D35" sqref="D3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42367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682</v>
      </c>
      <c r="G2" s="63"/>
      <c r="K2"/>
    </row>
    <row r="3" spans="2:11" ht="15.75" x14ac:dyDescent="0.25">
      <c r="B3" s="48">
        <v>42339</v>
      </c>
      <c r="C3" s="49">
        <v>19271</v>
      </c>
      <c r="D3" s="50" t="s">
        <v>16</v>
      </c>
      <c r="E3" s="51">
        <f>41.8+7+6</f>
        <v>54.8</v>
      </c>
      <c r="F3" s="52">
        <v>2387</v>
      </c>
      <c r="K3"/>
    </row>
    <row r="4" spans="2:11" ht="15.75" x14ac:dyDescent="0.25">
      <c r="B4" s="53">
        <v>42353</v>
      </c>
      <c r="C4" s="54">
        <v>21392</v>
      </c>
      <c r="D4" s="36" t="s">
        <v>16</v>
      </c>
      <c r="E4" s="55">
        <f>41.6+82.8+63.8</f>
        <v>188.2</v>
      </c>
      <c r="F4" s="52">
        <v>9061.7999999999993</v>
      </c>
      <c r="K4"/>
    </row>
    <row r="5" spans="2:11" ht="15.75" x14ac:dyDescent="0.25">
      <c r="B5" s="53">
        <v>42353</v>
      </c>
      <c r="C5" s="54">
        <v>21394</v>
      </c>
      <c r="D5" s="36" t="s">
        <v>6</v>
      </c>
      <c r="E5" s="55">
        <v>127.2</v>
      </c>
      <c r="F5" s="52">
        <v>4452</v>
      </c>
      <c r="K5"/>
    </row>
    <row r="6" spans="2:11" ht="15.75" x14ac:dyDescent="0.25">
      <c r="B6" s="53">
        <v>42353</v>
      </c>
      <c r="C6" s="54">
        <v>21395</v>
      </c>
      <c r="D6" s="36" t="s">
        <v>7</v>
      </c>
      <c r="E6" s="55">
        <v>24.5</v>
      </c>
      <c r="F6" s="52">
        <v>416.5</v>
      </c>
      <c r="K6" s="41">
        <f t="shared" ref="K6:K18" si="0">J6*I6</f>
        <v>0</v>
      </c>
    </row>
    <row r="7" spans="2:11" ht="15.75" x14ac:dyDescent="0.25">
      <c r="B7" s="53">
        <v>42353</v>
      </c>
      <c r="C7" s="54">
        <v>21396</v>
      </c>
      <c r="D7" s="36" t="s">
        <v>10</v>
      </c>
      <c r="E7" s="55">
        <v>88.6</v>
      </c>
      <c r="F7" s="52">
        <v>2968.1</v>
      </c>
      <c r="K7" s="41">
        <f t="shared" si="0"/>
        <v>0</v>
      </c>
    </row>
    <row r="8" spans="2:11" ht="15.75" x14ac:dyDescent="0.25">
      <c r="B8" s="53">
        <v>42353</v>
      </c>
      <c r="C8" s="54">
        <v>21397</v>
      </c>
      <c r="D8" s="36" t="s">
        <v>8</v>
      </c>
      <c r="E8" s="55">
        <v>85.2</v>
      </c>
      <c r="F8" s="52">
        <v>2854.2</v>
      </c>
      <c r="K8" s="41">
        <f t="shared" si="0"/>
        <v>0</v>
      </c>
    </row>
    <row r="9" spans="2:11" ht="15.75" x14ac:dyDescent="0.25">
      <c r="B9" s="53">
        <v>42353</v>
      </c>
      <c r="C9" s="54">
        <v>21398</v>
      </c>
      <c r="D9" s="36" t="s">
        <v>569</v>
      </c>
      <c r="E9" s="55">
        <v>434.8</v>
      </c>
      <c r="F9" s="52">
        <v>14565.8</v>
      </c>
      <c r="K9" s="41">
        <f t="shared" si="0"/>
        <v>0</v>
      </c>
    </row>
    <row r="10" spans="2:11" ht="15.75" x14ac:dyDescent="0.25">
      <c r="B10" s="53">
        <v>42353</v>
      </c>
      <c r="C10" s="54">
        <v>21399</v>
      </c>
      <c r="D10" s="36" t="s">
        <v>96</v>
      </c>
      <c r="E10" s="55">
        <v>159.4</v>
      </c>
      <c r="F10" s="52">
        <v>5339.9</v>
      </c>
      <c r="K10" s="41">
        <f t="shared" si="0"/>
        <v>0</v>
      </c>
    </row>
    <row r="11" spans="2:11" ht="15.75" x14ac:dyDescent="0.25">
      <c r="B11" s="53">
        <v>42353</v>
      </c>
      <c r="C11" s="54">
        <v>21401</v>
      </c>
      <c r="D11" s="36" t="s">
        <v>10</v>
      </c>
      <c r="E11" s="55">
        <v>1</v>
      </c>
      <c r="F11" s="52">
        <v>185</v>
      </c>
      <c r="K11" s="41">
        <f t="shared" si="0"/>
        <v>0</v>
      </c>
    </row>
    <row r="12" spans="2:11" ht="15.75" x14ac:dyDescent="0.25">
      <c r="B12" s="53">
        <v>42354</v>
      </c>
      <c r="C12" s="54">
        <v>21501</v>
      </c>
      <c r="D12" s="36" t="s">
        <v>4</v>
      </c>
      <c r="E12" s="55">
        <f>913.5+29.4</f>
        <v>942.9</v>
      </c>
      <c r="F12" s="52">
        <v>31676.400000000001</v>
      </c>
      <c r="K12" s="41">
        <f t="shared" si="0"/>
        <v>0</v>
      </c>
    </row>
    <row r="13" spans="2:11" ht="15.75" x14ac:dyDescent="0.25">
      <c r="B13" s="53">
        <v>42354</v>
      </c>
      <c r="C13" s="54">
        <v>21502</v>
      </c>
      <c r="D13" s="36" t="s">
        <v>9</v>
      </c>
      <c r="E13" s="55">
        <v>239</v>
      </c>
      <c r="F13" s="52">
        <v>8365</v>
      </c>
      <c r="K13" s="41">
        <f t="shared" si="0"/>
        <v>0</v>
      </c>
    </row>
    <row r="14" spans="2:11" ht="15.75" x14ac:dyDescent="0.25">
      <c r="B14" s="53">
        <v>42354</v>
      </c>
      <c r="C14" s="54">
        <v>21503</v>
      </c>
      <c r="D14" s="36" t="s">
        <v>8</v>
      </c>
      <c r="E14" s="55">
        <v>73.400000000000006</v>
      </c>
      <c r="F14" s="52">
        <v>4844.3999999999996</v>
      </c>
      <c r="K14" s="41">
        <f t="shared" si="0"/>
        <v>0</v>
      </c>
    </row>
    <row r="15" spans="2:11" ht="15.75" x14ac:dyDescent="0.25">
      <c r="B15" s="53">
        <v>42354</v>
      </c>
      <c r="C15" s="54">
        <v>21504</v>
      </c>
      <c r="D15" s="36" t="s">
        <v>11</v>
      </c>
      <c r="E15" s="55">
        <f>57.2+57.1+112.2+172.2</f>
        <v>398.7</v>
      </c>
      <c r="F15" s="52">
        <v>14896.4</v>
      </c>
      <c r="K15" s="41">
        <f t="shared" si="0"/>
        <v>0</v>
      </c>
    </row>
    <row r="16" spans="2:11" ht="15.75" x14ac:dyDescent="0.25">
      <c r="B16" s="53">
        <v>42354</v>
      </c>
      <c r="C16" s="54">
        <v>21505</v>
      </c>
      <c r="D16" s="36" t="s">
        <v>6</v>
      </c>
      <c r="E16" s="55">
        <f>54.48+113</f>
        <v>167.48</v>
      </c>
      <c r="F16" s="52">
        <v>6679</v>
      </c>
      <c r="K16" s="41">
        <f t="shared" si="0"/>
        <v>0</v>
      </c>
    </row>
    <row r="17" spans="1:11" ht="15.75" x14ac:dyDescent="0.25">
      <c r="B17" s="53">
        <v>42354</v>
      </c>
      <c r="C17" s="54">
        <v>21506</v>
      </c>
      <c r="D17" s="36" t="s">
        <v>7</v>
      </c>
      <c r="E17" s="55">
        <v>253.8</v>
      </c>
      <c r="F17" s="52">
        <v>8502.2999999999993</v>
      </c>
      <c r="K17" s="41">
        <f t="shared" si="0"/>
        <v>0</v>
      </c>
    </row>
    <row r="18" spans="1:11" ht="15.75" x14ac:dyDescent="0.25">
      <c r="B18" s="53">
        <v>42355</v>
      </c>
      <c r="C18" s="54">
        <v>21673</v>
      </c>
      <c r="D18" s="36" t="s">
        <v>10</v>
      </c>
      <c r="E18" s="55">
        <v>169.8</v>
      </c>
      <c r="F18" s="52">
        <v>5688.3</v>
      </c>
      <c r="K18" s="41">
        <f t="shared" si="0"/>
        <v>0</v>
      </c>
    </row>
    <row r="19" spans="1:11" ht="15.75" x14ac:dyDescent="0.25">
      <c r="B19" s="53">
        <v>42355</v>
      </c>
      <c r="C19" s="54">
        <v>21674</v>
      </c>
      <c r="D19" s="36" t="s">
        <v>8</v>
      </c>
      <c r="E19" s="55">
        <v>276.2</v>
      </c>
      <c r="F19" s="52">
        <v>9252.7000000000007</v>
      </c>
      <c r="K19" s="41">
        <f>SUM(K6:K18)</f>
        <v>0</v>
      </c>
    </row>
    <row r="20" spans="1:11" ht="15.75" x14ac:dyDescent="0.25">
      <c r="B20" s="53">
        <v>42355</v>
      </c>
      <c r="C20" s="54">
        <v>21675</v>
      </c>
      <c r="D20" s="36" t="s">
        <v>6</v>
      </c>
      <c r="E20" s="55">
        <f>104.8+144.6+56.4+392.4</f>
        <v>698.19999999999993</v>
      </c>
      <c r="F20" s="52">
        <v>25788.400000000001</v>
      </c>
    </row>
    <row r="21" spans="1:11" ht="15.75" x14ac:dyDescent="0.25">
      <c r="B21" s="53">
        <v>42355</v>
      </c>
      <c r="C21" s="54">
        <v>21676</v>
      </c>
      <c r="D21" s="36" t="s">
        <v>17</v>
      </c>
      <c r="E21" s="55">
        <f>897.82+27.24</f>
        <v>925.06000000000006</v>
      </c>
      <c r="F21" s="52">
        <v>33927.879999999997</v>
      </c>
    </row>
    <row r="22" spans="1:11" ht="15.75" x14ac:dyDescent="0.25">
      <c r="A22" s="75"/>
      <c r="B22" s="53">
        <v>42355</v>
      </c>
      <c r="C22" s="54">
        <v>21677</v>
      </c>
      <c r="D22" s="36" t="s">
        <v>9</v>
      </c>
      <c r="E22" s="55">
        <f>28.1+296.8+144.4</f>
        <v>469.30000000000007</v>
      </c>
      <c r="F22" s="52">
        <v>16004</v>
      </c>
    </row>
    <row r="23" spans="1:11" x14ac:dyDescent="0.25">
      <c r="B23" s="53">
        <v>42355</v>
      </c>
      <c r="C23" s="56">
        <v>21678</v>
      </c>
      <c r="D23" s="36" t="s">
        <v>11</v>
      </c>
      <c r="E23" s="55">
        <f>10.9+12.2+6.4</f>
        <v>29.5</v>
      </c>
      <c r="F23" s="52">
        <v>1379</v>
      </c>
    </row>
    <row r="24" spans="1:11" x14ac:dyDescent="0.25">
      <c r="B24" s="53">
        <v>42355</v>
      </c>
      <c r="C24" s="56">
        <v>21679</v>
      </c>
      <c r="D24" s="36" t="s">
        <v>16</v>
      </c>
      <c r="E24" s="55">
        <f>133.8</f>
        <v>133.80000000000001</v>
      </c>
      <c r="F24" s="52">
        <v>8830.7999999999993</v>
      </c>
    </row>
    <row r="25" spans="1:11" x14ac:dyDescent="0.25">
      <c r="B25" s="53">
        <v>42356</v>
      </c>
      <c r="C25" s="56">
        <v>21845</v>
      </c>
      <c r="D25" s="36" t="s">
        <v>7</v>
      </c>
      <c r="E25" s="55">
        <f>339+456.2+429.8</f>
        <v>1225</v>
      </c>
      <c r="F25" s="52">
        <v>43580</v>
      </c>
    </row>
    <row r="26" spans="1:11" x14ac:dyDescent="0.25">
      <c r="B26" s="53">
        <v>42356</v>
      </c>
      <c r="C26" s="56">
        <v>21846</v>
      </c>
      <c r="D26" s="36" t="s">
        <v>9</v>
      </c>
      <c r="E26" s="55">
        <v>581.79999999999995</v>
      </c>
      <c r="F26" s="52">
        <v>19490.3</v>
      </c>
    </row>
    <row r="27" spans="1:11" x14ac:dyDescent="0.25">
      <c r="B27" s="53">
        <v>42356</v>
      </c>
      <c r="C27" s="56">
        <v>21847</v>
      </c>
      <c r="D27" s="36" t="s">
        <v>6</v>
      </c>
      <c r="E27" s="55">
        <f>266+145+101.8+501.4</f>
        <v>1014.1999999999999</v>
      </c>
      <c r="F27" s="52">
        <v>32702.5</v>
      </c>
    </row>
    <row r="28" spans="1:11" x14ac:dyDescent="0.25">
      <c r="B28" s="53">
        <v>42356</v>
      </c>
      <c r="C28" s="56">
        <v>21848</v>
      </c>
      <c r="D28" s="36" t="s">
        <v>8</v>
      </c>
      <c r="E28" s="55">
        <v>919.9</v>
      </c>
      <c r="F28" s="52">
        <v>31276.6</v>
      </c>
    </row>
    <row r="29" spans="1:11" x14ac:dyDescent="0.25">
      <c r="B29" s="53">
        <v>42356</v>
      </c>
      <c r="C29" s="56">
        <v>21849</v>
      </c>
      <c r="D29" s="36" t="s">
        <v>16</v>
      </c>
      <c r="E29" s="55">
        <f>6.2+12.4+77.7+11.2</f>
        <v>107.50000000000001</v>
      </c>
      <c r="F29" s="52">
        <v>402.56</v>
      </c>
    </row>
    <row r="30" spans="1:11" x14ac:dyDescent="0.25">
      <c r="B30" s="53">
        <v>42356</v>
      </c>
      <c r="C30" s="56">
        <v>21850</v>
      </c>
      <c r="D30" s="36" t="s">
        <v>11</v>
      </c>
      <c r="E30" s="55">
        <f>55.2+3</f>
        <v>58.2</v>
      </c>
      <c r="F30" s="52">
        <v>3094.2</v>
      </c>
    </row>
    <row r="31" spans="1:11" x14ac:dyDescent="0.25">
      <c r="B31" s="53">
        <v>42356</v>
      </c>
      <c r="C31" s="56">
        <v>21851</v>
      </c>
      <c r="D31" s="36" t="s">
        <v>569</v>
      </c>
      <c r="E31" s="55">
        <v>921.7</v>
      </c>
      <c r="F31" s="52">
        <v>31337.8</v>
      </c>
    </row>
    <row r="32" spans="1:11" ht="15.75" x14ac:dyDescent="0.25">
      <c r="B32" s="53">
        <v>42356</v>
      </c>
      <c r="C32" s="54">
        <v>21908</v>
      </c>
      <c r="D32" s="36" t="s">
        <v>521</v>
      </c>
      <c r="E32" s="55">
        <v>102.2</v>
      </c>
      <c r="F32" s="52">
        <v>5007.8</v>
      </c>
    </row>
    <row r="33" spans="2:11" x14ac:dyDescent="0.25">
      <c r="B33" s="53">
        <v>42356</v>
      </c>
      <c r="C33" s="56">
        <v>21979</v>
      </c>
      <c r="D33" s="36" t="s">
        <v>4</v>
      </c>
      <c r="E33" s="55">
        <v>917.2</v>
      </c>
      <c r="F33" s="52">
        <v>31184.799999999999</v>
      </c>
    </row>
    <row r="34" spans="2:11" x14ac:dyDescent="0.25">
      <c r="B34" s="53">
        <v>42357</v>
      </c>
      <c r="C34" s="56">
        <v>22027</v>
      </c>
      <c r="D34" s="36" t="s">
        <v>683</v>
      </c>
      <c r="E34" s="55">
        <f>2+132.2+90.2+373.2</f>
        <v>597.59999999999991</v>
      </c>
      <c r="F34" s="52">
        <v>22457.599999999999</v>
      </c>
      <c r="K34" s="41">
        <f t="shared" ref="K34:K40" si="1">J34*I34</f>
        <v>0</v>
      </c>
    </row>
    <row r="35" spans="2:11" x14ac:dyDescent="0.25">
      <c r="B35" s="53">
        <v>42357</v>
      </c>
      <c r="C35" s="56">
        <v>22028</v>
      </c>
      <c r="D35" s="36" t="s">
        <v>7</v>
      </c>
      <c r="E35" s="55">
        <f>13.6+224.8+838.6</f>
        <v>1077</v>
      </c>
      <c r="F35" s="52">
        <v>33105.9</v>
      </c>
      <c r="K35" s="41">
        <f t="shared" si="1"/>
        <v>0</v>
      </c>
    </row>
    <row r="36" spans="2:11" ht="15.75" x14ac:dyDescent="0.25">
      <c r="B36" s="53">
        <v>42357</v>
      </c>
      <c r="C36" s="54">
        <v>22029</v>
      </c>
      <c r="D36" s="36" t="s">
        <v>569</v>
      </c>
      <c r="E36" s="55">
        <v>36.9</v>
      </c>
      <c r="F36" s="52">
        <v>738</v>
      </c>
      <c r="K36" s="41">
        <f t="shared" si="1"/>
        <v>0</v>
      </c>
    </row>
    <row r="37" spans="2:11" ht="15.75" x14ac:dyDescent="0.25">
      <c r="B37" s="53">
        <v>42357</v>
      </c>
      <c r="C37" s="54">
        <v>22031</v>
      </c>
      <c r="D37" s="36" t="s">
        <v>16</v>
      </c>
      <c r="E37" s="55">
        <f>100.8+49+50.7+179.4</f>
        <v>379.9</v>
      </c>
      <c r="F37" s="52">
        <v>11507.7</v>
      </c>
      <c r="K37" s="41">
        <f t="shared" si="1"/>
        <v>0</v>
      </c>
    </row>
    <row r="38" spans="2:11" ht="15.75" x14ac:dyDescent="0.25">
      <c r="B38" s="53">
        <v>42357</v>
      </c>
      <c r="C38" s="54">
        <v>22033</v>
      </c>
      <c r="D38" s="36" t="s">
        <v>10</v>
      </c>
      <c r="E38" s="55">
        <v>59.4</v>
      </c>
      <c r="F38" s="52">
        <v>2079</v>
      </c>
      <c r="K38" s="41">
        <f t="shared" si="1"/>
        <v>0</v>
      </c>
    </row>
    <row r="39" spans="2:11" ht="15.75" x14ac:dyDescent="0.25">
      <c r="B39" s="53">
        <v>42357</v>
      </c>
      <c r="C39" s="54">
        <v>22035</v>
      </c>
      <c r="D39" s="36" t="s">
        <v>8</v>
      </c>
      <c r="E39" s="55">
        <f>53.2+166</f>
        <v>219.2</v>
      </c>
      <c r="F39" s="52">
        <v>7689</v>
      </c>
      <c r="K39" s="41">
        <f t="shared" si="1"/>
        <v>0</v>
      </c>
    </row>
    <row r="40" spans="2:11" x14ac:dyDescent="0.25">
      <c r="B40" s="53">
        <v>42357</v>
      </c>
      <c r="C40" s="56">
        <v>22036</v>
      </c>
      <c r="D40" s="36" t="s">
        <v>11</v>
      </c>
      <c r="E40" s="55">
        <v>97.8</v>
      </c>
      <c r="F40" s="52">
        <v>4107.6000000000004</v>
      </c>
      <c r="K40" s="41">
        <f t="shared" si="1"/>
        <v>0</v>
      </c>
    </row>
    <row r="41" spans="2:11" ht="15.75" x14ac:dyDescent="0.25">
      <c r="B41" s="53">
        <v>42357</v>
      </c>
      <c r="C41" s="54">
        <v>22056</v>
      </c>
      <c r="D41" s="36" t="s">
        <v>521</v>
      </c>
      <c r="E41" s="55">
        <f>3+88.2</f>
        <v>91.2</v>
      </c>
      <c r="F41" s="52">
        <v>4700.3999999999996</v>
      </c>
      <c r="K41" s="41">
        <f>J41*I41</f>
        <v>0</v>
      </c>
    </row>
    <row r="42" spans="2:11" x14ac:dyDescent="0.25">
      <c r="B42" s="53">
        <v>42358</v>
      </c>
      <c r="C42" s="56">
        <v>22191</v>
      </c>
      <c r="D42" s="36" t="s">
        <v>4</v>
      </c>
      <c r="E42" s="55">
        <v>891.8</v>
      </c>
      <c r="F42" s="52">
        <v>30321.200000000001</v>
      </c>
      <c r="K42" s="41">
        <f t="shared" ref="K42:K47" si="2">J42*I42</f>
        <v>0</v>
      </c>
    </row>
    <row r="43" spans="2:11" ht="15.75" x14ac:dyDescent="0.25">
      <c r="B43" s="53">
        <v>42358</v>
      </c>
      <c r="C43" s="54">
        <v>22192</v>
      </c>
      <c r="D43" s="36" t="s">
        <v>17</v>
      </c>
      <c r="E43" s="55">
        <v>870</v>
      </c>
      <c r="F43" s="52">
        <v>29580</v>
      </c>
      <c r="K43" s="41">
        <f t="shared" si="2"/>
        <v>0</v>
      </c>
    </row>
    <row r="44" spans="2:11" ht="15.75" x14ac:dyDescent="0.25">
      <c r="B44" s="53">
        <v>42358</v>
      </c>
      <c r="C44" s="54">
        <v>22193</v>
      </c>
      <c r="D44" s="36" t="s">
        <v>96</v>
      </c>
      <c r="E44" s="55">
        <f>20.4+280+141.2</f>
        <v>441.59999999999997</v>
      </c>
      <c r="F44" s="52">
        <v>16864.8</v>
      </c>
      <c r="K44" s="41">
        <f t="shared" si="2"/>
        <v>0</v>
      </c>
    </row>
    <row r="45" spans="2:11" ht="15.75" x14ac:dyDescent="0.25">
      <c r="B45" s="53"/>
      <c r="C45" s="54"/>
      <c r="D45" s="36"/>
      <c r="E45" s="55"/>
      <c r="F45" s="52"/>
    </row>
    <row r="46" spans="2:11" ht="16.5" thickBot="1" x14ac:dyDescent="0.3">
      <c r="B46" s="53"/>
      <c r="C46" s="54"/>
      <c r="D46" s="36"/>
      <c r="E46" s="55"/>
      <c r="F46" s="52"/>
      <c r="K46" s="41">
        <f t="shared" si="2"/>
        <v>0</v>
      </c>
    </row>
    <row r="47" spans="2:11" ht="15.75" thickBot="1" x14ac:dyDescent="0.3">
      <c r="B47" s="16"/>
      <c r="C47" s="17"/>
      <c r="D47" s="18"/>
      <c r="E47" s="44">
        <v>0</v>
      </c>
      <c r="F47" s="43">
        <f>SUM(F3:F46)</f>
        <v>579292.64</v>
      </c>
      <c r="K47" s="41">
        <f t="shared" si="2"/>
        <v>0</v>
      </c>
    </row>
    <row r="48" spans="2:11" ht="19.5" thickBot="1" x14ac:dyDescent="0.35">
      <c r="B48" s="19"/>
      <c r="C48" s="20"/>
      <c r="D48" s="23" t="s">
        <v>3</v>
      </c>
      <c r="E48" s="25">
        <f>SUM(E3:E47)</f>
        <v>16550.940000000002</v>
      </c>
      <c r="K48" s="71">
        <f>SUM(K34:K47)</f>
        <v>0</v>
      </c>
    </row>
    <row r="49" spans="2:13" x14ac:dyDescent="0.25">
      <c r="B49" s="19"/>
      <c r="C49" s="20"/>
      <c r="D49" s="21"/>
      <c r="E49" s="22"/>
      <c r="K49"/>
    </row>
    <row r="50" spans="2:13" ht="21.75" thickBot="1" x14ac:dyDescent="0.4">
      <c r="B50" s="40"/>
      <c r="C50" s="27" t="s">
        <v>18</v>
      </c>
      <c r="D50" s="26">
        <f>E48*0.2</f>
        <v>3310.1880000000006</v>
      </c>
      <c r="F50"/>
      <c r="K50"/>
    </row>
    <row r="51" spans="2:13" ht="21.75" thickBot="1" x14ac:dyDescent="0.4">
      <c r="C51" s="11" t="s">
        <v>422</v>
      </c>
      <c r="D51" s="61">
        <v>3000</v>
      </c>
      <c r="E51" s="62"/>
      <c r="F51" s="80">
        <f>D50+D51</f>
        <v>6310.1880000000001</v>
      </c>
      <c r="G51" s="81"/>
      <c r="I51" s="73"/>
      <c r="J51" s="73"/>
      <c r="K51" s="73"/>
      <c r="L51" s="73"/>
      <c r="M51" s="73"/>
    </row>
    <row r="52" spans="2:13" ht="15.75" thickTop="1" x14ac:dyDescent="0.25">
      <c r="I52" s="73"/>
      <c r="J52" s="73"/>
      <c r="K52" s="74"/>
      <c r="L52" s="74"/>
      <c r="M52" s="74"/>
    </row>
    <row r="53" spans="2:13" ht="19.5" thickBot="1" x14ac:dyDescent="0.35">
      <c r="E53" s="70" t="s">
        <v>470</v>
      </c>
      <c r="F53" s="82">
        <v>-3000</v>
      </c>
      <c r="G53" s="82"/>
      <c r="I53" s="73"/>
      <c r="J53" s="73"/>
      <c r="K53" s="74"/>
      <c r="L53" s="74"/>
      <c r="M53" s="74"/>
    </row>
    <row r="54" spans="2:13" ht="15.75" thickTop="1" x14ac:dyDescent="0.25">
      <c r="C54"/>
      <c r="F54" s="83">
        <f>F51+F53</f>
        <v>3310.1880000000001</v>
      </c>
      <c r="G54" s="83"/>
      <c r="I54" s="73"/>
      <c r="J54" s="73"/>
      <c r="K54" s="74"/>
      <c r="L54" s="74"/>
      <c r="M54" s="74"/>
    </row>
    <row r="55" spans="2:13" ht="18.75" x14ac:dyDescent="0.3">
      <c r="C55"/>
      <c r="E55" s="47" t="s">
        <v>471</v>
      </c>
      <c r="F55" s="84"/>
      <c r="G55" s="84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35433070866141736" bottom="0.35433070866141736" header="0.31496062992125984" footer="0.31496062992125984"/>
  <pageSetup scale="80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5" workbookViewId="0">
      <selection activeCell="D9" sqref="D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79">
        <v>42367</v>
      </c>
      <c r="C1" s="78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684</v>
      </c>
      <c r="G2" s="63"/>
      <c r="K2"/>
    </row>
    <row r="3" spans="2:11" ht="15.75" x14ac:dyDescent="0.25">
      <c r="B3" s="48">
        <v>42359</v>
      </c>
      <c r="C3" s="49">
        <v>22352</v>
      </c>
      <c r="D3" s="50" t="s">
        <v>9</v>
      </c>
      <c r="E3" s="51">
        <v>914</v>
      </c>
      <c r="F3" s="52">
        <v>31076</v>
      </c>
      <c r="K3"/>
    </row>
    <row r="4" spans="2:11" ht="15.75" x14ac:dyDescent="0.25">
      <c r="B4" s="53">
        <v>42359</v>
      </c>
      <c r="C4" s="54">
        <v>22353</v>
      </c>
      <c r="D4" s="36" t="s">
        <v>11</v>
      </c>
      <c r="E4" s="55">
        <f>210.8+226</f>
        <v>436.8</v>
      </c>
      <c r="F4" s="52">
        <v>19460.400000000001</v>
      </c>
      <c r="K4"/>
    </row>
    <row r="5" spans="2:11" ht="15.75" x14ac:dyDescent="0.25">
      <c r="B5" s="53">
        <v>42359</v>
      </c>
      <c r="C5" s="54">
        <v>22354</v>
      </c>
      <c r="D5" s="36" t="s">
        <v>6</v>
      </c>
      <c r="E5" s="55">
        <f>167.8+116.2+377.2</f>
        <v>661.2</v>
      </c>
      <c r="F5" s="52">
        <v>24107.200000000001</v>
      </c>
      <c r="K5"/>
    </row>
    <row r="6" spans="2:11" ht="15.75" x14ac:dyDescent="0.25">
      <c r="B6" s="53">
        <v>42359</v>
      </c>
      <c r="C6" s="54">
        <v>22355</v>
      </c>
      <c r="D6" s="36" t="s">
        <v>8</v>
      </c>
      <c r="E6" s="55">
        <v>413</v>
      </c>
      <c r="F6" s="52">
        <v>14042</v>
      </c>
      <c r="K6" s="41">
        <f t="shared" ref="K6:K18" si="0">J6*I6</f>
        <v>0</v>
      </c>
    </row>
    <row r="7" spans="2:11" ht="15.75" x14ac:dyDescent="0.25">
      <c r="B7" s="53">
        <v>42359</v>
      </c>
      <c r="C7" s="54">
        <v>22356</v>
      </c>
      <c r="D7" s="36" t="s">
        <v>16</v>
      </c>
      <c r="E7" s="55">
        <f>67.4+69.2</f>
        <v>136.60000000000002</v>
      </c>
      <c r="F7" s="52">
        <v>7354.8</v>
      </c>
      <c r="K7" s="41">
        <f t="shared" si="0"/>
        <v>0</v>
      </c>
    </row>
    <row r="8" spans="2:11" ht="15.75" x14ac:dyDescent="0.25">
      <c r="B8" s="53">
        <v>42359</v>
      </c>
      <c r="C8" s="54">
        <v>22357</v>
      </c>
      <c r="D8" s="36" t="s">
        <v>10</v>
      </c>
      <c r="E8" s="55">
        <v>83.2</v>
      </c>
      <c r="F8" s="52">
        <v>2828.8</v>
      </c>
      <c r="K8" s="41">
        <f t="shared" si="0"/>
        <v>0</v>
      </c>
    </row>
    <row r="9" spans="2:11" ht="15.75" x14ac:dyDescent="0.25">
      <c r="B9" s="53">
        <v>42360</v>
      </c>
      <c r="C9" s="54">
        <v>22511</v>
      </c>
      <c r="D9" s="36" t="s">
        <v>17</v>
      </c>
      <c r="E9" s="55">
        <f>963+160.7</f>
        <v>1123.7</v>
      </c>
      <c r="F9" s="52">
        <v>40134.199999999997</v>
      </c>
      <c r="K9" s="41">
        <f t="shared" si="0"/>
        <v>0</v>
      </c>
    </row>
    <row r="10" spans="2:11" ht="15.75" x14ac:dyDescent="0.25">
      <c r="B10" s="53">
        <v>42360</v>
      </c>
      <c r="C10" s="54">
        <v>22515</v>
      </c>
      <c r="D10" s="36" t="s">
        <v>9</v>
      </c>
      <c r="E10" s="55">
        <v>108.2</v>
      </c>
      <c r="F10" s="52">
        <v>5085.3999999999996</v>
      </c>
      <c r="K10" s="41">
        <f t="shared" si="0"/>
        <v>0</v>
      </c>
    </row>
    <row r="11" spans="2:11" ht="15.75" x14ac:dyDescent="0.25">
      <c r="B11" s="53">
        <v>42360</v>
      </c>
      <c r="C11" s="54">
        <v>22517</v>
      </c>
      <c r="D11" s="36" t="s">
        <v>4</v>
      </c>
      <c r="E11" s="55">
        <v>109.8</v>
      </c>
      <c r="F11" s="52">
        <v>5709.6</v>
      </c>
      <c r="K11" s="41">
        <f t="shared" si="0"/>
        <v>0</v>
      </c>
    </row>
    <row r="12" spans="2:11" ht="15.75" x14ac:dyDescent="0.25">
      <c r="B12" s="53">
        <v>42360</v>
      </c>
      <c r="C12" s="54">
        <v>22518</v>
      </c>
      <c r="D12" s="36" t="s">
        <v>10</v>
      </c>
      <c r="E12" s="55">
        <v>144</v>
      </c>
      <c r="F12" s="52">
        <v>4896</v>
      </c>
      <c r="K12" s="41">
        <f t="shared" si="0"/>
        <v>0</v>
      </c>
    </row>
    <row r="13" spans="2:11" ht="15.75" x14ac:dyDescent="0.25">
      <c r="B13" s="53">
        <v>42360</v>
      </c>
      <c r="C13" s="54">
        <v>22519</v>
      </c>
      <c r="D13" s="36" t="s">
        <v>8</v>
      </c>
      <c r="E13" s="55">
        <v>371</v>
      </c>
      <c r="F13" s="52">
        <v>12614</v>
      </c>
      <c r="K13" s="41">
        <f t="shared" si="0"/>
        <v>0</v>
      </c>
    </row>
    <row r="14" spans="2:11" ht="15.75" x14ac:dyDescent="0.25">
      <c r="B14" s="53">
        <v>42360</v>
      </c>
      <c r="C14" s="54">
        <v>22520</v>
      </c>
      <c r="D14" s="36" t="s">
        <v>6</v>
      </c>
      <c r="E14" s="55">
        <v>213.8</v>
      </c>
      <c r="F14" s="52">
        <v>7269.2</v>
      </c>
      <c r="K14" s="41">
        <f t="shared" si="0"/>
        <v>0</v>
      </c>
    </row>
    <row r="15" spans="2:11" ht="15.75" x14ac:dyDescent="0.25">
      <c r="B15" s="53">
        <v>42361</v>
      </c>
      <c r="C15" s="54">
        <v>22654</v>
      </c>
      <c r="D15" s="36" t="s">
        <v>9</v>
      </c>
      <c r="E15" s="55">
        <v>1021</v>
      </c>
      <c r="F15" s="52">
        <v>33488.800000000003</v>
      </c>
      <c r="K15" s="41">
        <f t="shared" si="0"/>
        <v>0</v>
      </c>
    </row>
    <row r="16" spans="2:11" ht="15.75" x14ac:dyDescent="0.25">
      <c r="B16" s="53">
        <v>42361</v>
      </c>
      <c r="C16" s="54">
        <v>22655</v>
      </c>
      <c r="D16" s="36" t="s">
        <v>6</v>
      </c>
      <c r="E16" s="55">
        <f>1002+287.2+85.4</f>
        <v>1374.6000000000001</v>
      </c>
      <c r="F16" s="52">
        <v>48600.2</v>
      </c>
      <c r="K16" s="41">
        <f t="shared" si="0"/>
        <v>0</v>
      </c>
    </row>
    <row r="17" spans="1:11" ht="15.75" x14ac:dyDescent="0.25">
      <c r="B17" s="53">
        <v>42361</v>
      </c>
      <c r="C17" s="54">
        <v>22656</v>
      </c>
      <c r="D17" s="36" t="s">
        <v>7</v>
      </c>
      <c r="E17" s="55">
        <f>993+224</f>
        <v>1217</v>
      </c>
      <c r="F17" s="52">
        <v>40350.400000000001</v>
      </c>
      <c r="K17" s="41">
        <f t="shared" si="0"/>
        <v>0</v>
      </c>
    </row>
    <row r="18" spans="1:11" ht="15.75" x14ac:dyDescent="0.25">
      <c r="B18" s="53">
        <v>42361</v>
      </c>
      <c r="C18" s="54">
        <v>22712</v>
      </c>
      <c r="D18" s="36" t="s">
        <v>16</v>
      </c>
      <c r="E18" s="55">
        <f>19.3+9.8+21.9+78+163+59.8</f>
        <v>351.8</v>
      </c>
      <c r="F18" s="52">
        <v>15968.5</v>
      </c>
      <c r="K18" s="41">
        <f t="shared" si="0"/>
        <v>0</v>
      </c>
    </row>
    <row r="19" spans="1:11" ht="15.75" x14ac:dyDescent="0.25">
      <c r="B19" s="53">
        <v>42361</v>
      </c>
      <c r="C19" s="54">
        <v>22717</v>
      </c>
      <c r="D19" s="36" t="s">
        <v>10</v>
      </c>
      <c r="E19" s="55">
        <f>131+36+72+40.2+166</f>
        <v>445.2</v>
      </c>
      <c r="F19" s="52">
        <v>17205</v>
      </c>
      <c r="K19" s="41">
        <f>SUM(K6:K18)</f>
        <v>0</v>
      </c>
    </row>
    <row r="20" spans="1:11" ht="15.75" x14ac:dyDescent="0.25">
      <c r="B20" s="53">
        <v>42361</v>
      </c>
      <c r="C20" s="54">
        <v>22718</v>
      </c>
      <c r="D20" s="36" t="s">
        <v>4</v>
      </c>
      <c r="E20" s="55">
        <f>1099+524.45</f>
        <v>1623.45</v>
      </c>
      <c r="F20" s="52">
        <v>50625.16</v>
      </c>
    </row>
    <row r="21" spans="1:11" ht="15.75" x14ac:dyDescent="0.25">
      <c r="B21" s="53">
        <v>42361</v>
      </c>
      <c r="C21" s="54">
        <v>22719</v>
      </c>
      <c r="D21" s="36" t="s">
        <v>9</v>
      </c>
      <c r="E21" s="55">
        <v>246.2</v>
      </c>
      <c r="F21" s="52">
        <v>8370.7999999999993</v>
      </c>
    </row>
    <row r="22" spans="1:11" ht="15.75" x14ac:dyDescent="0.25">
      <c r="A22" s="75"/>
      <c r="B22" s="53">
        <v>42361</v>
      </c>
      <c r="C22" s="54">
        <v>22720</v>
      </c>
      <c r="D22" s="36" t="s">
        <v>11</v>
      </c>
      <c r="E22" s="55">
        <f>27.4+152</f>
        <v>179.4</v>
      </c>
      <c r="F22" s="52">
        <v>6346.2</v>
      </c>
    </row>
    <row r="23" spans="1:11" x14ac:dyDescent="0.25">
      <c r="B23" s="53">
        <v>42361</v>
      </c>
      <c r="C23" s="56">
        <v>22796</v>
      </c>
      <c r="D23" s="36" t="s">
        <v>11</v>
      </c>
      <c r="E23" s="55">
        <f>55.8+226.6+104.8</f>
        <v>387.2</v>
      </c>
      <c r="F23" s="52">
        <v>15007.6</v>
      </c>
    </row>
    <row r="24" spans="1:11" x14ac:dyDescent="0.25">
      <c r="B24" s="53">
        <v>42361</v>
      </c>
      <c r="C24" s="56">
        <v>22798</v>
      </c>
      <c r="D24" s="36" t="s">
        <v>569</v>
      </c>
      <c r="E24" s="55">
        <f>912.6+290.4+41.4</f>
        <v>1244.4000000000001</v>
      </c>
      <c r="F24" s="52">
        <v>43636.5</v>
      </c>
    </row>
    <row r="25" spans="1:11" x14ac:dyDescent="0.25">
      <c r="B25" s="53">
        <v>42361</v>
      </c>
      <c r="C25" s="56">
        <v>22799</v>
      </c>
      <c r="D25" s="36" t="s">
        <v>17</v>
      </c>
      <c r="E25" s="55">
        <v>921.54</v>
      </c>
      <c r="F25" s="52">
        <v>29950.05</v>
      </c>
    </row>
    <row r="26" spans="1:11" x14ac:dyDescent="0.25">
      <c r="B26" s="53">
        <v>42361</v>
      </c>
      <c r="C26" s="56">
        <v>22800</v>
      </c>
      <c r="D26" s="36" t="s">
        <v>8</v>
      </c>
      <c r="E26" s="55">
        <v>156</v>
      </c>
      <c r="F26" s="52">
        <v>5304</v>
      </c>
    </row>
    <row r="27" spans="1:11" x14ac:dyDescent="0.25">
      <c r="B27" s="53">
        <v>42362</v>
      </c>
      <c r="C27" s="56">
        <v>22913</v>
      </c>
      <c r="D27" s="36" t="s">
        <v>8</v>
      </c>
      <c r="E27" s="55">
        <v>314</v>
      </c>
      <c r="F27" s="52">
        <v>10676</v>
      </c>
    </row>
    <row r="28" spans="1:11" x14ac:dyDescent="0.25">
      <c r="B28" s="53">
        <v>42362</v>
      </c>
      <c r="C28" s="56">
        <v>22914</v>
      </c>
      <c r="D28" s="36" t="s">
        <v>569</v>
      </c>
      <c r="E28" s="55">
        <v>406.6</v>
      </c>
      <c r="F28" s="52">
        <v>13824.4</v>
      </c>
    </row>
    <row r="29" spans="1:11" x14ac:dyDescent="0.25">
      <c r="B29" s="53">
        <v>42362</v>
      </c>
      <c r="C29" s="56">
        <v>22915</v>
      </c>
      <c r="D29" s="36" t="s">
        <v>9</v>
      </c>
      <c r="E29" s="55">
        <f>980.95+181</f>
        <v>1161.95</v>
      </c>
      <c r="F29" s="52">
        <v>45146.400000000001</v>
      </c>
    </row>
    <row r="30" spans="1:11" x14ac:dyDescent="0.25">
      <c r="B30" s="53">
        <v>42362</v>
      </c>
      <c r="C30" s="56">
        <v>22917</v>
      </c>
      <c r="D30" s="36" t="s">
        <v>7</v>
      </c>
      <c r="E30" s="55">
        <v>632</v>
      </c>
      <c r="F30" s="52">
        <v>26544</v>
      </c>
    </row>
    <row r="31" spans="1:11" x14ac:dyDescent="0.25">
      <c r="B31" s="53">
        <v>42362</v>
      </c>
      <c r="C31" s="56">
        <v>22919</v>
      </c>
      <c r="D31" s="36" t="s">
        <v>4</v>
      </c>
      <c r="E31" s="55">
        <f>909.75+106.8+1+13.6</f>
        <v>1031.1499999999999</v>
      </c>
      <c r="F31" s="52">
        <v>32494</v>
      </c>
    </row>
    <row r="32" spans="1:11" ht="15.75" x14ac:dyDescent="0.25">
      <c r="B32" s="53">
        <v>42362</v>
      </c>
      <c r="C32" s="54">
        <v>22920</v>
      </c>
      <c r="D32" s="36" t="s">
        <v>17</v>
      </c>
      <c r="E32" s="55">
        <v>951.47</v>
      </c>
      <c r="F32" s="52">
        <v>30447.040000000001</v>
      </c>
    </row>
    <row r="33" spans="2:11" x14ac:dyDescent="0.25">
      <c r="B33" s="53">
        <v>42362</v>
      </c>
      <c r="C33" s="56">
        <v>22921</v>
      </c>
      <c r="D33" s="36" t="s">
        <v>11</v>
      </c>
      <c r="E33" s="55">
        <f>54.4+4+318</f>
        <v>376.4</v>
      </c>
      <c r="F33" s="52">
        <v>14062.8</v>
      </c>
    </row>
    <row r="34" spans="2:11" x14ac:dyDescent="0.25">
      <c r="B34" s="53">
        <v>42362</v>
      </c>
      <c r="C34" s="56">
        <v>22923</v>
      </c>
      <c r="D34" s="36" t="s">
        <v>10</v>
      </c>
      <c r="E34" s="55">
        <v>3.9</v>
      </c>
      <c r="F34" s="52">
        <v>351</v>
      </c>
      <c r="K34" s="41">
        <f t="shared" ref="K34:K40" si="1">J34*I34</f>
        <v>0</v>
      </c>
    </row>
    <row r="35" spans="2:11" x14ac:dyDescent="0.25">
      <c r="B35" s="53">
        <v>42362</v>
      </c>
      <c r="C35" s="56">
        <v>22924</v>
      </c>
      <c r="D35" s="36" t="s">
        <v>6</v>
      </c>
      <c r="E35" s="55">
        <v>934.8</v>
      </c>
      <c r="F35" s="52">
        <v>39261.599999999999</v>
      </c>
      <c r="K35" s="41">
        <f t="shared" si="1"/>
        <v>0</v>
      </c>
    </row>
    <row r="36" spans="2:11" ht="15.75" x14ac:dyDescent="0.25">
      <c r="B36" s="53">
        <v>42362</v>
      </c>
      <c r="C36" s="54">
        <v>22969</v>
      </c>
      <c r="D36" s="36" t="s">
        <v>10</v>
      </c>
      <c r="E36" s="55">
        <f>27.24+1+22.2</f>
        <v>50.44</v>
      </c>
      <c r="F36" s="52">
        <v>3286.4</v>
      </c>
      <c r="K36" s="41">
        <f t="shared" si="1"/>
        <v>0</v>
      </c>
    </row>
    <row r="37" spans="2:11" ht="15.75" x14ac:dyDescent="0.25">
      <c r="B37" s="53">
        <v>42362</v>
      </c>
      <c r="C37" s="54">
        <v>22970</v>
      </c>
      <c r="D37" s="36" t="s">
        <v>4</v>
      </c>
      <c r="E37" s="55">
        <v>585.5</v>
      </c>
      <c r="F37" s="52">
        <v>18736</v>
      </c>
      <c r="I37">
        <v>11.6</v>
      </c>
      <c r="J37">
        <v>46</v>
      </c>
      <c r="K37" s="41">
        <f t="shared" si="1"/>
        <v>533.6</v>
      </c>
    </row>
    <row r="38" spans="2:11" ht="15.75" x14ac:dyDescent="0.25">
      <c r="B38" s="53">
        <v>42362</v>
      </c>
      <c r="C38" s="54">
        <v>22971</v>
      </c>
      <c r="D38" s="36" t="s">
        <v>17</v>
      </c>
      <c r="E38" s="55">
        <v>92.8</v>
      </c>
      <c r="F38" s="52">
        <v>4825.6000000000004</v>
      </c>
      <c r="I38">
        <v>11.6</v>
      </c>
      <c r="J38">
        <v>48</v>
      </c>
      <c r="K38" s="41">
        <f t="shared" si="1"/>
        <v>556.79999999999995</v>
      </c>
    </row>
    <row r="39" spans="2:11" ht="15.75" x14ac:dyDescent="0.25">
      <c r="B39" s="53">
        <v>42362</v>
      </c>
      <c r="C39" s="54">
        <v>22982</v>
      </c>
      <c r="D39" s="36" t="s">
        <v>17</v>
      </c>
      <c r="E39" s="55">
        <v>249.8</v>
      </c>
      <c r="F39" s="52">
        <v>10491.6</v>
      </c>
      <c r="K39" s="41">
        <f t="shared" si="1"/>
        <v>0</v>
      </c>
    </row>
    <row r="40" spans="2:11" x14ac:dyDescent="0.25">
      <c r="B40" s="53">
        <v>42364</v>
      </c>
      <c r="C40" s="56">
        <v>23076</v>
      </c>
      <c r="D40" s="36" t="s">
        <v>9</v>
      </c>
      <c r="E40" s="55">
        <v>550.20000000000005</v>
      </c>
      <c r="F40" s="52">
        <v>23108.400000000001</v>
      </c>
      <c r="K40" s="41">
        <f t="shared" si="1"/>
        <v>0</v>
      </c>
    </row>
    <row r="41" spans="2:11" ht="15.75" x14ac:dyDescent="0.25">
      <c r="B41" s="53">
        <v>42364</v>
      </c>
      <c r="C41" s="54">
        <v>23081</v>
      </c>
      <c r="D41" s="36" t="s">
        <v>8</v>
      </c>
      <c r="E41" s="55">
        <v>376.8</v>
      </c>
      <c r="F41" s="52">
        <v>12811.2</v>
      </c>
      <c r="K41" s="41">
        <f>J41*I41</f>
        <v>0</v>
      </c>
    </row>
    <row r="42" spans="2:11" x14ac:dyDescent="0.25">
      <c r="B42" s="53">
        <v>42364</v>
      </c>
      <c r="C42" s="56">
        <v>23082</v>
      </c>
      <c r="D42" s="36" t="s">
        <v>17</v>
      </c>
      <c r="E42" s="55">
        <v>27.24</v>
      </c>
      <c r="F42" s="52">
        <v>1362</v>
      </c>
      <c r="K42" s="41">
        <f t="shared" ref="K42:K49" si="2">J42*I42</f>
        <v>0</v>
      </c>
    </row>
    <row r="43" spans="2:11" ht="15.75" x14ac:dyDescent="0.25">
      <c r="B43" s="53">
        <v>42364</v>
      </c>
      <c r="C43" s="54">
        <v>23083</v>
      </c>
      <c r="D43" s="36" t="s">
        <v>6</v>
      </c>
      <c r="E43" s="55">
        <v>720</v>
      </c>
      <c r="F43" s="52">
        <v>24480</v>
      </c>
      <c r="K43" s="41">
        <f t="shared" si="2"/>
        <v>0</v>
      </c>
    </row>
    <row r="44" spans="2:11" ht="15.75" x14ac:dyDescent="0.25">
      <c r="B44" s="53">
        <v>42364</v>
      </c>
      <c r="C44" s="54">
        <v>23084</v>
      </c>
      <c r="D44" s="36" t="s">
        <v>9</v>
      </c>
      <c r="E44" s="55">
        <f>32.1+172.4</f>
        <v>204.5</v>
      </c>
      <c r="F44" s="52">
        <v>8776.9</v>
      </c>
      <c r="K44" s="41">
        <f t="shared" si="2"/>
        <v>0</v>
      </c>
    </row>
    <row r="45" spans="2:11" ht="15.75" x14ac:dyDescent="0.25">
      <c r="B45" s="53">
        <v>42364</v>
      </c>
      <c r="C45" s="54">
        <v>23085</v>
      </c>
      <c r="D45" s="36" t="s">
        <v>16</v>
      </c>
      <c r="E45" s="55">
        <f>84+18.5</f>
        <v>102.5</v>
      </c>
      <c r="F45" s="52">
        <v>1822</v>
      </c>
      <c r="K45" s="41">
        <v>0</v>
      </c>
    </row>
    <row r="46" spans="2:11" ht="15.75" x14ac:dyDescent="0.25">
      <c r="B46" s="53">
        <v>42364</v>
      </c>
      <c r="C46" s="54">
        <v>23086</v>
      </c>
      <c r="D46" s="36" t="s">
        <v>11</v>
      </c>
      <c r="E46" s="55">
        <v>85.9</v>
      </c>
      <c r="F46" s="52">
        <v>3779.6</v>
      </c>
      <c r="K46" s="41">
        <v>0</v>
      </c>
    </row>
    <row r="47" spans="2:11" ht="15.75" x14ac:dyDescent="0.25">
      <c r="B47" s="53">
        <v>42364</v>
      </c>
      <c r="C47" s="54">
        <v>23087</v>
      </c>
      <c r="D47" s="36" t="s">
        <v>10</v>
      </c>
      <c r="E47" s="55">
        <f>11.6+11.6</f>
        <v>23.2</v>
      </c>
      <c r="F47" s="52">
        <v>1090.4000000000001</v>
      </c>
      <c r="K47" s="41">
        <v>0</v>
      </c>
    </row>
    <row r="48" spans="2:11" ht="16.5" thickBot="1" x14ac:dyDescent="0.3">
      <c r="B48" s="53"/>
      <c r="C48" s="54"/>
      <c r="D48" s="36"/>
      <c r="E48" s="55"/>
      <c r="F48" s="52"/>
      <c r="K48" s="41">
        <f t="shared" si="2"/>
        <v>0</v>
      </c>
    </row>
    <row r="49" spans="2:13" ht="15.75" thickBot="1" x14ac:dyDescent="0.3">
      <c r="B49" s="16"/>
      <c r="C49" s="17"/>
      <c r="D49" s="18"/>
      <c r="E49" s="44">
        <v>0</v>
      </c>
      <c r="F49" s="43">
        <f>SUM(F3:F48)</f>
        <v>816808.15</v>
      </c>
      <c r="K49" s="41">
        <f t="shared" si="2"/>
        <v>0</v>
      </c>
    </row>
    <row r="50" spans="2:13" ht="19.5" thickBot="1" x14ac:dyDescent="0.35">
      <c r="B50" s="19"/>
      <c r="C50" s="20"/>
      <c r="D50" s="23" t="s">
        <v>3</v>
      </c>
      <c r="E50" s="25">
        <f>SUM(E3:E49)</f>
        <v>22764.240000000013</v>
      </c>
      <c r="K50" s="71">
        <f>SUM(K34:K49)</f>
        <v>1090.4000000000001</v>
      </c>
    </row>
    <row r="51" spans="2:13" x14ac:dyDescent="0.25">
      <c r="B51" s="19"/>
      <c r="C51" s="20"/>
      <c r="D51" s="21"/>
      <c r="E51" s="22"/>
      <c r="K51"/>
    </row>
    <row r="52" spans="2:13" ht="21.75" thickBot="1" x14ac:dyDescent="0.4">
      <c r="B52" s="40"/>
      <c r="C52" s="27" t="s">
        <v>18</v>
      </c>
      <c r="D52" s="26">
        <f>E50*0.2</f>
        <v>4552.8480000000027</v>
      </c>
      <c r="F52"/>
      <c r="K52"/>
    </row>
    <row r="53" spans="2:13" ht="21.75" thickBot="1" x14ac:dyDescent="0.4">
      <c r="C53" s="11" t="s">
        <v>422</v>
      </c>
      <c r="D53" s="61">
        <v>3000</v>
      </c>
      <c r="E53" s="62"/>
      <c r="F53" s="80">
        <f>D52+D53</f>
        <v>7552.8480000000027</v>
      </c>
      <c r="G53" s="81"/>
      <c r="I53" s="73"/>
      <c r="J53" s="73"/>
      <c r="K53" s="73"/>
      <c r="L53" s="73"/>
      <c r="M53" s="73"/>
    </row>
    <row r="54" spans="2:13" ht="15.75" thickTop="1" x14ac:dyDescent="0.25">
      <c r="I54" s="73"/>
      <c r="J54" s="73"/>
      <c r="K54" s="74"/>
      <c r="L54" s="74"/>
      <c r="M54" s="74"/>
    </row>
    <row r="55" spans="2:13" ht="19.5" thickBot="1" x14ac:dyDescent="0.35">
      <c r="E55" s="70" t="s">
        <v>470</v>
      </c>
      <c r="F55" s="82">
        <v>-3000</v>
      </c>
      <c r="G55" s="82"/>
      <c r="I55" s="73"/>
      <c r="J55" s="73"/>
      <c r="K55" s="74"/>
      <c r="L55" s="74"/>
      <c r="M55" s="74"/>
    </row>
    <row r="56" spans="2:13" ht="15.75" thickTop="1" x14ac:dyDescent="0.25">
      <c r="C56"/>
      <c r="F56" s="83">
        <f>F53+F55</f>
        <v>4552.8480000000027</v>
      </c>
      <c r="G56" s="83"/>
      <c r="I56" s="73"/>
      <c r="J56" s="73"/>
      <c r="K56" s="74"/>
      <c r="L56" s="74"/>
      <c r="M56" s="74"/>
    </row>
    <row r="57" spans="2:13" ht="18.75" x14ac:dyDescent="0.3">
      <c r="C57"/>
      <c r="E57" s="47" t="s">
        <v>471</v>
      </c>
      <c r="F57" s="84"/>
      <c r="G57" s="84"/>
      <c r="K57"/>
    </row>
  </sheetData>
  <mergeCells count="4">
    <mergeCell ref="B1:C1"/>
    <mergeCell ref="F53:G53"/>
    <mergeCell ref="F55:G55"/>
    <mergeCell ref="F56:G5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H15" sqref="H1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  <col min="11" max="11" width="11.42578125" style="41"/>
  </cols>
  <sheetData>
    <row r="1" spans="2:11" ht="19.5" thickBot="1" x14ac:dyDescent="0.35">
      <c r="B1" s="85">
        <v>42374</v>
      </c>
      <c r="C1" s="85"/>
      <c r="D1" s="28" t="s">
        <v>15</v>
      </c>
      <c r="E1" s="47" t="s">
        <v>24</v>
      </c>
      <c r="K1"/>
    </row>
    <row r="2" spans="2:11" ht="19.5" thickBot="1" x14ac:dyDescent="0.35">
      <c r="B2" s="1" t="s">
        <v>0</v>
      </c>
      <c r="C2" s="2" t="s">
        <v>1</v>
      </c>
      <c r="D2" s="2" t="s">
        <v>2</v>
      </c>
      <c r="E2" s="3" t="s">
        <v>3</v>
      </c>
      <c r="F2" s="69" t="s">
        <v>685</v>
      </c>
      <c r="G2" s="63"/>
      <c r="K2"/>
    </row>
    <row r="3" spans="2:11" ht="15.75" x14ac:dyDescent="0.25">
      <c r="B3" s="48">
        <v>42353</v>
      </c>
      <c r="C3" s="49">
        <v>21392</v>
      </c>
      <c r="D3" s="50" t="s">
        <v>16</v>
      </c>
      <c r="E3" s="51">
        <f>41.6+82.8+63.8</f>
        <v>188.2</v>
      </c>
      <c r="F3" s="52">
        <v>9061.6</v>
      </c>
      <c r="K3"/>
    </row>
    <row r="4" spans="2:11" ht="15.75" x14ac:dyDescent="0.25">
      <c r="B4" s="53">
        <v>42353</v>
      </c>
      <c r="C4" s="54">
        <v>21471</v>
      </c>
      <c r="D4" s="36" t="s">
        <v>648</v>
      </c>
      <c r="E4" s="55">
        <v>6.4</v>
      </c>
      <c r="F4" s="52">
        <v>108.8</v>
      </c>
      <c r="K4"/>
    </row>
    <row r="5" spans="2:11" ht="15.75" x14ac:dyDescent="0.25">
      <c r="B5" s="53">
        <v>42362</v>
      </c>
      <c r="C5" s="54">
        <v>22922</v>
      </c>
      <c r="D5" s="36" t="s">
        <v>10</v>
      </c>
      <c r="E5" s="55">
        <v>4.9000000000000004</v>
      </c>
      <c r="F5" s="52">
        <v>441</v>
      </c>
      <c r="K5"/>
    </row>
    <row r="6" spans="2:11" ht="15.75" x14ac:dyDescent="0.25">
      <c r="B6" s="53">
        <v>42366</v>
      </c>
      <c r="C6" s="54">
        <v>23334</v>
      </c>
      <c r="D6" s="36" t="s">
        <v>569</v>
      </c>
      <c r="E6" s="55">
        <v>757</v>
      </c>
      <c r="F6" s="52">
        <v>25738</v>
      </c>
      <c r="K6" s="41">
        <f t="shared" ref="K6:K18" si="0">J6*I6</f>
        <v>0</v>
      </c>
    </row>
    <row r="7" spans="2:11" ht="15.75" x14ac:dyDescent="0.25">
      <c r="B7" s="53">
        <v>42366</v>
      </c>
      <c r="C7" s="54">
        <v>23336</v>
      </c>
      <c r="D7" s="36" t="s">
        <v>6</v>
      </c>
      <c r="E7" s="55">
        <f>703.6+118.8</f>
        <v>822.4</v>
      </c>
      <c r="F7" s="52">
        <v>32466.799999999999</v>
      </c>
      <c r="K7" s="41">
        <f t="shared" si="0"/>
        <v>0</v>
      </c>
    </row>
    <row r="8" spans="2:11" ht="15.75" x14ac:dyDescent="0.25">
      <c r="B8" s="53">
        <v>42366</v>
      </c>
      <c r="C8" s="54">
        <v>23337</v>
      </c>
      <c r="D8" s="36" t="s">
        <v>10</v>
      </c>
      <c r="E8" s="55">
        <v>69</v>
      </c>
      <c r="F8" s="52">
        <v>2346</v>
      </c>
      <c r="K8" s="41">
        <f t="shared" si="0"/>
        <v>0</v>
      </c>
    </row>
    <row r="9" spans="2:11" ht="15.75" x14ac:dyDescent="0.25">
      <c r="B9" s="53">
        <v>42366</v>
      </c>
      <c r="C9" s="54">
        <v>23338</v>
      </c>
      <c r="D9" s="36" t="s">
        <v>16</v>
      </c>
      <c r="E9" s="55">
        <v>90</v>
      </c>
      <c r="F9" s="52">
        <v>3060</v>
      </c>
      <c r="K9" s="41">
        <f t="shared" si="0"/>
        <v>0</v>
      </c>
    </row>
    <row r="10" spans="2:11" ht="15.75" x14ac:dyDescent="0.25">
      <c r="B10" s="53">
        <v>42366</v>
      </c>
      <c r="C10" s="54">
        <v>23339</v>
      </c>
      <c r="D10" s="36" t="s">
        <v>7</v>
      </c>
      <c r="E10" s="55">
        <v>777.2</v>
      </c>
      <c r="F10" s="52">
        <v>26424.799999999999</v>
      </c>
      <c r="K10" s="41">
        <f t="shared" si="0"/>
        <v>0</v>
      </c>
    </row>
    <row r="11" spans="2:11" ht="15.75" x14ac:dyDescent="0.25">
      <c r="B11" s="53">
        <v>42366</v>
      </c>
      <c r="C11" s="54">
        <v>23340</v>
      </c>
      <c r="D11" s="36" t="s">
        <v>9</v>
      </c>
      <c r="E11" s="55">
        <v>107.4</v>
      </c>
      <c r="F11" s="52">
        <v>5047.8</v>
      </c>
      <c r="K11" s="41">
        <f t="shared" si="0"/>
        <v>0</v>
      </c>
    </row>
    <row r="12" spans="2:11" ht="15.75" x14ac:dyDescent="0.25">
      <c r="B12" s="53">
        <v>42366</v>
      </c>
      <c r="C12" s="54">
        <v>23341</v>
      </c>
      <c r="D12" s="36" t="s">
        <v>11</v>
      </c>
      <c r="E12" s="55">
        <f>95.2+70</f>
        <v>165.2</v>
      </c>
      <c r="F12" s="52">
        <v>7478.8</v>
      </c>
      <c r="K12" s="41">
        <f t="shared" si="0"/>
        <v>0</v>
      </c>
    </row>
    <row r="13" spans="2:11" ht="15.75" x14ac:dyDescent="0.25">
      <c r="B13" s="53">
        <v>42366</v>
      </c>
      <c r="C13" s="54">
        <v>23342</v>
      </c>
      <c r="D13" s="36" t="s">
        <v>17</v>
      </c>
      <c r="E13" s="55">
        <f>101.6+66.8</f>
        <v>168.39999999999998</v>
      </c>
      <c r="F13" s="52">
        <v>8147.2</v>
      </c>
      <c r="K13" s="41">
        <f t="shared" si="0"/>
        <v>0</v>
      </c>
    </row>
    <row r="14" spans="2:11" ht="15.75" x14ac:dyDescent="0.25">
      <c r="B14" s="53">
        <v>42366</v>
      </c>
      <c r="C14" s="54">
        <v>23403</v>
      </c>
      <c r="D14" s="36" t="s">
        <v>9</v>
      </c>
      <c r="E14" s="55">
        <v>179.7</v>
      </c>
      <c r="F14" s="52">
        <v>13657.2</v>
      </c>
      <c r="K14" s="41">
        <f t="shared" si="0"/>
        <v>0</v>
      </c>
    </row>
    <row r="15" spans="2:11" ht="15.75" x14ac:dyDescent="0.25">
      <c r="B15" s="53">
        <v>42366</v>
      </c>
      <c r="C15" s="54">
        <v>23407</v>
      </c>
      <c r="D15" s="36" t="s">
        <v>17</v>
      </c>
      <c r="E15" s="55">
        <v>872.7</v>
      </c>
      <c r="F15" s="52">
        <v>26181</v>
      </c>
      <c r="K15" s="41">
        <f t="shared" si="0"/>
        <v>0</v>
      </c>
    </row>
    <row r="16" spans="2:11" ht="15.75" x14ac:dyDescent="0.25">
      <c r="B16" s="53">
        <v>42367</v>
      </c>
      <c r="C16" s="54">
        <v>23554</v>
      </c>
      <c r="D16" s="36" t="s">
        <v>17</v>
      </c>
      <c r="E16" s="55">
        <f>922.9+902.04+10.7</f>
        <v>1835.64</v>
      </c>
      <c r="F16" s="52">
        <v>53608.06</v>
      </c>
      <c r="K16" s="41">
        <f t="shared" si="0"/>
        <v>0</v>
      </c>
    </row>
    <row r="17" spans="1:11" ht="15.75" x14ac:dyDescent="0.25">
      <c r="B17" s="53">
        <v>42367</v>
      </c>
      <c r="C17" s="54">
        <v>23555</v>
      </c>
      <c r="D17" s="36" t="s">
        <v>4</v>
      </c>
      <c r="E17" s="55">
        <v>84</v>
      </c>
      <c r="F17" s="52">
        <v>4368</v>
      </c>
      <c r="K17" s="41">
        <f t="shared" si="0"/>
        <v>0</v>
      </c>
    </row>
    <row r="18" spans="1:11" ht="15.75" x14ac:dyDescent="0.25">
      <c r="B18" s="53">
        <v>42367</v>
      </c>
      <c r="C18" s="54">
        <v>23556</v>
      </c>
      <c r="D18" s="36" t="s">
        <v>6</v>
      </c>
      <c r="E18" s="55">
        <v>129.4</v>
      </c>
      <c r="F18" s="52">
        <v>3882</v>
      </c>
      <c r="K18" s="41">
        <f t="shared" si="0"/>
        <v>0</v>
      </c>
    </row>
    <row r="19" spans="1:11" ht="15.75" x14ac:dyDescent="0.25">
      <c r="B19" s="53">
        <v>42367</v>
      </c>
      <c r="C19" s="54">
        <v>23557</v>
      </c>
      <c r="D19" s="36" t="s">
        <v>10</v>
      </c>
      <c r="E19" s="55">
        <v>79</v>
      </c>
      <c r="F19" s="52">
        <v>2686</v>
      </c>
      <c r="K19" s="41">
        <f>SUM(K6:K18)</f>
        <v>0</v>
      </c>
    </row>
    <row r="20" spans="1:11" ht="15.75" x14ac:dyDescent="0.25">
      <c r="B20" s="53">
        <v>42367</v>
      </c>
      <c r="C20" s="54">
        <v>23558</v>
      </c>
      <c r="D20" s="36" t="s">
        <v>9</v>
      </c>
      <c r="E20" s="55">
        <v>283</v>
      </c>
      <c r="F20" s="52">
        <v>13301</v>
      </c>
    </row>
    <row r="21" spans="1:11" ht="15.75" x14ac:dyDescent="0.25">
      <c r="B21" s="53">
        <v>42367</v>
      </c>
      <c r="C21" s="54">
        <v>23559</v>
      </c>
      <c r="D21" s="36" t="s">
        <v>10</v>
      </c>
      <c r="E21" s="55">
        <f>94+4.6</f>
        <v>98.6</v>
      </c>
      <c r="F21" s="52">
        <v>5866</v>
      </c>
    </row>
    <row r="22" spans="1:11" ht="15.75" x14ac:dyDescent="0.25">
      <c r="A22" s="75"/>
      <c r="B22" s="53">
        <v>42367</v>
      </c>
      <c r="C22" s="54">
        <v>23560</v>
      </c>
      <c r="D22" s="36" t="s">
        <v>16</v>
      </c>
      <c r="E22" s="55">
        <v>53</v>
      </c>
      <c r="F22" s="52">
        <v>2226</v>
      </c>
    </row>
    <row r="23" spans="1:11" ht="15.75" x14ac:dyDescent="0.25">
      <c r="B23" s="53">
        <v>42368</v>
      </c>
      <c r="C23" s="54">
        <v>23655</v>
      </c>
      <c r="D23" s="36" t="s">
        <v>8</v>
      </c>
      <c r="E23" s="55">
        <v>232.8</v>
      </c>
      <c r="F23" s="52">
        <v>7915.2</v>
      </c>
    </row>
    <row r="24" spans="1:11" x14ac:dyDescent="0.25">
      <c r="B24" s="53">
        <v>42368</v>
      </c>
      <c r="C24" s="56">
        <v>23656</v>
      </c>
      <c r="D24" s="36" t="s">
        <v>4</v>
      </c>
      <c r="E24" s="55">
        <f>842.63+824.94</f>
        <v>1667.5700000000002</v>
      </c>
      <c r="F24" s="52">
        <v>46691.96</v>
      </c>
    </row>
    <row r="25" spans="1:11" x14ac:dyDescent="0.25">
      <c r="B25" s="53">
        <v>42368</v>
      </c>
      <c r="C25" s="56">
        <v>23657</v>
      </c>
      <c r="D25" s="36" t="s">
        <v>6</v>
      </c>
      <c r="E25" s="55">
        <f>908.84+729.2</f>
        <v>1638.04</v>
      </c>
      <c r="F25" s="52">
        <v>50240.32</v>
      </c>
    </row>
    <row r="26" spans="1:11" x14ac:dyDescent="0.25">
      <c r="B26" s="53">
        <v>42368</v>
      </c>
      <c r="C26" s="56">
        <v>23659</v>
      </c>
      <c r="D26" s="36" t="s">
        <v>8</v>
      </c>
      <c r="E26" s="55">
        <v>875.74</v>
      </c>
      <c r="F26" s="52">
        <v>24520.720000000001</v>
      </c>
    </row>
    <row r="27" spans="1:11" x14ac:dyDescent="0.25">
      <c r="B27" s="53">
        <v>42368</v>
      </c>
      <c r="C27" s="56">
        <v>23663</v>
      </c>
      <c r="D27" s="36" t="s">
        <v>7</v>
      </c>
      <c r="E27" s="55">
        <f>365+834.47</f>
        <v>1199.47</v>
      </c>
      <c r="F27" s="52">
        <v>35775.160000000003</v>
      </c>
    </row>
    <row r="28" spans="1:11" x14ac:dyDescent="0.25">
      <c r="B28" s="53">
        <v>42368</v>
      </c>
      <c r="C28" s="56">
        <v>23666</v>
      </c>
      <c r="D28" s="36" t="s">
        <v>4</v>
      </c>
      <c r="E28" s="55">
        <v>58.1</v>
      </c>
      <c r="F28" s="52">
        <v>3021.2</v>
      </c>
    </row>
    <row r="29" spans="1:11" x14ac:dyDescent="0.25">
      <c r="B29" s="53">
        <v>42368</v>
      </c>
      <c r="C29" s="56">
        <v>23668</v>
      </c>
      <c r="D29" s="36" t="s">
        <v>9</v>
      </c>
      <c r="E29" s="55">
        <f>832.2+309.4</f>
        <v>1141.5999999999999</v>
      </c>
      <c r="F29" s="52">
        <v>38675.599999999999</v>
      </c>
    </row>
    <row r="30" spans="1:11" x14ac:dyDescent="0.25">
      <c r="B30" s="53">
        <v>42368</v>
      </c>
      <c r="C30" s="56">
        <v>23669</v>
      </c>
      <c r="D30" s="36" t="s">
        <v>10</v>
      </c>
      <c r="E30" s="55">
        <f>91.6+41.5+8.7</f>
        <v>141.79999999999998</v>
      </c>
      <c r="F30" s="52">
        <v>6353.7</v>
      </c>
    </row>
    <row r="31" spans="1:11" x14ac:dyDescent="0.25">
      <c r="B31" s="53">
        <v>42368</v>
      </c>
      <c r="C31" s="56">
        <v>23671</v>
      </c>
      <c r="D31" s="36" t="s">
        <v>11</v>
      </c>
      <c r="E31" s="55">
        <v>118.4</v>
      </c>
      <c r="F31" s="52">
        <v>5564.8</v>
      </c>
    </row>
    <row r="32" spans="1:11" x14ac:dyDescent="0.25">
      <c r="B32" s="53">
        <v>42368</v>
      </c>
      <c r="C32" s="56">
        <v>23815</v>
      </c>
      <c r="D32" s="36" t="s">
        <v>17</v>
      </c>
      <c r="E32" s="55">
        <v>907.2</v>
      </c>
      <c r="F32" s="52">
        <v>25401.599999999999</v>
      </c>
    </row>
    <row r="33" spans="1:11" ht="15.75" x14ac:dyDescent="0.25">
      <c r="B33" s="53">
        <v>42368</v>
      </c>
      <c r="C33" s="54">
        <v>23816</v>
      </c>
      <c r="D33" s="36" t="s">
        <v>7</v>
      </c>
      <c r="E33" s="55">
        <f>23.4+7</f>
        <v>30.4</v>
      </c>
      <c r="F33" s="52">
        <v>1176.5999999999999</v>
      </c>
    </row>
    <row r="34" spans="1:11" x14ac:dyDescent="0.25">
      <c r="B34" s="53">
        <v>42368</v>
      </c>
      <c r="C34" s="56">
        <v>23817</v>
      </c>
      <c r="D34" s="36" t="s">
        <v>8</v>
      </c>
      <c r="E34" s="55">
        <v>66.8</v>
      </c>
      <c r="F34" s="52">
        <v>2939.2</v>
      </c>
      <c r="K34" s="41">
        <f t="shared" ref="K34:K40" si="1">J34*I34</f>
        <v>0</v>
      </c>
    </row>
    <row r="35" spans="1:11" x14ac:dyDescent="0.25">
      <c r="B35" s="53">
        <v>42368</v>
      </c>
      <c r="C35" s="56">
        <v>23818</v>
      </c>
      <c r="D35" s="36" t="s">
        <v>569</v>
      </c>
      <c r="E35" s="55">
        <f>919+824.6</f>
        <v>1743.6</v>
      </c>
      <c r="F35" s="52">
        <v>53768.4</v>
      </c>
      <c r="K35" s="41">
        <f t="shared" si="1"/>
        <v>0</v>
      </c>
    </row>
    <row r="36" spans="1:11" x14ac:dyDescent="0.25">
      <c r="B36" s="53">
        <v>42368</v>
      </c>
      <c r="C36" s="56">
        <v>23819</v>
      </c>
      <c r="D36" s="36" t="s">
        <v>9</v>
      </c>
      <c r="E36" s="55">
        <v>36.4</v>
      </c>
      <c r="F36" s="52">
        <v>618.79999999999995</v>
      </c>
      <c r="K36" s="41">
        <f t="shared" si="1"/>
        <v>0</v>
      </c>
    </row>
    <row r="37" spans="1:11" ht="15.75" x14ac:dyDescent="0.25">
      <c r="B37" s="53">
        <v>42368</v>
      </c>
      <c r="C37" s="54">
        <v>23821</v>
      </c>
      <c r="D37" s="36" t="s">
        <v>4</v>
      </c>
      <c r="E37" s="55">
        <v>914.4</v>
      </c>
      <c r="F37" s="52">
        <v>25603.200000000001</v>
      </c>
      <c r="K37" s="41">
        <f t="shared" si="1"/>
        <v>0</v>
      </c>
    </row>
    <row r="38" spans="1:11" ht="15.75" x14ac:dyDescent="0.25">
      <c r="B38" s="53">
        <v>42368</v>
      </c>
      <c r="C38" s="54">
        <v>23822</v>
      </c>
      <c r="D38" s="36" t="s">
        <v>10</v>
      </c>
      <c r="E38" s="55">
        <v>92.4</v>
      </c>
      <c r="F38" s="52">
        <v>4065.6</v>
      </c>
      <c r="K38" s="41">
        <f t="shared" si="1"/>
        <v>0</v>
      </c>
    </row>
    <row r="39" spans="1:11" ht="15.75" x14ac:dyDescent="0.25">
      <c r="B39" s="53">
        <v>42368</v>
      </c>
      <c r="C39" s="54">
        <v>23823</v>
      </c>
      <c r="D39" s="36" t="s">
        <v>16</v>
      </c>
      <c r="E39" s="55">
        <v>73.599999999999994</v>
      </c>
      <c r="F39" s="52">
        <v>2502.4</v>
      </c>
      <c r="K39" s="41">
        <f t="shared" si="1"/>
        <v>0</v>
      </c>
    </row>
    <row r="40" spans="1:11" x14ac:dyDescent="0.25">
      <c r="B40" s="53">
        <v>42735</v>
      </c>
      <c r="C40" s="56">
        <v>23915</v>
      </c>
      <c r="D40" s="36" t="s">
        <v>4</v>
      </c>
      <c r="E40" s="77">
        <f>861.68+886.62+44.9+94.1+85.2-12</f>
        <v>1960.5</v>
      </c>
      <c r="F40" s="52">
        <v>57678.400000000001</v>
      </c>
      <c r="K40" s="41">
        <f t="shared" si="1"/>
        <v>0</v>
      </c>
    </row>
    <row r="41" spans="1:11" ht="15.75" x14ac:dyDescent="0.25">
      <c r="B41" s="53">
        <v>42735</v>
      </c>
      <c r="C41" s="54">
        <v>23917</v>
      </c>
      <c r="D41" s="36" t="s">
        <v>8</v>
      </c>
      <c r="E41" s="55">
        <f>21.7+73.2+444</f>
        <v>538.9</v>
      </c>
      <c r="F41" s="52">
        <v>19770.7</v>
      </c>
      <c r="K41" s="41">
        <f>J41*I41</f>
        <v>0</v>
      </c>
    </row>
    <row r="42" spans="1:11" ht="15.75" x14ac:dyDescent="0.25">
      <c r="B42" s="53">
        <v>42369</v>
      </c>
      <c r="C42" s="54">
        <v>23918</v>
      </c>
      <c r="D42" s="36" t="s">
        <v>16</v>
      </c>
      <c r="E42" s="55">
        <f>7+8.6+163.2+119.4</f>
        <v>298.2</v>
      </c>
      <c r="F42" s="52">
        <v>11306</v>
      </c>
      <c r="K42" s="41">
        <f t="shared" ref="K42:K59" si="2">J42*I42</f>
        <v>0</v>
      </c>
    </row>
    <row r="43" spans="1:11" x14ac:dyDescent="0.25">
      <c r="B43" s="53">
        <v>42369</v>
      </c>
      <c r="C43" s="56">
        <v>23920</v>
      </c>
      <c r="D43" s="36" t="s">
        <v>7</v>
      </c>
      <c r="E43" s="55">
        <f>718.4+13.6</f>
        <v>732</v>
      </c>
      <c r="F43" s="52">
        <v>24942.400000000001</v>
      </c>
      <c r="K43" s="41">
        <f t="shared" si="2"/>
        <v>0</v>
      </c>
    </row>
    <row r="44" spans="1:11" ht="15.75" x14ac:dyDescent="0.25">
      <c r="A44" s="76"/>
      <c r="B44" s="53">
        <v>42369</v>
      </c>
      <c r="C44" s="54">
        <v>23922</v>
      </c>
      <c r="D44" s="36" t="s">
        <v>569</v>
      </c>
      <c r="E44" s="55">
        <v>595.4</v>
      </c>
      <c r="F44" s="52">
        <v>25006.799999999999</v>
      </c>
      <c r="K44" s="41">
        <f t="shared" si="2"/>
        <v>0</v>
      </c>
    </row>
    <row r="45" spans="1:11" ht="15.75" x14ac:dyDescent="0.25">
      <c r="B45" s="53">
        <v>42369</v>
      </c>
      <c r="C45" s="54">
        <v>23923</v>
      </c>
      <c r="D45" s="36" t="s">
        <v>9</v>
      </c>
      <c r="E45" s="55">
        <f>763.72+17.4+81.72</f>
        <v>862.84</v>
      </c>
      <c r="F45" s="52">
        <v>25453.7</v>
      </c>
      <c r="K45" s="41">
        <f t="shared" si="2"/>
        <v>0</v>
      </c>
    </row>
    <row r="46" spans="1:11" ht="15.75" x14ac:dyDescent="0.25">
      <c r="B46" s="53">
        <v>42369</v>
      </c>
      <c r="C46" s="54">
        <v>23924</v>
      </c>
      <c r="D46" s="36" t="s">
        <v>6</v>
      </c>
      <c r="E46" s="55">
        <f>3+136.2+23.18+24.56+606+362.1</f>
        <v>1155.04</v>
      </c>
      <c r="F46" s="52">
        <v>50416.160000000003</v>
      </c>
      <c r="I46">
        <v>177.3</v>
      </c>
      <c r="J46">
        <v>76</v>
      </c>
      <c r="K46" s="41">
        <f t="shared" si="2"/>
        <v>13474.800000000001</v>
      </c>
    </row>
    <row r="47" spans="1:11" ht="15.75" x14ac:dyDescent="0.25">
      <c r="B47" s="53">
        <v>42369</v>
      </c>
      <c r="C47" s="54">
        <v>23990</v>
      </c>
      <c r="D47" s="36" t="s">
        <v>96</v>
      </c>
      <c r="E47" s="55">
        <v>23.8</v>
      </c>
      <c r="F47" s="52">
        <v>2142</v>
      </c>
      <c r="I47">
        <v>96.8</v>
      </c>
      <c r="J47">
        <v>47</v>
      </c>
      <c r="K47" s="41">
        <f t="shared" si="2"/>
        <v>4549.5999999999995</v>
      </c>
    </row>
    <row r="48" spans="1:11" ht="15.75" x14ac:dyDescent="0.25">
      <c r="B48" s="53">
        <v>42735</v>
      </c>
      <c r="C48" s="54">
        <v>23996</v>
      </c>
      <c r="D48" s="36" t="s">
        <v>569</v>
      </c>
      <c r="E48" s="55">
        <v>286.89999999999998</v>
      </c>
      <c r="F48" s="52">
        <v>12049.8</v>
      </c>
      <c r="K48" s="41">
        <f t="shared" si="2"/>
        <v>0</v>
      </c>
    </row>
    <row r="49" spans="2:13" ht="15.75" x14ac:dyDescent="0.25">
      <c r="B49" s="53">
        <v>42371</v>
      </c>
      <c r="C49" s="54">
        <v>24130</v>
      </c>
      <c r="D49" s="36" t="s">
        <v>10</v>
      </c>
      <c r="E49" s="55">
        <f>39.5+64.9+10.4+40.8</f>
        <v>155.60000000000002</v>
      </c>
      <c r="F49" s="52">
        <v>7327</v>
      </c>
      <c r="K49" s="41">
        <f t="shared" si="2"/>
        <v>0</v>
      </c>
    </row>
    <row r="50" spans="2:13" ht="15.75" x14ac:dyDescent="0.25">
      <c r="B50" s="53">
        <v>42371</v>
      </c>
      <c r="C50" s="54">
        <v>24131</v>
      </c>
      <c r="D50" s="36" t="s">
        <v>8</v>
      </c>
      <c r="E50" s="55">
        <f>448.2+49.1</f>
        <v>497.3</v>
      </c>
      <c r="F50" s="52">
        <v>17399.2</v>
      </c>
      <c r="K50" s="41">
        <f t="shared" si="2"/>
        <v>0</v>
      </c>
    </row>
    <row r="51" spans="2:13" ht="15.75" x14ac:dyDescent="0.25">
      <c r="B51" s="53">
        <v>42371</v>
      </c>
      <c r="C51" s="54">
        <v>24132</v>
      </c>
      <c r="D51" s="36" t="s">
        <v>7</v>
      </c>
      <c r="E51" s="55">
        <v>718.4</v>
      </c>
      <c r="F51" s="52">
        <v>24425.599999999999</v>
      </c>
      <c r="I51">
        <v>872.7</v>
      </c>
      <c r="J51">
        <v>30</v>
      </c>
      <c r="K51" s="41">
        <f t="shared" si="2"/>
        <v>26181</v>
      </c>
    </row>
    <row r="52" spans="2:13" ht="15.75" x14ac:dyDescent="0.25">
      <c r="B52" s="53">
        <v>42371</v>
      </c>
      <c r="C52" s="54">
        <v>24133</v>
      </c>
      <c r="D52" s="36" t="s">
        <v>569</v>
      </c>
      <c r="E52" s="55">
        <f>52.9+343+282.8</f>
        <v>678.7</v>
      </c>
      <c r="F52" s="52">
        <v>24597.599999999999</v>
      </c>
      <c r="K52" s="41">
        <f t="shared" si="2"/>
        <v>0</v>
      </c>
    </row>
    <row r="53" spans="2:13" ht="15.75" x14ac:dyDescent="0.25">
      <c r="B53" s="53">
        <v>42371</v>
      </c>
      <c r="C53" s="54">
        <v>24134</v>
      </c>
      <c r="D53" s="36" t="s">
        <v>11</v>
      </c>
      <c r="E53" s="55">
        <v>100.4</v>
      </c>
      <c r="F53" s="52">
        <v>4216.8</v>
      </c>
      <c r="K53" s="41">
        <f t="shared" si="2"/>
        <v>0</v>
      </c>
    </row>
    <row r="54" spans="2:13" ht="15.75" x14ac:dyDescent="0.25">
      <c r="B54" s="53">
        <v>42371</v>
      </c>
      <c r="C54" s="54">
        <v>24135</v>
      </c>
      <c r="D54" s="36" t="s">
        <v>16</v>
      </c>
      <c r="E54" s="55">
        <v>47.6</v>
      </c>
      <c r="F54" s="52">
        <v>571.20000000000005</v>
      </c>
      <c r="K54" s="41">
        <f t="shared" si="2"/>
        <v>0</v>
      </c>
    </row>
    <row r="55" spans="2:13" ht="15.75" x14ac:dyDescent="0.25">
      <c r="B55" s="53">
        <v>42371</v>
      </c>
      <c r="C55" s="54">
        <v>24136</v>
      </c>
      <c r="D55" s="36" t="s">
        <v>4</v>
      </c>
      <c r="E55" s="55">
        <f>888.1+884.5+54+1+13.6+73</f>
        <v>1914.1999999999998</v>
      </c>
      <c r="F55" s="52">
        <v>54288.2</v>
      </c>
      <c r="K55" s="41">
        <f t="shared" si="2"/>
        <v>0</v>
      </c>
    </row>
    <row r="56" spans="2:13" ht="15.75" x14ac:dyDescent="0.25">
      <c r="B56" s="53">
        <v>42372</v>
      </c>
      <c r="C56" s="54">
        <v>24285</v>
      </c>
      <c r="D56" s="36" t="s">
        <v>4</v>
      </c>
      <c r="E56" s="55">
        <f>980+430.8+71.2</f>
        <v>1482</v>
      </c>
      <c r="F56" s="52">
        <v>35998</v>
      </c>
      <c r="K56" s="41">
        <f t="shared" si="2"/>
        <v>0</v>
      </c>
    </row>
    <row r="57" spans="2:13" ht="15.75" x14ac:dyDescent="0.25">
      <c r="B57" s="53">
        <v>42372</v>
      </c>
      <c r="C57" s="54">
        <v>24286</v>
      </c>
      <c r="D57" s="36" t="s">
        <v>686</v>
      </c>
      <c r="E57" s="55">
        <f>177.3+96.8</f>
        <v>274.10000000000002</v>
      </c>
      <c r="F57" s="52">
        <v>18024.400000000001</v>
      </c>
      <c r="K57" s="41">
        <f t="shared" si="2"/>
        <v>0</v>
      </c>
    </row>
    <row r="58" spans="2:13" ht="16.5" thickBot="1" x14ac:dyDescent="0.3">
      <c r="B58" s="53"/>
      <c r="C58" s="54"/>
      <c r="D58" s="36"/>
      <c r="E58" s="55"/>
      <c r="F58" s="52"/>
      <c r="K58" s="41">
        <f t="shared" si="2"/>
        <v>0</v>
      </c>
    </row>
    <row r="59" spans="2:13" ht="15.75" thickBot="1" x14ac:dyDescent="0.3">
      <c r="B59" s="16"/>
      <c r="C59" s="17"/>
      <c r="D59" s="18"/>
      <c r="E59" s="44">
        <v>0</v>
      </c>
      <c r="F59" s="43">
        <f>SUM(F3:F58)</f>
        <v>996544.48</v>
      </c>
      <c r="K59" s="41">
        <f t="shared" si="2"/>
        <v>0</v>
      </c>
    </row>
    <row r="60" spans="2:13" ht="19.5" thickBot="1" x14ac:dyDescent="0.35">
      <c r="B60" s="19"/>
      <c r="C60" s="20"/>
      <c r="D60" s="23" t="s">
        <v>3</v>
      </c>
      <c r="E60" s="25">
        <f>SUM(E3:E59)</f>
        <v>30031.340000000004</v>
      </c>
      <c r="K60" s="71">
        <f>SUM(K34:K59)</f>
        <v>44205.4</v>
      </c>
    </row>
    <row r="61" spans="2:13" x14ac:dyDescent="0.25">
      <c r="B61" s="19"/>
      <c r="C61" s="20"/>
      <c r="D61" s="21"/>
      <c r="E61" s="22"/>
      <c r="K61"/>
    </row>
    <row r="62" spans="2:13" ht="21.75" thickBot="1" x14ac:dyDescent="0.4">
      <c r="B62" s="40"/>
      <c r="C62" s="27" t="s">
        <v>18</v>
      </c>
      <c r="D62" s="26">
        <f>E60*0.2</f>
        <v>6006.2680000000009</v>
      </c>
      <c r="F62"/>
      <c r="K62"/>
    </row>
    <row r="63" spans="2:13" ht="21.75" thickBot="1" x14ac:dyDescent="0.4">
      <c r="C63" s="11" t="s">
        <v>422</v>
      </c>
      <c r="D63" s="61">
        <v>3000</v>
      </c>
      <c r="E63" s="62"/>
      <c r="F63" s="80">
        <f>D62+D63</f>
        <v>9006.268</v>
      </c>
      <c r="G63" s="81"/>
      <c r="I63" s="73"/>
      <c r="J63" s="73"/>
      <c r="K63" s="73"/>
      <c r="L63" s="73"/>
      <c r="M63" s="73"/>
    </row>
    <row r="64" spans="2:13" ht="15.75" thickTop="1" x14ac:dyDescent="0.25">
      <c r="I64" s="73"/>
      <c r="J64" s="73"/>
      <c r="K64" s="74"/>
      <c r="L64" s="74"/>
      <c r="M64" s="74"/>
    </row>
    <row r="65" spans="3:13" ht="19.5" thickBot="1" x14ac:dyDescent="0.35">
      <c r="E65" s="70" t="s">
        <v>470</v>
      </c>
      <c r="F65" s="82">
        <v>0</v>
      </c>
      <c r="G65" s="82"/>
      <c r="I65" s="73"/>
      <c r="J65" s="73"/>
      <c r="K65" s="74"/>
      <c r="L65" s="74"/>
      <c r="M65" s="74"/>
    </row>
    <row r="66" spans="3:13" ht="15.75" thickTop="1" x14ac:dyDescent="0.25">
      <c r="C66"/>
      <c r="F66" s="83">
        <f>F63+F65</f>
        <v>9006.268</v>
      </c>
      <c r="G66" s="83"/>
      <c r="I66" s="73"/>
      <c r="J66" s="73"/>
      <c r="K66" s="74"/>
      <c r="L66" s="74"/>
      <c r="M66" s="74"/>
    </row>
    <row r="67" spans="3:13" ht="18.75" x14ac:dyDescent="0.3">
      <c r="C67"/>
      <c r="E67" s="47" t="s">
        <v>471</v>
      </c>
      <c r="F67" s="84"/>
      <c r="G67" s="84"/>
      <c r="K67"/>
    </row>
  </sheetData>
  <sortState ref="B3:F57">
    <sortCondition ref="C3:C57"/>
  </sortState>
  <mergeCells count="4">
    <mergeCell ref="B1:C1"/>
    <mergeCell ref="F63:G63"/>
    <mergeCell ref="F65:G65"/>
    <mergeCell ref="F66:G67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F41"/>
  <sheetViews>
    <sheetView topLeftCell="A25" workbookViewId="0">
      <selection activeCell="D27" sqref="D2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D1" s="28" t="s">
        <v>15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30">
        <v>42140</v>
      </c>
      <c r="C3" s="13">
        <v>21279</v>
      </c>
      <c r="D3" s="31" t="s">
        <v>17</v>
      </c>
      <c r="E3" s="32">
        <f>327.6+299.6+70.3</f>
        <v>697.5</v>
      </c>
      <c r="F3" s="41">
        <v>23215.4</v>
      </c>
    </row>
    <row r="4" spans="2:6" ht="15.75" x14ac:dyDescent="0.25">
      <c r="B4" s="33">
        <v>42140</v>
      </c>
      <c r="C4" s="14">
        <v>21403</v>
      </c>
      <c r="D4" s="34" t="s">
        <v>10</v>
      </c>
      <c r="E4" s="35">
        <f>45.3+87.2</f>
        <v>132.5</v>
      </c>
      <c r="F4" s="41">
        <v>3434.8</v>
      </c>
    </row>
    <row r="5" spans="2:6" ht="15.75" x14ac:dyDescent="0.25">
      <c r="B5" s="33">
        <v>42142</v>
      </c>
      <c r="C5" s="14">
        <v>21404</v>
      </c>
      <c r="D5" s="34" t="s">
        <v>7</v>
      </c>
      <c r="E5" s="35">
        <v>828.5</v>
      </c>
      <c r="F5" s="41">
        <v>24026.5</v>
      </c>
    </row>
    <row r="6" spans="2:6" ht="15.75" x14ac:dyDescent="0.25">
      <c r="B6" s="33">
        <v>42142</v>
      </c>
      <c r="C6" s="14">
        <v>21405</v>
      </c>
      <c r="D6" s="34" t="s">
        <v>20</v>
      </c>
      <c r="E6" s="35">
        <v>164.3</v>
      </c>
      <c r="F6" s="41">
        <v>4764.7</v>
      </c>
    </row>
    <row r="7" spans="2:6" ht="15.75" x14ac:dyDescent="0.25">
      <c r="B7" s="33">
        <v>42142</v>
      </c>
      <c r="C7" s="14">
        <v>21406</v>
      </c>
      <c r="D7" s="34" t="s">
        <v>6</v>
      </c>
      <c r="E7" s="35">
        <v>636.20000000000005</v>
      </c>
      <c r="F7" s="41">
        <v>18449.8</v>
      </c>
    </row>
    <row r="8" spans="2:6" ht="15.75" x14ac:dyDescent="0.25">
      <c r="B8" s="33">
        <v>42142</v>
      </c>
      <c r="C8" s="14">
        <v>21409</v>
      </c>
      <c r="D8" s="34" t="s">
        <v>4</v>
      </c>
      <c r="E8" s="35">
        <f>167.1+75.6</f>
        <v>242.7</v>
      </c>
      <c r="F8" s="41">
        <v>8172.3</v>
      </c>
    </row>
    <row r="9" spans="2:6" ht="15.75" x14ac:dyDescent="0.25">
      <c r="B9" s="33">
        <v>42142</v>
      </c>
      <c r="C9" s="14">
        <v>21415</v>
      </c>
      <c r="D9" s="34" t="s">
        <v>4</v>
      </c>
      <c r="E9" s="35">
        <v>137.4</v>
      </c>
      <c r="F9" s="41">
        <v>4809</v>
      </c>
    </row>
    <row r="10" spans="2:6" ht="15.75" x14ac:dyDescent="0.25">
      <c r="B10" s="33">
        <v>42142</v>
      </c>
      <c r="C10" s="14">
        <v>21416</v>
      </c>
      <c r="D10" s="34" t="s">
        <v>6</v>
      </c>
      <c r="E10" s="35">
        <v>185.4</v>
      </c>
      <c r="F10" s="41">
        <v>6489</v>
      </c>
    </row>
    <row r="11" spans="2:6" ht="15.75" x14ac:dyDescent="0.25">
      <c r="B11" s="33">
        <v>42143</v>
      </c>
      <c r="C11" s="14">
        <v>21568</v>
      </c>
      <c r="D11" s="34" t="s">
        <v>17</v>
      </c>
      <c r="E11" s="35">
        <v>245.2</v>
      </c>
      <c r="F11" s="41">
        <v>8827.2000000000007</v>
      </c>
    </row>
    <row r="12" spans="2:6" ht="15.75" x14ac:dyDescent="0.25">
      <c r="B12" s="33">
        <v>42143</v>
      </c>
      <c r="C12" s="14">
        <v>21569</v>
      </c>
      <c r="D12" s="34" t="s">
        <v>6</v>
      </c>
      <c r="E12" s="35">
        <v>136.1</v>
      </c>
      <c r="F12" s="41">
        <v>6260.6</v>
      </c>
    </row>
    <row r="13" spans="2:6" ht="15.75" x14ac:dyDescent="0.25">
      <c r="B13" s="33">
        <v>42143</v>
      </c>
      <c r="C13" s="14">
        <v>21622</v>
      </c>
      <c r="D13" s="34" t="s">
        <v>20</v>
      </c>
      <c r="E13" s="35">
        <v>162.80000000000001</v>
      </c>
      <c r="F13" s="41">
        <v>4802.6000000000004</v>
      </c>
    </row>
    <row r="14" spans="2:6" ht="15.75" x14ac:dyDescent="0.25">
      <c r="B14" s="33">
        <v>42144</v>
      </c>
      <c r="C14" s="14">
        <v>21624</v>
      </c>
      <c r="D14" s="34" t="s">
        <v>16</v>
      </c>
      <c r="E14" s="35">
        <v>89.8</v>
      </c>
      <c r="F14" s="41">
        <v>2649.1</v>
      </c>
    </row>
    <row r="15" spans="2:6" ht="15.75" x14ac:dyDescent="0.25">
      <c r="B15" s="33">
        <v>42144</v>
      </c>
      <c r="C15" s="14">
        <v>21625</v>
      </c>
      <c r="D15" s="34" t="s">
        <v>5</v>
      </c>
      <c r="E15" s="35">
        <v>99.6</v>
      </c>
      <c r="F15" s="41">
        <v>2938.2</v>
      </c>
    </row>
    <row r="16" spans="2:6" ht="15.75" x14ac:dyDescent="0.25">
      <c r="B16" s="33">
        <v>42144</v>
      </c>
      <c r="C16" s="14">
        <v>21626</v>
      </c>
      <c r="D16" s="34" t="s">
        <v>8</v>
      </c>
      <c r="E16" s="35">
        <v>77.599999999999994</v>
      </c>
      <c r="F16" s="41">
        <v>2289.1999999999998</v>
      </c>
    </row>
    <row r="17" spans="2:6" ht="15.75" x14ac:dyDescent="0.25">
      <c r="B17" s="33">
        <v>42144</v>
      </c>
      <c r="C17" s="14">
        <v>21627</v>
      </c>
      <c r="D17" s="34" t="s">
        <v>10</v>
      </c>
      <c r="E17" s="35">
        <v>81.400000000000006</v>
      </c>
      <c r="F17" s="41">
        <v>2401.3000000000002</v>
      </c>
    </row>
    <row r="18" spans="2:6" ht="15.75" x14ac:dyDescent="0.25">
      <c r="B18" s="33">
        <v>42145</v>
      </c>
      <c r="C18" s="14">
        <v>21728</v>
      </c>
      <c r="D18" s="34" t="s">
        <v>16</v>
      </c>
      <c r="E18" s="35">
        <v>328.4</v>
      </c>
      <c r="F18" s="41">
        <v>9687.7999999999993</v>
      </c>
    </row>
    <row r="19" spans="2:6" ht="15.75" x14ac:dyDescent="0.25">
      <c r="B19" s="33">
        <v>42145</v>
      </c>
      <c r="C19" s="14">
        <v>21729</v>
      </c>
      <c r="D19" s="34" t="s">
        <v>7</v>
      </c>
      <c r="E19" s="35">
        <v>251.6</v>
      </c>
      <c r="F19" s="41">
        <v>7422.2</v>
      </c>
    </row>
    <row r="20" spans="2:6" ht="15.75" x14ac:dyDescent="0.25">
      <c r="B20" s="33">
        <v>42145</v>
      </c>
      <c r="C20" s="14">
        <v>21730</v>
      </c>
      <c r="D20" s="34" t="s">
        <v>20</v>
      </c>
      <c r="E20" s="35">
        <v>159.6</v>
      </c>
      <c r="F20" s="41">
        <v>4708.2</v>
      </c>
    </row>
    <row r="21" spans="2:6" x14ac:dyDescent="0.25">
      <c r="B21" s="33">
        <v>42145</v>
      </c>
      <c r="C21" s="12">
        <v>21731</v>
      </c>
      <c r="D21" s="36" t="s">
        <v>6</v>
      </c>
      <c r="E21" s="35">
        <f>34.7+136.2</f>
        <v>170.89999999999998</v>
      </c>
      <c r="F21" s="41">
        <v>6800.4</v>
      </c>
    </row>
    <row r="22" spans="2:6" ht="15.75" x14ac:dyDescent="0.25">
      <c r="B22" s="33">
        <v>42145</v>
      </c>
      <c r="C22" s="14">
        <v>21850</v>
      </c>
      <c r="D22" s="34" t="s">
        <v>16</v>
      </c>
      <c r="E22" s="35">
        <v>1297.0999999999999</v>
      </c>
      <c r="F22" s="41">
        <v>38913</v>
      </c>
    </row>
    <row r="23" spans="2:6" ht="15.75" x14ac:dyDescent="0.25">
      <c r="B23" s="33">
        <v>42146</v>
      </c>
      <c r="C23" s="14">
        <v>21854</v>
      </c>
      <c r="D23" s="34" t="s">
        <v>17</v>
      </c>
      <c r="E23" s="35">
        <v>295.8</v>
      </c>
      <c r="F23" s="41">
        <v>8874</v>
      </c>
    </row>
    <row r="24" spans="2:6" ht="15.75" x14ac:dyDescent="0.25">
      <c r="B24" s="33">
        <v>42146</v>
      </c>
      <c r="C24" s="14">
        <v>21856</v>
      </c>
      <c r="D24" s="34" t="s">
        <v>7</v>
      </c>
      <c r="E24" s="35">
        <v>1350.4</v>
      </c>
      <c r="F24" s="41">
        <v>40512</v>
      </c>
    </row>
    <row r="25" spans="2:6" ht="15.75" x14ac:dyDescent="0.25">
      <c r="B25" s="33">
        <v>42146</v>
      </c>
      <c r="C25" s="14">
        <v>21857</v>
      </c>
      <c r="D25" s="34" t="s">
        <v>9</v>
      </c>
      <c r="E25" s="35">
        <f>87+447.6+21+261.2</f>
        <v>816.8</v>
      </c>
      <c r="F25" s="41">
        <v>27992.799999999999</v>
      </c>
    </row>
    <row r="26" spans="2:6" ht="15.75" x14ac:dyDescent="0.25">
      <c r="B26" s="33">
        <v>42146</v>
      </c>
      <c r="C26" s="14">
        <v>21859</v>
      </c>
      <c r="D26" s="34" t="s">
        <v>4</v>
      </c>
      <c r="E26" s="35">
        <f>435.3+72.4</f>
        <v>507.70000000000005</v>
      </c>
      <c r="F26" s="41">
        <v>14072.6</v>
      </c>
    </row>
    <row r="27" spans="2:6" ht="15.75" x14ac:dyDescent="0.25">
      <c r="B27" s="33">
        <v>42146</v>
      </c>
      <c r="C27" s="14">
        <v>21860</v>
      </c>
      <c r="D27" s="36" t="s">
        <v>6</v>
      </c>
      <c r="E27" s="35">
        <v>146.6</v>
      </c>
      <c r="F27" s="41">
        <v>2932</v>
      </c>
    </row>
    <row r="28" spans="2:6" ht="15.75" x14ac:dyDescent="0.25">
      <c r="B28" s="33">
        <v>42146</v>
      </c>
      <c r="C28" s="14">
        <v>21867</v>
      </c>
      <c r="D28" s="34" t="s">
        <v>10</v>
      </c>
      <c r="E28" s="35">
        <f>29.8+47+27.24+21.3</f>
        <v>125.33999999999999</v>
      </c>
      <c r="F28" s="41">
        <v>4338.34</v>
      </c>
    </row>
    <row r="29" spans="2:6" ht="15.75" x14ac:dyDescent="0.25">
      <c r="B29" s="33">
        <v>42146</v>
      </c>
      <c r="C29" s="14">
        <v>21945</v>
      </c>
      <c r="D29" s="34" t="s">
        <v>5</v>
      </c>
      <c r="E29" s="35">
        <f>67.2+167</f>
        <v>234.2</v>
      </c>
      <c r="F29" s="41">
        <v>8101.2</v>
      </c>
    </row>
    <row r="30" spans="2:6" ht="15.75" x14ac:dyDescent="0.25">
      <c r="B30" s="33">
        <v>42146</v>
      </c>
      <c r="C30" s="14">
        <v>21946</v>
      </c>
      <c r="D30" s="34" t="s">
        <v>12</v>
      </c>
      <c r="E30" s="35">
        <v>181.6</v>
      </c>
      <c r="F30" s="41">
        <v>5448</v>
      </c>
    </row>
    <row r="31" spans="2:6" x14ac:dyDescent="0.25">
      <c r="B31" s="33">
        <v>42147</v>
      </c>
      <c r="C31" s="12">
        <v>21974</v>
      </c>
      <c r="D31" s="34" t="s">
        <v>17</v>
      </c>
      <c r="E31" s="35">
        <f>403.2+180.3+21.9+398.2</f>
        <v>1003.5999999999999</v>
      </c>
      <c r="F31" s="41">
        <v>32646.25</v>
      </c>
    </row>
    <row r="32" spans="2:6" ht="15.75" x14ac:dyDescent="0.25">
      <c r="B32" s="33">
        <v>42147</v>
      </c>
      <c r="C32" s="14">
        <v>21975</v>
      </c>
      <c r="D32" s="34" t="s">
        <v>20</v>
      </c>
      <c r="E32" s="35">
        <v>370.2</v>
      </c>
      <c r="F32" s="41">
        <v>11291.1</v>
      </c>
    </row>
    <row r="33" spans="2:6" x14ac:dyDescent="0.25">
      <c r="B33" s="33">
        <v>42147</v>
      </c>
      <c r="C33" s="12">
        <v>21980</v>
      </c>
      <c r="D33" s="34" t="s">
        <v>6</v>
      </c>
      <c r="E33" s="35">
        <f>190.8+137.6</f>
        <v>328.4</v>
      </c>
      <c r="F33" s="41">
        <v>8494.4</v>
      </c>
    </row>
    <row r="34" spans="2:6" x14ac:dyDescent="0.25">
      <c r="B34" s="33"/>
      <c r="C34" s="12"/>
      <c r="D34" s="34"/>
      <c r="E34" s="35"/>
      <c r="F34" s="41">
        <v>0</v>
      </c>
    </row>
    <row r="35" spans="2:6" x14ac:dyDescent="0.25">
      <c r="B35" s="33"/>
      <c r="C35" s="12"/>
      <c r="D35" s="34"/>
      <c r="E35" s="35"/>
      <c r="F35" s="41">
        <v>0</v>
      </c>
    </row>
    <row r="36" spans="2:6" ht="15.75" thickBot="1" x14ac:dyDescent="0.3">
      <c r="B36" s="33"/>
      <c r="C36" s="12"/>
      <c r="D36" s="34"/>
      <c r="E36" s="35"/>
      <c r="F36" s="41">
        <v>0</v>
      </c>
    </row>
    <row r="37" spans="2:6" ht="15.75" thickBot="1" x14ac:dyDescent="0.3">
      <c r="B37" s="9"/>
      <c r="C37" s="29"/>
      <c r="D37" s="4"/>
      <c r="E37" s="42">
        <v>0</v>
      </c>
      <c r="F37" s="43">
        <f>SUM(F3:F36)</f>
        <v>355763.99000000005</v>
      </c>
    </row>
    <row r="38" spans="2:6" ht="15.75" thickBot="1" x14ac:dyDescent="0.3">
      <c r="B38" s="16"/>
      <c r="C38" s="17"/>
      <c r="D38" s="18"/>
      <c r="E38" s="38">
        <v>0</v>
      </c>
    </row>
    <row r="39" spans="2:6" ht="19.5" thickBot="1" x14ac:dyDescent="0.35">
      <c r="B39" s="19"/>
      <c r="C39" s="20"/>
      <c r="D39" s="23" t="s">
        <v>3</v>
      </c>
      <c r="E39" s="25">
        <f>SUM(E3:E38)</f>
        <v>11485.240000000003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2297.0480000000007</v>
      </c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F41"/>
  <sheetViews>
    <sheetView topLeftCell="A19" workbookViewId="0">
      <selection activeCell="E49" sqref="E4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21</v>
      </c>
      <c r="C1" s="78"/>
      <c r="D1" s="28" t="s">
        <v>15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30">
        <v>42149</v>
      </c>
      <c r="C3" s="13">
        <v>22161</v>
      </c>
      <c r="D3" s="31" t="s">
        <v>4</v>
      </c>
      <c r="E3" s="32">
        <f>917.2+247.2</f>
        <v>1164.4000000000001</v>
      </c>
      <c r="F3" s="41">
        <v>34967.800000000003</v>
      </c>
    </row>
    <row r="4" spans="2:6" ht="15.75" x14ac:dyDescent="0.25">
      <c r="B4" s="33">
        <v>42149</v>
      </c>
      <c r="C4" s="14">
        <v>22162</v>
      </c>
      <c r="D4" s="34" t="s">
        <v>10</v>
      </c>
      <c r="E4" s="35">
        <v>66.599999999999994</v>
      </c>
      <c r="F4" s="41">
        <v>2131.1999999999998</v>
      </c>
    </row>
    <row r="5" spans="2:6" ht="15.75" x14ac:dyDescent="0.25">
      <c r="B5" s="33">
        <v>42149</v>
      </c>
      <c r="C5" s="14">
        <v>22163</v>
      </c>
      <c r="D5" s="34" t="s">
        <v>6</v>
      </c>
      <c r="E5" s="35">
        <v>351</v>
      </c>
      <c r="F5" s="41">
        <v>11583</v>
      </c>
    </row>
    <row r="6" spans="2:6" ht="15.75" x14ac:dyDescent="0.25">
      <c r="B6" s="33">
        <v>42150</v>
      </c>
      <c r="C6" s="14">
        <v>22310</v>
      </c>
      <c r="D6" s="34" t="s">
        <v>7</v>
      </c>
      <c r="E6" s="35">
        <v>567</v>
      </c>
      <c r="F6" s="41">
        <v>18144</v>
      </c>
    </row>
    <row r="7" spans="2:6" ht="15.75" x14ac:dyDescent="0.25">
      <c r="B7" s="33">
        <v>42150</v>
      </c>
      <c r="C7" s="14">
        <v>22311</v>
      </c>
      <c r="D7" s="34" t="s">
        <v>6</v>
      </c>
      <c r="E7" s="35">
        <v>429.3</v>
      </c>
      <c r="F7" s="41">
        <v>13737.6</v>
      </c>
    </row>
    <row r="8" spans="2:6" ht="15.75" x14ac:dyDescent="0.25">
      <c r="B8" s="33">
        <v>42151</v>
      </c>
      <c r="C8" s="14">
        <v>22338</v>
      </c>
      <c r="D8" s="34" t="s">
        <v>4</v>
      </c>
      <c r="E8" s="35">
        <f>111.8+54.48</f>
        <v>166.28</v>
      </c>
      <c r="F8" s="41">
        <v>7872.48</v>
      </c>
    </row>
    <row r="9" spans="2:6" ht="15.75" x14ac:dyDescent="0.25">
      <c r="B9" s="33">
        <v>42151</v>
      </c>
      <c r="C9" s="14">
        <v>22339</v>
      </c>
      <c r="D9" s="34" t="s">
        <v>9</v>
      </c>
      <c r="E9" s="35">
        <f>195+91.6+17.7+121.6</f>
        <v>425.9</v>
      </c>
      <c r="F9" s="41">
        <v>13360.2</v>
      </c>
    </row>
    <row r="10" spans="2:6" ht="15.75" x14ac:dyDescent="0.25">
      <c r="B10" s="33">
        <v>42151</v>
      </c>
      <c r="C10" s="14">
        <v>22340</v>
      </c>
      <c r="D10" s="34" t="s">
        <v>6</v>
      </c>
      <c r="E10" s="35">
        <f>136.2+1</f>
        <v>137.19999999999999</v>
      </c>
      <c r="F10" s="41">
        <v>7005.2</v>
      </c>
    </row>
    <row r="11" spans="2:6" ht="15.75" x14ac:dyDescent="0.25">
      <c r="B11" s="33">
        <v>42151</v>
      </c>
      <c r="C11" s="14">
        <v>22341</v>
      </c>
      <c r="D11" s="34" t="s">
        <v>10</v>
      </c>
      <c r="E11" s="35">
        <v>61.8</v>
      </c>
      <c r="F11" s="41">
        <v>1112.4000000000001</v>
      </c>
    </row>
    <row r="12" spans="2:6" ht="15.75" x14ac:dyDescent="0.25">
      <c r="B12" s="33">
        <v>42151</v>
      </c>
      <c r="C12" s="14">
        <v>22345</v>
      </c>
      <c r="D12" s="34" t="s">
        <v>7</v>
      </c>
      <c r="E12" s="35">
        <v>419.2</v>
      </c>
      <c r="F12" s="41">
        <v>13414.4</v>
      </c>
    </row>
    <row r="13" spans="2:6" ht="15.75" x14ac:dyDescent="0.25">
      <c r="B13" s="33">
        <v>42152</v>
      </c>
      <c r="C13" s="14">
        <v>22438</v>
      </c>
      <c r="D13" s="34" t="s">
        <v>7</v>
      </c>
      <c r="E13" s="35">
        <f>183.6</f>
        <v>183.6</v>
      </c>
      <c r="F13" s="41">
        <v>5875.2</v>
      </c>
    </row>
    <row r="14" spans="2:6" ht="15.75" x14ac:dyDescent="0.25">
      <c r="B14" s="33">
        <v>42152</v>
      </c>
      <c r="C14" s="14">
        <v>22439</v>
      </c>
      <c r="D14" s="34" t="s">
        <v>11</v>
      </c>
      <c r="E14" s="35">
        <v>83</v>
      </c>
      <c r="F14" s="41">
        <v>2656</v>
      </c>
    </row>
    <row r="15" spans="2:6" ht="15.75" x14ac:dyDescent="0.25">
      <c r="B15" s="33">
        <v>42152</v>
      </c>
      <c r="C15" s="14">
        <v>22440</v>
      </c>
      <c r="D15" s="34" t="s">
        <v>16</v>
      </c>
      <c r="E15" s="35">
        <v>91</v>
      </c>
      <c r="F15" s="41">
        <v>2912</v>
      </c>
    </row>
    <row r="16" spans="2:6" ht="15.75" x14ac:dyDescent="0.25">
      <c r="B16" s="33">
        <v>42152</v>
      </c>
      <c r="C16" s="14">
        <v>22441</v>
      </c>
      <c r="D16" s="36" t="s">
        <v>10</v>
      </c>
      <c r="E16" s="35">
        <v>92.2</v>
      </c>
      <c r="F16" s="41">
        <v>2950.4</v>
      </c>
    </row>
    <row r="17" spans="2:6" ht="15.75" x14ac:dyDescent="0.25">
      <c r="B17" s="33">
        <v>42152</v>
      </c>
      <c r="C17" s="14">
        <v>22442</v>
      </c>
      <c r="D17" s="34" t="s">
        <v>4</v>
      </c>
      <c r="E17" s="35">
        <v>27.2</v>
      </c>
      <c r="F17" s="41">
        <v>1196.8</v>
      </c>
    </row>
    <row r="18" spans="2:6" ht="15.75" x14ac:dyDescent="0.25">
      <c r="B18" s="33">
        <v>42152</v>
      </c>
      <c r="C18" s="14">
        <v>22445</v>
      </c>
      <c r="D18" s="34" t="s">
        <v>4</v>
      </c>
      <c r="E18" s="35">
        <v>80.8</v>
      </c>
      <c r="F18" s="41">
        <v>3393.6</v>
      </c>
    </row>
    <row r="19" spans="2:6" ht="15.75" x14ac:dyDescent="0.25">
      <c r="B19" s="33">
        <v>42152</v>
      </c>
      <c r="C19" s="14">
        <v>22508</v>
      </c>
      <c r="D19" s="34" t="s">
        <v>7</v>
      </c>
      <c r="E19" s="35">
        <v>223.4</v>
      </c>
      <c r="F19" s="41">
        <v>6702</v>
      </c>
    </row>
    <row r="20" spans="2:6" ht="15.75" x14ac:dyDescent="0.25">
      <c r="B20" s="33">
        <v>42153</v>
      </c>
      <c r="C20" s="14">
        <v>22580</v>
      </c>
      <c r="D20" s="34" t="s">
        <v>7</v>
      </c>
      <c r="E20" s="35">
        <v>918.4</v>
      </c>
      <c r="F20" s="41">
        <v>30307.200000000001</v>
      </c>
    </row>
    <row r="21" spans="2:6" ht="15.75" x14ac:dyDescent="0.25">
      <c r="B21" s="33">
        <v>42153</v>
      </c>
      <c r="C21" s="14">
        <v>22581</v>
      </c>
      <c r="D21" s="34" t="s">
        <v>17</v>
      </c>
      <c r="E21" s="35">
        <f>263+21.1+238.1</f>
        <v>522.20000000000005</v>
      </c>
      <c r="F21" s="41">
        <v>17640.099999999999</v>
      </c>
    </row>
    <row r="22" spans="2:6" x14ac:dyDescent="0.25">
      <c r="B22" s="33">
        <v>42153</v>
      </c>
      <c r="C22" s="12">
        <v>22582</v>
      </c>
      <c r="D22" s="34" t="s">
        <v>6</v>
      </c>
      <c r="E22" s="35">
        <f>115.4+27.2+53+5</f>
        <v>200.6</v>
      </c>
      <c r="F22" s="41">
        <v>9424.7999999999993</v>
      </c>
    </row>
    <row r="23" spans="2:6" ht="15.75" x14ac:dyDescent="0.25">
      <c r="B23" s="33">
        <v>42153</v>
      </c>
      <c r="C23" s="14">
        <v>22584</v>
      </c>
      <c r="D23" s="34" t="s">
        <v>11</v>
      </c>
      <c r="E23" s="35">
        <v>59.2</v>
      </c>
      <c r="F23" s="41">
        <v>2308.8000000000002</v>
      </c>
    </row>
    <row r="24" spans="2:6" ht="15.75" x14ac:dyDescent="0.25">
      <c r="B24" s="33"/>
      <c r="C24" s="14"/>
      <c r="D24" s="34"/>
      <c r="E24" s="35"/>
    </row>
    <row r="25" spans="2:6" ht="15.75" x14ac:dyDescent="0.25">
      <c r="B25" s="33"/>
      <c r="C25" s="14"/>
      <c r="D25" s="34"/>
      <c r="E25" s="35"/>
    </row>
    <row r="26" spans="2:6" ht="15.75" x14ac:dyDescent="0.25">
      <c r="B26" s="33"/>
      <c r="C26" s="14"/>
      <c r="D26" s="34"/>
      <c r="E26" s="35"/>
    </row>
    <row r="27" spans="2:6" ht="15.75" x14ac:dyDescent="0.25">
      <c r="B27" s="33"/>
      <c r="C27" s="14"/>
      <c r="D27" s="34"/>
      <c r="E27" s="35"/>
    </row>
    <row r="28" spans="2:6" ht="15.75" x14ac:dyDescent="0.25">
      <c r="B28" s="33"/>
      <c r="C28" s="14"/>
      <c r="D28" s="34"/>
      <c r="E28" s="35"/>
    </row>
    <row r="29" spans="2:6" ht="15.75" x14ac:dyDescent="0.25">
      <c r="B29" s="33"/>
      <c r="C29" s="14"/>
      <c r="D29" s="34"/>
      <c r="E29" s="35"/>
    </row>
    <row r="30" spans="2:6" ht="15.75" x14ac:dyDescent="0.25">
      <c r="B30" s="33"/>
      <c r="C30" s="14"/>
      <c r="D30" s="34"/>
      <c r="E30" s="35"/>
    </row>
    <row r="31" spans="2:6" x14ac:dyDescent="0.25">
      <c r="B31" s="33"/>
      <c r="C31" s="12"/>
      <c r="D31" s="36"/>
      <c r="E31" s="35"/>
    </row>
    <row r="32" spans="2:6" ht="15.75" x14ac:dyDescent="0.25">
      <c r="B32" s="33"/>
      <c r="C32" s="14"/>
      <c r="D32" s="34"/>
      <c r="E32" s="35"/>
    </row>
    <row r="33" spans="2:6" x14ac:dyDescent="0.25">
      <c r="B33" s="33"/>
      <c r="C33" s="12"/>
      <c r="D33" s="34"/>
      <c r="E33" s="35"/>
    </row>
    <row r="34" spans="2:6" x14ac:dyDescent="0.25">
      <c r="B34" s="33"/>
      <c r="C34" s="12"/>
      <c r="D34" s="34"/>
      <c r="E34" s="35"/>
      <c r="F34" s="41">
        <v>0</v>
      </c>
    </row>
    <row r="35" spans="2:6" x14ac:dyDescent="0.25">
      <c r="B35" s="33"/>
      <c r="C35" s="12"/>
      <c r="D35" s="34"/>
      <c r="E35" s="35"/>
      <c r="F35" s="41">
        <v>0</v>
      </c>
    </row>
    <row r="36" spans="2:6" ht="15.75" thickBot="1" x14ac:dyDescent="0.3">
      <c r="B36" s="33"/>
      <c r="C36" s="12"/>
      <c r="D36" s="34"/>
      <c r="E36" s="35"/>
      <c r="F36" s="41">
        <v>0</v>
      </c>
    </row>
    <row r="37" spans="2:6" ht="15.75" thickBot="1" x14ac:dyDescent="0.3">
      <c r="B37" s="9"/>
      <c r="C37" s="29"/>
      <c r="D37" s="4"/>
      <c r="E37" s="42">
        <v>0</v>
      </c>
      <c r="F37" s="43">
        <f>SUM(F3:F36)</f>
        <v>208695.17999999996</v>
      </c>
    </row>
    <row r="38" spans="2:6" ht="15.75" thickBot="1" x14ac:dyDescent="0.3">
      <c r="B38" s="16"/>
      <c r="C38" s="17"/>
      <c r="D38" s="18"/>
      <c r="E38" s="38">
        <v>0</v>
      </c>
    </row>
    <row r="39" spans="2:6" ht="19.5" thickBot="1" x14ac:dyDescent="0.35">
      <c r="B39" s="19"/>
      <c r="C39" s="20"/>
      <c r="D39" s="23" t="s">
        <v>3</v>
      </c>
      <c r="E39" s="25">
        <f>SUM(E3:E38)</f>
        <v>6270.28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1254.056</v>
      </c>
    </row>
  </sheetData>
  <sortState ref="B15:F23">
    <sortCondition ref="C15:C23"/>
  </sortState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F41"/>
  <sheetViews>
    <sheetView topLeftCell="A19" workbookViewId="0">
      <selection activeCell="F45" sqref="F4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22</v>
      </c>
      <c r="C1" s="78"/>
      <c r="D1" s="28" t="s">
        <v>15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30">
        <v>42154</v>
      </c>
      <c r="C3" s="13">
        <v>22687</v>
      </c>
      <c r="D3" s="31" t="s">
        <v>17</v>
      </c>
      <c r="E3" s="32">
        <f>534+171.1+270</f>
        <v>975.1</v>
      </c>
      <c r="F3" s="41">
        <v>34572.300000000003</v>
      </c>
    </row>
    <row r="4" spans="2:6" ht="15.75" x14ac:dyDescent="0.25">
      <c r="B4" s="33">
        <v>42154</v>
      </c>
      <c r="C4" s="14">
        <v>22688</v>
      </c>
      <c r="D4" s="34" t="s">
        <v>9</v>
      </c>
      <c r="E4" s="35">
        <f>20.3+102+64.9+57.7+48</f>
        <v>292.89999999999998</v>
      </c>
      <c r="F4" s="41">
        <v>11354.2</v>
      </c>
    </row>
    <row r="5" spans="2:6" ht="15.75" x14ac:dyDescent="0.25">
      <c r="B5" s="33">
        <v>42154</v>
      </c>
      <c r="C5" s="14">
        <v>22690</v>
      </c>
      <c r="D5" s="36" t="s">
        <v>7</v>
      </c>
      <c r="E5" s="35">
        <v>1333.3</v>
      </c>
      <c r="F5" s="41">
        <v>43998.9</v>
      </c>
    </row>
    <row r="6" spans="2:6" ht="15.75" x14ac:dyDescent="0.25">
      <c r="B6" s="33">
        <v>42154</v>
      </c>
      <c r="C6" s="14">
        <v>22693</v>
      </c>
      <c r="D6" s="34" t="s">
        <v>6</v>
      </c>
      <c r="E6" s="35">
        <v>103.2</v>
      </c>
      <c r="F6" s="41">
        <v>3096</v>
      </c>
    </row>
    <row r="7" spans="2:6" ht="15.75" x14ac:dyDescent="0.25">
      <c r="B7" s="33">
        <v>42156</v>
      </c>
      <c r="C7" s="14">
        <v>22885</v>
      </c>
      <c r="D7" s="34" t="s">
        <v>7</v>
      </c>
      <c r="E7" s="35">
        <v>442.2</v>
      </c>
      <c r="F7" s="41">
        <v>15034.8</v>
      </c>
    </row>
    <row r="8" spans="2:6" ht="15.75" x14ac:dyDescent="0.25">
      <c r="B8" s="33">
        <v>42156</v>
      </c>
      <c r="C8" s="14">
        <v>22915</v>
      </c>
      <c r="D8" s="34" t="s">
        <v>9</v>
      </c>
      <c r="E8" s="35">
        <f>116.2+19.3+106.8</f>
        <v>242.3</v>
      </c>
      <c r="F8" s="41">
        <v>8930.2000000000007</v>
      </c>
    </row>
    <row r="9" spans="2:6" ht="15.75" x14ac:dyDescent="0.25">
      <c r="B9" s="33">
        <v>42156</v>
      </c>
      <c r="C9" s="14">
        <v>22916</v>
      </c>
      <c r="D9" s="34" t="s">
        <v>4</v>
      </c>
      <c r="E9" s="35">
        <f>60.8+116.8+27.24+1</f>
        <v>205.84</v>
      </c>
      <c r="F9" s="41">
        <v>10366.64</v>
      </c>
    </row>
    <row r="10" spans="2:6" ht="15.75" x14ac:dyDescent="0.25">
      <c r="B10" s="33">
        <v>42156</v>
      </c>
      <c r="C10" s="14">
        <v>22921</v>
      </c>
      <c r="D10" s="34" t="s">
        <v>10</v>
      </c>
      <c r="E10" s="35">
        <f>11.3+7.5</f>
        <v>18.8</v>
      </c>
      <c r="F10" s="41">
        <v>842.5</v>
      </c>
    </row>
    <row r="11" spans="2:6" ht="15.75" x14ac:dyDescent="0.25">
      <c r="B11" s="33">
        <v>42157</v>
      </c>
      <c r="C11" s="14">
        <v>22985</v>
      </c>
      <c r="D11" s="34" t="s">
        <v>11</v>
      </c>
      <c r="E11" s="35">
        <f>12.4+88.2</f>
        <v>100.60000000000001</v>
      </c>
      <c r="F11" s="41">
        <v>3544.4</v>
      </c>
    </row>
    <row r="12" spans="2:6" ht="15.75" x14ac:dyDescent="0.25">
      <c r="B12" s="33">
        <v>42157</v>
      </c>
      <c r="C12" s="14">
        <v>22986</v>
      </c>
      <c r="D12" s="34" t="s">
        <v>10</v>
      </c>
      <c r="E12" s="35">
        <v>77</v>
      </c>
      <c r="F12" s="41">
        <v>2618</v>
      </c>
    </row>
    <row r="13" spans="2:6" ht="15.75" x14ac:dyDescent="0.25">
      <c r="B13" s="33">
        <v>42157</v>
      </c>
      <c r="C13" s="14">
        <v>22989</v>
      </c>
      <c r="D13" s="34" t="s">
        <v>4</v>
      </c>
      <c r="E13" s="35">
        <f>929+13.6</f>
        <v>942.6</v>
      </c>
      <c r="F13" s="41">
        <v>28003.9</v>
      </c>
    </row>
    <row r="14" spans="2:6" ht="15.75" x14ac:dyDescent="0.25">
      <c r="B14" s="33">
        <v>42157</v>
      </c>
      <c r="C14" s="14">
        <v>22991</v>
      </c>
      <c r="D14" s="34" t="s">
        <v>7</v>
      </c>
      <c r="E14" s="35">
        <v>429</v>
      </c>
      <c r="F14" s="41">
        <v>14586</v>
      </c>
    </row>
    <row r="15" spans="2:6" ht="15.75" x14ac:dyDescent="0.25">
      <c r="B15" s="33">
        <v>42157</v>
      </c>
      <c r="C15" s="14">
        <v>22992</v>
      </c>
      <c r="D15" s="34" t="s">
        <v>17</v>
      </c>
      <c r="E15" s="35">
        <v>123.8</v>
      </c>
      <c r="F15" s="41">
        <v>5199.6000000000004</v>
      </c>
    </row>
    <row r="16" spans="2:6" ht="15.75" x14ac:dyDescent="0.25">
      <c r="B16" s="33">
        <v>42157</v>
      </c>
      <c r="C16" s="14">
        <v>22994</v>
      </c>
      <c r="D16" s="36" t="s">
        <v>6</v>
      </c>
      <c r="E16" s="35">
        <f>59.5+114.6</f>
        <v>174.1</v>
      </c>
      <c r="F16" s="41">
        <v>4747</v>
      </c>
    </row>
    <row r="17" spans="2:6" ht="15.75" x14ac:dyDescent="0.25">
      <c r="B17" s="33">
        <v>42158</v>
      </c>
      <c r="C17" s="14">
        <v>23077</v>
      </c>
      <c r="D17" s="34" t="s">
        <v>9</v>
      </c>
      <c r="E17" s="35">
        <f>29.1+119+118.4+24.1+59.8</f>
        <v>350.40000000000003</v>
      </c>
      <c r="F17" s="41">
        <v>10409.700000000001</v>
      </c>
    </row>
    <row r="18" spans="2:6" ht="15.75" x14ac:dyDescent="0.25">
      <c r="B18" s="33">
        <v>42158</v>
      </c>
      <c r="C18" s="14">
        <v>23078</v>
      </c>
      <c r="D18" s="34" t="s">
        <v>7</v>
      </c>
      <c r="E18" s="35">
        <v>423.6</v>
      </c>
      <c r="F18" s="41">
        <v>14402.4</v>
      </c>
    </row>
    <row r="19" spans="2:6" ht="15.75" x14ac:dyDescent="0.25">
      <c r="B19" s="33">
        <v>42158</v>
      </c>
      <c r="C19" s="14">
        <v>23079</v>
      </c>
      <c r="D19" s="34" t="s">
        <v>11</v>
      </c>
      <c r="E19" s="35">
        <f>7.9+5.6+82.6</f>
        <v>96.1</v>
      </c>
      <c r="F19" s="41">
        <v>3436</v>
      </c>
    </row>
    <row r="20" spans="2:6" ht="15.75" x14ac:dyDescent="0.25">
      <c r="B20" s="33">
        <v>42158</v>
      </c>
      <c r="C20" s="14">
        <v>23080</v>
      </c>
      <c r="D20" s="34" t="s">
        <v>6</v>
      </c>
      <c r="E20" s="35">
        <f>136.2+17.9+60.2</f>
        <v>214.3</v>
      </c>
      <c r="F20" s="41">
        <v>8870.08</v>
      </c>
    </row>
    <row r="21" spans="2:6" ht="15.75" x14ac:dyDescent="0.25">
      <c r="B21" s="33">
        <v>42158</v>
      </c>
      <c r="C21" s="14">
        <v>23081</v>
      </c>
      <c r="D21" s="34" t="s">
        <v>17</v>
      </c>
      <c r="E21" s="35">
        <v>189</v>
      </c>
      <c r="F21" s="41">
        <v>7938</v>
      </c>
    </row>
    <row r="22" spans="2:6" x14ac:dyDescent="0.25">
      <c r="B22" s="33">
        <v>42159</v>
      </c>
      <c r="C22" s="12">
        <v>23155</v>
      </c>
      <c r="D22" s="34" t="s">
        <v>17</v>
      </c>
      <c r="E22" s="35">
        <f>248+240.8</f>
        <v>488.8</v>
      </c>
      <c r="F22" s="41">
        <v>17553.599999999999</v>
      </c>
    </row>
    <row r="23" spans="2:6" ht="15.75" x14ac:dyDescent="0.25">
      <c r="B23" s="33">
        <v>42159</v>
      </c>
      <c r="C23" s="14">
        <v>23156</v>
      </c>
      <c r="D23" s="34" t="s">
        <v>6</v>
      </c>
      <c r="E23" s="35">
        <v>96.2</v>
      </c>
      <c r="F23" s="41">
        <v>2886</v>
      </c>
    </row>
    <row r="24" spans="2:6" ht="15.75" x14ac:dyDescent="0.25">
      <c r="B24" s="33">
        <v>42159</v>
      </c>
      <c r="C24" s="14">
        <v>23157</v>
      </c>
      <c r="D24" s="34" t="s">
        <v>11</v>
      </c>
      <c r="E24" s="35">
        <v>86.4</v>
      </c>
      <c r="F24" s="41">
        <v>3024</v>
      </c>
    </row>
    <row r="25" spans="2:6" ht="15.75" x14ac:dyDescent="0.25">
      <c r="B25" s="33">
        <v>42159</v>
      </c>
      <c r="C25" s="14">
        <v>23158</v>
      </c>
      <c r="D25" s="34" t="s">
        <v>10</v>
      </c>
      <c r="E25" s="35">
        <f>83+27.24+33.5+23.4</f>
        <v>167.14000000000001</v>
      </c>
      <c r="F25" s="41">
        <v>5088.6400000000003</v>
      </c>
    </row>
    <row r="26" spans="2:6" ht="15.75" x14ac:dyDescent="0.25">
      <c r="B26" s="33">
        <v>42160</v>
      </c>
      <c r="C26" s="14">
        <v>23261</v>
      </c>
      <c r="D26" s="34" t="s">
        <v>11</v>
      </c>
      <c r="E26" s="35">
        <f>16.5+152.2</f>
        <v>168.7</v>
      </c>
      <c r="F26" s="41">
        <v>6036.5</v>
      </c>
    </row>
    <row r="27" spans="2:6" ht="15.75" x14ac:dyDescent="0.25">
      <c r="B27" s="33">
        <v>42160</v>
      </c>
      <c r="C27" s="14">
        <v>23262</v>
      </c>
      <c r="D27" s="34" t="s">
        <v>16</v>
      </c>
      <c r="E27" s="35">
        <f>158.2+105</f>
        <v>263.2</v>
      </c>
      <c r="F27" s="41">
        <v>8687</v>
      </c>
    </row>
    <row r="28" spans="2:6" ht="15.75" x14ac:dyDescent="0.25">
      <c r="B28" s="33">
        <v>42160</v>
      </c>
      <c r="C28" s="14">
        <v>23263</v>
      </c>
      <c r="D28" s="34" t="s">
        <v>6</v>
      </c>
      <c r="E28" s="35">
        <v>317</v>
      </c>
      <c r="F28" s="41">
        <v>11085</v>
      </c>
    </row>
    <row r="29" spans="2:6" ht="15.75" x14ac:dyDescent="0.25">
      <c r="B29" s="33">
        <v>42160</v>
      </c>
      <c r="C29" s="14">
        <v>23264</v>
      </c>
      <c r="D29" s="34" t="s">
        <v>10</v>
      </c>
      <c r="E29" s="35">
        <f>73.4+1</f>
        <v>74.400000000000006</v>
      </c>
      <c r="F29" s="41">
        <v>2922</v>
      </c>
    </row>
    <row r="30" spans="2:6" ht="15.75" x14ac:dyDescent="0.25">
      <c r="B30" s="33">
        <v>42160</v>
      </c>
      <c r="C30" s="14">
        <v>23265</v>
      </c>
      <c r="D30" s="34" t="s">
        <v>5</v>
      </c>
      <c r="E30" s="35">
        <v>374.3</v>
      </c>
      <c r="F30" s="41">
        <v>13100.5</v>
      </c>
    </row>
    <row r="31" spans="2:6" x14ac:dyDescent="0.25">
      <c r="B31" s="33">
        <v>42160</v>
      </c>
      <c r="C31" s="12">
        <v>23266</v>
      </c>
      <c r="D31" s="36" t="s">
        <v>7</v>
      </c>
      <c r="E31" s="35">
        <v>775.3</v>
      </c>
      <c r="F31" s="41">
        <v>27135.5</v>
      </c>
    </row>
    <row r="32" spans="2:6" ht="15.75" x14ac:dyDescent="0.25">
      <c r="B32" s="33">
        <v>42160</v>
      </c>
      <c r="C32" s="14">
        <v>23267</v>
      </c>
      <c r="D32" s="34" t="s">
        <v>17</v>
      </c>
      <c r="E32" s="35">
        <f>130.8+390</f>
        <v>520.79999999999995</v>
      </c>
      <c r="F32" s="41">
        <v>17342.400000000001</v>
      </c>
    </row>
    <row r="33" spans="2:6" x14ac:dyDescent="0.25">
      <c r="B33" s="33">
        <v>42161</v>
      </c>
      <c r="C33" s="12">
        <v>23364</v>
      </c>
      <c r="D33" s="34" t="s">
        <v>9</v>
      </c>
      <c r="E33" s="35">
        <f>403.4+19.4+287.4</f>
        <v>710.19999999999993</v>
      </c>
      <c r="F33" s="41">
        <v>26075.4</v>
      </c>
    </row>
    <row r="34" spans="2:6" x14ac:dyDescent="0.25">
      <c r="B34" s="33">
        <v>42161</v>
      </c>
      <c r="C34" s="12">
        <v>23365</v>
      </c>
      <c r="D34" s="34" t="s">
        <v>7</v>
      </c>
      <c r="E34" s="35">
        <v>420.8</v>
      </c>
      <c r="F34" s="41">
        <v>15148.8</v>
      </c>
    </row>
    <row r="35" spans="2:6" x14ac:dyDescent="0.25">
      <c r="B35" s="33">
        <v>42161</v>
      </c>
      <c r="C35" s="12">
        <v>23366</v>
      </c>
      <c r="D35" s="34" t="s">
        <v>11</v>
      </c>
      <c r="E35" s="35">
        <v>252.8</v>
      </c>
      <c r="F35" s="41">
        <v>9100.7999999999993</v>
      </c>
    </row>
    <row r="36" spans="2:6" x14ac:dyDescent="0.25">
      <c r="B36" s="33">
        <v>42161</v>
      </c>
      <c r="C36" s="12">
        <v>23367</v>
      </c>
      <c r="D36" s="34" t="s">
        <v>4</v>
      </c>
      <c r="E36" s="35">
        <v>72.599999999999994</v>
      </c>
      <c r="F36" s="41">
        <v>3775.2</v>
      </c>
    </row>
    <row r="37" spans="2:6" ht="15.75" thickBot="1" x14ac:dyDescent="0.3">
      <c r="B37" s="9">
        <v>42161</v>
      </c>
      <c r="C37" s="29">
        <v>23368</v>
      </c>
      <c r="D37" s="4" t="s">
        <v>6</v>
      </c>
      <c r="E37" s="42">
        <f>131.8+21.9+27.2</f>
        <v>180.9</v>
      </c>
      <c r="F37" s="45">
        <v>6859</v>
      </c>
    </row>
    <row r="38" spans="2:6" ht="15.75" thickBot="1" x14ac:dyDescent="0.3">
      <c r="B38" s="16"/>
      <c r="C38" s="17"/>
      <c r="D38" s="18"/>
      <c r="E38" s="44">
        <v>0</v>
      </c>
      <c r="F38" s="43">
        <f>SUM(F3:F37)</f>
        <v>407770.96</v>
      </c>
    </row>
    <row r="39" spans="2:6" ht="19.5" thickBot="1" x14ac:dyDescent="0.35">
      <c r="B39" s="19"/>
      <c r="C39" s="20"/>
      <c r="D39" s="23" t="s">
        <v>3</v>
      </c>
      <c r="E39" s="25">
        <f>SUM(E3:E38)</f>
        <v>11703.679999999998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2340.7359999999999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F41"/>
  <sheetViews>
    <sheetView workbookViewId="0">
      <selection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23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30"/>
      <c r="C3" s="13">
        <v>23547</v>
      </c>
      <c r="D3" s="31" t="s">
        <v>6</v>
      </c>
      <c r="E3" s="32">
        <v>108</v>
      </c>
      <c r="F3" s="41">
        <v>2160</v>
      </c>
    </row>
    <row r="4" spans="2:6" ht="15.75" x14ac:dyDescent="0.25">
      <c r="B4" s="33">
        <v>42163</v>
      </c>
      <c r="C4" s="14">
        <v>23549</v>
      </c>
      <c r="D4" s="34" t="s">
        <v>11</v>
      </c>
      <c r="E4" s="35">
        <v>69.2</v>
      </c>
      <c r="F4" s="41">
        <v>2560.4</v>
      </c>
    </row>
    <row r="5" spans="2:6" ht="15.75" x14ac:dyDescent="0.25">
      <c r="B5" s="33">
        <v>42163</v>
      </c>
      <c r="C5" s="14">
        <v>23550</v>
      </c>
      <c r="D5" s="36" t="s">
        <v>16</v>
      </c>
      <c r="E5" s="35">
        <v>70.599999999999994</v>
      </c>
      <c r="F5" s="41">
        <v>2612.1999999999998</v>
      </c>
    </row>
    <row r="6" spans="2:6" ht="15.75" x14ac:dyDescent="0.25">
      <c r="B6" s="33">
        <v>42163</v>
      </c>
      <c r="C6" s="14">
        <v>23551</v>
      </c>
      <c r="D6" s="34" t="s">
        <v>5</v>
      </c>
      <c r="E6" s="35">
        <v>72.8</v>
      </c>
      <c r="F6" s="41">
        <v>2693.6</v>
      </c>
    </row>
    <row r="7" spans="2:6" ht="15.75" x14ac:dyDescent="0.25">
      <c r="B7" s="33">
        <v>42163</v>
      </c>
      <c r="C7" s="14">
        <v>23552</v>
      </c>
      <c r="D7" s="34" t="s">
        <v>7</v>
      </c>
      <c r="E7" s="35">
        <v>148.80000000000001</v>
      </c>
      <c r="F7" s="41">
        <v>5505.6</v>
      </c>
    </row>
    <row r="8" spans="2:6" ht="15.75" x14ac:dyDescent="0.25">
      <c r="B8" s="33">
        <v>42164</v>
      </c>
      <c r="C8" s="14">
        <v>23660</v>
      </c>
      <c r="D8" s="34" t="s">
        <v>4</v>
      </c>
      <c r="E8" s="35">
        <f>948.9+13.6</f>
        <v>962.5</v>
      </c>
      <c r="F8" s="41">
        <v>27533.25</v>
      </c>
    </row>
    <row r="9" spans="2:6" ht="15.75" x14ac:dyDescent="0.25">
      <c r="B9" s="33">
        <v>42164</v>
      </c>
      <c r="C9" s="14">
        <v>23661</v>
      </c>
      <c r="D9" s="34" t="s">
        <v>16</v>
      </c>
      <c r="E9" s="35">
        <v>207.8</v>
      </c>
      <c r="F9" s="41">
        <v>6130.1</v>
      </c>
    </row>
    <row r="10" spans="2:6" ht="15.75" x14ac:dyDescent="0.25">
      <c r="B10" s="33">
        <v>42164</v>
      </c>
      <c r="C10" s="14">
        <v>23663</v>
      </c>
      <c r="D10" s="34" t="s">
        <v>6</v>
      </c>
      <c r="E10" s="35">
        <v>76</v>
      </c>
      <c r="F10" s="41">
        <v>3040</v>
      </c>
    </row>
    <row r="11" spans="2:6" ht="15.75" x14ac:dyDescent="0.25">
      <c r="B11" s="33">
        <v>42164</v>
      </c>
      <c r="C11" s="14">
        <v>23664</v>
      </c>
      <c r="D11" s="34" t="s">
        <v>11</v>
      </c>
      <c r="E11" s="35">
        <v>48.8</v>
      </c>
      <c r="F11" s="41">
        <v>2244.8000000000002</v>
      </c>
    </row>
    <row r="12" spans="2:6" ht="15.75" x14ac:dyDescent="0.25">
      <c r="B12" s="33">
        <v>42164</v>
      </c>
      <c r="C12" s="14">
        <v>23665</v>
      </c>
      <c r="D12" s="34" t="s">
        <v>5</v>
      </c>
      <c r="E12" s="35">
        <v>162</v>
      </c>
      <c r="F12" s="41">
        <v>5994</v>
      </c>
    </row>
    <row r="13" spans="2:6" ht="15.75" x14ac:dyDescent="0.25">
      <c r="B13" s="33">
        <v>42164</v>
      </c>
      <c r="C13" s="14">
        <v>23666</v>
      </c>
      <c r="D13" s="34" t="s">
        <v>7</v>
      </c>
      <c r="E13" s="35">
        <v>253.4</v>
      </c>
      <c r="F13" s="41">
        <v>9375.7999999999993</v>
      </c>
    </row>
    <row r="14" spans="2:6" ht="15.75" x14ac:dyDescent="0.25">
      <c r="B14" s="33">
        <v>42165</v>
      </c>
      <c r="C14" s="14">
        <v>23726</v>
      </c>
      <c r="D14" s="34" t="s">
        <v>17</v>
      </c>
      <c r="E14" s="35">
        <v>862.59</v>
      </c>
      <c r="F14" s="41">
        <v>23289.93</v>
      </c>
    </row>
    <row r="15" spans="2:6" ht="15.75" x14ac:dyDescent="0.25">
      <c r="B15" s="33">
        <v>42165</v>
      </c>
      <c r="C15" s="14">
        <v>23727</v>
      </c>
      <c r="D15" s="34" t="s">
        <v>6</v>
      </c>
      <c r="E15" s="35">
        <v>136.19999999999999</v>
      </c>
      <c r="F15" s="41">
        <v>6265.2</v>
      </c>
    </row>
    <row r="16" spans="2:6" ht="15.75" x14ac:dyDescent="0.25">
      <c r="B16" s="33">
        <v>42165</v>
      </c>
      <c r="C16" s="14">
        <v>23731</v>
      </c>
      <c r="D16" s="36" t="s">
        <v>7</v>
      </c>
      <c r="E16" s="35">
        <v>386.8</v>
      </c>
      <c r="F16" s="41">
        <v>14311.6</v>
      </c>
    </row>
    <row r="17" spans="2:6" ht="15.75" x14ac:dyDescent="0.25">
      <c r="B17" s="33">
        <v>42165</v>
      </c>
      <c r="C17" s="14">
        <v>23732</v>
      </c>
      <c r="D17" s="34" t="s">
        <v>16</v>
      </c>
      <c r="E17" s="35">
        <v>87.2</v>
      </c>
      <c r="F17" s="41">
        <v>3226.4</v>
      </c>
    </row>
    <row r="18" spans="2:6" ht="15.75" x14ac:dyDescent="0.25">
      <c r="B18" s="33">
        <v>42165</v>
      </c>
      <c r="C18" s="14">
        <v>23735</v>
      </c>
      <c r="D18" s="34" t="s">
        <v>11</v>
      </c>
      <c r="E18" s="35">
        <f>11.2+49.2+84.2</f>
        <v>144.60000000000002</v>
      </c>
      <c r="F18" s="41">
        <v>5647.4</v>
      </c>
    </row>
    <row r="19" spans="2:6" ht="15.75" x14ac:dyDescent="0.25">
      <c r="B19" s="33">
        <v>42166</v>
      </c>
      <c r="C19" s="46">
        <v>23828</v>
      </c>
      <c r="D19" s="34" t="s">
        <v>17</v>
      </c>
      <c r="E19" s="35">
        <f>104+16+4</f>
        <v>124</v>
      </c>
      <c r="F19" s="41">
        <v>21428</v>
      </c>
    </row>
    <row r="20" spans="2:6" ht="15.75" x14ac:dyDescent="0.25">
      <c r="B20" s="33">
        <v>42166</v>
      </c>
      <c r="C20" s="14">
        <v>23829</v>
      </c>
      <c r="D20" s="34" t="s">
        <v>6</v>
      </c>
      <c r="E20" s="35">
        <f>115.2+132.8</f>
        <v>248</v>
      </c>
      <c r="F20" s="41">
        <v>5616</v>
      </c>
    </row>
    <row r="21" spans="2:6" ht="15.75" x14ac:dyDescent="0.25">
      <c r="B21" s="33">
        <v>42166</v>
      </c>
      <c r="C21" s="14">
        <v>23830</v>
      </c>
      <c r="D21" s="34" t="s">
        <v>11</v>
      </c>
      <c r="E21" s="35">
        <v>32.4</v>
      </c>
      <c r="F21" s="41">
        <v>1879.2</v>
      </c>
    </row>
    <row r="22" spans="2:6" x14ac:dyDescent="0.25">
      <c r="B22" s="33">
        <v>42166</v>
      </c>
      <c r="C22" s="12">
        <v>23832</v>
      </c>
      <c r="D22" s="34" t="s">
        <v>10</v>
      </c>
      <c r="E22" s="35">
        <v>88.6</v>
      </c>
      <c r="F22" s="41">
        <v>3278.2</v>
      </c>
    </row>
    <row r="23" spans="2:6" ht="15.75" x14ac:dyDescent="0.25">
      <c r="B23" s="33">
        <v>42166</v>
      </c>
      <c r="C23" s="14">
        <v>23833</v>
      </c>
      <c r="D23" s="34" t="s">
        <v>7</v>
      </c>
      <c r="E23" s="35">
        <v>310.8</v>
      </c>
      <c r="F23" s="41">
        <v>11499.6</v>
      </c>
    </row>
    <row r="24" spans="2:6" ht="15.75" x14ac:dyDescent="0.25">
      <c r="B24" s="33">
        <v>42167</v>
      </c>
      <c r="C24" s="14">
        <v>23942</v>
      </c>
      <c r="D24" s="34" t="s">
        <v>4</v>
      </c>
      <c r="E24" s="35">
        <f>931.7+81.72+27.2+13.6+40.2+124.4+105.6+37</f>
        <v>1361.42</v>
      </c>
      <c r="F24" s="41">
        <v>39444.019999999997</v>
      </c>
    </row>
    <row r="25" spans="2:6" ht="15.75" x14ac:dyDescent="0.25">
      <c r="B25" s="33">
        <v>42167</v>
      </c>
      <c r="C25" s="14">
        <v>23943</v>
      </c>
      <c r="D25" s="34" t="s">
        <v>17</v>
      </c>
      <c r="E25" s="35">
        <v>392.8</v>
      </c>
      <c r="F25" s="41">
        <v>11194.8</v>
      </c>
    </row>
    <row r="26" spans="2:6" ht="15.75" x14ac:dyDescent="0.25">
      <c r="B26" s="33">
        <v>42167</v>
      </c>
      <c r="C26" s="14">
        <v>23944</v>
      </c>
      <c r="D26" s="34" t="s">
        <v>6</v>
      </c>
      <c r="E26" s="35">
        <f>128.8+5</f>
        <v>133.80000000000001</v>
      </c>
      <c r="F26" s="41">
        <v>5918.4</v>
      </c>
    </row>
    <row r="27" spans="2:6" ht="15.75" x14ac:dyDescent="0.25">
      <c r="B27" s="33">
        <v>42167</v>
      </c>
      <c r="C27" s="14">
        <v>23945</v>
      </c>
      <c r="D27" s="34" t="s">
        <v>10</v>
      </c>
      <c r="E27" s="35">
        <f>33.2+25.6</f>
        <v>58.800000000000004</v>
      </c>
      <c r="F27" s="41">
        <v>1339.2</v>
      </c>
    </row>
    <row r="28" spans="2:6" ht="15.75" x14ac:dyDescent="0.25">
      <c r="B28" s="33">
        <v>42167</v>
      </c>
      <c r="C28" s="46">
        <v>23946</v>
      </c>
      <c r="D28" s="34" t="s">
        <v>7</v>
      </c>
      <c r="E28" s="35">
        <v>841.4</v>
      </c>
      <c r="F28" s="41">
        <v>31552.5</v>
      </c>
    </row>
    <row r="29" spans="2:6" ht="15.75" x14ac:dyDescent="0.25">
      <c r="B29" s="33">
        <v>42168</v>
      </c>
      <c r="C29" s="14">
        <v>24049</v>
      </c>
      <c r="D29" s="34" t="s">
        <v>17</v>
      </c>
      <c r="E29" s="35">
        <f>928.5+265.4</f>
        <v>1193.9000000000001</v>
      </c>
      <c r="F29" s="41">
        <v>37277.9</v>
      </c>
    </row>
    <row r="30" spans="2:6" ht="15.75" x14ac:dyDescent="0.25">
      <c r="B30" s="33">
        <v>42168</v>
      </c>
      <c r="C30" s="14">
        <v>24050</v>
      </c>
      <c r="D30" s="34" t="s">
        <v>11</v>
      </c>
      <c r="E30" s="35">
        <f>15.3+267.8</f>
        <v>283.10000000000002</v>
      </c>
      <c r="F30" s="41">
        <v>10409.700000000001</v>
      </c>
    </row>
    <row r="31" spans="2:6" x14ac:dyDescent="0.25">
      <c r="B31" s="33">
        <v>42168</v>
      </c>
      <c r="C31" s="12">
        <v>24051</v>
      </c>
      <c r="D31" s="36" t="s">
        <v>9</v>
      </c>
      <c r="E31" s="35">
        <f>22.8+230.8+157.6</f>
        <v>411.20000000000005</v>
      </c>
      <c r="F31" s="41">
        <v>14732</v>
      </c>
    </row>
    <row r="32" spans="2:6" ht="15.75" x14ac:dyDescent="0.25">
      <c r="B32" s="33">
        <v>42168</v>
      </c>
      <c r="C32" s="14">
        <v>24052</v>
      </c>
      <c r="D32" s="34" t="s">
        <v>6</v>
      </c>
      <c r="E32" s="35">
        <f>16.69+36.88+27.22+35.6</f>
        <v>116.39000000000001</v>
      </c>
      <c r="F32" s="41">
        <v>6797.84</v>
      </c>
    </row>
    <row r="33" spans="2:6" x14ac:dyDescent="0.25">
      <c r="B33" s="33">
        <v>42168</v>
      </c>
      <c r="C33" s="12">
        <v>24053</v>
      </c>
      <c r="D33" s="34" t="s">
        <v>4</v>
      </c>
      <c r="E33" s="35">
        <v>541.39</v>
      </c>
      <c r="F33" s="41">
        <v>14888.22</v>
      </c>
    </row>
    <row r="34" spans="2:6" x14ac:dyDescent="0.25">
      <c r="B34" s="33">
        <v>42168</v>
      </c>
      <c r="C34" s="12">
        <v>24054</v>
      </c>
      <c r="D34" s="34" t="s">
        <v>16</v>
      </c>
      <c r="E34" s="35">
        <v>271</v>
      </c>
      <c r="F34" s="41">
        <v>10162.5</v>
      </c>
    </row>
    <row r="35" spans="2:6" x14ac:dyDescent="0.25">
      <c r="B35" s="33"/>
      <c r="C35" s="12"/>
      <c r="D35" s="34"/>
      <c r="E35" s="35"/>
    </row>
    <row r="36" spans="2:6" x14ac:dyDescent="0.25">
      <c r="B36" s="33"/>
      <c r="C36" s="12"/>
      <c r="D36" s="34"/>
      <c r="E36" s="35"/>
    </row>
    <row r="37" spans="2:6" ht="15.75" thickBot="1" x14ac:dyDescent="0.3">
      <c r="B37" s="9"/>
      <c r="C37" s="29"/>
      <c r="D37" s="4"/>
      <c r="E37" s="42"/>
      <c r="F37" s="45">
        <v>0</v>
      </c>
    </row>
    <row r="38" spans="2:6" ht="15.75" thickBot="1" x14ac:dyDescent="0.3">
      <c r="B38" s="16"/>
      <c r="C38" s="17"/>
      <c r="D38" s="18"/>
      <c r="E38" s="44">
        <v>0</v>
      </c>
      <c r="F38" s="43">
        <f>SUM(F3:F37)</f>
        <v>350008.36</v>
      </c>
    </row>
    <row r="39" spans="2:6" ht="19.5" thickBot="1" x14ac:dyDescent="0.35">
      <c r="B39" s="19"/>
      <c r="C39" s="20"/>
      <c r="D39" s="23" t="s">
        <v>3</v>
      </c>
      <c r="E39" s="25">
        <f>SUM(E3:E38)</f>
        <v>10206.290000000001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2041.2580000000003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F41"/>
  <sheetViews>
    <sheetView topLeftCell="A25" workbookViewId="0">
      <selection activeCell="D49" sqref="D4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25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42169</v>
      </c>
      <c r="C3" s="49">
        <v>24186</v>
      </c>
      <c r="D3" s="50" t="s">
        <v>17</v>
      </c>
      <c r="E3" s="51">
        <v>944.4</v>
      </c>
      <c r="F3" s="52">
        <v>25971</v>
      </c>
    </row>
    <row r="4" spans="2:6" ht="15.75" x14ac:dyDescent="0.25">
      <c r="B4" s="53">
        <v>42170</v>
      </c>
      <c r="C4" s="54">
        <v>24231</v>
      </c>
      <c r="D4" s="36" t="s">
        <v>4</v>
      </c>
      <c r="E4" s="55">
        <f>13.61+137+43.1</f>
        <v>193.71</v>
      </c>
      <c r="F4" s="52">
        <v>3962.24</v>
      </c>
    </row>
    <row r="5" spans="2:6" ht="15.75" x14ac:dyDescent="0.25">
      <c r="B5" s="53">
        <v>42170</v>
      </c>
      <c r="C5" s="54">
        <v>24232</v>
      </c>
      <c r="D5" s="36" t="s">
        <v>6</v>
      </c>
      <c r="E5" s="55">
        <v>410.6</v>
      </c>
      <c r="F5" s="52">
        <v>15397.5</v>
      </c>
    </row>
    <row r="6" spans="2:6" ht="15.75" x14ac:dyDescent="0.25">
      <c r="B6" s="53">
        <v>42170</v>
      </c>
      <c r="C6" s="54">
        <v>24234</v>
      </c>
      <c r="D6" s="36" t="s">
        <v>7</v>
      </c>
      <c r="E6" s="55">
        <v>415.3</v>
      </c>
      <c r="F6" s="52">
        <v>15573.75</v>
      </c>
    </row>
    <row r="7" spans="2:6" ht="15.75" x14ac:dyDescent="0.25">
      <c r="B7" s="53">
        <v>42170</v>
      </c>
      <c r="C7" s="54">
        <v>24262</v>
      </c>
      <c r="D7" s="36" t="s">
        <v>14</v>
      </c>
      <c r="E7" s="55">
        <v>142.80000000000001</v>
      </c>
      <c r="F7" s="52">
        <v>5426.4</v>
      </c>
    </row>
    <row r="8" spans="2:6" ht="15.75" x14ac:dyDescent="0.25">
      <c r="B8" s="53">
        <v>42171</v>
      </c>
      <c r="C8" s="54">
        <v>24344</v>
      </c>
      <c r="D8" s="36" t="s">
        <v>7</v>
      </c>
      <c r="E8" s="55">
        <v>230.8</v>
      </c>
      <c r="F8" s="52">
        <v>6577.8</v>
      </c>
    </row>
    <row r="9" spans="2:6" ht="15.75" x14ac:dyDescent="0.25">
      <c r="B9" s="53">
        <v>42171</v>
      </c>
      <c r="C9" s="54">
        <v>24345</v>
      </c>
      <c r="D9" s="36" t="s">
        <v>16</v>
      </c>
      <c r="E9" s="55">
        <v>27.24</v>
      </c>
      <c r="F9" s="52">
        <v>1253.04</v>
      </c>
    </row>
    <row r="10" spans="2:6" ht="15.75" x14ac:dyDescent="0.25">
      <c r="B10" s="53">
        <v>42171</v>
      </c>
      <c r="C10" s="54">
        <v>24346</v>
      </c>
      <c r="D10" s="36" t="s">
        <v>6</v>
      </c>
      <c r="E10" s="55">
        <f>327.7+69.4+127.2</f>
        <v>524.30000000000007</v>
      </c>
      <c r="F10" s="52">
        <v>19236.900000000001</v>
      </c>
    </row>
    <row r="11" spans="2:6" ht="15.75" x14ac:dyDescent="0.25">
      <c r="B11" s="53">
        <v>42171</v>
      </c>
      <c r="C11" s="54">
        <v>24347</v>
      </c>
      <c r="D11" s="36" t="s">
        <v>14</v>
      </c>
      <c r="E11" s="55">
        <v>158.19999999999999</v>
      </c>
      <c r="F11" s="52">
        <v>6011.6</v>
      </c>
    </row>
    <row r="12" spans="2:6" ht="15.75" x14ac:dyDescent="0.25">
      <c r="B12" s="53">
        <v>42171</v>
      </c>
      <c r="C12" s="54">
        <v>24348</v>
      </c>
      <c r="D12" s="36" t="s">
        <v>10</v>
      </c>
      <c r="E12" s="55">
        <v>90.6</v>
      </c>
      <c r="F12" s="52">
        <v>3352.2</v>
      </c>
    </row>
    <row r="13" spans="2:6" ht="15.75" x14ac:dyDescent="0.25">
      <c r="B13" s="53">
        <v>42172</v>
      </c>
      <c r="C13" s="54">
        <v>24407</v>
      </c>
      <c r="D13" s="36" t="s">
        <v>6</v>
      </c>
      <c r="E13" s="55">
        <v>204.6</v>
      </c>
      <c r="F13" s="52">
        <v>9207</v>
      </c>
    </row>
    <row r="14" spans="2:6" ht="15.75" x14ac:dyDescent="0.25">
      <c r="B14" s="53">
        <v>42172</v>
      </c>
      <c r="C14" s="54">
        <v>24408</v>
      </c>
      <c r="D14" s="36" t="s">
        <v>4</v>
      </c>
      <c r="E14" s="55">
        <v>39</v>
      </c>
      <c r="F14" s="52">
        <v>1755</v>
      </c>
    </row>
    <row r="15" spans="2:6" ht="15.75" x14ac:dyDescent="0.25">
      <c r="B15" s="53">
        <v>42172</v>
      </c>
      <c r="C15" s="54">
        <v>24411</v>
      </c>
      <c r="D15" s="36" t="s">
        <v>5</v>
      </c>
      <c r="E15" s="55">
        <v>197.4</v>
      </c>
      <c r="F15" s="52">
        <v>7303.8</v>
      </c>
    </row>
    <row r="16" spans="2:6" ht="15.75" x14ac:dyDescent="0.25">
      <c r="B16" s="53">
        <v>42172</v>
      </c>
      <c r="C16" s="54">
        <v>24412</v>
      </c>
      <c r="D16" s="36" t="s">
        <v>9</v>
      </c>
      <c r="E16" s="55">
        <v>347.2</v>
      </c>
      <c r="F16" s="52">
        <v>12846.4</v>
      </c>
    </row>
    <row r="17" spans="2:6" ht="15.75" x14ac:dyDescent="0.25">
      <c r="B17" s="53">
        <v>42173</v>
      </c>
      <c r="C17" s="54">
        <v>24526</v>
      </c>
      <c r="D17" s="36" t="s">
        <v>9</v>
      </c>
      <c r="E17" s="55">
        <f>27.8+268.8+57.5</f>
        <v>354.1</v>
      </c>
      <c r="F17" s="52">
        <v>11145.5</v>
      </c>
    </row>
    <row r="18" spans="2:6" ht="15.75" x14ac:dyDescent="0.25">
      <c r="B18" s="53">
        <v>42173</v>
      </c>
      <c r="C18" s="54">
        <v>24528</v>
      </c>
      <c r="D18" s="36" t="s">
        <v>16</v>
      </c>
      <c r="E18" s="55">
        <v>43.3</v>
      </c>
      <c r="F18" s="52">
        <v>1905.2</v>
      </c>
    </row>
    <row r="19" spans="2:6" ht="15.75" x14ac:dyDescent="0.25">
      <c r="B19" s="53">
        <v>42173</v>
      </c>
      <c r="C19" s="54">
        <v>24529</v>
      </c>
      <c r="D19" s="36" t="s">
        <v>26</v>
      </c>
      <c r="E19" s="55">
        <f>70.4+13.6+6.6</f>
        <v>90.6</v>
      </c>
      <c r="F19" s="52">
        <v>3402.4</v>
      </c>
    </row>
    <row r="20" spans="2:6" ht="15.75" x14ac:dyDescent="0.25">
      <c r="B20" s="53">
        <v>42234</v>
      </c>
      <c r="C20" s="54">
        <v>24530</v>
      </c>
      <c r="D20" s="36" t="s">
        <v>7</v>
      </c>
      <c r="E20" s="55">
        <v>321</v>
      </c>
      <c r="F20" s="52">
        <v>11877</v>
      </c>
    </row>
    <row r="21" spans="2:6" ht="15.75" x14ac:dyDescent="0.25">
      <c r="B21" s="53">
        <v>42173</v>
      </c>
      <c r="C21" s="54">
        <v>24531</v>
      </c>
      <c r="D21" s="36" t="s">
        <v>6</v>
      </c>
      <c r="E21" s="55">
        <f>323.6+245.8</f>
        <v>569.40000000000009</v>
      </c>
      <c r="F21" s="52">
        <v>23034.2</v>
      </c>
    </row>
    <row r="22" spans="2:6" x14ac:dyDescent="0.25">
      <c r="B22" s="53">
        <v>42173</v>
      </c>
      <c r="C22" s="56">
        <v>24532</v>
      </c>
      <c r="D22" s="36" t="s">
        <v>17</v>
      </c>
      <c r="E22" s="55">
        <f>135+260</f>
        <v>395</v>
      </c>
      <c r="F22" s="52">
        <v>13750</v>
      </c>
    </row>
    <row r="23" spans="2:6" ht="15.75" x14ac:dyDescent="0.25">
      <c r="B23" s="53">
        <v>42173</v>
      </c>
      <c r="C23" s="54">
        <v>24533</v>
      </c>
      <c r="D23" s="36" t="s">
        <v>4</v>
      </c>
      <c r="E23" s="55">
        <v>847.62</v>
      </c>
      <c r="F23" s="52">
        <v>22885.74</v>
      </c>
    </row>
    <row r="24" spans="2:6" ht="15.75" x14ac:dyDescent="0.25">
      <c r="B24" s="53">
        <v>42173</v>
      </c>
      <c r="C24" s="54">
        <v>24534</v>
      </c>
      <c r="D24" s="36" t="s">
        <v>10</v>
      </c>
      <c r="E24" s="55">
        <f>24.2+80.2+27.24</f>
        <v>131.64000000000001</v>
      </c>
      <c r="F24" s="52">
        <v>4631.84</v>
      </c>
    </row>
    <row r="25" spans="2:6" ht="15.75" x14ac:dyDescent="0.25">
      <c r="B25" s="53">
        <v>42174</v>
      </c>
      <c r="C25" s="54">
        <v>24629</v>
      </c>
      <c r="D25" s="36" t="s">
        <v>6</v>
      </c>
      <c r="E25" s="55">
        <v>136.19999999999999</v>
      </c>
      <c r="F25" s="52">
        <v>6265.2</v>
      </c>
    </row>
    <row r="26" spans="2:6" ht="15.75" x14ac:dyDescent="0.25">
      <c r="B26" s="53">
        <v>42174</v>
      </c>
      <c r="C26" s="54">
        <v>24630</v>
      </c>
      <c r="D26" s="36" t="s">
        <v>16</v>
      </c>
      <c r="E26" s="55">
        <f>103.2+91</f>
        <v>194.2</v>
      </c>
      <c r="F26" s="52">
        <v>7907.8</v>
      </c>
    </row>
    <row r="27" spans="2:6" ht="15.75" x14ac:dyDescent="0.25">
      <c r="B27" s="53">
        <v>42174</v>
      </c>
      <c r="C27" s="54">
        <v>24632</v>
      </c>
      <c r="D27" s="36" t="s">
        <v>11</v>
      </c>
      <c r="E27" s="55">
        <v>162.6</v>
      </c>
      <c r="F27" s="52">
        <v>6178.8</v>
      </c>
    </row>
    <row r="28" spans="2:6" ht="15.75" x14ac:dyDescent="0.25">
      <c r="B28" s="53">
        <v>42174</v>
      </c>
      <c r="C28" s="54">
        <v>24634</v>
      </c>
      <c r="D28" s="36" t="s">
        <v>7</v>
      </c>
      <c r="E28" s="55">
        <v>453.4</v>
      </c>
      <c r="F28" s="52">
        <v>16775.8</v>
      </c>
    </row>
    <row r="29" spans="2:6" ht="15.75" x14ac:dyDescent="0.25">
      <c r="B29" s="53">
        <v>42172</v>
      </c>
      <c r="C29" s="54">
        <v>24413</v>
      </c>
      <c r="D29" s="36" t="s">
        <v>16</v>
      </c>
      <c r="E29" s="55">
        <v>93.8</v>
      </c>
      <c r="F29" s="52">
        <v>3470.6</v>
      </c>
    </row>
    <row r="30" spans="2:6" ht="15.75" x14ac:dyDescent="0.25">
      <c r="B30" s="53">
        <v>42174</v>
      </c>
      <c r="C30" s="54">
        <v>24633</v>
      </c>
      <c r="D30" s="36" t="s">
        <v>5</v>
      </c>
      <c r="E30" s="55">
        <v>469</v>
      </c>
      <c r="F30" s="52">
        <v>17353</v>
      </c>
    </row>
    <row r="31" spans="2:6" x14ac:dyDescent="0.25">
      <c r="B31" s="53">
        <v>42175</v>
      </c>
      <c r="C31" s="56">
        <v>24736</v>
      </c>
      <c r="D31" s="36" t="s">
        <v>9</v>
      </c>
      <c r="E31" s="55">
        <f>339+11+27+276.4</f>
        <v>653.4</v>
      </c>
      <c r="F31" s="52">
        <v>24733.1</v>
      </c>
    </row>
    <row r="32" spans="2:6" ht="15.75" x14ac:dyDescent="0.25">
      <c r="B32" s="53">
        <v>42175</v>
      </c>
      <c r="C32" s="54">
        <v>24738</v>
      </c>
      <c r="D32" s="36" t="s">
        <v>6</v>
      </c>
      <c r="E32" s="55">
        <f>118.4+68.6+361.6</f>
        <v>548.6</v>
      </c>
      <c r="F32" s="52">
        <v>20881.2</v>
      </c>
    </row>
    <row r="33" spans="2:6" x14ac:dyDescent="0.25">
      <c r="B33" s="53">
        <v>42175</v>
      </c>
      <c r="C33" s="56">
        <v>24739</v>
      </c>
      <c r="D33" s="36" t="s">
        <v>16</v>
      </c>
      <c r="E33" s="55">
        <f>72.8+28.7+6.6+12.1</f>
        <v>120.19999999999999</v>
      </c>
      <c r="F33" s="52">
        <v>2479.8000000000002</v>
      </c>
    </row>
    <row r="34" spans="2:6" x14ac:dyDescent="0.25">
      <c r="B34" s="53">
        <v>42175</v>
      </c>
      <c r="C34" s="56">
        <v>24740</v>
      </c>
      <c r="D34" s="36" t="s">
        <v>4</v>
      </c>
      <c r="E34" s="55">
        <f>27.2+146</f>
        <v>173.2</v>
      </c>
      <c r="F34" s="52">
        <v>9226.7999999999993</v>
      </c>
    </row>
    <row r="35" spans="2:6" x14ac:dyDescent="0.25">
      <c r="B35" s="33">
        <v>42175</v>
      </c>
      <c r="C35" s="12">
        <v>24741</v>
      </c>
      <c r="D35" s="34" t="s">
        <v>11</v>
      </c>
      <c r="E35" s="35">
        <f>7.2+64.6+92.6</f>
        <v>164.39999999999998</v>
      </c>
      <c r="F35" s="41">
        <v>6570.6</v>
      </c>
    </row>
    <row r="36" spans="2:6" x14ac:dyDescent="0.25">
      <c r="B36" s="33">
        <v>42175</v>
      </c>
      <c r="C36" s="12">
        <v>24742</v>
      </c>
      <c r="D36" s="34" t="s">
        <v>7</v>
      </c>
      <c r="E36" s="35">
        <v>428.2</v>
      </c>
      <c r="F36" s="41">
        <v>15843.4</v>
      </c>
    </row>
    <row r="37" spans="2:6" ht="15.75" thickBot="1" x14ac:dyDescent="0.3">
      <c r="B37" s="9"/>
      <c r="C37" s="29"/>
      <c r="D37" s="4"/>
      <c r="E37" s="42"/>
      <c r="F37" s="45">
        <v>0</v>
      </c>
    </row>
    <row r="38" spans="2:6" ht="15.75" thickBot="1" x14ac:dyDescent="0.3">
      <c r="B38" s="16"/>
      <c r="C38" s="17"/>
      <c r="D38" s="18"/>
      <c r="E38" s="44">
        <v>0</v>
      </c>
      <c r="F38" s="43">
        <f>SUM(F3:F37)</f>
        <v>364192.60999999993</v>
      </c>
    </row>
    <row r="39" spans="2:6" ht="19.5" thickBot="1" x14ac:dyDescent="0.35">
      <c r="B39" s="19"/>
      <c r="C39" s="20"/>
      <c r="D39" s="23" t="s">
        <v>3</v>
      </c>
      <c r="E39" s="25">
        <f>SUM(E3:E38)</f>
        <v>10276.010000000004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2055.2020000000007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F41"/>
  <sheetViews>
    <sheetView topLeftCell="A22" workbookViewId="0">
      <selection activeCell="D36" sqref="D3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11" customWidth="1"/>
    <col min="4" max="4" width="33.5703125" customWidth="1"/>
    <col min="5" max="5" width="12" bestFit="1" customWidth="1"/>
    <col min="6" max="6" width="12.5703125" style="41" bestFit="1" customWidth="1"/>
  </cols>
  <sheetData>
    <row r="1" spans="2:6" ht="19.5" thickBot="1" x14ac:dyDescent="0.35">
      <c r="B1" s="78" t="s">
        <v>27</v>
      </c>
      <c r="C1" s="78"/>
      <c r="D1" s="28" t="s">
        <v>15</v>
      </c>
      <c r="E1" s="47" t="s">
        <v>24</v>
      </c>
    </row>
    <row r="2" spans="2:6" ht="29.25" customHeight="1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.75" x14ac:dyDescent="0.25">
      <c r="B3" s="48">
        <v>42176</v>
      </c>
      <c r="C3" s="49">
        <v>24856</v>
      </c>
      <c r="D3" s="50" t="s">
        <v>17</v>
      </c>
      <c r="E3" s="51">
        <f>196.4+911.56</f>
        <v>1107.96</v>
      </c>
      <c r="F3" s="52">
        <v>34102</v>
      </c>
    </row>
    <row r="4" spans="2:6" ht="15.75" x14ac:dyDescent="0.25">
      <c r="B4" s="53">
        <v>42177</v>
      </c>
      <c r="C4" s="54">
        <v>24950</v>
      </c>
      <c r="D4" s="36" t="s">
        <v>4</v>
      </c>
      <c r="E4" s="55">
        <v>949.8</v>
      </c>
      <c r="F4" s="52">
        <v>25644.6</v>
      </c>
    </row>
    <row r="5" spans="2:6" ht="15.75" x14ac:dyDescent="0.25">
      <c r="B5" s="53">
        <v>42177</v>
      </c>
      <c r="C5" s="54">
        <v>24966</v>
      </c>
      <c r="D5" s="36" t="s">
        <v>4</v>
      </c>
      <c r="E5" s="55">
        <f>15.3+29.6+13.6</f>
        <v>58.500000000000007</v>
      </c>
      <c r="F5" s="52">
        <v>1599.5</v>
      </c>
    </row>
    <row r="6" spans="2:6" ht="15.75" x14ac:dyDescent="0.25">
      <c r="B6" s="53">
        <v>42177</v>
      </c>
      <c r="C6" s="54">
        <v>24968</v>
      </c>
      <c r="D6" s="36" t="s">
        <v>7</v>
      </c>
      <c r="E6" s="55">
        <v>408.4</v>
      </c>
      <c r="F6" s="52">
        <v>15110.8</v>
      </c>
    </row>
    <row r="7" spans="2:6" ht="15.75" x14ac:dyDescent="0.25">
      <c r="B7" s="53">
        <v>42177</v>
      </c>
      <c r="C7" s="54">
        <v>24971</v>
      </c>
      <c r="D7" s="36" t="s">
        <v>10</v>
      </c>
      <c r="E7" s="55">
        <v>84.4</v>
      </c>
      <c r="F7" s="52">
        <v>3122.8</v>
      </c>
    </row>
    <row r="8" spans="2:6" ht="15.75" x14ac:dyDescent="0.25">
      <c r="B8" s="53">
        <v>42177</v>
      </c>
      <c r="C8" s="54">
        <v>24970</v>
      </c>
      <c r="D8" s="36" t="s">
        <v>16</v>
      </c>
      <c r="E8" s="55">
        <v>83.8</v>
      </c>
      <c r="F8" s="52">
        <v>3100.6</v>
      </c>
    </row>
    <row r="9" spans="2:6" ht="15.75" x14ac:dyDescent="0.25">
      <c r="B9" s="53">
        <v>42178</v>
      </c>
      <c r="C9" s="54" t="s">
        <v>28</v>
      </c>
      <c r="D9" s="36" t="s">
        <v>16</v>
      </c>
      <c r="E9" s="55">
        <v>77</v>
      </c>
      <c r="F9" s="52">
        <v>3388</v>
      </c>
    </row>
    <row r="10" spans="2:6" ht="15.75" x14ac:dyDescent="0.25">
      <c r="B10" s="53">
        <v>42178</v>
      </c>
      <c r="C10" s="54" t="s">
        <v>29</v>
      </c>
      <c r="D10" s="36" t="s">
        <v>6</v>
      </c>
      <c r="E10" s="55">
        <f>136.1+62.4</f>
        <v>198.5</v>
      </c>
      <c r="F10" s="52">
        <v>7446.2</v>
      </c>
    </row>
    <row r="11" spans="2:6" ht="15.75" x14ac:dyDescent="0.25">
      <c r="B11" s="53">
        <v>42178</v>
      </c>
      <c r="C11" s="54" t="s">
        <v>30</v>
      </c>
      <c r="D11" s="36" t="s">
        <v>13</v>
      </c>
      <c r="E11" s="55">
        <v>226.2</v>
      </c>
      <c r="F11" s="52">
        <v>6559.8</v>
      </c>
    </row>
    <row r="12" spans="2:6" ht="15.75" x14ac:dyDescent="0.25">
      <c r="B12" s="53">
        <v>42178</v>
      </c>
      <c r="C12" s="54" t="s">
        <v>31</v>
      </c>
      <c r="D12" s="36" t="s">
        <v>4</v>
      </c>
      <c r="E12" s="55">
        <f>76.2+69.2</f>
        <v>145.4</v>
      </c>
      <c r="F12" s="52">
        <v>5436.6</v>
      </c>
    </row>
    <row r="13" spans="2:6" ht="15.75" x14ac:dyDescent="0.25">
      <c r="B13" s="53">
        <v>42178</v>
      </c>
      <c r="C13" s="54" t="s">
        <v>32</v>
      </c>
      <c r="D13" s="36" t="s">
        <v>14</v>
      </c>
      <c r="E13" s="55">
        <v>80.599999999999994</v>
      </c>
      <c r="F13" s="52">
        <v>2982.2</v>
      </c>
    </row>
    <row r="14" spans="2:6" ht="15.75" x14ac:dyDescent="0.25">
      <c r="B14" s="53">
        <v>42178</v>
      </c>
      <c r="C14" s="54" t="s">
        <v>33</v>
      </c>
      <c r="D14" s="36" t="s">
        <v>7</v>
      </c>
      <c r="E14" s="55">
        <v>446.8</v>
      </c>
      <c r="F14" s="52">
        <v>16531.599999999999</v>
      </c>
    </row>
    <row r="15" spans="2:6" ht="15.75" x14ac:dyDescent="0.25">
      <c r="B15" s="53">
        <v>42179</v>
      </c>
      <c r="C15" s="54" t="s">
        <v>34</v>
      </c>
      <c r="D15" s="36" t="s">
        <v>4</v>
      </c>
      <c r="E15" s="55">
        <v>851.25</v>
      </c>
      <c r="F15" s="52">
        <v>23664.75</v>
      </c>
    </row>
    <row r="16" spans="2:6" ht="15.75" x14ac:dyDescent="0.25">
      <c r="B16" s="53">
        <v>42179</v>
      </c>
      <c r="C16" s="54" t="s">
        <v>35</v>
      </c>
      <c r="D16" s="36" t="s">
        <v>5</v>
      </c>
      <c r="E16" s="55">
        <v>188</v>
      </c>
      <c r="F16" s="52">
        <v>6956</v>
      </c>
    </row>
    <row r="17" spans="2:6" ht="15.75" x14ac:dyDescent="0.25">
      <c r="B17" s="53">
        <v>42179</v>
      </c>
      <c r="C17" s="54" t="s">
        <v>36</v>
      </c>
      <c r="D17" s="36" t="s">
        <v>16</v>
      </c>
      <c r="E17" s="55">
        <v>96</v>
      </c>
      <c r="F17" s="52">
        <v>3552</v>
      </c>
    </row>
    <row r="18" spans="2:6" ht="15.75" x14ac:dyDescent="0.25">
      <c r="B18" s="53">
        <v>42179</v>
      </c>
      <c r="C18" s="54" t="s">
        <v>37</v>
      </c>
      <c r="D18" s="36" t="s">
        <v>7</v>
      </c>
      <c r="E18" s="55">
        <v>372.6</v>
      </c>
      <c r="F18" s="52">
        <v>13786.2</v>
      </c>
    </row>
    <row r="19" spans="2:6" ht="15.75" x14ac:dyDescent="0.25">
      <c r="B19" s="53">
        <v>42179</v>
      </c>
      <c r="C19" s="54" t="s">
        <v>38</v>
      </c>
      <c r="D19" s="36" t="s">
        <v>6</v>
      </c>
      <c r="E19" s="55">
        <v>2268.8000000000002</v>
      </c>
      <c r="F19" s="52">
        <v>12096</v>
      </c>
    </row>
    <row r="20" spans="2:6" ht="15.75" x14ac:dyDescent="0.25">
      <c r="B20" s="53">
        <v>42180</v>
      </c>
      <c r="C20" s="54" t="s">
        <v>39</v>
      </c>
      <c r="D20" s="36" t="s">
        <v>4</v>
      </c>
      <c r="E20" s="55">
        <v>828.12</v>
      </c>
      <c r="F20" s="52">
        <v>23021.73</v>
      </c>
    </row>
    <row r="21" spans="2:6" ht="15.75" x14ac:dyDescent="0.25">
      <c r="B21" s="53">
        <v>42180</v>
      </c>
      <c r="C21" s="54" t="s">
        <v>40</v>
      </c>
      <c r="D21" s="36" t="s">
        <v>16</v>
      </c>
      <c r="E21" s="55">
        <f>24.7+2</f>
        <v>26.7</v>
      </c>
      <c r="F21" s="52">
        <v>1288.5999999999999</v>
      </c>
    </row>
    <row r="22" spans="2:6" x14ac:dyDescent="0.25">
      <c r="B22" s="53">
        <v>42180</v>
      </c>
      <c r="C22" s="56" t="s">
        <v>41</v>
      </c>
      <c r="D22" s="36" t="s">
        <v>16</v>
      </c>
      <c r="E22" s="55">
        <v>66</v>
      </c>
      <c r="F22" s="52">
        <v>2904</v>
      </c>
    </row>
    <row r="23" spans="2:6" ht="15.75" x14ac:dyDescent="0.25">
      <c r="B23" s="53">
        <v>42180</v>
      </c>
      <c r="C23" s="54" t="s">
        <v>42</v>
      </c>
      <c r="D23" s="36" t="s">
        <v>6</v>
      </c>
      <c r="E23" s="55">
        <v>105.4</v>
      </c>
      <c r="F23" s="52">
        <v>1897.2</v>
      </c>
    </row>
    <row r="24" spans="2:6" ht="15.75" x14ac:dyDescent="0.25">
      <c r="B24" s="53">
        <v>42180</v>
      </c>
      <c r="C24" s="54" t="s">
        <v>43</v>
      </c>
      <c r="D24" s="36" t="s">
        <v>10</v>
      </c>
      <c r="E24" s="55">
        <f>56+34.6</f>
        <v>90.6</v>
      </c>
      <c r="F24" s="52">
        <v>4271.3999999999996</v>
      </c>
    </row>
    <row r="25" spans="2:6" ht="15.75" x14ac:dyDescent="0.25">
      <c r="B25" s="53">
        <v>42180</v>
      </c>
      <c r="C25" s="54" t="s">
        <v>44</v>
      </c>
      <c r="D25" s="36" t="s">
        <v>7</v>
      </c>
      <c r="E25" s="55">
        <v>307.39999999999998</v>
      </c>
      <c r="F25" s="52">
        <v>14140.4</v>
      </c>
    </row>
    <row r="26" spans="2:6" ht="15.75" x14ac:dyDescent="0.25">
      <c r="B26" s="53">
        <v>42180</v>
      </c>
      <c r="C26" s="54" t="s">
        <v>45</v>
      </c>
      <c r="D26" s="36" t="s">
        <v>46</v>
      </c>
      <c r="E26" s="55">
        <f>12.8+9.4</f>
        <v>22.200000000000003</v>
      </c>
      <c r="F26" s="52">
        <v>827.2</v>
      </c>
    </row>
    <row r="27" spans="2:6" ht="15.75" x14ac:dyDescent="0.25">
      <c r="B27" s="53">
        <v>42181</v>
      </c>
      <c r="C27" s="54" t="s">
        <v>47</v>
      </c>
      <c r="D27" s="36" t="s">
        <v>48</v>
      </c>
      <c r="E27" s="55">
        <v>491.6</v>
      </c>
      <c r="F27" s="52">
        <v>18435</v>
      </c>
    </row>
    <row r="28" spans="2:6" ht="15.75" x14ac:dyDescent="0.25">
      <c r="B28" s="53">
        <v>42182</v>
      </c>
      <c r="C28" s="54" t="s">
        <v>49</v>
      </c>
      <c r="D28" s="36" t="s">
        <v>4</v>
      </c>
      <c r="E28" s="55">
        <f>153.8+33.9+72.4+27.24+54.4</f>
        <v>341.74</v>
      </c>
      <c r="F28" s="52">
        <v>16331.04</v>
      </c>
    </row>
    <row r="29" spans="2:6" ht="15.75" x14ac:dyDescent="0.25">
      <c r="B29" s="53">
        <v>42182</v>
      </c>
      <c r="C29" s="54" t="s">
        <v>50</v>
      </c>
      <c r="D29" s="36" t="s">
        <v>9</v>
      </c>
      <c r="E29" s="55">
        <f>27.8+249.6+270.2</f>
        <v>547.59999999999991</v>
      </c>
      <c r="F29" s="52">
        <v>21020.560000000001</v>
      </c>
    </row>
    <row r="30" spans="2:6" ht="15.75" x14ac:dyDescent="0.25">
      <c r="B30" s="53">
        <v>42182</v>
      </c>
      <c r="C30" s="54" t="s">
        <v>51</v>
      </c>
      <c r="D30" s="36" t="s">
        <v>11</v>
      </c>
      <c r="E30" s="55">
        <f>72.2+104.6</f>
        <v>176.8</v>
      </c>
      <c r="F30" s="52">
        <v>7183.1</v>
      </c>
    </row>
    <row r="31" spans="2:6" x14ac:dyDescent="0.25">
      <c r="B31" s="53">
        <v>42182</v>
      </c>
      <c r="C31" s="56" t="s">
        <v>52</v>
      </c>
      <c r="D31" s="36" t="s">
        <v>6</v>
      </c>
      <c r="E31" s="55">
        <f>120+76.7+44.1</f>
        <v>240.79999999999998</v>
      </c>
      <c r="F31" s="52">
        <v>5847.5</v>
      </c>
    </row>
    <row r="32" spans="2:6" ht="15.75" x14ac:dyDescent="0.25">
      <c r="B32" s="53">
        <v>42182</v>
      </c>
      <c r="C32" s="54" t="s">
        <v>53</v>
      </c>
      <c r="D32" s="36" t="s">
        <v>16</v>
      </c>
      <c r="E32" s="55">
        <f>42.4+38.2+58.2</f>
        <v>138.80000000000001</v>
      </c>
      <c r="F32" s="52">
        <v>4051.6</v>
      </c>
    </row>
    <row r="33" spans="2:6" x14ac:dyDescent="0.25">
      <c r="B33" s="53"/>
      <c r="C33" s="56"/>
      <c r="D33" s="36"/>
      <c r="E33" s="55"/>
      <c r="F33" s="52"/>
    </row>
    <row r="34" spans="2:6" x14ac:dyDescent="0.25">
      <c r="B34" s="53"/>
      <c r="C34" s="56"/>
      <c r="D34" s="36"/>
      <c r="E34" s="55"/>
      <c r="F34" s="52"/>
    </row>
    <row r="35" spans="2:6" x14ac:dyDescent="0.25">
      <c r="B35" s="33"/>
      <c r="C35" s="12"/>
      <c r="D35" s="34"/>
      <c r="E35" s="35"/>
    </row>
    <row r="36" spans="2:6" x14ac:dyDescent="0.25">
      <c r="B36" s="33"/>
      <c r="C36" s="12"/>
      <c r="D36" s="34"/>
      <c r="E36" s="35"/>
    </row>
    <row r="37" spans="2:6" ht="15.75" thickBot="1" x14ac:dyDescent="0.3">
      <c r="B37" s="9"/>
      <c r="C37" s="29"/>
      <c r="D37" s="4"/>
      <c r="E37" s="42"/>
      <c r="F37" s="45">
        <v>0</v>
      </c>
    </row>
    <row r="38" spans="2:6" ht="15.75" thickBot="1" x14ac:dyDescent="0.3">
      <c r="B38" s="16"/>
      <c r="C38" s="17"/>
      <c r="D38" s="18"/>
      <c r="E38" s="44">
        <v>0</v>
      </c>
      <c r="F38" s="43">
        <f>SUM(F3:F37)</f>
        <v>306298.98</v>
      </c>
    </row>
    <row r="39" spans="2:6" ht="19.5" thickBot="1" x14ac:dyDescent="0.35">
      <c r="B39" s="19"/>
      <c r="C39" s="20"/>
      <c r="D39" s="23" t="s">
        <v>3</v>
      </c>
      <c r="E39" s="25">
        <f>SUM(E3:E38)</f>
        <v>11027.77</v>
      </c>
    </row>
    <row r="40" spans="2:6" x14ac:dyDescent="0.25">
      <c r="B40" s="19"/>
      <c r="C40" s="20"/>
      <c r="D40" s="21"/>
      <c r="E40" s="22"/>
    </row>
    <row r="41" spans="2:6" ht="21" x14ac:dyDescent="0.35">
      <c r="B41" s="40">
        <v>42140</v>
      </c>
      <c r="C41" s="27" t="s">
        <v>18</v>
      </c>
      <c r="D41" s="26">
        <f>E39*0.2</f>
        <v>2205.5540000000001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SEMANA # 18</vt:lpstr>
      <vt:lpstr>SEMANA # 19</vt:lpstr>
      <vt:lpstr>SEMANA 20</vt:lpstr>
      <vt:lpstr>SEMANA 21</vt:lpstr>
      <vt:lpstr>SEMANA 22</vt:lpstr>
      <vt:lpstr>SEMANA 23</vt:lpstr>
      <vt:lpstr>SEMANA 24</vt:lpstr>
      <vt:lpstr>SEMANA 25</vt:lpstr>
      <vt:lpstr>SEMANA 26</vt:lpstr>
      <vt:lpstr>SEMANA 27</vt:lpstr>
      <vt:lpstr>SEMANA 28</vt:lpstr>
      <vt:lpstr>SEMANA 29</vt:lpstr>
      <vt:lpstr>SEMANA 30</vt:lpstr>
      <vt:lpstr>SEMANA 31</vt:lpstr>
      <vt:lpstr>SEMANA 32</vt:lpstr>
      <vt:lpstr>SEMANA 33</vt:lpstr>
      <vt:lpstr>SEMANA 34</vt:lpstr>
      <vt:lpstr>SEMANA 35</vt:lpstr>
      <vt:lpstr>SEMANA 36</vt:lpstr>
      <vt:lpstr>SEMANA 37</vt:lpstr>
      <vt:lpstr>SEMANA 38</vt:lpstr>
      <vt:lpstr>SEMANA 39</vt:lpstr>
      <vt:lpstr>SEMANA 40</vt:lpstr>
      <vt:lpstr>SEMANA 41</vt:lpstr>
      <vt:lpstr>SEMANA 42</vt:lpstr>
      <vt:lpstr>SEMANA 43</vt:lpstr>
      <vt:lpstr>SEMANA 44</vt:lpstr>
      <vt:lpstr>SEMANA 45</vt:lpstr>
      <vt:lpstr>SEMANA 46</vt:lpstr>
      <vt:lpstr>SEMANA 47</vt:lpstr>
      <vt:lpstr>SEMANA 48</vt:lpstr>
      <vt:lpstr>SEMANA 49</vt:lpstr>
      <vt:lpstr>SEMANA 50</vt:lpstr>
      <vt:lpstr>SEMANA 51</vt:lpstr>
      <vt:lpstr>SEMANA 52</vt:lpstr>
      <vt:lpstr>SEMANA 53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2016-01-05T23:32:43Z</cp:lastPrinted>
  <dcterms:created xsi:type="dcterms:W3CDTF">2015-05-02T19:38:56Z</dcterms:created>
  <dcterms:modified xsi:type="dcterms:W3CDTF">2016-01-13T22:25:07Z</dcterms:modified>
</cp:coreProperties>
</file>