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5195" windowHeight="8445" firstSheet="8" activeTab="13"/>
  </bookViews>
  <sheets>
    <sheet name="abr 10" sheetId="26" r:id="rId1"/>
    <sheet name="May 10" sheetId="29" r:id="rId2"/>
    <sheet name="Jun 10" sheetId="27" r:id="rId3"/>
    <sheet name="Jul 10" sheetId="28" r:id="rId4"/>
    <sheet name="Ago 10" sheetId="31" r:id="rId5"/>
    <sheet name="Sep 10" sheetId="30" r:id="rId6"/>
    <sheet name="oct 10" sheetId="32" r:id="rId7"/>
    <sheet name="nov 10" sheetId="33" r:id="rId8"/>
    <sheet name="dic 10" sheetId="34" r:id="rId9"/>
    <sheet name="ene 11" sheetId="35" r:id="rId10"/>
    <sheet name="feb 11" sheetId="36" r:id="rId11"/>
    <sheet name="mar 11" sheetId="37" r:id="rId12"/>
    <sheet name="abr 11" sheetId="38" r:id="rId13"/>
    <sheet name="caratula c.p" sheetId="49" r:id="rId14"/>
    <sheet name="Hoja1" sheetId="50" r:id="rId15"/>
  </sheets>
  <calcPr calcId="125725"/>
</workbook>
</file>

<file path=xl/calcChain.xml><?xml version="1.0" encoding="utf-8"?>
<calcChain xmlns="http://schemas.openxmlformats.org/spreadsheetml/2006/main">
  <c r="F41" i="49"/>
  <c r="F28"/>
  <c r="C28"/>
  <c r="F24"/>
  <c r="C24"/>
  <c r="I91" i="34"/>
  <c r="E69" i="29" l="1"/>
  <c r="E50" i="26"/>
  <c r="I49"/>
  <c r="I7"/>
  <c r="F136" i="37"/>
  <c r="E136"/>
  <c r="I7"/>
  <c r="E132"/>
  <c r="I134" s="1"/>
  <c r="E131"/>
  <c r="I133" s="1"/>
  <c r="E130"/>
  <c r="I132" s="1"/>
  <c r="E129"/>
  <c r="I131" s="1"/>
  <c r="E128"/>
  <c r="I130" s="1"/>
  <c r="I129"/>
  <c r="E126"/>
  <c r="I128" s="1"/>
  <c r="I127"/>
  <c r="E124"/>
  <c r="I126" s="1"/>
  <c r="E123"/>
  <c r="I125" s="1"/>
  <c r="E122"/>
  <c r="I124" s="1"/>
  <c r="I123"/>
  <c r="E120"/>
  <c r="I122" s="1"/>
  <c r="E118"/>
  <c r="I121" s="1"/>
  <c r="E117"/>
  <c r="I120" s="1"/>
  <c r="I119"/>
  <c r="E115"/>
  <c r="I118" s="1"/>
  <c r="I117"/>
  <c r="E113"/>
  <c r="I116" s="1"/>
  <c r="I115"/>
  <c r="I114"/>
  <c r="E110"/>
  <c r="I113" s="1"/>
  <c r="I112"/>
  <c r="E106"/>
  <c r="I111" s="1"/>
  <c r="E105"/>
  <c r="I110" s="1"/>
  <c r="E104"/>
  <c r="I109" s="1"/>
  <c r="E103"/>
  <c r="I108" s="1"/>
  <c r="E102"/>
  <c r="I107" s="1"/>
  <c r="E101"/>
  <c r="I106" s="1"/>
  <c r="I105"/>
  <c r="E94"/>
  <c r="I104" s="1"/>
  <c r="E93"/>
  <c r="I103" s="1"/>
  <c r="I102"/>
  <c r="E87"/>
  <c r="I101" s="1"/>
  <c r="I100"/>
  <c r="I99"/>
  <c r="E71"/>
  <c r="I98" s="1"/>
  <c r="I97"/>
  <c r="E61"/>
  <c r="I96" s="1"/>
  <c r="I95"/>
  <c r="I94"/>
  <c r="I93"/>
  <c r="E50"/>
  <c r="I92" s="1"/>
  <c r="E40"/>
  <c r="I91" s="1"/>
  <c r="E39"/>
  <c r="I90" s="1"/>
  <c r="I89"/>
  <c r="I88"/>
  <c r="E29"/>
  <c r="I87" s="1"/>
  <c r="I86"/>
  <c r="F104" i="38"/>
  <c r="E102"/>
  <c r="E101"/>
  <c r="I102" s="1"/>
  <c r="I101"/>
  <c r="I100"/>
  <c r="E98"/>
  <c r="I99" s="1"/>
  <c r="E97"/>
  <c r="I98" s="1"/>
  <c r="E96"/>
  <c r="I97" s="1"/>
  <c r="I96"/>
  <c r="E93"/>
  <c r="I95" s="1"/>
  <c r="E92"/>
  <c r="I93"/>
  <c r="E90"/>
  <c r="I92" s="1"/>
  <c r="E89"/>
  <c r="I91" s="1"/>
  <c r="I90"/>
  <c r="E87"/>
  <c r="I89" s="1"/>
  <c r="I88"/>
  <c r="I87"/>
  <c r="E84"/>
  <c r="I86" s="1"/>
  <c r="E83"/>
  <c r="I85" s="1"/>
  <c r="E82"/>
  <c r="I84" s="1"/>
  <c r="I83"/>
  <c r="I82"/>
  <c r="I81"/>
  <c r="I80"/>
  <c r="I79"/>
  <c r="I78"/>
  <c r="E75"/>
  <c r="I77" s="1"/>
  <c r="E74"/>
  <c r="I76" s="1"/>
  <c r="I75"/>
  <c r="E72"/>
  <c r="I74" s="1"/>
  <c r="I73"/>
  <c r="I72"/>
  <c r="E69"/>
  <c r="I71" s="1"/>
  <c r="E67"/>
  <c r="I70" s="1"/>
  <c r="I69"/>
  <c r="I68"/>
  <c r="I67"/>
  <c r="E63"/>
  <c r="I66" s="1"/>
  <c r="E62"/>
  <c r="I65" s="1"/>
  <c r="I64"/>
  <c r="I63"/>
  <c r="I62"/>
  <c r="I61"/>
  <c r="E52"/>
  <c r="I60" s="1"/>
  <c r="I59"/>
  <c r="I58"/>
  <c r="I57"/>
  <c r="I55"/>
  <c r="E46"/>
  <c r="E45"/>
  <c r="E44"/>
  <c r="I52" s="1"/>
  <c r="E40"/>
  <c r="I51" s="1"/>
  <c r="I50"/>
  <c r="I49"/>
  <c r="I48"/>
  <c r="I47"/>
  <c r="I46"/>
  <c r="I45"/>
  <c r="I44"/>
  <c r="I43"/>
  <c r="I42"/>
  <c r="I40"/>
  <c r="E18"/>
  <c r="I39" s="1"/>
  <c r="I37"/>
  <c r="I36"/>
  <c r="I35"/>
  <c r="I34"/>
  <c r="I33"/>
  <c r="I32"/>
  <c r="I103"/>
  <c r="I30"/>
  <c r="E41"/>
  <c r="I29" s="1"/>
  <c r="E27"/>
  <c r="I27" s="1"/>
  <c r="E26"/>
  <c r="I23"/>
  <c r="I7" i="36"/>
  <c r="F94"/>
  <c r="E94"/>
  <c r="F87" i="35"/>
  <c r="E87"/>
  <c r="I7"/>
  <c r="F91" i="34"/>
  <c r="E91"/>
  <c r="I8"/>
  <c r="E89"/>
  <c r="E82"/>
  <c r="I89" s="1"/>
  <c r="E80"/>
  <c r="I88" s="1"/>
  <c r="E79"/>
  <c r="E66"/>
  <c r="I86" s="1"/>
  <c r="F111" i="33"/>
  <c r="I7"/>
  <c r="F104" i="32"/>
  <c r="E61" i="30"/>
  <c r="F61"/>
  <c r="I7"/>
  <c r="I41" i="38" l="1"/>
  <c r="I8" i="30"/>
  <c r="E73" i="31"/>
  <c r="F73"/>
  <c r="I32"/>
  <c r="I33"/>
  <c r="I35"/>
  <c r="I36"/>
  <c r="I38"/>
  <c r="I39"/>
  <c r="I40"/>
  <c r="I42"/>
  <c r="I44"/>
  <c r="I48"/>
  <c r="I53"/>
  <c r="I56"/>
  <c r="I59"/>
  <c r="I61"/>
  <c r="I62"/>
  <c r="I63"/>
  <c r="I64"/>
  <c r="I66"/>
  <c r="I69"/>
  <c r="I70"/>
  <c r="I72"/>
  <c r="I7"/>
  <c r="E13" i="37" l="1"/>
  <c r="E133"/>
  <c r="E11"/>
  <c r="I85"/>
  <c r="I135"/>
  <c r="E56" i="38"/>
  <c r="E94"/>
  <c r="E38"/>
  <c r="I38" s="1"/>
  <c r="E54"/>
  <c r="E24"/>
  <c r="I24" s="1"/>
  <c r="E53"/>
  <c r="E15"/>
  <c r="E7"/>
  <c r="E104" s="1"/>
  <c r="E18" i="37"/>
  <c r="E16"/>
  <c r="E15"/>
  <c r="E25"/>
  <c r="E24"/>
  <c r="E17"/>
  <c r="E7"/>
  <c r="E21"/>
  <c r="E20"/>
  <c r="E8"/>
  <c r="E36"/>
  <c r="E47"/>
  <c r="E32"/>
  <c r="E31"/>
  <c r="E30"/>
  <c r="E26"/>
  <c r="E89"/>
  <c r="E100"/>
  <c r="E10"/>
  <c r="E59"/>
  <c r="E58"/>
  <c r="E43"/>
  <c r="E84"/>
  <c r="E56"/>
  <c r="E63"/>
  <c r="E55"/>
  <c r="E77"/>
  <c r="E75"/>
  <c r="E41"/>
  <c r="E74"/>
  <c r="E68"/>
  <c r="E66"/>
  <c r="E45"/>
  <c r="E53"/>
  <c r="E98"/>
  <c r="E95"/>
  <c r="E46"/>
  <c r="E38"/>
  <c r="E82"/>
  <c r="E81"/>
  <c r="E73"/>
  <c r="E80"/>
  <c r="E42"/>
  <c r="E54"/>
  <c r="E64"/>
  <c r="E12"/>
  <c r="E90"/>
  <c r="I11" i="32"/>
  <c r="I12"/>
  <c r="I17"/>
  <c r="I25"/>
  <c r="I26"/>
  <c r="I31"/>
  <c r="I36"/>
  <c r="I41"/>
  <c r="I48"/>
  <c r="I54"/>
  <c r="I58"/>
  <c r="I63"/>
  <c r="I77"/>
  <c r="I85"/>
  <c r="I93"/>
  <c r="I94"/>
  <c r="I103"/>
  <c r="E78"/>
  <c r="E88" i="33"/>
  <c r="E66"/>
  <c r="E95" i="32"/>
  <c r="E96"/>
  <c r="I97" s="1"/>
  <c r="E75"/>
  <c r="I76" s="1"/>
  <c r="E91"/>
  <c r="I92" s="1"/>
  <c r="E89"/>
  <c r="E80"/>
  <c r="I81" s="1"/>
  <c r="E59"/>
  <c r="E86"/>
  <c r="E102"/>
  <c r="I102" s="1"/>
  <c r="E69"/>
  <c r="I70" s="1"/>
  <c r="E90"/>
  <c r="I91" s="1"/>
  <c r="E99"/>
  <c r="E100"/>
  <c r="I101" s="1"/>
  <c r="E87"/>
  <c r="I88" s="1"/>
  <c r="E65"/>
  <c r="E82"/>
  <c r="E98"/>
  <c r="I99" s="1"/>
  <c r="E83"/>
  <c r="I84" s="1"/>
  <c r="E71"/>
  <c r="E56"/>
  <c r="I57" s="1"/>
  <c r="E28"/>
  <c r="E50" i="36"/>
  <c r="E64"/>
  <c r="E78"/>
  <c r="E90"/>
  <c r="E79"/>
  <c r="I88"/>
  <c r="I89"/>
  <c r="I90"/>
  <c r="I92"/>
  <c r="E85"/>
  <c r="E63"/>
  <c r="E74"/>
  <c r="E83"/>
  <c r="E16"/>
  <c r="E34"/>
  <c r="E36"/>
  <c r="I72"/>
  <c r="I73"/>
  <c r="I74"/>
  <c r="I77"/>
  <c r="I78"/>
  <c r="I79"/>
  <c r="I80"/>
  <c r="I83"/>
  <c r="I84"/>
  <c r="I85"/>
  <c r="I93"/>
  <c r="E21"/>
  <c r="E30"/>
  <c r="E28"/>
  <c r="E42"/>
  <c r="E27"/>
  <c r="E40"/>
  <c r="E20"/>
  <c r="E17"/>
  <c r="E35"/>
  <c r="E26"/>
  <c r="E18"/>
  <c r="E71"/>
  <c r="E15"/>
  <c r="E13"/>
  <c r="E91"/>
  <c r="I91" s="1"/>
  <c r="E76"/>
  <c r="I76" s="1"/>
  <c r="E12"/>
  <c r="E82"/>
  <c r="I82" s="1"/>
  <c r="E10"/>
  <c r="E70"/>
  <c r="E23"/>
  <c r="E68"/>
  <c r="E75"/>
  <c r="I75" s="1"/>
  <c r="E67"/>
  <c r="E81"/>
  <c r="I81" s="1"/>
  <c r="E60"/>
  <c r="I8" i="37" l="1"/>
  <c r="I25" i="38"/>
  <c r="I53"/>
  <c r="I26"/>
  <c r="I54"/>
  <c r="I31"/>
  <c r="I94"/>
  <c r="I28"/>
  <c r="I56"/>
  <c r="I83" i="32"/>
  <c r="I100"/>
  <c r="I87"/>
  <c r="I90"/>
  <c r="I96"/>
  <c r="I98"/>
  <c r="I95"/>
  <c r="I89"/>
  <c r="I86"/>
  <c r="I82"/>
  <c r="I78"/>
  <c r="I75"/>
  <c r="I71"/>
  <c r="I59"/>
  <c r="E9" i="36"/>
  <c r="E87"/>
  <c r="I87" s="1"/>
  <c r="E86"/>
  <c r="I86" s="1"/>
  <c r="E59"/>
  <c r="E48"/>
  <c r="E46"/>
  <c r="E57"/>
  <c r="E56"/>
  <c r="E54"/>
  <c r="E39"/>
  <c r="E38"/>
  <c r="E53"/>
  <c r="E37"/>
  <c r="E67" i="35"/>
  <c r="E22"/>
  <c r="E44"/>
  <c r="E63"/>
  <c r="E62"/>
  <c r="E48"/>
  <c r="E46"/>
  <c r="E52"/>
  <c r="E51"/>
  <c r="E32"/>
  <c r="E41"/>
  <c r="E83"/>
  <c r="E64"/>
  <c r="E54"/>
  <c r="E39"/>
  <c r="E60"/>
  <c r="E72"/>
  <c r="E57"/>
  <c r="E50"/>
  <c r="E43"/>
  <c r="E34"/>
  <c r="E49"/>
  <c r="E36"/>
  <c r="E11"/>
  <c r="E27"/>
  <c r="E31"/>
  <c r="E19"/>
  <c r="E23"/>
  <c r="E37"/>
  <c r="E24"/>
  <c r="E21"/>
  <c r="E8"/>
  <c r="I8" s="1"/>
  <c r="E69"/>
  <c r="E68"/>
  <c r="E28"/>
  <c r="E81"/>
  <c r="E78"/>
  <c r="E15"/>
  <c r="E61"/>
  <c r="E26"/>
  <c r="E35"/>
  <c r="E25"/>
  <c r="E12"/>
  <c r="E17"/>
  <c r="E16"/>
  <c r="E14"/>
  <c r="I22" i="38"/>
  <c r="I21"/>
  <c r="I20"/>
  <c r="I19"/>
  <c r="I18"/>
  <c r="I17"/>
  <c r="I16"/>
  <c r="I15"/>
  <c r="I14"/>
  <c r="I13"/>
  <c r="I12"/>
  <c r="I11"/>
  <c r="I10"/>
  <c r="I9"/>
  <c r="I8"/>
  <c r="I7"/>
  <c r="I104" s="1"/>
  <c r="I84" i="37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6" s="1"/>
  <c r="I13"/>
  <c r="I12"/>
  <c r="I11"/>
  <c r="I10"/>
  <c r="I9"/>
  <c r="I71" i="36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94" s="1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10" i="35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9"/>
  <c r="I87" s="1"/>
  <c r="E72" i="34"/>
  <c r="E65"/>
  <c r="E73"/>
  <c r="E27"/>
  <c r="E36"/>
  <c r="E54"/>
  <c r="E67"/>
  <c r="E71"/>
  <c r="E30"/>
  <c r="E35"/>
  <c r="E7"/>
  <c r="I7" s="1"/>
  <c r="E76"/>
  <c r="I71"/>
  <c r="I72"/>
  <c r="I73"/>
  <c r="I75"/>
  <c r="I76"/>
  <c r="I77"/>
  <c r="I78"/>
  <c r="I79"/>
  <c r="I80"/>
  <c r="I81"/>
  <c r="I82"/>
  <c r="I83"/>
  <c r="I84"/>
  <c r="I90"/>
  <c r="E74"/>
  <c r="I74" s="1"/>
  <c r="E64"/>
  <c r="E70"/>
  <c r="I70" s="1"/>
  <c r="E85"/>
  <c r="I85" s="1"/>
  <c r="E69"/>
  <c r="I69" s="1"/>
  <c r="E28"/>
  <c r="E44"/>
  <c r="E13"/>
  <c r="E55"/>
  <c r="E57"/>
  <c r="E42"/>
  <c r="E29"/>
  <c r="E19"/>
  <c r="E37"/>
  <c r="E33"/>
  <c r="E26"/>
  <c r="E52"/>
  <c r="E63"/>
  <c r="E32"/>
  <c r="E41"/>
  <c r="E17"/>
  <c r="E25"/>
  <c r="E24"/>
  <c r="E39"/>
  <c r="E10"/>
  <c r="E62"/>
  <c r="E51"/>
  <c r="E60"/>
  <c r="E87"/>
  <c r="I87" s="1"/>
  <c r="E16"/>
  <c r="E11"/>
  <c r="E21"/>
  <c r="E59"/>
  <c r="E68"/>
  <c r="E15"/>
  <c r="E20"/>
  <c r="E46"/>
  <c r="E44" i="33"/>
  <c r="E51"/>
  <c r="I110"/>
  <c r="E100"/>
  <c r="E78"/>
  <c r="I80" s="1"/>
  <c r="E99"/>
  <c r="E77"/>
  <c r="E69"/>
  <c r="E97"/>
  <c r="E102"/>
  <c r="E84"/>
  <c r="E32"/>
  <c r="E46"/>
  <c r="E83"/>
  <c r="E70"/>
  <c r="E31"/>
  <c r="E68"/>
  <c r="E53"/>
  <c r="E60"/>
  <c r="E67"/>
  <c r="E79"/>
  <c r="E74"/>
  <c r="E105"/>
  <c r="E81"/>
  <c r="I81" s="1"/>
  <c r="E91"/>
  <c r="E90"/>
  <c r="E89"/>
  <c r="I71"/>
  <c r="I76"/>
  <c r="I77"/>
  <c r="I78"/>
  <c r="I79"/>
  <c r="I82"/>
  <c r="I83"/>
  <c r="I84"/>
  <c r="I85"/>
  <c r="I86"/>
  <c r="I87"/>
  <c r="I88"/>
  <c r="I89"/>
  <c r="I90"/>
  <c r="I91"/>
  <c r="I92"/>
  <c r="I93"/>
  <c r="I94"/>
  <c r="I97"/>
  <c r="I98"/>
  <c r="I99"/>
  <c r="I100"/>
  <c r="I101"/>
  <c r="I102"/>
  <c r="I103"/>
  <c r="I106"/>
  <c r="I107"/>
  <c r="E109"/>
  <c r="E104"/>
  <c r="I105" s="1"/>
  <c r="E73"/>
  <c r="I75" s="1"/>
  <c r="E95"/>
  <c r="I96" s="1"/>
  <c r="E108"/>
  <c r="I109" s="1"/>
  <c r="E42"/>
  <c r="E50"/>
  <c r="E30"/>
  <c r="E37"/>
  <c r="E41"/>
  <c r="I44" s="1"/>
  <c r="E29"/>
  <c r="E40"/>
  <c r="E47"/>
  <c r="I8" s="1"/>
  <c r="E57"/>
  <c r="E26"/>
  <c r="E65"/>
  <c r="E72"/>
  <c r="E56"/>
  <c r="E39"/>
  <c r="E48"/>
  <c r="E55"/>
  <c r="E21"/>
  <c r="E15"/>
  <c r="E20"/>
  <c r="E19"/>
  <c r="E17"/>
  <c r="E25"/>
  <c r="E24"/>
  <c r="E16"/>
  <c r="E14"/>
  <c r="E13"/>
  <c r="E11"/>
  <c r="E62"/>
  <c r="E23"/>
  <c r="E27"/>
  <c r="E18"/>
  <c r="I9"/>
  <c r="I10"/>
  <c r="I11"/>
  <c r="I12"/>
  <c r="I13"/>
  <c r="I14"/>
  <c r="I15"/>
  <c r="I16"/>
  <c r="I17"/>
  <c r="I18"/>
  <c r="I19"/>
  <c r="I20"/>
  <c r="I21"/>
  <c r="I22"/>
  <c r="I23"/>
  <c r="E7" i="32"/>
  <c r="E60"/>
  <c r="E61"/>
  <c r="I62" s="1"/>
  <c r="E73"/>
  <c r="I74" s="1"/>
  <c r="E79"/>
  <c r="I80" s="1"/>
  <c r="E72"/>
  <c r="I73" s="1"/>
  <c r="E20"/>
  <c r="E29"/>
  <c r="I30" s="1"/>
  <c r="E38"/>
  <c r="E9"/>
  <c r="I10" s="1"/>
  <c r="E14"/>
  <c r="E8"/>
  <c r="I9" s="1"/>
  <c r="E19"/>
  <c r="I20" s="1"/>
  <c r="E51"/>
  <c r="E49"/>
  <c r="E23"/>
  <c r="I24" s="1"/>
  <c r="E32"/>
  <c r="E21"/>
  <c r="E18"/>
  <c r="E44"/>
  <c r="I45" s="1"/>
  <c r="E43"/>
  <c r="I44" s="1"/>
  <c r="E55"/>
  <c r="E22"/>
  <c r="I23" s="1"/>
  <c r="E46"/>
  <c r="E37"/>
  <c r="E52"/>
  <c r="I53" s="1"/>
  <c r="E68"/>
  <c r="E64"/>
  <c r="E39"/>
  <c r="I40" s="1"/>
  <c r="E66"/>
  <c r="I67" s="1"/>
  <c r="E42"/>
  <c r="E33"/>
  <c r="E27"/>
  <c r="E34"/>
  <c r="I35" s="1"/>
  <c r="E15"/>
  <c r="I16" s="1"/>
  <c r="E13"/>
  <c r="E17" i="30"/>
  <c r="E28"/>
  <c r="E27"/>
  <c r="E21"/>
  <c r="E43"/>
  <c r="E26"/>
  <c r="E52"/>
  <c r="E49"/>
  <c r="E48"/>
  <c r="E36"/>
  <c r="E42"/>
  <c r="E44"/>
  <c r="E51"/>
  <c r="E41"/>
  <c r="E25"/>
  <c r="E55"/>
  <c r="E19"/>
  <c r="E111" i="33" l="1"/>
  <c r="I74"/>
  <c r="I72"/>
  <c r="I108"/>
  <c r="I104"/>
  <c r="I95"/>
  <c r="I73"/>
  <c r="I14" i="32"/>
  <c r="I13"/>
  <c r="I28"/>
  <c r="I27"/>
  <c r="I34"/>
  <c r="I43"/>
  <c r="I42"/>
  <c r="I65"/>
  <c r="I64"/>
  <c r="I69"/>
  <c r="I68"/>
  <c r="I38"/>
  <c r="I37"/>
  <c r="I47"/>
  <c r="I46"/>
  <c r="I56"/>
  <c r="I55"/>
  <c r="I19"/>
  <c r="I18"/>
  <c r="I22"/>
  <c r="I33"/>
  <c r="I32"/>
  <c r="I50"/>
  <c r="I49"/>
  <c r="I52"/>
  <c r="I51"/>
  <c r="I15"/>
  <c r="I39"/>
  <c r="I21"/>
  <c r="I61"/>
  <c r="E104"/>
  <c r="I7"/>
  <c r="I79"/>
  <c r="I60"/>
  <c r="I66"/>
  <c r="I72"/>
  <c r="I29"/>
  <c r="E13" i="30"/>
  <c r="E50"/>
  <c r="E54"/>
  <c r="E57"/>
  <c r="E39"/>
  <c r="E18"/>
  <c r="E38"/>
  <c r="E37"/>
  <c r="E33"/>
  <c r="E32"/>
  <c r="E10"/>
  <c r="E49" i="31"/>
  <c r="I49" s="1"/>
  <c r="E52"/>
  <c r="I52" s="1"/>
  <c r="E55"/>
  <c r="I55" s="1"/>
  <c r="E71"/>
  <c r="I71" s="1"/>
  <c r="E47"/>
  <c r="I47" s="1"/>
  <c r="E46"/>
  <c r="I46" s="1"/>
  <c r="E60"/>
  <c r="I60" s="1"/>
  <c r="I58"/>
  <c r="E45"/>
  <c r="I45" s="1"/>
  <c r="E54"/>
  <c r="I54" s="1"/>
  <c r="E65"/>
  <c r="I65" s="1"/>
  <c r="E51"/>
  <c r="I51" s="1"/>
  <c r="E37"/>
  <c r="I37" s="1"/>
  <c r="E31"/>
  <c r="I31" s="1"/>
  <c r="I70" i="33"/>
  <c r="I69"/>
  <c r="I68"/>
  <c r="I67"/>
  <c r="I66"/>
  <c r="I65"/>
  <c r="I64"/>
  <c r="I63"/>
  <c r="I62"/>
  <c r="I61"/>
  <c r="I60"/>
  <c r="I59"/>
  <c r="I111" s="1"/>
  <c r="I58"/>
  <c r="I57"/>
  <c r="I56"/>
  <c r="I55"/>
  <c r="I54"/>
  <c r="I53"/>
  <c r="I52"/>
  <c r="I51"/>
  <c r="I50"/>
  <c r="I49"/>
  <c r="I48"/>
  <c r="I47"/>
  <c r="I46"/>
  <c r="I45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68" i="34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E20" i="31"/>
  <c r="E30"/>
  <c r="E43"/>
  <c r="I43" s="1"/>
  <c r="E15"/>
  <c r="E34"/>
  <c r="I34" s="1"/>
  <c r="E23"/>
  <c r="E29"/>
  <c r="E28"/>
  <c r="E27"/>
  <c r="E18"/>
  <c r="E17"/>
  <c r="E68"/>
  <c r="I68" s="1"/>
  <c r="E50"/>
  <c r="I50" s="1"/>
  <c r="E41"/>
  <c r="I41" s="1"/>
  <c r="E57"/>
  <c r="I57" s="1"/>
  <c r="E67"/>
  <c r="I67" s="1"/>
  <c r="I8" i="32"/>
  <c r="I7" i="28"/>
  <c r="E45"/>
  <c r="E63"/>
  <c r="E62"/>
  <c r="E71"/>
  <c r="E49"/>
  <c r="E88"/>
  <c r="I88" s="1"/>
  <c r="I80"/>
  <c r="I81"/>
  <c r="I82"/>
  <c r="I89"/>
  <c r="E74"/>
  <c r="E84"/>
  <c r="I84" s="1"/>
  <c r="E83"/>
  <c r="I83" s="1"/>
  <c r="E52"/>
  <c r="E70"/>
  <c r="E22"/>
  <c r="E85"/>
  <c r="I85" s="1"/>
  <c r="I67"/>
  <c r="I69"/>
  <c r="I70"/>
  <c r="I71"/>
  <c r="I73"/>
  <c r="E68"/>
  <c r="I68" s="1"/>
  <c r="E58"/>
  <c r="E86"/>
  <c r="I86" s="1"/>
  <c r="E87"/>
  <c r="I87" s="1"/>
  <c r="E78"/>
  <c r="E72"/>
  <c r="I72" s="1"/>
  <c r="I55"/>
  <c r="I56"/>
  <c r="I57"/>
  <c r="I58"/>
  <c r="I59"/>
  <c r="I61"/>
  <c r="I62"/>
  <c r="I63"/>
  <c r="I65"/>
  <c r="I66"/>
  <c r="E21"/>
  <c r="E29"/>
  <c r="E51"/>
  <c r="E60"/>
  <c r="I60" s="1"/>
  <c r="E13"/>
  <c r="E41"/>
  <c r="E34"/>
  <c r="E33"/>
  <c r="E9"/>
  <c r="E42"/>
  <c r="E64"/>
  <c r="I64" s="1"/>
  <c r="E44"/>
  <c r="E17"/>
  <c r="E54"/>
  <c r="E26"/>
  <c r="E25"/>
  <c r="E36"/>
  <c r="E18"/>
  <c r="E32"/>
  <c r="E24"/>
  <c r="I9" i="30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8" i="3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83" i="27"/>
  <c r="E33"/>
  <c r="E47"/>
  <c r="I86"/>
  <c r="E76"/>
  <c r="E77"/>
  <c r="E55"/>
  <c r="E65"/>
  <c r="E63"/>
  <c r="E52"/>
  <c r="E61"/>
  <c r="E84"/>
  <c r="I84" s="1"/>
  <c r="E85"/>
  <c r="I85" s="1"/>
  <c r="E70"/>
  <c r="I67"/>
  <c r="I68"/>
  <c r="I69"/>
  <c r="I70"/>
  <c r="I71"/>
  <c r="I72"/>
  <c r="I73"/>
  <c r="I74"/>
  <c r="I75"/>
  <c r="I76"/>
  <c r="I77"/>
  <c r="I79"/>
  <c r="I80"/>
  <c r="I82"/>
  <c r="E78"/>
  <c r="I78" s="1"/>
  <c r="E62"/>
  <c r="E60"/>
  <c r="E59"/>
  <c r="E81"/>
  <c r="I81" s="1"/>
  <c r="E39"/>
  <c r="E38"/>
  <c r="E57"/>
  <c r="E30"/>
  <c r="E25"/>
  <c r="E53"/>
  <c r="E54"/>
  <c r="E11"/>
  <c r="E16"/>
  <c r="E40"/>
  <c r="E48"/>
  <c r="E12"/>
  <c r="E42"/>
  <c r="E14"/>
  <c r="E19"/>
  <c r="E35"/>
  <c r="E36"/>
  <c r="E32"/>
  <c r="E8"/>
  <c r="E26"/>
  <c r="E18"/>
  <c r="E7"/>
  <c r="E13"/>
  <c r="E9"/>
  <c r="E22"/>
  <c r="E28"/>
  <c r="I8" i="2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74"/>
  <c r="I75"/>
  <c r="I76"/>
  <c r="I77"/>
  <c r="I78"/>
  <c r="I79"/>
  <c r="F92"/>
  <c r="E92"/>
  <c r="I7" i="29"/>
  <c r="I8"/>
  <c r="I9"/>
  <c r="E10"/>
  <c r="I10"/>
  <c r="I11"/>
  <c r="E12"/>
  <c r="I12"/>
  <c r="I13"/>
  <c r="I14"/>
  <c r="E15"/>
  <c r="I15"/>
  <c r="I16"/>
  <c r="E17"/>
  <c r="I17"/>
  <c r="I18"/>
  <c r="I19"/>
  <c r="I20"/>
  <c r="I21"/>
  <c r="E22"/>
  <c r="I22"/>
  <c r="I23"/>
  <c r="I24"/>
  <c r="E25"/>
  <c r="I25"/>
  <c r="E26"/>
  <c r="I26"/>
  <c r="I27"/>
  <c r="E28"/>
  <c r="I28"/>
  <c r="E29"/>
  <c r="I29"/>
  <c r="E30"/>
  <c r="I30"/>
  <c r="E31"/>
  <c r="I31"/>
  <c r="I32"/>
  <c r="I33"/>
  <c r="E34"/>
  <c r="I34"/>
  <c r="E35"/>
  <c r="I35"/>
  <c r="I36"/>
  <c r="I37"/>
  <c r="I38"/>
  <c r="E39"/>
  <c r="I39"/>
  <c r="I40"/>
  <c r="E41"/>
  <c r="I41"/>
  <c r="E42"/>
  <c r="I42"/>
  <c r="E43"/>
  <c r="I43"/>
  <c r="I44"/>
  <c r="I45"/>
  <c r="I46"/>
  <c r="E47"/>
  <c r="I47"/>
  <c r="E48"/>
  <c r="I48"/>
  <c r="E49"/>
  <c r="I49"/>
  <c r="E50"/>
  <c r="I50"/>
  <c r="I51"/>
  <c r="I52"/>
  <c r="E53"/>
  <c r="I53"/>
  <c r="E54"/>
  <c r="I54"/>
  <c r="E55"/>
  <c r="I55"/>
  <c r="I56"/>
  <c r="E57"/>
  <c r="I57"/>
  <c r="E58"/>
  <c r="I58"/>
  <c r="E59"/>
  <c r="I59"/>
  <c r="I60"/>
  <c r="I61"/>
  <c r="E62"/>
  <c r="I62"/>
  <c r="I63"/>
  <c r="E64"/>
  <c r="I64"/>
  <c r="I65"/>
  <c r="E66"/>
  <c r="I66"/>
  <c r="E67"/>
  <c r="I67"/>
  <c r="I69"/>
  <c r="F7"/>
  <c r="F69"/>
  <c r="I62" i="27"/>
  <c r="I63"/>
  <c r="I64"/>
  <c r="I42"/>
  <c r="I43"/>
  <c r="I44"/>
  <c r="I45"/>
  <c r="I46"/>
  <c r="I47"/>
  <c r="I48"/>
  <c r="I49"/>
  <c r="I50"/>
  <c r="I51"/>
  <c r="I52"/>
  <c r="I53"/>
  <c r="I54"/>
  <c r="I55"/>
  <c r="E31" i="26"/>
  <c r="E29"/>
  <c r="E12"/>
  <c r="E15"/>
  <c r="E19"/>
  <c r="E9"/>
  <c r="E18"/>
  <c r="E26"/>
  <c r="E32"/>
  <c r="E21"/>
  <c r="E39"/>
  <c r="E41"/>
  <c r="E42"/>
  <c r="E43"/>
  <c r="E11"/>
  <c r="E28"/>
  <c r="E37"/>
  <c r="E36"/>
  <c r="I7" i="2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56"/>
  <c r="I57"/>
  <c r="I58"/>
  <c r="I59"/>
  <c r="I60"/>
  <c r="I61"/>
  <c r="I65"/>
  <c r="I66"/>
  <c r="F88"/>
  <c r="E88"/>
  <c r="I8" i="26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50"/>
  <c r="F50"/>
  <c r="I61" i="30" l="1"/>
  <c r="I104" i="32"/>
  <c r="I73" i="31"/>
  <c r="I88" i="27"/>
  <c r="I92" i="28"/>
</calcChain>
</file>

<file path=xl/sharedStrings.xml><?xml version="1.0" encoding="utf-8"?>
<sst xmlns="http://schemas.openxmlformats.org/spreadsheetml/2006/main" count="4489" uniqueCount="1298">
  <si>
    <t>Fecha</t>
  </si>
  <si>
    <t>Cantidad</t>
  </si>
  <si>
    <t>$ pesos</t>
  </si>
  <si>
    <t xml:space="preserve">Fecha de </t>
  </si>
  <si>
    <t>pagos</t>
  </si>
  <si>
    <t>Remision</t>
  </si>
  <si>
    <t>kg</t>
  </si>
  <si>
    <t>Concepto</t>
  </si>
  <si>
    <t xml:space="preserve"> </t>
  </si>
  <si>
    <t>Cliente</t>
  </si>
  <si>
    <t>caja</t>
  </si>
  <si>
    <t>varios</t>
  </si>
  <si>
    <t>Sara Ortega</t>
  </si>
  <si>
    <t>Ana Laura Robles Flores</t>
  </si>
  <si>
    <t>Julian Cortes Marcial</t>
  </si>
  <si>
    <t>res</t>
  </si>
  <si>
    <t>122 cen</t>
  </si>
  <si>
    <t>cuero de pierna</t>
  </si>
  <si>
    <t>140 cen</t>
  </si>
  <si>
    <t>156 cen</t>
  </si>
  <si>
    <t>menudo</t>
  </si>
  <si>
    <t>buche</t>
  </si>
  <si>
    <t>combo pierna</t>
  </si>
  <si>
    <t>ESTADO DE CUENTA FRANCISCO ARMENTA HERNANDEZ</t>
  </si>
  <si>
    <t>Comentarios</t>
  </si>
  <si>
    <t>Julian Cortes</t>
  </si>
  <si>
    <t>pierna c/cuero</t>
  </si>
  <si>
    <t xml:space="preserve">Jose Manuel </t>
  </si>
  <si>
    <t>sesos</t>
  </si>
  <si>
    <t>cabeza de cerdo</t>
  </si>
  <si>
    <t>Antonio</t>
  </si>
  <si>
    <t>jamon con grasa</t>
  </si>
  <si>
    <t>Blanket</t>
  </si>
  <si>
    <t>Abastecedora Becerra</t>
  </si>
  <si>
    <t>176 cen</t>
  </si>
  <si>
    <t>Jose Manuel</t>
  </si>
  <si>
    <t>Omar Lopez</t>
  </si>
  <si>
    <t>Eloy Acevedo</t>
  </si>
  <si>
    <t>combo de pernil</t>
  </si>
  <si>
    <t>150 cic</t>
  </si>
  <si>
    <t>pechos</t>
  </si>
  <si>
    <t>canal de cerdo</t>
  </si>
  <si>
    <t>Miguel Castillo</t>
  </si>
  <si>
    <t>982 cen</t>
  </si>
  <si>
    <t>Maxicarnes</t>
  </si>
  <si>
    <t>cuero papel</t>
  </si>
  <si>
    <t>55 cen</t>
  </si>
  <si>
    <t>95 cen</t>
  </si>
  <si>
    <t>246 cen</t>
  </si>
  <si>
    <t>247 cen</t>
  </si>
  <si>
    <t>Menudo</t>
  </si>
  <si>
    <t>Super Alatriste</t>
  </si>
  <si>
    <t>Sesos</t>
  </si>
  <si>
    <t>Cabeza de cerdo</t>
  </si>
  <si>
    <t>Pechos</t>
  </si>
  <si>
    <t>711 cen</t>
  </si>
  <si>
    <t>Hugo Lopez</t>
  </si>
  <si>
    <t>Carlos Dario</t>
  </si>
  <si>
    <t>121 cen</t>
  </si>
  <si>
    <t>Juan Jose</t>
  </si>
  <si>
    <t>391 cic</t>
  </si>
  <si>
    <t>257 cen</t>
  </si>
  <si>
    <t>combo pernil</t>
  </si>
  <si>
    <t>COMISION A PAGAR</t>
  </si>
  <si>
    <t>Dario</t>
  </si>
  <si>
    <t>ch postfech caja</t>
  </si>
  <si>
    <t>Juan Pablo</t>
  </si>
  <si>
    <t>Hugo</t>
  </si>
  <si>
    <t>Juan Manuel</t>
  </si>
  <si>
    <t>178 cen</t>
  </si>
  <si>
    <t>papada</t>
  </si>
  <si>
    <t>Distribuidora de Cholula</t>
  </si>
  <si>
    <t>Blanquet</t>
  </si>
  <si>
    <t>Ma Elena</t>
  </si>
  <si>
    <t>Maria Elena</t>
  </si>
  <si>
    <t>Ma de Jesus Muñoz</t>
  </si>
  <si>
    <t>Cuero entero</t>
  </si>
  <si>
    <t>Buche</t>
  </si>
  <si>
    <t>sesos de copa</t>
  </si>
  <si>
    <t>cuero entero</t>
  </si>
  <si>
    <t>COMISION x kg</t>
  </si>
  <si>
    <t>Corbata Curlys</t>
  </si>
  <si>
    <t>Ma de Jesus</t>
  </si>
  <si>
    <t>Canal de cerdo</t>
  </si>
  <si>
    <t>MES DE ABRIL 2010</t>
  </si>
  <si>
    <t>MES DE MAYO 2010</t>
  </si>
  <si>
    <t>Emp de Carnes Finas Palmon</t>
  </si>
  <si>
    <t>201 cen</t>
  </si>
  <si>
    <t xml:space="preserve">45 cen </t>
  </si>
  <si>
    <t xml:space="preserve">56 cen </t>
  </si>
  <si>
    <t>179 cen</t>
  </si>
  <si>
    <t>Costa de oro</t>
  </si>
  <si>
    <t>220 cen</t>
  </si>
  <si>
    <t>142 cen</t>
  </si>
  <si>
    <t>46 cen</t>
  </si>
  <si>
    <t>3 cen</t>
  </si>
  <si>
    <t xml:space="preserve">945 cen </t>
  </si>
  <si>
    <t>965 cen</t>
  </si>
  <si>
    <t>915cen</t>
  </si>
  <si>
    <t>992 cen</t>
  </si>
  <si>
    <t>jamon con hueso</t>
  </si>
  <si>
    <t>120 cen</t>
  </si>
  <si>
    <t>94 cen</t>
  </si>
  <si>
    <t>1 od</t>
  </si>
  <si>
    <t>080 cen</t>
  </si>
  <si>
    <t>208 cen</t>
  </si>
  <si>
    <t>210 cen</t>
  </si>
  <si>
    <t>089 cic</t>
  </si>
  <si>
    <t>04 od</t>
  </si>
  <si>
    <t>02 od</t>
  </si>
  <si>
    <t>05 od</t>
  </si>
  <si>
    <t>Abast de Carnes Becerra</t>
  </si>
  <si>
    <t>245 cen</t>
  </si>
  <si>
    <t>998 cic</t>
  </si>
  <si>
    <t>141 cic</t>
  </si>
  <si>
    <t>86 cic</t>
  </si>
  <si>
    <t>99 cic</t>
  </si>
  <si>
    <t>Delanteros</t>
  </si>
  <si>
    <t>77 cic</t>
  </si>
  <si>
    <t>158  cic</t>
  </si>
  <si>
    <t>cuero sin grasa</t>
  </si>
  <si>
    <t>07 od</t>
  </si>
  <si>
    <t>12 od</t>
  </si>
  <si>
    <t>08 od</t>
  </si>
  <si>
    <t>17 od</t>
  </si>
  <si>
    <t>16 od</t>
  </si>
  <si>
    <t>20 od</t>
  </si>
  <si>
    <t>19 od</t>
  </si>
  <si>
    <t>21 od</t>
  </si>
  <si>
    <t>03 od</t>
  </si>
  <si>
    <t>107 cic</t>
  </si>
  <si>
    <t>155 cic</t>
  </si>
  <si>
    <t>264 cic</t>
  </si>
  <si>
    <t>sesos marqueta</t>
  </si>
  <si>
    <t>88 cic</t>
  </si>
  <si>
    <t>179 cic</t>
  </si>
  <si>
    <t>290 cic</t>
  </si>
  <si>
    <t>291 cic</t>
  </si>
  <si>
    <t>229 cic</t>
  </si>
  <si>
    <t>394 cic</t>
  </si>
  <si>
    <t>175 cic</t>
  </si>
  <si>
    <t>320 cic</t>
  </si>
  <si>
    <t>218 cic</t>
  </si>
  <si>
    <t>157 cic</t>
  </si>
  <si>
    <t>263 cic</t>
  </si>
  <si>
    <t>187 cic</t>
  </si>
  <si>
    <t>376 cic</t>
  </si>
  <si>
    <t>32 od</t>
  </si>
  <si>
    <t>33 od</t>
  </si>
  <si>
    <t>436 cic</t>
  </si>
  <si>
    <t>392 cic</t>
  </si>
  <si>
    <t>Miguel Fernandez</t>
  </si>
  <si>
    <t>390 cic</t>
  </si>
  <si>
    <t>249 cic</t>
  </si>
  <si>
    <t>43 od</t>
  </si>
  <si>
    <t>10 od</t>
  </si>
  <si>
    <t>MES DE JUNIO 2010</t>
  </si>
  <si>
    <t>MES DE JULIO 2010</t>
  </si>
  <si>
    <t>352 cic</t>
  </si>
  <si>
    <t>63 ob</t>
  </si>
  <si>
    <t>8  ob</t>
  </si>
  <si>
    <t>289 cic</t>
  </si>
  <si>
    <t>437 cic</t>
  </si>
  <si>
    <t>15 od</t>
  </si>
  <si>
    <t>Abast de carnes Hnos Becerra</t>
  </si>
  <si>
    <t>50 od</t>
  </si>
  <si>
    <t>Empacadora el Palmon</t>
  </si>
  <si>
    <t>52 od</t>
  </si>
  <si>
    <t>59 od</t>
  </si>
  <si>
    <t>57 od</t>
  </si>
  <si>
    <t>42 ob</t>
  </si>
  <si>
    <t>Isaias</t>
  </si>
  <si>
    <t>17 ob</t>
  </si>
  <si>
    <t>delanteros</t>
  </si>
  <si>
    <t>125 ob</t>
  </si>
  <si>
    <t>458 cic</t>
  </si>
  <si>
    <t>24 od</t>
  </si>
  <si>
    <t>62 od</t>
  </si>
  <si>
    <t>60 od</t>
  </si>
  <si>
    <t>64 od</t>
  </si>
  <si>
    <t>63 od</t>
  </si>
  <si>
    <t>Jose Ignacio Gomez Martinez</t>
  </si>
  <si>
    <t>51 od</t>
  </si>
  <si>
    <t>44 od</t>
  </si>
  <si>
    <t>190 ob</t>
  </si>
  <si>
    <t>179 ob</t>
  </si>
  <si>
    <t>246 ob</t>
  </si>
  <si>
    <t>393 cic</t>
  </si>
  <si>
    <t>487 cic</t>
  </si>
  <si>
    <t>377 cic</t>
  </si>
  <si>
    <t>296 ob</t>
  </si>
  <si>
    <t>496 cic</t>
  </si>
  <si>
    <t>177 ob</t>
  </si>
  <si>
    <t>240 ob</t>
  </si>
  <si>
    <t>313 ob</t>
  </si>
  <si>
    <t>323 ob</t>
  </si>
  <si>
    <t>274 ob</t>
  </si>
  <si>
    <t>310 ob</t>
  </si>
  <si>
    <t>275 ob</t>
  </si>
  <si>
    <t>178 ob</t>
  </si>
  <si>
    <t>180 ob</t>
  </si>
  <si>
    <t>453 ob</t>
  </si>
  <si>
    <t>500 ob</t>
  </si>
  <si>
    <t>capote</t>
  </si>
  <si>
    <t>411 ob</t>
  </si>
  <si>
    <t>471 ob</t>
  </si>
  <si>
    <t>324 ob</t>
  </si>
  <si>
    <t>421 ob</t>
  </si>
  <si>
    <t>347 ob</t>
  </si>
  <si>
    <t>94 ob</t>
  </si>
  <si>
    <t>221 ob</t>
  </si>
  <si>
    <t>466 ob</t>
  </si>
  <si>
    <t>368 ob</t>
  </si>
  <si>
    <t>463 ob</t>
  </si>
  <si>
    <t>Beto Angulo</t>
  </si>
  <si>
    <t>440 ob</t>
  </si>
  <si>
    <t>395 ob</t>
  </si>
  <si>
    <t>46 od</t>
  </si>
  <si>
    <t>82 od</t>
  </si>
  <si>
    <t>95 od</t>
  </si>
  <si>
    <t>76 od</t>
  </si>
  <si>
    <t>79 od</t>
  </si>
  <si>
    <t>53 od</t>
  </si>
  <si>
    <t>78 od</t>
  </si>
  <si>
    <t>70 od</t>
  </si>
  <si>
    <t>94 od</t>
  </si>
  <si>
    <t>97 od</t>
  </si>
  <si>
    <t>111 od</t>
  </si>
  <si>
    <t>485 ob</t>
  </si>
  <si>
    <t>380 ob</t>
  </si>
  <si>
    <t>536 ob</t>
  </si>
  <si>
    <t>532 ob</t>
  </si>
  <si>
    <t>412 ob</t>
  </si>
  <si>
    <t>366 ob</t>
  </si>
  <si>
    <t>464 ob</t>
  </si>
  <si>
    <t>Ma. Elena</t>
  </si>
  <si>
    <t>295 ob</t>
  </si>
  <si>
    <t>369 ob</t>
  </si>
  <si>
    <t>91 od</t>
  </si>
  <si>
    <t>84 od</t>
  </si>
  <si>
    <t>120 od</t>
  </si>
  <si>
    <t>116 od</t>
  </si>
  <si>
    <t>71 od</t>
  </si>
  <si>
    <t>61 od</t>
  </si>
  <si>
    <t>77  od</t>
  </si>
  <si>
    <t>93 od</t>
  </si>
  <si>
    <t>MES DE SEPTIEMBRE 2010</t>
  </si>
  <si>
    <t>MES DE AGOSTO 2010</t>
  </si>
  <si>
    <t>419 ob</t>
  </si>
  <si>
    <t>Res delantero</t>
  </si>
  <si>
    <t>cuero</t>
  </si>
  <si>
    <t>muestra</t>
  </si>
  <si>
    <t>394 ob</t>
  </si>
  <si>
    <t>Res Pata</t>
  </si>
  <si>
    <t>518 ob</t>
  </si>
  <si>
    <t>522 ob</t>
  </si>
  <si>
    <t>138 od</t>
  </si>
  <si>
    <t>139 od</t>
  </si>
  <si>
    <t>140 od</t>
  </si>
  <si>
    <t>136 od</t>
  </si>
  <si>
    <t>117 od</t>
  </si>
  <si>
    <t>597 ob</t>
  </si>
  <si>
    <t>546 ob</t>
  </si>
  <si>
    <t>680 ob</t>
  </si>
  <si>
    <t>Jamon c/grasa</t>
  </si>
  <si>
    <t>Gabriel</t>
  </si>
  <si>
    <t>547 ob</t>
  </si>
  <si>
    <t>775 ob</t>
  </si>
  <si>
    <t>capotes</t>
  </si>
  <si>
    <t>693 ob</t>
  </si>
  <si>
    <t>632 ob</t>
  </si>
  <si>
    <t>pernil con grasa</t>
  </si>
  <si>
    <t>441 ob</t>
  </si>
  <si>
    <t>699 ob</t>
  </si>
  <si>
    <t>Costa de Oro</t>
  </si>
  <si>
    <t>698 ob</t>
  </si>
  <si>
    <t>634 ob</t>
  </si>
  <si>
    <t>781 ob</t>
  </si>
  <si>
    <t>623 ob</t>
  </si>
  <si>
    <t>232 ob</t>
  </si>
  <si>
    <t>580 ob</t>
  </si>
  <si>
    <t>650 ob</t>
  </si>
  <si>
    <t>588 ob</t>
  </si>
  <si>
    <t>589 ob</t>
  </si>
  <si>
    <t>561 ob</t>
  </si>
  <si>
    <t>666 ob</t>
  </si>
  <si>
    <t>Jamon c/hueso</t>
  </si>
  <si>
    <t>410 ob</t>
  </si>
  <si>
    <t>156 od</t>
  </si>
  <si>
    <t>154 od</t>
  </si>
  <si>
    <t>151 od</t>
  </si>
  <si>
    <t>137 od</t>
  </si>
  <si>
    <t>149 od</t>
  </si>
  <si>
    <t>118 od</t>
  </si>
  <si>
    <t>abastecedora Hnos Becerra</t>
  </si>
  <si>
    <t>128 od</t>
  </si>
  <si>
    <t>143 od</t>
  </si>
  <si>
    <t>61 ob</t>
  </si>
  <si>
    <t>932 ob</t>
  </si>
  <si>
    <t>Jose Gabriel</t>
  </si>
  <si>
    <t>610 ob</t>
  </si>
  <si>
    <t>667 ob</t>
  </si>
  <si>
    <t>934 ob</t>
  </si>
  <si>
    <t>planchas</t>
  </si>
  <si>
    <t>844 ob</t>
  </si>
  <si>
    <t>896 ob</t>
  </si>
  <si>
    <t>895 ob</t>
  </si>
  <si>
    <t>19 A ob</t>
  </si>
  <si>
    <t>180 od</t>
  </si>
  <si>
    <t>155 od</t>
  </si>
  <si>
    <t>172 od</t>
  </si>
  <si>
    <t>165 od</t>
  </si>
  <si>
    <t>959 ob</t>
  </si>
  <si>
    <t>894 ob</t>
  </si>
  <si>
    <t>730 ob</t>
  </si>
  <si>
    <t>869 ob</t>
  </si>
  <si>
    <t>170 od</t>
  </si>
  <si>
    <t>160 od</t>
  </si>
  <si>
    <t>144 od</t>
  </si>
  <si>
    <t>129 od</t>
  </si>
  <si>
    <t>166 od</t>
  </si>
  <si>
    <t>167 od</t>
  </si>
  <si>
    <t>152 od</t>
  </si>
  <si>
    <t>173 od</t>
  </si>
  <si>
    <t>175 od</t>
  </si>
  <si>
    <t>872 ob</t>
  </si>
  <si>
    <t>871 ob</t>
  </si>
  <si>
    <t>Fortino</t>
  </si>
  <si>
    <t>681 ob</t>
  </si>
  <si>
    <t>843 ob</t>
  </si>
  <si>
    <t>7 ob</t>
  </si>
  <si>
    <t>798 ob</t>
  </si>
  <si>
    <t>Juan Gabriel</t>
  </si>
  <si>
    <t>696 ob</t>
  </si>
  <si>
    <t>753 ob</t>
  </si>
  <si>
    <t>754 ob</t>
  </si>
  <si>
    <t>337 ob</t>
  </si>
  <si>
    <t>749 ob</t>
  </si>
  <si>
    <t>806 ob</t>
  </si>
  <si>
    <t>Isaias Hernandez</t>
  </si>
  <si>
    <t>MES DE OCTUBRE 2010</t>
  </si>
  <si>
    <t>423 ob</t>
  </si>
  <si>
    <t>550ob</t>
  </si>
  <si>
    <t>237ob</t>
  </si>
  <si>
    <t>138ob</t>
  </si>
  <si>
    <t>421ob</t>
  </si>
  <si>
    <t>374ob</t>
  </si>
  <si>
    <t>combo</t>
  </si>
  <si>
    <t>100ob</t>
  </si>
  <si>
    <t>canal</t>
  </si>
  <si>
    <t>258ob</t>
  </si>
  <si>
    <t>265ob</t>
  </si>
  <si>
    <t>209od</t>
  </si>
  <si>
    <t>Hermanos Becerra</t>
  </si>
  <si>
    <t>235od</t>
  </si>
  <si>
    <t>236od</t>
  </si>
  <si>
    <t>canales con cabeza</t>
  </si>
  <si>
    <t>Empacadora Palmon</t>
  </si>
  <si>
    <t>224od</t>
  </si>
  <si>
    <t>557ob</t>
  </si>
  <si>
    <t>Maria de Jesus</t>
  </si>
  <si>
    <t>946ob</t>
  </si>
  <si>
    <t>958ob</t>
  </si>
  <si>
    <t>803ob</t>
  </si>
  <si>
    <t>72ob</t>
  </si>
  <si>
    <t>186od</t>
  </si>
  <si>
    <t>184od</t>
  </si>
  <si>
    <t>183od</t>
  </si>
  <si>
    <t>933ob</t>
  </si>
  <si>
    <t>992ob</t>
  </si>
  <si>
    <t>36ob</t>
  </si>
  <si>
    <t>137ob</t>
  </si>
  <si>
    <t>169ob</t>
  </si>
  <si>
    <t>893ob</t>
  </si>
  <si>
    <t>Christian</t>
  </si>
  <si>
    <t>canales s/c cabeza</t>
  </si>
  <si>
    <t>160ob</t>
  </si>
  <si>
    <t>897ob</t>
  </si>
  <si>
    <t>269ob</t>
  </si>
  <si>
    <t>202od</t>
  </si>
  <si>
    <t>176od</t>
  </si>
  <si>
    <t>185od</t>
  </si>
  <si>
    <t>157od</t>
  </si>
  <si>
    <t>200od</t>
  </si>
  <si>
    <t>174od</t>
  </si>
  <si>
    <t>934ob</t>
  </si>
  <si>
    <t>plancha</t>
  </si>
  <si>
    <t>99ob</t>
  </si>
  <si>
    <t>805ob</t>
  </si>
  <si>
    <t>190od</t>
  </si>
  <si>
    <t>canal con cabeza</t>
  </si>
  <si>
    <t>158od</t>
  </si>
  <si>
    <t>panza excel</t>
  </si>
  <si>
    <t>168ob</t>
  </si>
  <si>
    <t>341ob</t>
  </si>
  <si>
    <t>228od</t>
  </si>
  <si>
    <t>495ob</t>
  </si>
  <si>
    <t>385ob</t>
  </si>
  <si>
    <t>267ob</t>
  </si>
  <si>
    <t>217od</t>
  </si>
  <si>
    <t>216od</t>
  </si>
  <si>
    <t>218od</t>
  </si>
  <si>
    <t>201od</t>
  </si>
  <si>
    <t>204od</t>
  </si>
  <si>
    <t>253ob</t>
  </si>
  <si>
    <t>159ob</t>
  </si>
  <si>
    <t>417ob</t>
  </si>
  <si>
    <t>586ob</t>
  </si>
  <si>
    <t>422ob</t>
  </si>
  <si>
    <t>Rosario</t>
  </si>
  <si>
    <t>379ob</t>
  </si>
  <si>
    <t>497ob</t>
  </si>
  <si>
    <t>cuero canal</t>
  </si>
  <si>
    <t>Miguel</t>
  </si>
  <si>
    <t>181od</t>
  </si>
  <si>
    <t>207od</t>
  </si>
  <si>
    <t>203od</t>
  </si>
  <si>
    <t>60ob</t>
  </si>
  <si>
    <t>834ob</t>
  </si>
  <si>
    <t>243od</t>
  </si>
  <si>
    <t>canales</t>
  </si>
  <si>
    <t>211od</t>
  </si>
  <si>
    <t>244od</t>
  </si>
  <si>
    <t>Maria del Rosario</t>
  </si>
  <si>
    <t>212od</t>
  </si>
  <si>
    <t>Jose Ignacio Gomez Martin</t>
  </si>
  <si>
    <t>251od</t>
  </si>
  <si>
    <t>214od</t>
  </si>
  <si>
    <t>246od</t>
  </si>
  <si>
    <t>249od</t>
  </si>
  <si>
    <t>265od</t>
  </si>
  <si>
    <t>234od</t>
  </si>
  <si>
    <t>250od</t>
  </si>
  <si>
    <t>258od</t>
  </si>
  <si>
    <t>255od</t>
  </si>
  <si>
    <t xml:space="preserve">810ob </t>
  </si>
  <si>
    <t>418ob</t>
  </si>
  <si>
    <t>726ob</t>
  </si>
  <si>
    <t>combos</t>
  </si>
  <si>
    <t>581ob</t>
  </si>
  <si>
    <t>801ob</t>
  </si>
  <si>
    <t>46 ob</t>
  </si>
  <si>
    <t>899ob</t>
  </si>
  <si>
    <t>270ob</t>
  </si>
  <si>
    <t>227od</t>
  </si>
  <si>
    <t>281od</t>
  </si>
  <si>
    <t>canales c/  cabeza</t>
  </si>
  <si>
    <t>288od</t>
  </si>
  <si>
    <t>208od</t>
  </si>
  <si>
    <t>253od</t>
  </si>
  <si>
    <t>237od</t>
  </si>
  <si>
    <t>232od</t>
  </si>
  <si>
    <t>276od</t>
  </si>
  <si>
    <t>242od</t>
  </si>
  <si>
    <t>254od</t>
  </si>
  <si>
    <t>952ob</t>
  </si>
  <si>
    <t>842ob</t>
  </si>
  <si>
    <t>812ob</t>
  </si>
  <si>
    <t>743ob</t>
  </si>
  <si>
    <t>744ob</t>
  </si>
  <si>
    <t>261od</t>
  </si>
  <si>
    <t>259od</t>
  </si>
  <si>
    <t>951ob</t>
  </si>
  <si>
    <t xml:space="preserve">950ob </t>
  </si>
  <si>
    <t>472ob</t>
  </si>
  <si>
    <t>653ob</t>
  </si>
  <si>
    <t>811ob</t>
  </si>
  <si>
    <t>582ob</t>
  </si>
  <si>
    <t>715ob</t>
  </si>
  <si>
    <t>496ob</t>
  </si>
  <si>
    <t>652ob</t>
  </si>
  <si>
    <t>389ob</t>
  </si>
  <si>
    <t>654ob</t>
  </si>
  <si>
    <t>539ob</t>
  </si>
  <si>
    <t>620ob</t>
  </si>
  <si>
    <t>263od</t>
  </si>
  <si>
    <t>264od</t>
  </si>
  <si>
    <t>195ob</t>
  </si>
  <si>
    <t>120ob</t>
  </si>
  <si>
    <t>197ob</t>
  </si>
  <si>
    <t>294od</t>
  </si>
  <si>
    <t>289od</t>
  </si>
  <si>
    <t>296od</t>
  </si>
  <si>
    <t>269od</t>
  </si>
  <si>
    <t>324od</t>
  </si>
  <si>
    <t>295od</t>
  </si>
  <si>
    <t>321od</t>
  </si>
  <si>
    <t>322od</t>
  </si>
  <si>
    <t>366ob</t>
  </si>
  <si>
    <t>264ob</t>
  </si>
  <si>
    <t>325od</t>
  </si>
  <si>
    <t>323od</t>
  </si>
  <si>
    <t>cabeza americana</t>
  </si>
  <si>
    <t>335od</t>
  </si>
  <si>
    <t>279od</t>
  </si>
  <si>
    <t>428ob</t>
  </si>
  <si>
    <t>427ob</t>
  </si>
  <si>
    <t>429ob</t>
  </si>
  <si>
    <t>263ob</t>
  </si>
  <si>
    <t>194ob</t>
  </si>
  <si>
    <t>308ob</t>
  </si>
  <si>
    <t xml:space="preserve">jamon </t>
  </si>
  <si>
    <t>322ob</t>
  </si>
  <si>
    <t>347ob</t>
  </si>
  <si>
    <t>268od</t>
  </si>
  <si>
    <t>286od</t>
  </si>
  <si>
    <t>118ob</t>
  </si>
  <si>
    <t>047ob</t>
  </si>
  <si>
    <t>189ob</t>
  </si>
  <si>
    <t>310od</t>
  </si>
  <si>
    <t>277od</t>
  </si>
  <si>
    <t>303od</t>
  </si>
  <si>
    <t>301od</t>
  </si>
  <si>
    <t>302od</t>
  </si>
  <si>
    <t>266od</t>
  </si>
  <si>
    <t>256ob</t>
  </si>
  <si>
    <t>900ob</t>
  </si>
  <si>
    <t>73ob</t>
  </si>
  <si>
    <t>jamon c/hueso</t>
  </si>
  <si>
    <t>65ob</t>
  </si>
  <si>
    <t>576ob</t>
  </si>
  <si>
    <t>266ob</t>
  </si>
  <si>
    <t>pulpa</t>
  </si>
  <si>
    <t>196ob</t>
  </si>
  <si>
    <t>855ob</t>
  </si>
  <si>
    <t>0008ob</t>
  </si>
  <si>
    <t>611ob</t>
  </si>
  <si>
    <t>721ob</t>
  </si>
  <si>
    <t>678ob</t>
  </si>
  <si>
    <t>866ob</t>
  </si>
  <si>
    <t>454ob</t>
  </si>
  <si>
    <t>651ob</t>
  </si>
  <si>
    <t>529od</t>
  </si>
  <si>
    <t>226ob</t>
  </si>
  <si>
    <t>607ob</t>
  </si>
  <si>
    <t>988ob</t>
  </si>
  <si>
    <t>Cesar Montiel</t>
  </si>
  <si>
    <t>987ob</t>
  </si>
  <si>
    <t>Esteban</t>
  </si>
  <si>
    <t>724ob</t>
  </si>
  <si>
    <t>920ob</t>
  </si>
  <si>
    <t>340ob</t>
  </si>
  <si>
    <t>361od</t>
  </si>
  <si>
    <t>360od</t>
  </si>
  <si>
    <t>353od</t>
  </si>
  <si>
    <t>342od</t>
  </si>
  <si>
    <t>343od</t>
  </si>
  <si>
    <t>316od</t>
  </si>
  <si>
    <t>341od</t>
  </si>
  <si>
    <t>921ob</t>
  </si>
  <si>
    <t>177ob</t>
  </si>
  <si>
    <t>326od</t>
  </si>
  <si>
    <t>363od</t>
  </si>
  <si>
    <t>509od</t>
  </si>
  <si>
    <t>508od</t>
  </si>
  <si>
    <t>119ob</t>
  </si>
  <si>
    <t>723ob</t>
  </si>
  <si>
    <t>922ob</t>
  </si>
  <si>
    <t>902 ob</t>
  </si>
  <si>
    <t>530ob</t>
  </si>
  <si>
    <t>806ob</t>
  </si>
  <si>
    <t>708ob</t>
  </si>
  <si>
    <t>511ob</t>
  </si>
  <si>
    <t>807ob</t>
  </si>
  <si>
    <t>336od</t>
  </si>
  <si>
    <t>502od</t>
  </si>
  <si>
    <t>320od</t>
  </si>
  <si>
    <t>283od</t>
  </si>
  <si>
    <t>722ob</t>
  </si>
  <si>
    <t>602ob</t>
  </si>
  <si>
    <t>jose Gabriel</t>
  </si>
  <si>
    <t>505od</t>
  </si>
  <si>
    <t>212ob</t>
  </si>
  <si>
    <t>114ob</t>
  </si>
  <si>
    <t>247ob</t>
  </si>
  <si>
    <t>231ob</t>
  </si>
  <si>
    <t>344od</t>
  </si>
  <si>
    <t>338od</t>
  </si>
  <si>
    <t>355od</t>
  </si>
  <si>
    <t>804ob</t>
  </si>
  <si>
    <t>794ob</t>
  </si>
  <si>
    <t>290ob</t>
  </si>
  <si>
    <t>508ob</t>
  </si>
  <si>
    <t>364od</t>
  </si>
  <si>
    <t>121ob</t>
  </si>
  <si>
    <t>515od</t>
  </si>
  <si>
    <t>918ob</t>
  </si>
  <si>
    <t>016ob</t>
  </si>
  <si>
    <t>015ob</t>
  </si>
  <si>
    <t>354od</t>
  </si>
  <si>
    <t>504od</t>
  </si>
  <si>
    <t>526od</t>
  </si>
  <si>
    <t>573ob</t>
  </si>
  <si>
    <t>433ob</t>
  </si>
  <si>
    <t>544od</t>
  </si>
  <si>
    <t>575od</t>
  </si>
  <si>
    <t>560od</t>
  </si>
  <si>
    <t>565od</t>
  </si>
  <si>
    <t>552od</t>
  </si>
  <si>
    <t>554od</t>
  </si>
  <si>
    <t>550od</t>
  </si>
  <si>
    <t>510od</t>
  </si>
  <si>
    <t>543od</t>
  </si>
  <si>
    <t>534od</t>
  </si>
  <si>
    <t>527od</t>
  </si>
  <si>
    <t>523ob</t>
  </si>
  <si>
    <t>202ob</t>
  </si>
  <si>
    <t>542od</t>
  </si>
  <si>
    <t>533od</t>
  </si>
  <si>
    <t>339ob</t>
  </si>
  <si>
    <t>337ob</t>
  </si>
  <si>
    <t>338ob</t>
  </si>
  <si>
    <t>274od</t>
  </si>
  <si>
    <t>516od</t>
  </si>
  <si>
    <t>431ob</t>
  </si>
  <si>
    <t>128ob</t>
  </si>
  <si>
    <t>460ob</t>
  </si>
  <si>
    <t>581od</t>
  </si>
  <si>
    <t>545od</t>
  </si>
  <si>
    <t>563od</t>
  </si>
  <si>
    <t>588od</t>
  </si>
  <si>
    <t>600od</t>
  </si>
  <si>
    <t>058ob</t>
  </si>
  <si>
    <t>930ob</t>
  </si>
  <si>
    <t>279ob</t>
  </si>
  <si>
    <t>717ob</t>
  </si>
  <si>
    <t>928ob</t>
  </si>
  <si>
    <t>432ob</t>
  </si>
  <si>
    <t>940ob</t>
  </si>
  <si>
    <t>844ob</t>
  </si>
  <si>
    <t>Carnes Selectas</t>
  </si>
  <si>
    <t>983ob</t>
  </si>
  <si>
    <t>009ob</t>
  </si>
  <si>
    <t>850ob</t>
  </si>
  <si>
    <t>pata de res</t>
  </si>
  <si>
    <t>589od</t>
  </si>
  <si>
    <t>561od</t>
  </si>
  <si>
    <t>302ob</t>
  </si>
  <si>
    <t>797ob</t>
  </si>
  <si>
    <t>558ob</t>
  </si>
  <si>
    <t>521ob</t>
  </si>
  <si>
    <t>211ob</t>
  </si>
  <si>
    <t>662ob</t>
  </si>
  <si>
    <t>871ob</t>
  </si>
  <si>
    <t>777ob</t>
  </si>
  <si>
    <t>368ob</t>
  </si>
  <si>
    <t>416ob</t>
  </si>
  <si>
    <t>524od</t>
  </si>
  <si>
    <t>888ob</t>
  </si>
  <si>
    <t>050ob</t>
  </si>
  <si>
    <t>078ob</t>
  </si>
  <si>
    <t>025ob</t>
  </si>
  <si>
    <t>889ob</t>
  </si>
  <si>
    <t>787ob</t>
  </si>
  <si>
    <t>085ob</t>
  </si>
  <si>
    <t>846ob</t>
  </si>
  <si>
    <t>573od</t>
  </si>
  <si>
    <t>cabeza lomo</t>
  </si>
  <si>
    <t>579od</t>
  </si>
  <si>
    <t>904ob</t>
  </si>
  <si>
    <t>782ob</t>
  </si>
  <si>
    <t>022ob</t>
  </si>
  <si>
    <t>783ob</t>
  </si>
  <si>
    <t>002ob</t>
  </si>
  <si>
    <t>953ob</t>
  </si>
  <si>
    <t>536od</t>
  </si>
  <si>
    <t>528od</t>
  </si>
  <si>
    <t>MES DE NOVIEMBRE 2010</t>
  </si>
  <si>
    <t>MES DE DICIEMBRE 2010</t>
  </si>
  <si>
    <t>500ob</t>
  </si>
  <si>
    <t>577ob</t>
  </si>
  <si>
    <t>546ob</t>
  </si>
  <si>
    <t>234ob</t>
  </si>
  <si>
    <t>115ob</t>
  </si>
  <si>
    <t>820ob</t>
  </si>
  <si>
    <t>719ob</t>
  </si>
  <si>
    <t>canales c cabeza</t>
  </si>
  <si>
    <t>606od</t>
  </si>
  <si>
    <t>597od</t>
  </si>
  <si>
    <t>580od</t>
  </si>
  <si>
    <t>627od</t>
  </si>
  <si>
    <t>620od</t>
  </si>
  <si>
    <t>599od</t>
  </si>
  <si>
    <t>117ob</t>
  </si>
  <si>
    <t>598od</t>
  </si>
  <si>
    <t>616od</t>
  </si>
  <si>
    <t>642od</t>
  </si>
  <si>
    <t>632od</t>
  </si>
  <si>
    <t>633od</t>
  </si>
  <si>
    <t>625od</t>
  </si>
  <si>
    <t>626od</t>
  </si>
  <si>
    <t>634od</t>
  </si>
  <si>
    <t>576od</t>
  </si>
  <si>
    <t>614od</t>
  </si>
  <si>
    <t>603od</t>
  </si>
  <si>
    <t>618od</t>
  </si>
  <si>
    <t>235ob</t>
  </si>
  <si>
    <t>099ob</t>
  </si>
  <si>
    <t>480ob</t>
  </si>
  <si>
    <t>348ob</t>
  </si>
  <si>
    <t>720ob</t>
  </si>
  <si>
    <t>594ob</t>
  </si>
  <si>
    <t>236ob</t>
  </si>
  <si>
    <t>401ob</t>
  </si>
  <si>
    <t>286ob</t>
  </si>
  <si>
    <t>482ob</t>
  </si>
  <si>
    <t>483ob</t>
  </si>
  <si>
    <t>650ob</t>
  </si>
  <si>
    <t>593ob</t>
  </si>
  <si>
    <t>027ob</t>
  </si>
  <si>
    <t>485ob</t>
  </si>
  <si>
    <t>351ob</t>
  </si>
  <si>
    <t>262ob</t>
  </si>
  <si>
    <t>679ob</t>
  </si>
  <si>
    <t>634ob</t>
  </si>
  <si>
    <t>023ob</t>
  </si>
  <si>
    <t>822ob</t>
  </si>
  <si>
    <t>660od</t>
  </si>
  <si>
    <t>661od</t>
  </si>
  <si>
    <t>663od</t>
  </si>
  <si>
    <t>607od</t>
  </si>
  <si>
    <t>643od</t>
  </si>
  <si>
    <t>635od</t>
  </si>
  <si>
    <t>648od</t>
  </si>
  <si>
    <t>658od</t>
  </si>
  <si>
    <t>652od</t>
  </si>
  <si>
    <t>650od</t>
  </si>
  <si>
    <t>278od</t>
  </si>
  <si>
    <t>668od</t>
  </si>
  <si>
    <t>927ob</t>
  </si>
  <si>
    <t>Emilio</t>
  </si>
  <si>
    <t>894ob</t>
  </si>
  <si>
    <t>716ob</t>
  </si>
  <si>
    <t>929ob</t>
  </si>
  <si>
    <t>798ob</t>
  </si>
  <si>
    <t>781ob</t>
  </si>
  <si>
    <t>595ob</t>
  </si>
  <si>
    <t>346ob</t>
  </si>
  <si>
    <t>233ob</t>
  </si>
  <si>
    <t>859ob</t>
  </si>
  <si>
    <t>718ob</t>
  </si>
  <si>
    <t>821ob</t>
  </si>
  <si>
    <t>644od</t>
  </si>
  <si>
    <t>404ob</t>
  </si>
  <si>
    <t>276ob</t>
  </si>
  <si>
    <t>627ob</t>
  </si>
  <si>
    <t>617od</t>
  </si>
  <si>
    <t>172ob</t>
  </si>
  <si>
    <t>656ob</t>
  </si>
  <si>
    <t>delantero</t>
  </si>
  <si>
    <t>173ob</t>
  </si>
  <si>
    <t>060ob</t>
  </si>
  <si>
    <t>845ob</t>
  </si>
  <si>
    <t>023cic</t>
  </si>
  <si>
    <t>769cic</t>
  </si>
  <si>
    <t>296ob</t>
  </si>
  <si>
    <t>767cic</t>
  </si>
  <si>
    <t>377ob</t>
  </si>
  <si>
    <t>664od</t>
  </si>
  <si>
    <t>090od</t>
  </si>
  <si>
    <t>Lengua pco</t>
  </si>
  <si>
    <t>013ob</t>
  </si>
  <si>
    <t>434ob</t>
  </si>
  <si>
    <t>059ob</t>
  </si>
  <si>
    <t>127ob</t>
  </si>
  <si>
    <t>415ob</t>
  </si>
  <si>
    <t>913ob</t>
  </si>
  <si>
    <t>898ob</t>
  </si>
  <si>
    <t>268ob</t>
  </si>
  <si>
    <t>164ob</t>
  </si>
  <si>
    <t>375ob</t>
  </si>
  <si>
    <t>628ob</t>
  </si>
  <si>
    <t>626ob</t>
  </si>
  <si>
    <t>518ob</t>
  </si>
  <si>
    <t>328ob</t>
  </si>
  <si>
    <t>752ob</t>
  </si>
  <si>
    <t>623ob</t>
  </si>
  <si>
    <t>757ob</t>
  </si>
  <si>
    <t>089ob</t>
  </si>
  <si>
    <t>091ob</t>
  </si>
  <si>
    <t>003od</t>
  </si>
  <si>
    <t>033od</t>
  </si>
  <si>
    <t>009od</t>
  </si>
  <si>
    <t>019od</t>
  </si>
  <si>
    <t>759ob</t>
  </si>
  <si>
    <t>414ob</t>
  </si>
  <si>
    <t>629ob</t>
  </si>
  <si>
    <t>624ob</t>
  </si>
  <si>
    <t>551ob</t>
  </si>
  <si>
    <t>590ob</t>
  </si>
  <si>
    <t>727ob</t>
  </si>
  <si>
    <t>828ob</t>
  </si>
  <si>
    <t>843o</t>
  </si>
  <si>
    <t>519ob</t>
  </si>
  <si>
    <t>909ob</t>
  </si>
  <si>
    <t>034od</t>
  </si>
  <si>
    <t>035od</t>
  </si>
  <si>
    <t>163ob</t>
  </si>
  <si>
    <t>670od</t>
  </si>
  <si>
    <t>021od</t>
  </si>
  <si>
    <t>659od</t>
  </si>
  <si>
    <t>010od</t>
  </si>
  <si>
    <t>865ob</t>
  </si>
  <si>
    <t>674ob</t>
  </si>
  <si>
    <t>014cic</t>
  </si>
  <si>
    <t>255cic</t>
  </si>
  <si>
    <t>015cic</t>
  </si>
  <si>
    <t>013cic</t>
  </si>
  <si>
    <t>254cic</t>
  </si>
  <si>
    <t>256cic</t>
  </si>
  <si>
    <t>242cic</t>
  </si>
  <si>
    <t>252cic</t>
  </si>
  <si>
    <t>250cic</t>
  </si>
  <si>
    <t>341cic</t>
  </si>
  <si>
    <t>093cic</t>
  </si>
  <si>
    <t>094cic</t>
  </si>
  <si>
    <t>907cic</t>
  </si>
  <si>
    <t>091cic</t>
  </si>
  <si>
    <t>243cic</t>
  </si>
  <si>
    <t>921cic</t>
  </si>
  <si>
    <t>919cic</t>
  </si>
  <si>
    <t>694cic</t>
  </si>
  <si>
    <t>482cic</t>
  </si>
  <si>
    <t>costilla</t>
  </si>
  <si>
    <t>249cic</t>
  </si>
  <si>
    <t>695cic</t>
  </si>
  <si>
    <t>559cic</t>
  </si>
  <si>
    <t>909cic</t>
  </si>
  <si>
    <t>477cic</t>
  </si>
  <si>
    <t>671od</t>
  </si>
  <si>
    <t>88od</t>
  </si>
  <si>
    <t>78od</t>
  </si>
  <si>
    <t>79od</t>
  </si>
  <si>
    <t>46od</t>
  </si>
  <si>
    <t>95od</t>
  </si>
  <si>
    <t>93od</t>
  </si>
  <si>
    <t>488cic</t>
  </si>
  <si>
    <t>915cic</t>
  </si>
  <si>
    <t>687cic</t>
  </si>
  <si>
    <t>485cic</t>
  </si>
  <si>
    <t>476cic</t>
  </si>
  <si>
    <t>756ob</t>
  </si>
  <si>
    <t>556cic</t>
  </si>
  <si>
    <t>337cic</t>
  </si>
  <si>
    <t>079ob</t>
  </si>
  <si>
    <t>grasa</t>
  </si>
  <si>
    <t>761ob</t>
  </si>
  <si>
    <t>490cic</t>
  </si>
  <si>
    <t>778cic</t>
  </si>
  <si>
    <t>520ob</t>
  </si>
  <si>
    <t>201ob</t>
  </si>
  <si>
    <t>871cic</t>
  </si>
  <si>
    <t>390cic</t>
  </si>
  <si>
    <t>111cic</t>
  </si>
  <si>
    <t>758cic</t>
  </si>
  <si>
    <t>020cic</t>
  </si>
  <si>
    <t>878cic</t>
  </si>
  <si>
    <t>061od</t>
  </si>
  <si>
    <t>019ob</t>
  </si>
  <si>
    <t>053od</t>
  </si>
  <si>
    <t>054od</t>
  </si>
  <si>
    <t>051od</t>
  </si>
  <si>
    <t>055od</t>
  </si>
  <si>
    <t>874cic</t>
  </si>
  <si>
    <t>757cic</t>
  </si>
  <si>
    <t>021cic</t>
  </si>
  <si>
    <t>299cic</t>
  </si>
  <si>
    <t>875cic</t>
  </si>
  <si>
    <t>873cic</t>
  </si>
  <si>
    <t>087ob</t>
  </si>
  <si>
    <t>098cic</t>
  </si>
  <si>
    <t>024cic</t>
  </si>
  <si>
    <t>10ob</t>
  </si>
  <si>
    <t>043cic</t>
  </si>
  <si>
    <t>688cic</t>
  </si>
  <si>
    <t>550cic</t>
  </si>
  <si>
    <t xml:space="preserve">Eloy </t>
  </si>
  <si>
    <t>055ob</t>
  </si>
  <si>
    <t>486cic</t>
  </si>
  <si>
    <t>335cic</t>
  </si>
  <si>
    <t>781cic</t>
  </si>
  <si>
    <t>641cic</t>
  </si>
  <si>
    <t>551cic</t>
  </si>
  <si>
    <t>916cic</t>
  </si>
  <si>
    <t>553cic</t>
  </si>
  <si>
    <t>342cic</t>
  </si>
  <si>
    <t>092cic</t>
  </si>
  <si>
    <t>84od</t>
  </si>
  <si>
    <t>556od</t>
  </si>
  <si>
    <t>586od</t>
  </si>
  <si>
    <t>587od</t>
  </si>
  <si>
    <t>277ob</t>
  </si>
  <si>
    <t>665ob</t>
  </si>
  <si>
    <t>Arturo</t>
  </si>
  <si>
    <t>112cic</t>
  </si>
  <si>
    <t>478cic</t>
  </si>
  <si>
    <t>783cic</t>
  </si>
  <si>
    <t>914cic</t>
  </si>
  <si>
    <t>554cic</t>
  </si>
  <si>
    <t>Julian  Cortes</t>
  </si>
  <si>
    <t>780cic</t>
  </si>
  <si>
    <t>090cic</t>
  </si>
  <si>
    <t>99cic</t>
  </si>
  <si>
    <t>995cic</t>
  </si>
  <si>
    <t>484cic</t>
  </si>
  <si>
    <t>693cic</t>
  </si>
  <si>
    <t>258cic</t>
  </si>
  <si>
    <t>160od</t>
  </si>
  <si>
    <t>911cic</t>
  </si>
  <si>
    <t>920cic</t>
  </si>
  <si>
    <t>913cic</t>
  </si>
  <si>
    <t>912cic</t>
  </si>
  <si>
    <t>992cic</t>
  </si>
  <si>
    <t>0082c ic</t>
  </si>
  <si>
    <t>917cic</t>
  </si>
  <si>
    <t>918cic</t>
  </si>
  <si>
    <t>146od</t>
  </si>
  <si>
    <t>175od</t>
  </si>
  <si>
    <t>578ob</t>
  </si>
  <si>
    <t>775ob</t>
  </si>
  <si>
    <t>369ob</t>
  </si>
  <si>
    <t>098ob</t>
  </si>
  <si>
    <t>147ob</t>
  </si>
  <si>
    <t>164od</t>
  </si>
  <si>
    <t>979ob</t>
  </si>
  <si>
    <t>046ob</t>
  </si>
  <si>
    <t>782cic</t>
  </si>
  <si>
    <t>095c ic</t>
  </si>
  <si>
    <t>993cic</t>
  </si>
  <si>
    <t>176ob</t>
  </si>
  <si>
    <t>558cic</t>
  </si>
  <si>
    <t>777cic</t>
  </si>
  <si>
    <t>779cic</t>
  </si>
  <si>
    <t>100cic</t>
  </si>
  <si>
    <t>148od</t>
  </si>
  <si>
    <t>016cic</t>
  </si>
  <si>
    <t>336cic</t>
  </si>
  <si>
    <t>343cic</t>
  </si>
  <si>
    <t>690cic</t>
  </si>
  <si>
    <t>549cic</t>
  </si>
  <si>
    <t>689cic</t>
  </si>
  <si>
    <t>691ob</t>
  </si>
  <si>
    <t>898cic</t>
  </si>
  <si>
    <t>692cic</t>
  </si>
  <si>
    <t>Selectas</t>
  </si>
  <si>
    <t>691cic</t>
  </si>
  <si>
    <t>768cic</t>
  </si>
  <si>
    <t>763cic</t>
  </si>
  <si>
    <t>870cic</t>
  </si>
  <si>
    <t>012cic</t>
  </si>
  <si>
    <t>771cic</t>
  </si>
  <si>
    <t>lengua</t>
  </si>
  <si>
    <t>200ob</t>
  </si>
  <si>
    <t>052od</t>
  </si>
  <si>
    <t>050od</t>
  </si>
  <si>
    <t>086ob</t>
  </si>
  <si>
    <t>084ob</t>
  </si>
  <si>
    <t>199ob</t>
  </si>
  <si>
    <t>760ob</t>
  </si>
  <si>
    <t>669ob</t>
  </si>
  <si>
    <t>663ob</t>
  </si>
  <si>
    <t>329cic</t>
  </si>
  <si>
    <t>130ob</t>
  </si>
  <si>
    <t>Trankas</t>
  </si>
  <si>
    <t>908ob</t>
  </si>
  <si>
    <t>429cic</t>
  </si>
  <si>
    <t>907ob</t>
  </si>
  <si>
    <t>Perote</t>
  </si>
  <si>
    <t>131cic</t>
  </si>
  <si>
    <t>Empacadora Campofiel</t>
  </si>
  <si>
    <t>649ob</t>
  </si>
  <si>
    <t>459cic</t>
  </si>
  <si>
    <t>555cic</t>
  </si>
  <si>
    <t>481cic</t>
  </si>
  <si>
    <t>664ob</t>
  </si>
  <si>
    <t>479cic</t>
  </si>
  <si>
    <t>260cic</t>
  </si>
  <si>
    <t xml:space="preserve">Ana Laura </t>
  </si>
  <si>
    <t>253cic</t>
  </si>
  <si>
    <t>667ob</t>
  </si>
  <si>
    <t>330cic</t>
  </si>
  <si>
    <t>513ob</t>
  </si>
  <si>
    <t>206cic</t>
  </si>
  <si>
    <t>pata</t>
  </si>
  <si>
    <t>468ob</t>
  </si>
  <si>
    <t>331cic</t>
  </si>
  <si>
    <t>259cic</t>
  </si>
  <si>
    <t>116cic</t>
  </si>
  <si>
    <t>Eloy Acevedoi</t>
  </si>
  <si>
    <t>799cic</t>
  </si>
  <si>
    <t>903ob</t>
  </si>
  <si>
    <t>324cic</t>
  </si>
  <si>
    <t>618ob</t>
  </si>
  <si>
    <t>910ob</t>
  </si>
  <si>
    <t>905ob</t>
  </si>
  <si>
    <t>326cic</t>
  </si>
  <si>
    <t>187od</t>
  </si>
  <si>
    <t>670ob</t>
  </si>
  <si>
    <t>763ob</t>
  </si>
  <si>
    <t>pierna c/c</t>
  </si>
  <si>
    <t xml:space="preserve">Arturo </t>
  </si>
  <si>
    <t>251cic</t>
  </si>
  <si>
    <t>257ob</t>
  </si>
  <si>
    <t>591cic</t>
  </si>
  <si>
    <t>327cic</t>
  </si>
  <si>
    <t>661ob</t>
  </si>
  <si>
    <t>117cic</t>
  </si>
  <si>
    <t>125ob</t>
  </si>
  <si>
    <t>666ob</t>
  </si>
  <si>
    <t>182od</t>
  </si>
  <si>
    <t>136od</t>
  </si>
  <si>
    <t>102cic</t>
  </si>
  <si>
    <t>332cic</t>
  </si>
  <si>
    <t>673ob</t>
  </si>
  <si>
    <t>114cic</t>
  </si>
  <si>
    <t>584ob</t>
  </si>
  <si>
    <t>588ob</t>
  </si>
  <si>
    <t>257cic</t>
  </si>
  <si>
    <t>217ob</t>
  </si>
  <si>
    <t>espinazo</t>
  </si>
  <si>
    <t>589ob</t>
  </si>
  <si>
    <t>359ob</t>
  </si>
  <si>
    <t>680ob</t>
  </si>
  <si>
    <t>949cic</t>
  </si>
  <si>
    <t>660cic</t>
  </si>
  <si>
    <t>606cic</t>
  </si>
  <si>
    <t>357ob</t>
  </si>
  <si>
    <t>Ana Laura</t>
  </si>
  <si>
    <t>210ob</t>
  </si>
  <si>
    <t>583ob</t>
  </si>
  <si>
    <t>358ob</t>
  </si>
  <si>
    <t>585ob</t>
  </si>
  <si>
    <t>360ob</t>
  </si>
  <si>
    <t>355ob</t>
  </si>
  <si>
    <t>356ob</t>
  </si>
  <si>
    <t>742cic</t>
  </si>
  <si>
    <t>587ob</t>
  </si>
  <si>
    <t>361ob</t>
  </si>
  <si>
    <t>214ob</t>
  </si>
  <si>
    <t>817cic</t>
  </si>
  <si>
    <t>carnero</t>
  </si>
  <si>
    <t>901ob</t>
  </si>
  <si>
    <t>762ob</t>
  </si>
  <si>
    <t>672ob</t>
  </si>
  <si>
    <t>344cic</t>
  </si>
  <si>
    <t>927cic</t>
  </si>
  <si>
    <t>362ob</t>
  </si>
  <si>
    <t>848cic</t>
  </si>
  <si>
    <t>887cic</t>
  </si>
  <si>
    <t>862cic</t>
  </si>
  <si>
    <t>003ob</t>
  </si>
  <si>
    <t>335ob</t>
  </si>
  <si>
    <t>007ob</t>
  </si>
  <si>
    <t>0133ob</t>
  </si>
  <si>
    <t>213ob</t>
  </si>
  <si>
    <t>010ob</t>
  </si>
  <si>
    <t>004ob</t>
  </si>
  <si>
    <t>134ob</t>
  </si>
  <si>
    <t>216ob</t>
  </si>
  <si>
    <t>209ob</t>
  </si>
  <si>
    <t>001ob</t>
  </si>
  <si>
    <t>Eloy acevedo</t>
  </si>
  <si>
    <t>215ob</t>
  </si>
  <si>
    <t>124ob</t>
  </si>
  <si>
    <t>219od</t>
  </si>
  <si>
    <t>755ob</t>
  </si>
  <si>
    <t>902ob</t>
  </si>
  <si>
    <t xml:space="preserve">canal </t>
  </si>
  <si>
    <t>005ob</t>
  </si>
  <si>
    <t>132ob</t>
  </si>
  <si>
    <t>754ob</t>
  </si>
  <si>
    <t>Eloy  Acevedo</t>
  </si>
  <si>
    <t>525cic</t>
  </si>
  <si>
    <t>MES DE ABRIL 2011</t>
  </si>
  <si>
    <t>MES DE MARZO 2011</t>
  </si>
  <si>
    <t>MES DE FEBRERO 2011</t>
  </si>
  <si>
    <t>MES DE ENERO 2011</t>
  </si>
  <si>
    <t>caja **</t>
  </si>
  <si>
    <t>ch postfech caja**</t>
  </si>
  <si>
    <t>caja 1,115,17 kg **</t>
  </si>
  <si>
    <t>caja**</t>
  </si>
  <si>
    <t>24,244,62 kg -</t>
  </si>
  <si>
    <t xml:space="preserve">igual al pago </t>
  </si>
  <si>
    <t>3,986,64</t>
  </si>
  <si>
    <t>Blanket 84,44</t>
  </si>
  <si>
    <t>Empacadora el Palmon 1807,82</t>
  </si>
  <si>
    <t>Sara Ortega 76,50</t>
  </si>
  <si>
    <t>es la unica no revisada ya con anterioridad</t>
  </si>
  <si>
    <t>abastecedora Hnos Becerra 940,30</t>
  </si>
  <si>
    <t>abastecedora Hnos Becerra 1046,88</t>
  </si>
  <si>
    <t>Sara Ortega 206,52</t>
  </si>
  <si>
    <t>abastecedora Hnos Becerra 299,40</t>
  </si>
  <si>
    <t>Empacadora el Palmon2373,88</t>
  </si>
  <si>
    <t>Sara Ortega 149,64</t>
  </si>
  <si>
    <t>Sara Ortega 192,76</t>
  </si>
  <si>
    <t>409 ob 439</t>
  </si>
  <si>
    <t>365 ob 635</t>
  </si>
  <si>
    <t>26 ob 16A</t>
  </si>
  <si>
    <t>Hermanos Becerra 1275,96</t>
  </si>
  <si>
    <t>Hermanos Becerra 413,72</t>
  </si>
  <si>
    <t>Sara Ortega 431,02</t>
  </si>
  <si>
    <t xml:space="preserve">Beto Angulo 172,22 </t>
  </si>
  <si>
    <t>TOMADA EN JULIO</t>
  </si>
  <si>
    <t>Jose Ignacio Gomez Martin ??</t>
  </si>
  <si>
    <t>Ana Laura Robles Flores 362,15</t>
  </si>
  <si>
    <t>Sara Ortega 82,76</t>
  </si>
  <si>
    <t>Costa de Oro 1,808,65</t>
  </si>
  <si>
    <t>Empacadora Palmon 2,144,60</t>
  </si>
  <si>
    <t>Empacadora Palmon 3,478,02</t>
  </si>
  <si>
    <t>Jose Gabriel tomada en agosto xxx</t>
  </si>
  <si>
    <t>caja xxxxxx</t>
  </si>
  <si>
    <t>352od 362</t>
  </si>
  <si>
    <t>Julian Cortes 189,36 xxxx</t>
  </si>
  <si>
    <t>xxxxxxxxxxxxxxxxxx</t>
  </si>
  <si>
    <t>Eloy Acevedo 32,232,00</t>
  </si>
  <si>
    <t>Costa de Oro 19,721,50</t>
  </si>
  <si>
    <t>varios xxxxxxxxxx</t>
  </si>
  <si>
    <t>Julian Cortes 2447,46</t>
  </si>
  <si>
    <t>505od xxx</t>
  </si>
  <si>
    <t>Julian Cortes 849,92</t>
  </si>
  <si>
    <t>545od xxx</t>
  </si>
  <si>
    <r>
      <t xml:space="preserve">545od </t>
    </r>
    <r>
      <rPr>
        <b/>
        <sz val="10"/>
        <color rgb="FF0000FF"/>
        <rFont val="Arial"/>
        <family val="2"/>
      </rPr>
      <t>546</t>
    </r>
  </si>
  <si>
    <t>Jose Manuel xxxxxxxxx</t>
  </si>
  <si>
    <t>Julian Cortes Marcial 1897,27</t>
  </si>
  <si>
    <t>caja xxxxxxxxx</t>
  </si>
  <si>
    <t>varios xxxxxxxxxxxxxxx</t>
  </si>
  <si>
    <r>
      <t>Maria del Rosario</t>
    </r>
    <r>
      <rPr>
        <b/>
        <sz val="9"/>
        <color rgb="FF0000FF"/>
        <rFont val="Arial"/>
        <family val="2"/>
      </rPr>
      <t xml:space="preserve"> 736,78</t>
    </r>
  </si>
  <si>
    <t>Julian Cortes Marcial 1903,20</t>
  </si>
  <si>
    <t>xxxxxxxxxxxxxx</t>
  </si>
  <si>
    <r>
      <t xml:space="preserve">Costa de Oro </t>
    </r>
    <r>
      <rPr>
        <b/>
        <sz val="9"/>
        <color rgb="FF0000FF"/>
        <rFont val="Arial"/>
        <family val="2"/>
      </rPr>
      <t>388,81</t>
    </r>
  </si>
  <si>
    <r>
      <t xml:space="preserve">642ob </t>
    </r>
    <r>
      <rPr>
        <b/>
        <sz val="9"/>
        <color rgb="FF0000FF"/>
        <rFont val="Arial"/>
        <family val="2"/>
      </rPr>
      <t xml:space="preserve"> 624</t>
    </r>
  </si>
  <si>
    <t>Blanket   2015,80</t>
  </si>
  <si>
    <t>xxxxxxxxxxxx</t>
  </si>
  <si>
    <t>236ob xxx</t>
  </si>
  <si>
    <r>
      <t xml:space="preserve">561od </t>
    </r>
    <r>
      <rPr>
        <b/>
        <sz val="10"/>
        <color rgb="FF0000FF"/>
        <rFont val="Arial"/>
        <family val="2"/>
      </rPr>
      <t>651</t>
    </r>
  </si>
  <si>
    <r>
      <t xml:space="preserve">898ob </t>
    </r>
    <r>
      <rPr>
        <b/>
        <sz val="10"/>
        <color rgb="FF0000FF"/>
        <rFont val="Arial"/>
        <family val="2"/>
      </rPr>
      <t>989</t>
    </r>
  </si>
  <si>
    <r>
      <t xml:space="preserve">res  </t>
    </r>
    <r>
      <rPr>
        <b/>
        <sz val="9"/>
        <color rgb="FF0000FF"/>
        <rFont val="Arial"/>
        <family val="2"/>
      </rPr>
      <t>xxxxxxxxx</t>
    </r>
  </si>
  <si>
    <t>Jose Manuel 203,60</t>
  </si>
  <si>
    <r>
      <t xml:space="preserve">014ob </t>
    </r>
    <r>
      <rPr>
        <b/>
        <sz val="10"/>
        <color rgb="FF0000FF"/>
        <rFont val="Arial"/>
        <family val="2"/>
      </rPr>
      <t xml:space="preserve"> 11</t>
    </r>
  </si>
  <si>
    <t>fact 41</t>
  </si>
  <si>
    <t>fact 39</t>
  </si>
  <si>
    <t>fact 40</t>
  </si>
  <si>
    <t>fact 73</t>
  </si>
  <si>
    <t>fact 75</t>
  </si>
  <si>
    <t>fact 98</t>
  </si>
  <si>
    <t>rem 761J cic</t>
  </si>
  <si>
    <t>fact 46 duplicada</t>
  </si>
  <si>
    <t>fact 43 duplicada</t>
  </si>
  <si>
    <t>fact 74</t>
  </si>
  <si>
    <t>fact 76</t>
  </si>
  <si>
    <t>fact 95</t>
  </si>
  <si>
    <t>fact 90</t>
  </si>
  <si>
    <t>fact 94</t>
  </si>
  <si>
    <t>fact 91</t>
  </si>
  <si>
    <t>fact 81</t>
  </si>
  <si>
    <t>fact 92</t>
  </si>
  <si>
    <t>fact 114</t>
  </si>
  <si>
    <t>rem 247 k</t>
  </si>
  <si>
    <t>fact 96</t>
  </si>
  <si>
    <t>fact 115</t>
  </si>
  <si>
    <t>fact 126</t>
  </si>
  <si>
    <t>fact 118</t>
  </si>
  <si>
    <t>Julian Cortes Marcial 740,20</t>
  </si>
  <si>
    <t>Carnes Selectas 1022,60</t>
  </si>
  <si>
    <r>
      <t xml:space="preserve">varios </t>
    </r>
    <r>
      <rPr>
        <b/>
        <sz val="9"/>
        <color rgb="FF0000FF"/>
        <rFont val="Arial"/>
        <family val="2"/>
      </rPr>
      <t>xxxxxxxxx</t>
    </r>
  </si>
  <si>
    <r>
      <t>057ob</t>
    </r>
    <r>
      <rPr>
        <b/>
        <sz val="9"/>
        <color rgb="FF0000FF"/>
        <rFont val="Arial"/>
        <family val="2"/>
      </rPr>
      <t xml:space="preserve"> cic</t>
    </r>
  </si>
  <si>
    <t>Ana Laura Robles Flores 272,20</t>
  </si>
  <si>
    <r>
      <t>94od</t>
    </r>
    <r>
      <rPr>
        <b/>
        <sz val="9"/>
        <color rgb="FF0000FF"/>
        <rFont val="Arial"/>
        <family val="2"/>
      </rPr>
      <t xml:space="preserve"> xxxxxx</t>
    </r>
  </si>
  <si>
    <t>caja xxxxxxx</t>
  </si>
  <si>
    <t>Sara Ortega 931,70</t>
  </si>
  <si>
    <r>
      <t>476cic</t>
    </r>
    <r>
      <rPr>
        <b/>
        <sz val="9"/>
        <color rgb="FF0000FF"/>
        <rFont val="Arial"/>
        <family val="2"/>
      </rPr>
      <t xml:space="preserve"> xxxxx</t>
    </r>
  </si>
  <si>
    <t>Maxicarnes 1147,44</t>
  </si>
  <si>
    <r>
      <t xml:space="preserve">091ob </t>
    </r>
    <r>
      <rPr>
        <b/>
        <sz val="9"/>
        <color rgb="FF0000FF"/>
        <rFont val="Arial"/>
        <family val="2"/>
      </rPr>
      <t>xxxxx</t>
    </r>
  </si>
  <si>
    <r>
      <t xml:space="preserve">varios </t>
    </r>
    <r>
      <rPr>
        <b/>
        <sz val="9"/>
        <color rgb="FF0000FF"/>
        <rFont val="Arial"/>
        <family val="2"/>
      </rPr>
      <t>xxxxxxx</t>
    </r>
  </si>
  <si>
    <t>Costa de Oro 2335,90</t>
  </si>
  <si>
    <r>
      <t>762cic</t>
    </r>
    <r>
      <rPr>
        <b/>
        <sz val="9"/>
        <color rgb="FF0000FF"/>
        <rFont val="Arial"/>
        <family val="2"/>
      </rPr>
      <t xml:space="preserve"> xxxxx</t>
    </r>
  </si>
  <si>
    <t>Julian Cortes 442,50</t>
  </si>
  <si>
    <r>
      <t xml:space="preserve">caja </t>
    </r>
    <r>
      <rPr>
        <b/>
        <sz val="9"/>
        <color rgb="FF0000FF"/>
        <rFont val="Arial"/>
        <family val="2"/>
      </rPr>
      <t>xxxxxx</t>
    </r>
  </si>
  <si>
    <r>
      <t xml:space="preserve">094cic </t>
    </r>
    <r>
      <rPr>
        <b/>
        <sz val="9"/>
        <color rgb="FF0000FF"/>
        <rFont val="Arial"/>
        <family val="2"/>
      </rPr>
      <t>xxxxx</t>
    </r>
  </si>
  <si>
    <t>Hermanos Becerra 845,50</t>
  </si>
  <si>
    <r>
      <t xml:space="preserve">caja </t>
    </r>
    <r>
      <rPr>
        <b/>
        <i/>
        <sz val="9"/>
        <color rgb="FF0000FF"/>
        <rFont val="Arial"/>
        <family val="2"/>
      </rPr>
      <t>xxxxxx</t>
    </r>
  </si>
  <si>
    <r>
      <t xml:space="preserve">337cic </t>
    </r>
    <r>
      <rPr>
        <b/>
        <sz val="9"/>
        <color rgb="FF0000FF"/>
        <rFont val="Arial"/>
        <family val="2"/>
      </rPr>
      <t>xxxxx</t>
    </r>
  </si>
  <si>
    <t>Julian Cortes 1050,81</t>
  </si>
  <si>
    <r>
      <t xml:space="preserve">340cic </t>
    </r>
    <r>
      <rPr>
        <b/>
        <sz val="9"/>
        <color rgb="FF0000FF"/>
        <rFont val="Arial"/>
        <family val="2"/>
      </rPr>
      <t>xxxxx</t>
    </r>
  </si>
  <si>
    <t>Costa de Oro 1851,50</t>
  </si>
  <si>
    <t>xxxxxxxx</t>
  </si>
  <si>
    <r>
      <t xml:space="preserve">478cic </t>
    </r>
    <r>
      <rPr>
        <b/>
        <sz val="9"/>
        <color rgb="FF0000FF"/>
        <rFont val="Arial"/>
        <family val="2"/>
      </rPr>
      <t>xxxxx</t>
    </r>
  </si>
  <si>
    <r>
      <t xml:space="preserve">896cic </t>
    </r>
    <r>
      <rPr>
        <b/>
        <sz val="9"/>
        <color rgb="FF0000FF"/>
        <rFont val="Arial"/>
        <family val="2"/>
      </rPr>
      <t xml:space="preserve"> ob</t>
    </r>
  </si>
  <si>
    <t>Selectas  76,70</t>
  </si>
  <si>
    <r>
      <t xml:space="preserve">692cic </t>
    </r>
    <r>
      <rPr>
        <b/>
        <sz val="9"/>
        <color rgb="FF0000FF"/>
        <rFont val="Arial"/>
        <family val="2"/>
      </rPr>
      <t>xxxxx</t>
    </r>
  </si>
  <si>
    <t>Carnes Selectas 998,07</t>
  </si>
  <si>
    <r>
      <t>caja</t>
    </r>
    <r>
      <rPr>
        <b/>
        <sz val="9"/>
        <color rgb="FF0000FF"/>
        <rFont val="Arial"/>
        <family val="2"/>
      </rPr>
      <t xml:space="preserve"> xxxxxx</t>
    </r>
  </si>
  <si>
    <r>
      <t xml:space="preserve">691cic </t>
    </r>
    <r>
      <rPr>
        <b/>
        <sz val="9"/>
        <color rgb="FF0000FF"/>
        <rFont val="Arial"/>
        <family val="2"/>
      </rPr>
      <t>xxxxx</t>
    </r>
  </si>
  <si>
    <t>fact 117</t>
  </si>
  <si>
    <t>fact 61</t>
  </si>
  <si>
    <t>fact 59</t>
  </si>
  <si>
    <t>fact 62</t>
  </si>
  <si>
    <t>fact 89</t>
  </si>
  <si>
    <t>fact 88</t>
  </si>
  <si>
    <t>fact 97</t>
  </si>
  <si>
    <t>fact 127</t>
  </si>
  <si>
    <t>fact 140</t>
  </si>
  <si>
    <r>
      <t xml:space="preserve">779cic  </t>
    </r>
    <r>
      <rPr>
        <b/>
        <sz val="9"/>
        <color rgb="FF0000FF"/>
        <rFont val="Arial"/>
        <family val="2"/>
      </rPr>
      <t>776</t>
    </r>
  </si>
  <si>
    <t>fact 138</t>
  </si>
  <si>
    <t>Costa de Oro 1853,10</t>
  </si>
  <si>
    <t>Jose Manuel 439,20</t>
  </si>
  <si>
    <r>
      <t xml:space="preserve">176ob </t>
    </r>
    <r>
      <rPr>
        <b/>
        <sz val="9"/>
        <color rgb="FF0000FF"/>
        <rFont val="Arial"/>
        <family val="2"/>
      </rPr>
      <t>xxxxx</t>
    </r>
  </si>
  <si>
    <t>fact 150</t>
  </si>
  <si>
    <t>fact 188</t>
  </si>
  <si>
    <t>fact 239</t>
  </si>
  <si>
    <t>fact 167</t>
  </si>
  <si>
    <t>fact 165</t>
  </si>
  <si>
    <t>fact 189</t>
  </si>
  <si>
    <t>Blanket 1896,88</t>
  </si>
  <si>
    <r>
      <t xml:space="preserve">330cic </t>
    </r>
    <r>
      <rPr>
        <b/>
        <sz val="9"/>
        <color rgb="FF0000FF"/>
        <rFont val="Arial"/>
        <family val="2"/>
      </rPr>
      <t>xxxxx</t>
    </r>
  </si>
  <si>
    <t>fact 190</t>
  </si>
  <si>
    <t>Hermanos Becerra 259,00</t>
  </si>
  <si>
    <t>Isaias Hernandez 108,54</t>
  </si>
  <si>
    <t>Maria del Rosario 949,68</t>
  </si>
  <si>
    <t>fact 240</t>
  </si>
  <si>
    <t>fact 183</t>
  </si>
  <si>
    <t>Carnes Selectas 1306,30</t>
  </si>
  <si>
    <r>
      <t xml:space="preserve">caja </t>
    </r>
    <r>
      <rPr>
        <b/>
        <sz val="9"/>
        <color rgb="FF0000FF"/>
        <rFont val="Arial"/>
        <family val="2"/>
      </rPr>
      <t>xxxxx</t>
    </r>
  </si>
  <si>
    <r>
      <t xml:space="preserve">183od </t>
    </r>
    <r>
      <rPr>
        <b/>
        <sz val="9"/>
        <color rgb="FF0000FF"/>
        <rFont val="Arial"/>
        <family val="2"/>
      </rPr>
      <t>xxxxx</t>
    </r>
  </si>
  <si>
    <t>xxxxxxxxxx</t>
  </si>
  <si>
    <t>fact 221</t>
  </si>
  <si>
    <t>Costa de Oro 1831,82</t>
  </si>
  <si>
    <r>
      <t xml:space="preserve">756ob </t>
    </r>
    <r>
      <rPr>
        <b/>
        <sz val="9"/>
        <color rgb="FF0000FF"/>
        <rFont val="Arial"/>
        <family val="2"/>
      </rPr>
      <t>xxxxx</t>
    </r>
  </si>
  <si>
    <t>Blanket 1693,10</t>
  </si>
  <si>
    <r>
      <t xml:space="preserve">755ob </t>
    </r>
    <r>
      <rPr>
        <b/>
        <sz val="9"/>
        <color rgb="FF0000FF"/>
        <rFont val="Arial"/>
        <family val="2"/>
      </rPr>
      <t>xxxxx</t>
    </r>
  </si>
  <si>
    <t>Eloy acevedo 1566,44</t>
  </si>
  <si>
    <r>
      <t xml:space="preserve">754ob </t>
    </r>
    <r>
      <rPr>
        <b/>
        <sz val="9"/>
        <color rgb="FF0000FF"/>
        <rFont val="Arial"/>
        <family val="2"/>
      </rPr>
      <t>xxxxx</t>
    </r>
  </si>
  <si>
    <t>Jose Manuel 676,00</t>
  </si>
  <si>
    <r>
      <t>525cic</t>
    </r>
    <r>
      <rPr>
        <b/>
        <sz val="9"/>
        <color rgb="FF0000FF"/>
        <rFont val="Arial"/>
        <family val="2"/>
      </rPr>
      <t xml:space="preserve"> xxxxx</t>
    </r>
  </si>
  <si>
    <t>fact 223</t>
  </si>
  <si>
    <t>Costa de Oro 190,54</t>
  </si>
  <si>
    <r>
      <t>caja</t>
    </r>
    <r>
      <rPr>
        <b/>
        <sz val="9"/>
        <color rgb="FF0000FF"/>
        <rFont val="Arial"/>
        <family val="2"/>
      </rPr>
      <t xml:space="preserve"> xxxxx</t>
    </r>
  </si>
  <si>
    <r>
      <t>901ob</t>
    </r>
    <r>
      <rPr>
        <b/>
        <sz val="9"/>
        <color rgb="FF0000FF"/>
        <rFont val="Arial"/>
        <family val="2"/>
      </rPr>
      <t xml:space="preserve"> xxxxx</t>
    </r>
  </si>
  <si>
    <t>Costa de Oro 391,46</t>
  </si>
  <si>
    <r>
      <t xml:space="preserve">909ob </t>
    </r>
    <r>
      <rPr>
        <b/>
        <sz val="9"/>
        <color rgb="FF0000FF"/>
        <rFont val="Arial"/>
        <family val="2"/>
      </rPr>
      <t>xxxxx</t>
    </r>
  </si>
  <si>
    <t>Blanket 933,50</t>
  </si>
  <si>
    <r>
      <t xml:space="preserve">899ob </t>
    </r>
    <r>
      <rPr>
        <b/>
        <sz val="9"/>
        <color rgb="FF0000FF"/>
        <rFont val="Arial"/>
        <family val="2"/>
      </rPr>
      <t>xxxxx</t>
    </r>
  </si>
  <si>
    <t>Blanket  894,10</t>
  </si>
  <si>
    <r>
      <t>902ob</t>
    </r>
    <r>
      <rPr>
        <b/>
        <sz val="9"/>
        <color rgb="FF0000FF"/>
        <rFont val="Arial"/>
        <family val="2"/>
      </rPr>
      <t xml:space="preserve"> xxxxx</t>
    </r>
  </si>
  <si>
    <t>Costa de Oro 2176,30</t>
  </si>
  <si>
    <r>
      <t xml:space="preserve">900ob </t>
    </r>
    <r>
      <rPr>
        <b/>
        <sz val="9"/>
        <color rgb="FF0000FF"/>
        <rFont val="Arial"/>
        <family val="2"/>
      </rPr>
      <t>xxxxx</t>
    </r>
  </si>
  <si>
    <t>fact 222</t>
  </si>
  <si>
    <t>Blanket 505,74</t>
  </si>
  <si>
    <r>
      <t xml:space="preserve">009ob </t>
    </r>
    <r>
      <rPr>
        <b/>
        <sz val="9"/>
        <color rgb="FF0000FF"/>
        <rFont val="Arial"/>
        <family val="2"/>
      </rPr>
      <t>xxxxx</t>
    </r>
  </si>
  <si>
    <t>Maxicarnes 934,40</t>
  </si>
  <si>
    <r>
      <t xml:space="preserve">005ob </t>
    </r>
    <r>
      <rPr>
        <b/>
        <sz val="9"/>
        <color rgb="FF0000FF"/>
        <rFont val="Arial"/>
        <family val="2"/>
      </rPr>
      <t>xxxxx</t>
    </r>
  </si>
  <si>
    <t>Costa de Oro 826,00</t>
  </si>
  <si>
    <r>
      <t>002ob</t>
    </r>
    <r>
      <rPr>
        <b/>
        <sz val="9"/>
        <color rgb="FF0000FF"/>
        <rFont val="Arial"/>
        <family val="2"/>
      </rPr>
      <t xml:space="preserve"> xxxxx</t>
    </r>
  </si>
  <si>
    <t>fact 218</t>
  </si>
  <si>
    <t>fact 234</t>
  </si>
  <si>
    <t>Sara Ortega 207,34</t>
  </si>
  <si>
    <r>
      <t xml:space="preserve">127ob </t>
    </r>
    <r>
      <rPr>
        <b/>
        <sz val="9"/>
        <color rgb="FF0000FF"/>
        <rFont val="Arial"/>
        <family val="2"/>
      </rPr>
      <t>xxxxx</t>
    </r>
  </si>
  <si>
    <t>Isaias 1040,10</t>
  </si>
  <si>
    <r>
      <t xml:space="preserve">117ob </t>
    </r>
    <r>
      <rPr>
        <b/>
        <sz val="9"/>
        <color rgb="FF0000FF"/>
        <rFont val="Arial"/>
        <family val="2"/>
      </rPr>
      <t>xxxxx</t>
    </r>
  </si>
  <si>
    <t>Costa de Oro  2046,80</t>
  </si>
  <si>
    <r>
      <t xml:space="preserve">132ob </t>
    </r>
    <r>
      <rPr>
        <b/>
        <sz val="9"/>
        <color rgb="FF0000FF"/>
        <rFont val="Arial"/>
        <family val="2"/>
      </rPr>
      <t>xxxxx</t>
    </r>
  </si>
  <si>
    <t>fact 241</t>
  </si>
  <si>
    <t>Jose Manuel 406,90</t>
  </si>
  <si>
    <r>
      <t xml:space="preserve">799cic </t>
    </r>
    <r>
      <rPr>
        <b/>
        <sz val="9"/>
        <color rgb="FF0000FF"/>
        <rFont val="Arial"/>
        <family val="2"/>
      </rPr>
      <t>xxxxx</t>
    </r>
  </si>
  <si>
    <t>fact 235</t>
  </si>
  <si>
    <t>fact 245</t>
  </si>
  <si>
    <t>Hermanos Becerra 949,90</t>
  </si>
  <si>
    <t>fact 243</t>
  </si>
  <si>
    <t>fact 283</t>
  </si>
  <si>
    <t>fact 273</t>
  </si>
  <si>
    <t>DEL MES DE ABRIL 2010         AL  MES DE     ABRIL 2011</t>
  </si>
  <si>
    <t>ABRIL.,2010</t>
  </si>
  <si>
    <t>CALCULO NORMAL</t>
  </si>
  <si>
    <t>CALCULO SIN REVISADAS ANTERIOR</t>
  </si>
  <si>
    <t>IMPORTE</t>
  </si>
  <si>
    <t>MAYO.,2010</t>
  </si>
  <si>
    <t>JUNIO.,2010</t>
  </si>
  <si>
    <t>JULIO.,2010</t>
  </si>
  <si>
    <t>AGOSTO .,2010</t>
  </si>
  <si>
    <t>SEPTIEMBRE.,2010</t>
  </si>
  <si>
    <t>OCTUBRE.,2010</t>
  </si>
  <si>
    <t>NOVIEMBRE.,2010</t>
  </si>
  <si>
    <t>DICIEMBRE.,2010</t>
  </si>
  <si>
    <t>ENERO.,2011</t>
  </si>
  <si>
    <t>FEBRERO.,2011</t>
  </si>
  <si>
    <t>MARZO.,2011</t>
  </si>
  <si>
    <t>ABRIL.,2011</t>
  </si>
  <si>
    <t>TOTAL 1</t>
  </si>
  <si>
    <t>TOTAL 2</t>
  </si>
  <si>
    <t xml:space="preserve">CARATULA DE COMISIONES PACO  </t>
  </si>
  <si>
    <t>MENOS DEUDA JOSE IGNACIO</t>
  </si>
  <si>
    <t>SALDO A PAGAR</t>
  </si>
  <si>
    <t>DEUDA</t>
  </si>
  <si>
    <t>RTR**** 22 JULIO 2011</t>
  </si>
  <si>
    <t xml:space="preserve">REMISION DE JOSE MANUEL </t>
  </si>
  <si>
    <t xml:space="preserve">REM 711 I </t>
  </si>
  <si>
    <t xml:space="preserve">DESCONTADA </t>
  </si>
  <si>
    <t xml:space="preserve">PAGO EL </t>
  </si>
</sst>
</file>

<file path=xl/styles.xml><?xml version="1.0" encoding="utf-8"?>
<styleSheet xmlns="http://schemas.openxmlformats.org/spreadsheetml/2006/main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0\ _€"/>
    <numFmt numFmtId="167" formatCode="[$$-80A]#,##0.00"/>
    <numFmt numFmtId="168" formatCode="_-[$$-80A]* #,##0.00_-;\-[$$-80A]* #,##0.00_-;_-[$$-80A]* &quot;-&quot;??_-;_-@_-"/>
  </numFmts>
  <fonts count="2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b/>
      <sz val="10"/>
      <color rgb="FF0000FF"/>
      <name val="Arial"/>
      <family val="2"/>
    </font>
    <font>
      <b/>
      <sz val="9"/>
      <color rgb="FF0000FF"/>
      <name val="Arial"/>
      <family val="2"/>
    </font>
    <font>
      <b/>
      <i/>
      <sz val="9"/>
      <color rgb="FF0000FF"/>
      <name val="Arial"/>
      <family val="2"/>
    </font>
    <font>
      <b/>
      <sz val="8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sz val="26"/>
      <color rgb="FF0000FF"/>
      <name val="Arial"/>
      <family val="2"/>
    </font>
    <font>
      <sz val="24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1" applyFont="1"/>
    <xf numFmtId="14" fontId="4" fillId="0" borderId="0" xfId="1" applyNumberFormat="1" applyFont="1"/>
    <xf numFmtId="164" fontId="3" fillId="0" borderId="0" xfId="1" applyFont="1"/>
    <xf numFmtId="14" fontId="3" fillId="0" borderId="0" xfId="0" applyNumberFormat="1" applyFont="1"/>
    <xf numFmtId="14" fontId="3" fillId="0" borderId="0" xfId="1" applyNumberFormat="1" applyFont="1"/>
    <xf numFmtId="0" fontId="3" fillId="0" borderId="0" xfId="0" applyFont="1" applyAlignment="1"/>
    <xf numFmtId="164" fontId="4" fillId="0" borderId="0" xfId="0" applyNumberFormat="1" applyFont="1"/>
    <xf numFmtId="164" fontId="3" fillId="0" borderId="0" xfId="1" applyFont="1" applyAlignment="1">
      <alignment horizontal="center"/>
    </xf>
    <xf numFmtId="14" fontId="4" fillId="0" borderId="0" xfId="0" applyNumberFormat="1" applyFont="1"/>
    <xf numFmtId="164" fontId="4" fillId="0" borderId="0" xfId="1" applyFont="1" applyFill="1"/>
    <xf numFmtId="164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right"/>
    </xf>
    <xf numFmtId="14" fontId="4" fillId="0" borderId="0" xfId="1" applyNumberFormat="1" applyFont="1" applyFill="1"/>
    <xf numFmtId="0" fontId="6" fillId="0" borderId="0" xfId="0" applyFont="1"/>
    <xf numFmtId="0" fontId="4" fillId="0" borderId="0" xfId="0" applyFont="1" applyAlignment="1">
      <alignment wrapText="1"/>
    </xf>
    <xf numFmtId="164" fontId="6" fillId="0" borderId="0" xfId="1" applyFont="1"/>
    <xf numFmtId="0" fontId="6" fillId="0" borderId="0" xfId="0" applyFont="1" applyAlignment="1"/>
    <xf numFmtId="14" fontId="6" fillId="0" borderId="0" xfId="0" applyNumberFormat="1" applyFont="1"/>
    <xf numFmtId="14" fontId="6" fillId="0" borderId="0" xfId="1" applyNumberFormat="1" applyFont="1"/>
    <xf numFmtId="164" fontId="6" fillId="0" borderId="0" xfId="1" applyFont="1" applyAlignment="1">
      <alignment horizontal="center"/>
    </xf>
    <xf numFmtId="14" fontId="5" fillId="0" borderId="0" xfId="0" applyNumberFormat="1" applyFont="1"/>
    <xf numFmtId="164" fontId="5" fillId="0" borderId="0" xfId="1" applyFont="1"/>
    <xf numFmtId="14" fontId="5" fillId="0" borderId="0" xfId="1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Fill="1"/>
    <xf numFmtId="0" fontId="7" fillId="0" borderId="0" xfId="0" applyFont="1"/>
    <xf numFmtId="164" fontId="7" fillId="0" borderId="0" xfId="1" applyFont="1"/>
    <xf numFmtId="0" fontId="8" fillId="0" borderId="0" xfId="0" applyFont="1"/>
    <xf numFmtId="0" fontId="8" fillId="0" borderId="0" xfId="0" applyFont="1" applyFill="1"/>
    <xf numFmtId="164" fontId="8" fillId="0" borderId="0" xfId="1" applyFont="1"/>
    <xf numFmtId="0" fontId="7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14" fontId="5" fillId="0" borderId="0" xfId="0" applyNumberFormat="1" applyFont="1" applyFill="1"/>
    <xf numFmtId="164" fontId="5" fillId="0" borderId="0" xfId="1" applyFont="1" applyFill="1"/>
    <xf numFmtId="14" fontId="4" fillId="0" borderId="0" xfId="0" applyNumberFormat="1" applyFont="1" applyFill="1"/>
    <xf numFmtId="14" fontId="5" fillId="0" borderId="0" xfId="1" applyNumberFormat="1" applyFont="1" applyFill="1"/>
    <xf numFmtId="14" fontId="8" fillId="0" borderId="0" xfId="0" applyNumberFormat="1" applyFont="1" applyFill="1"/>
    <xf numFmtId="164" fontId="8" fillId="0" borderId="0" xfId="1" applyFont="1" applyFill="1"/>
    <xf numFmtId="14" fontId="8" fillId="0" borderId="0" xfId="1" applyNumberFormat="1" applyFont="1" applyFill="1"/>
    <xf numFmtId="165" fontId="8" fillId="0" borderId="0" xfId="2" applyFont="1" applyFill="1"/>
    <xf numFmtId="164" fontId="7" fillId="0" borderId="0" xfId="1" applyFont="1" applyAlignment="1">
      <alignment horizontal="center"/>
    </xf>
    <xf numFmtId="0" fontId="9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center"/>
    </xf>
    <xf numFmtId="166" fontId="4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4" fontId="4" fillId="0" borderId="0" xfId="0" applyNumberFormat="1" applyFont="1"/>
    <xf numFmtId="0" fontId="10" fillId="0" borderId="0" xfId="0" applyFont="1"/>
    <xf numFmtId="164" fontId="10" fillId="0" borderId="0" xfId="1" applyFont="1"/>
    <xf numFmtId="0" fontId="11" fillId="0" borderId="0" xfId="0" applyFont="1"/>
    <xf numFmtId="167" fontId="4" fillId="0" borderId="0" xfId="0" applyNumberFormat="1" applyFont="1"/>
    <xf numFmtId="167" fontId="4" fillId="0" borderId="0" xfId="0" applyNumberFormat="1" applyFont="1" applyAlignment="1">
      <alignment horizontal="right"/>
    </xf>
    <xf numFmtId="168" fontId="4" fillId="2" borderId="0" xfId="0" applyNumberFormat="1" applyFont="1" applyFill="1" applyAlignment="1">
      <alignment horizontal="right"/>
    </xf>
    <xf numFmtId="4" fontId="4" fillId="2" borderId="0" xfId="0" applyNumberFormat="1" applyFont="1" applyFill="1"/>
    <xf numFmtId="164" fontId="4" fillId="2" borderId="0" xfId="1" applyFont="1" applyFill="1"/>
    <xf numFmtId="0" fontId="4" fillId="2" borderId="0" xfId="0" applyFont="1" applyFill="1"/>
    <xf numFmtId="0" fontId="12" fillId="0" borderId="0" xfId="0" applyFont="1"/>
    <xf numFmtId="4" fontId="4" fillId="0" borderId="0" xfId="0" applyNumberFormat="1" applyFont="1" applyFill="1"/>
    <xf numFmtId="0" fontId="4" fillId="3" borderId="0" xfId="0" applyFont="1" applyFill="1"/>
    <xf numFmtId="4" fontId="4" fillId="3" borderId="0" xfId="0" applyNumberFormat="1" applyFont="1" applyFill="1"/>
    <xf numFmtId="0" fontId="10" fillId="0" borderId="0" xfId="0" applyFont="1" applyFill="1"/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4" fontId="5" fillId="0" borderId="0" xfId="0" applyNumberFormat="1" applyFont="1" applyFill="1"/>
    <xf numFmtId="4" fontId="5" fillId="0" borderId="0" xfId="0" applyNumberFormat="1" applyFont="1"/>
    <xf numFmtId="4" fontId="7" fillId="0" borderId="0" xfId="0" applyNumberFormat="1" applyFont="1" applyAlignment="1">
      <alignment horizontal="center"/>
    </xf>
    <xf numFmtId="4" fontId="8" fillId="0" borderId="0" xfId="0" applyNumberFormat="1" applyFont="1" applyFill="1"/>
    <xf numFmtId="4" fontId="8" fillId="0" borderId="0" xfId="0" applyNumberFormat="1" applyFont="1"/>
    <xf numFmtId="4" fontId="7" fillId="0" borderId="0" xfId="0" applyNumberFormat="1" applyFont="1"/>
    <xf numFmtId="14" fontId="13" fillId="0" borderId="0" xfId="0" applyNumberFormat="1" applyFont="1" applyFill="1"/>
    <xf numFmtId="0" fontId="13" fillId="0" borderId="0" xfId="0" applyFont="1" applyFill="1"/>
    <xf numFmtId="0" fontId="5" fillId="3" borderId="0" xfId="0" applyFont="1" applyFill="1"/>
    <xf numFmtId="4" fontId="5" fillId="3" borderId="0" xfId="0" applyNumberFormat="1" applyFont="1" applyFill="1"/>
    <xf numFmtId="0" fontId="14" fillId="0" borderId="0" xfId="0" applyFont="1" applyFill="1"/>
    <xf numFmtId="14" fontId="14" fillId="0" borderId="0" xfId="0" applyNumberFormat="1" applyFont="1" applyFill="1"/>
    <xf numFmtId="4" fontId="0" fillId="0" borderId="0" xfId="0" applyNumberFormat="1"/>
    <xf numFmtId="164" fontId="14" fillId="0" borderId="0" xfId="1" applyFont="1" applyFill="1"/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0" fillId="3" borderId="0" xfId="0" applyFill="1"/>
    <xf numFmtId="4" fontId="14" fillId="0" borderId="0" xfId="0" applyNumberFormat="1" applyFont="1" applyFill="1"/>
    <xf numFmtId="14" fontId="14" fillId="0" borderId="0" xfId="0" applyNumberFormat="1" applyFont="1"/>
    <xf numFmtId="164" fontId="3" fillId="0" borderId="0" xfId="1" applyFont="1" applyAlignment="1">
      <alignment horizontal="left"/>
    </xf>
    <xf numFmtId="14" fontId="3" fillId="0" borderId="0" xfId="1" applyNumberFormat="1" applyFont="1" applyAlignment="1">
      <alignment horizontal="left"/>
    </xf>
    <xf numFmtId="164" fontId="7" fillId="0" borderId="0" xfId="1" applyFont="1" applyAlignment="1">
      <alignment horizontal="left"/>
    </xf>
    <xf numFmtId="0" fontId="5" fillId="0" borderId="0" xfId="0" applyFont="1" applyFill="1" applyAlignment="1">
      <alignment horizontal="left"/>
    </xf>
    <xf numFmtId="164" fontId="5" fillId="0" borderId="0" xfId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5" fillId="4" borderId="0" xfId="0" applyFont="1" applyFill="1"/>
    <xf numFmtId="4" fontId="5" fillId="4" borderId="0" xfId="0" applyNumberFormat="1" applyFont="1" applyFill="1"/>
    <xf numFmtId="14" fontId="5" fillId="4" borderId="0" xfId="0" applyNumberFormat="1" applyFont="1" applyFill="1"/>
    <xf numFmtId="164" fontId="14" fillId="0" borderId="0" xfId="1" applyFont="1"/>
    <xf numFmtId="4" fontId="14" fillId="0" borderId="0" xfId="0" applyNumberFormat="1" applyFont="1"/>
    <xf numFmtId="167" fontId="0" fillId="0" borderId="0" xfId="0" applyNumberFormat="1"/>
    <xf numFmtId="167" fontId="0" fillId="0" borderId="0" xfId="0" applyNumberFormat="1" applyAlignment="1">
      <alignment horizontal="right"/>
    </xf>
    <xf numFmtId="167" fontId="8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7" fontId="16" fillId="0" borderId="0" xfId="0" applyNumberFormat="1" applyFont="1" applyAlignment="1">
      <alignment horizontal="center" wrapText="1"/>
    </xf>
    <xf numFmtId="0" fontId="0" fillId="0" borderId="1" xfId="0" applyBorder="1"/>
    <xf numFmtId="167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7" fontId="12" fillId="0" borderId="3" xfId="0" applyNumberFormat="1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167" fontId="18" fillId="0" borderId="5" xfId="0" applyNumberFormat="1" applyFont="1" applyBorder="1"/>
    <xf numFmtId="0" fontId="19" fillId="0" borderId="0" xfId="0" applyFont="1"/>
    <xf numFmtId="0" fontId="2" fillId="0" borderId="0" xfId="0" applyFont="1"/>
    <xf numFmtId="0" fontId="1" fillId="0" borderId="0" xfId="0" applyFont="1"/>
    <xf numFmtId="0" fontId="20" fillId="2" borderId="2" xfId="0" applyFont="1" applyFill="1" applyBorder="1"/>
    <xf numFmtId="167" fontId="21" fillId="2" borderId="3" xfId="0" applyNumberFormat="1" applyFont="1" applyFill="1" applyBorder="1" applyAlignment="1">
      <alignment horizontal="right"/>
    </xf>
    <xf numFmtId="167" fontId="3" fillId="5" borderId="6" xfId="0" applyNumberFormat="1" applyFont="1" applyFill="1" applyBorder="1"/>
    <xf numFmtId="164" fontId="3" fillId="0" borderId="0" xfId="1" applyFont="1" applyAlignment="1">
      <alignment horizontal="center"/>
    </xf>
    <xf numFmtId="164" fontId="6" fillId="0" borderId="0" xfId="1" applyFont="1" applyAlignment="1">
      <alignment horizontal="center"/>
    </xf>
    <xf numFmtId="164" fontId="7" fillId="0" borderId="0" xfId="1" applyFont="1" applyAlignment="1">
      <alignment horizontal="center"/>
    </xf>
    <xf numFmtId="3" fontId="22" fillId="0" borderId="7" xfId="0" applyNumberFormat="1" applyFont="1" applyBorder="1" applyAlignment="1">
      <alignment horizontal="center"/>
    </xf>
    <xf numFmtId="3" fontId="22" fillId="0" borderId="0" xfId="0" applyNumberFormat="1" applyFont="1" applyAlignment="1">
      <alignment horizontal="center"/>
    </xf>
    <xf numFmtId="3" fontId="23" fillId="0" borderId="7" xfId="0" applyNumberFormat="1" applyFont="1" applyBorder="1" applyAlignment="1">
      <alignment horizontal="center"/>
    </xf>
    <xf numFmtId="3" fontId="23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left"/>
    </xf>
    <xf numFmtId="167" fontId="7" fillId="0" borderId="8" xfId="0" applyNumberFormat="1" applyFont="1" applyBorder="1" applyAlignment="1">
      <alignment horizontal="right"/>
    </xf>
    <xf numFmtId="0" fontId="7" fillId="0" borderId="7" xfId="0" applyFont="1" applyBorder="1"/>
    <xf numFmtId="167" fontId="7" fillId="0" borderId="9" xfId="0" applyNumberFormat="1" applyFont="1" applyBorder="1"/>
    <xf numFmtId="167" fontId="7" fillId="0" borderId="10" xfId="0" applyNumberFormat="1" applyFont="1" applyBorder="1" applyAlignment="1">
      <alignment horizontal="right"/>
    </xf>
    <xf numFmtId="0" fontId="7" fillId="0" borderId="11" xfId="0" applyFont="1" applyBorder="1"/>
    <xf numFmtId="167" fontId="7" fillId="0" borderId="12" xfId="0" applyNumberFormat="1" applyFont="1" applyBorder="1"/>
    <xf numFmtId="0" fontId="20" fillId="0" borderId="8" xfId="0" applyFont="1" applyBorder="1"/>
    <xf numFmtId="167" fontId="20" fillId="0" borderId="9" xfId="0" applyNumberFormat="1" applyFont="1" applyBorder="1"/>
    <xf numFmtId="15" fontId="20" fillId="0" borderId="10" xfId="0" applyNumberFormat="1" applyFont="1" applyBorder="1"/>
    <xf numFmtId="167" fontId="20" fillId="0" borderId="12" xfId="0" applyNumberFormat="1" applyFont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66CC"/>
      <color rgb="FFFFFF66"/>
      <color rgb="FF0066FF"/>
      <color rgb="FFCC0000"/>
      <color rgb="FFCC0099"/>
      <color rgb="FFBB91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5"/>
  <sheetViews>
    <sheetView topLeftCell="A23" zoomScale="75" workbookViewId="0">
      <selection activeCell="E50" sqref="E50"/>
    </sheetView>
  </sheetViews>
  <sheetFormatPr baseColWidth="10" defaultRowHeight="15"/>
  <cols>
    <col min="1" max="1" width="13.140625" style="2" bestFit="1" customWidth="1"/>
    <col min="2" max="2" width="13.5703125" style="2" customWidth="1"/>
    <col min="3" max="3" width="23.28515625" style="2" customWidth="1"/>
    <col min="4" max="4" width="32.7109375" style="2" customWidth="1"/>
    <col min="5" max="5" width="14.140625" style="50" customWidth="1"/>
    <col min="6" max="6" width="15.7109375" style="3" customWidth="1"/>
    <col min="7" max="7" width="19.42578125" style="2" customWidth="1"/>
    <col min="8" max="8" width="18.85546875" style="2" customWidth="1"/>
    <col min="9" max="9" width="17.1406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48"/>
      <c r="F1" s="5"/>
      <c r="G1" s="5"/>
      <c r="H1" s="5"/>
      <c r="I1" s="1"/>
    </row>
    <row r="2" spans="1:9" ht="15.75">
      <c r="A2" s="1"/>
      <c r="B2" s="1"/>
      <c r="C2" s="1"/>
      <c r="D2" s="1" t="s">
        <v>84</v>
      </c>
      <c r="E2" s="48"/>
      <c r="F2" s="5"/>
      <c r="G2" s="5"/>
      <c r="H2" s="5"/>
      <c r="I2" s="1"/>
    </row>
    <row r="3" spans="1:9" ht="15.75">
      <c r="A3" s="8"/>
      <c r="B3" s="6"/>
      <c r="C3" s="6"/>
      <c r="D3" s="6"/>
      <c r="E3" s="48"/>
      <c r="F3" s="5"/>
      <c r="G3" s="7"/>
      <c r="H3" s="7"/>
      <c r="I3" s="1"/>
    </row>
    <row r="4" spans="1:9" ht="15.75">
      <c r="A4" s="1"/>
      <c r="B4" s="1"/>
      <c r="C4" s="1"/>
      <c r="D4" s="1"/>
      <c r="E4" s="48"/>
      <c r="F4" s="5"/>
      <c r="G4" s="5"/>
      <c r="H4" s="5"/>
      <c r="I4" s="1"/>
    </row>
    <row r="5" spans="1:9" ht="15.75">
      <c r="A5" s="1" t="s">
        <v>5</v>
      </c>
      <c r="B5" s="1" t="s">
        <v>0</v>
      </c>
      <c r="C5" s="1" t="s">
        <v>7</v>
      </c>
      <c r="D5" s="1" t="s">
        <v>9</v>
      </c>
      <c r="E5" s="122" t="s">
        <v>1</v>
      </c>
      <c r="F5" s="122"/>
      <c r="G5" s="10" t="s">
        <v>24</v>
      </c>
      <c r="H5" s="5" t="s">
        <v>3</v>
      </c>
      <c r="I5" s="1" t="s">
        <v>80</v>
      </c>
    </row>
    <row r="6" spans="1:9" ht="15.75">
      <c r="A6" s="1"/>
      <c r="B6" s="1"/>
      <c r="C6" s="1"/>
      <c r="D6" s="1"/>
      <c r="E6" s="49" t="s">
        <v>6</v>
      </c>
      <c r="F6" s="5" t="s">
        <v>2</v>
      </c>
      <c r="G6" s="5"/>
      <c r="H6" s="5" t="s">
        <v>4</v>
      </c>
      <c r="I6" s="5">
        <v>0.2</v>
      </c>
    </row>
    <row r="7" spans="1:9">
      <c r="A7" s="2">
        <v>4854</v>
      </c>
      <c r="B7" s="11">
        <v>40254</v>
      </c>
      <c r="C7" s="2" t="s">
        <v>62</v>
      </c>
      <c r="D7" s="2" t="s">
        <v>33</v>
      </c>
      <c r="E7" s="50">
        <v>923.36</v>
      </c>
      <c r="F7" s="3">
        <v>24007.360000000001</v>
      </c>
      <c r="G7" s="2" t="s">
        <v>10</v>
      </c>
      <c r="H7" s="11">
        <v>40277</v>
      </c>
      <c r="I7" s="3">
        <f>$I$6*E7</f>
        <v>184.67200000000003</v>
      </c>
    </row>
    <row r="8" spans="1:9">
      <c r="A8" s="2" t="s">
        <v>98</v>
      </c>
      <c r="B8" s="11">
        <v>40257</v>
      </c>
      <c r="C8" s="2" t="s">
        <v>17</v>
      </c>
      <c r="D8" s="2" t="s">
        <v>75</v>
      </c>
      <c r="E8" s="50">
        <v>1079.5</v>
      </c>
      <c r="F8" s="3">
        <v>12954</v>
      </c>
      <c r="G8" s="2" t="s">
        <v>10</v>
      </c>
      <c r="H8" s="11">
        <v>40278</v>
      </c>
      <c r="I8" s="3">
        <f t="shared" ref="I8:I49" si="0">$I$6*E8</f>
        <v>215.9</v>
      </c>
    </row>
    <row r="9" spans="1:9">
      <c r="A9" s="2" t="s">
        <v>96</v>
      </c>
      <c r="B9" s="11">
        <v>40261</v>
      </c>
      <c r="C9" s="2" t="s">
        <v>11</v>
      </c>
      <c r="D9" s="2" t="s">
        <v>44</v>
      </c>
      <c r="E9" s="50">
        <f>628.5+520+20+27.22+40.83</f>
        <v>1236.55</v>
      </c>
      <c r="F9" s="3">
        <v>27725</v>
      </c>
      <c r="G9" s="2" t="s">
        <v>10</v>
      </c>
      <c r="H9" s="11">
        <v>40276</v>
      </c>
      <c r="I9" s="3">
        <f t="shared" si="0"/>
        <v>247.31</v>
      </c>
    </row>
    <row r="10" spans="1:9">
      <c r="A10" s="11" t="s">
        <v>97</v>
      </c>
      <c r="B10" s="11">
        <v>40264</v>
      </c>
      <c r="C10" s="2" t="s">
        <v>83</v>
      </c>
      <c r="D10" s="2" t="s">
        <v>66</v>
      </c>
      <c r="E10" s="50">
        <v>425.38</v>
      </c>
      <c r="F10" s="3">
        <v>12339</v>
      </c>
      <c r="G10" s="2" t="s">
        <v>10</v>
      </c>
      <c r="H10" s="11">
        <v>40278</v>
      </c>
      <c r="I10" s="3">
        <f t="shared" si="0"/>
        <v>85.076000000000008</v>
      </c>
    </row>
    <row r="11" spans="1:9">
      <c r="A11" s="2">
        <v>29442</v>
      </c>
      <c r="B11" s="11">
        <v>40267</v>
      </c>
      <c r="C11" s="2" t="s">
        <v>11</v>
      </c>
      <c r="D11" s="2" t="s">
        <v>33</v>
      </c>
      <c r="E11" s="50">
        <f>136.1+930.3+5*5.44</f>
        <v>1093.5999999999999</v>
      </c>
      <c r="F11" s="3">
        <v>29643.24</v>
      </c>
      <c r="G11" s="2" t="s">
        <v>10</v>
      </c>
      <c r="H11" s="11">
        <v>40294</v>
      </c>
      <c r="I11" s="3">
        <f t="shared" si="0"/>
        <v>218.72</v>
      </c>
    </row>
    <row r="12" spans="1:9">
      <c r="A12" s="2" t="s">
        <v>99</v>
      </c>
      <c r="B12" s="11">
        <v>40267</v>
      </c>
      <c r="C12" s="2" t="s">
        <v>11</v>
      </c>
      <c r="D12" s="2" t="s">
        <v>44</v>
      </c>
      <c r="E12" s="50">
        <f>510.7+40.83+315.12+148.5</f>
        <v>1015.15</v>
      </c>
      <c r="F12" s="3">
        <v>28723.5</v>
      </c>
      <c r="G12" s="2" t="s">
        <v>10</v>
      </c>
      <c r="H12" s="11">
        <v>40297</v>
      </c>
      <c r="I12" s="3">
        <f t="shared" si="0"/>
        <v>203.03</v>
      </c>
    </row>
    <row r="13" spans="1:9">
      <c r="A13" s="2" t="s">
        <v>95</v>
      </c>
      <c r="B13" s="11">
        <v>40269</v>
      </c>
      <c r="C13" s="2" t="s">
        <v>83</v>
      </c>
      <c r="D13" s="2" t="s">
        <v>35</v>
      </c>
      <c r="E13" s="50">
        <v>429</v>
      </c>
      <c r="F13" s="3">
        <v>11797.5</v>
      </c>
      <c r="G13" s="2" t="s">
        <v>10</v>
      </c>
      <c r="H13" s="11">
        <v>40281</v>
      </c>
      <c r="I13" s="3">
        <f t="shared" si="0"/>
        <v>85.800000000000011</v>
      </c>
    </row>
    <row r="14" spans="1:9">
      <c r="A14" s="2" t="s">
        <v>94</v>
      </c>
      <c r="B14" s="11">
        <v>40274</v>
      </c>
      <c r="C14" s="2" t="s">
        <v>45</v>
      </c>
      <c r="D14" s="2" t="s">
        <v>57</v>
      </c>
      <c r="E14" s="50">
        <v>190.54</v>
      </c>
      <c r="F14" s="3">
        <v>3144</v>
      </c>
      <c r="G14" s="2" t="s">
        <v>10</v>
      </c>
      <c r="H14" s="11">
        <v>40281</v>
      </c>
      <c r="I14" s="3">
        <f t="shared" si="0"/>
        <v>38.107999999999997</v>
      </c>
    </row>
    <row r="15" spans="1:9">
      <c r="A15" s="2">
        <v>29552</v>
      </c>
      <c r="B15" s="11">
        <v>40276</v>
      </c>
      <c r="C15" s="2" t="s">
        <v>11</v>
      </c>
      <c r="D15" s="2" t="s">
        <v>13</v>
      </c>
      <c r="E15" s="50">
        <f>1524.32+272.2+40.83+60+199.3+960.7</f>
        <v>3057.3500000000004</v>
      </c>
      <c r="F15" s="3">
        <v>68062.490000000005</v>
      </c>
      <c r="G15" s="2" t="s">
        <v>65</v>
      </c>
      <c r="H15" s="11">
        <v>40276</v>
      </c>
      <c r="I15" s="3">
        <f t="shared" si="0"/>
        <v>611.47000000000014</v>
      </c>
    </row>
    <row r="16" spans="1:9">
      <c r="A16" s="2">
        <v>29553</v>
      </c>
      <c r="B16" s="11">
        <v>40276</v>
      </c>
      <c r="C16" s="2" t="s">
        <v>62</v>
      </c>
      <c r="D16" s="2" t="s">
        <v>33</v>
      </c>
      <c r="E16" s="50">
        <v>953</v>
      </c>
      <c r="F16" s="3">
        <v>23634.400000000001</v>
      </c>
      <c r="G16" s="2" t="s">
        <v>10</v>
      </c>
      <c r="H16" s="11">
        <v>40299</v>
      </c>
      <c r="I16" s="3">
        <f t="shared" si="0"/>
        <v>190.60000000000002</v>
      </c>
    </row>
    <row r="17" spans="1:9">
      <c r="A17" s="2">
        <v>29554</v>
      </c>
      <c r="B17" s="11">
        <v>40276</v>
      </c>
      <c r="C17" s="2" t="s">
        <v>62</v>
      </c>
      <c r="D17" s="2" t="s">
        <v>33</v>
      </c>
      <c r="E17" s="50">
        <v>918.1</v>
      </c>
      <c r="F17" s="3">
        <v>22768.880000000001</v>
      </c>
      <c r="G17" s="2" t="s">
        <v>10</v>
      </c>
      <c r="H17" s="11">
        <v>40302</v>
      </c>
      <c r="I17" s="3">
        <f t="shared" si="0"/>
        <v>183.62</v>
      </c>
    </row>
    <row r="18" spans="1:9">
      <c r="A18" s="2">
        <v>29555</v>
      </c>
      <c r="B18" s="11">
        <v>40276</v>
      </c>
      <c r="C18" s="2" t="s">
        <v>11</v>
      </c>
      <c r="D18" s="2" t="s">
        <v>33</v>
      </c>
      <c r="E18" s="50">
        <f>405.5+136.1+136.1</f>
        <v>677.7</v>
      </c>
      <c r="F18" s="3">
        <v>20646.05</v>
      </c>
      <c r="G18" s="2" t="s">
        <v>10</v>
      </c>
      <c r="H18" s="11">
        <v>40288</v>
      </c>
      <c r="I18" s="3">
        <f t="shared" si="0"/>
        <v>135.54000000000002</v>
      </c>
    </row>
    <row r="19" spans="1:9">
      <c r="A19" s="2">
        <v>29557</v>
      </c>
      <c r="B19" s="11">
        <v>40276</v>
      </c>
      <c r="C19" s="2" t="s">
        <v>11</v>
      </c>
      <c r="D19" s="2" t="s">
        <v>12</v>
      </c>
      <c r="E19" s="50">
        <f>54.44+54.4</f>
        <v>108.84</v>
      </c>
      <c r="F19" s="3">
        <v>3752.7</v>
      </c>
      <c r="G19" s="2" t="s">
        <v>10</v>
      </c>
      <c r="H19" s="11">
        <v>40276</v>
      </c>
      <c r="I19" s="3">
        <f t="shared" si="0"/>
        <v>21.768000000000001</v>
      </c>
    </row>
    <row r="20" spans="1:9">
      <c r="A20" s="2">
        <v>29558</v>
      </c>
      <c r="B20" s="11">
        <v>40276</v>
      </c>
      <c r="C20" s="2" t="s">
        <v>45</v>
      </c>
      <c r="D20" s="2" t="s">
        <v>14</v>
      </c>
      <c r="E20" s="50">
        <v>163.32</v>
      </c>
      <c r="F20" s="3">
        <v>2694.78</v>
      </c>
      <c r="G20" s="2" t="s">
        <v>65</v>
      </c>
      <c r="H20" s="11">
        <v>40276</v>
      </c>
      <c r="I20" s="3">
        <f t="shared" si="0"/>
        <v>32.664000000000001</v>
      </c>
    </row>
    <row r="21" spans="1:9">
      <c r="A21" s="2" t="s">
        <v>88</v>
      </c>
      <c r="B21" s="11">
        <v>40276</v>
      </c>
      <c r="C21" s="2" t="s">
        <v>11</v>
      </c>
      <c r="D21" s="2" t="s">
        <v>44</v>
      </c>
      <c r="E21" s="50">
        <f>544.4+170+34</f>
        <v>748.4</v>
      </c>
      <c r="F21" s="3">
        <v>12790.6</v>
      </c>
      <c r="G21" s="2" t="s">
        <v>10</v>
      </c>
      <c r="H21" s="11">
        <v>40291</v>
      </c>
      <c r="I21" s="3">
        <f t="shared" si="0"/>
        <v>149.68</v>
      </c>
    </row>
    <row r="22" spans="1:9">
      <c r="A22" s="2" t="s">
        <v>46</v>
      </c>
      <c r="B22" s="11">
        <v>40276</v>
      </c>
      <c r="C22" s="2" t="s">
        <v>45</v>
      </c>
      <c r="D22" s="2" t="s">
        <v>30</v>
      </c>
      <c r="E22" s="50">
        <v>517.17999999999995</v>
      </c>
      <c r="F22" s="3">
        <v>4137.5</v>
      </c>
      <c r="G22" s="3" t="s">
        <v>10</v>
      </c>
      <c r="H22" s="11">
        <v>40277</v>
      </c>
      <c r="I22" s="3">
        <f t="shared" si="0"/>
        <v>103.43599999999999</v>
      </c>
    </row>
    <row r="23" spans="1:9">
      <c r="A23" s="2" t="s">
        <v>89</v>
      </c>
      <c r="B23" s="11">
        <v>40276</v>
      </c>
      <c r="C23" s="2" t="s">
        <v>83</v>
      </c>
      <c r="D23" s="2" t="s">
        <v>35</v>
      </c>
      <c r="E23" s="50">
        <v>433</v>
      </c>
      <c r="F23" s="3">
        <v>11907</v>
      </c>
      <c r="G23" s="2" t="s">
        <v>10</v>
      </c>
      <c r="H23" s="11">
        <v>40294</v>
      </c>
      <c r="I23" s="3">
        <f t="shared" si="0"/>
        <v>86.600000000000009</v>
      </c>
    </row>
    <row r="24" spans="1:9">
      <c r="A24" s="2" t="s">
        <v>102</v>
      </c>
      <c r="B24" s="11">
        <v>40280</v>
      </c>
      <c r="C24" s="2" t="s">
        <v>83</v>
      </c>
      <c r="D24" s="2" t="s">
        <v>66</v>
      </c>
      <c r="E24" s="50">
        <v>401</v>
      </c>
      <c r="F24" s="3">
        <v>11027.5</v>
      </c>
      <c r="G24" s="2" t="s">
        <v>10</v>
      </c>
      <c r="H24" s="11">
        <v>40302</v>
      </c>
      <c r="I24" s="3">
        <f t="shared" si="0"/>
        <v>80.2</v>
      </c>
    </row>
    <row r="25" spans="1:9">
      <c r="A25" s="2" t="s">
        <v>47</v>
      </c>
      <c r="B25" s="11">
        <v>40280</v>
      </c>
      <c r="C25" s="2" t="s">
        <v>17</v>
      </c>
      <c r="D25" s="2" t="s">
        <v>59</v>
      </c>
      <c r="E25" s="50">
        <v>643.5</v>
      </c>
      <c r="F25" s="3">
        <v>7722</v>
      </c>
      <c r="G25" s="2" t="s">
        <v>10</v>
      </c>
      <c r="H25" s="11">
        <v>40284</v>
      </c>
      <c r="I25" s="3">
        <f t="shared" si="0"/>
        <v>128.70000000000002</v>
      </c>
    </row>
    <row r="26" spans="1:9">
      <c r="A26" s="2">
        <v>29655</v>
      </c>
      <c r="B26" s="11">
        <v>40281</v>
      </c>
      <c r="C26" s="2" t="s">
        <v>11</v>
      </c>
      <c r="D26" s="2" t="s">
        <v>13</v>
      </c>
      <c r="E26" s="50">
        <f>22+865.31+408.3+40.83+190.3+1088.8</f>
        <v>2615.54</v>
      </c>
      <c r="F26" s="3">
        <v>58438.35</v>
      </c>
      <c r="G26" s="2" t="s">
        <v>65</v>
      </c>
      <c r="H26" s="11">
        <v>40284</v>
      </c>
      <c r="I26" s="3">
        <f t="shared" si="0"/>
        <v>523.10800000000006</v>
      </c>
    </row>
    <row r="27" spans="1:9">
      <c r="A27" s="2">
        <v>29656</v>
      </c>
      <c r="B27" s="11">
        <v>40282</v>
      </c>
      <c r="C27" s="2" t="s">
        <v>52</v>
      </c>
      <c r="D27" s="2" t="s">
        <v>12</v>
      </c>
      <c r="E27" s="50">
        <v>54.4</v>
      </c>
      <c r="F27" s="3">
        <v>2800</v>
      </c>
      <c r="G27" s="2" t="s">
        <v>65</v>
      </c>
      <c r="H27" s="11">
        <v>40284</v>
      </c>
      <c r="I27" s="3">
        <f t="shared" si="0"/>
        <v>10.88</v>
      </c>
    </row>
    <row r="28" spans="1:9">
      <c r="A28" s="2">
        <v>29653</v>
      </c>
      <c r="B28" s="11">
        <v>40284</v>
      </c>
      <c r="C28" s="2" t="s">
        <v>11</v>
      </c>
      <c r="D28" s="2" t="s">
        <v>14</v>
      </c>
      <c r="E28" s="50">
        <f>10+68.2</f>
        <v>78.2</v>
      </c>
      <c r="F28" s="3">
        <v>3891.2</v>
      </c>
      <c r="G28" s="2" t="s">
        <v>65</v>
      </c>
      <c r="H28" s="11">
        <v>40290</v>
      </c>
      <c r="I28" s="3">
        <f t="shared" si="0"/>
        <v>15.64</v>
      </c>
    </row>
    <row r="29" spans="1:9">
      <c r="A29" s="2" t="s">
        <v>101</v>
      </c>
      <c r="B29" s="11">
        <v>40284</v>
      </c>
      <c r="C29" s="2" t="s">
        <v>11</v>
      </c>
      <c r="D29" s="2" t="s">
        <v>44</v>
      </c>
      <c r="E29" s="50">
        <f>116.5+40.83+30+40.83+453.6</f>
        <v>681.76</v>
      </c>
      <c r="F29" s="3">
        <v>13669.6</v>
      </c>
      <c r="G29" s="2" t="s">
        <v>10</v>
      </c>
      <c r="H29" s="11">
        <v>40299</v>
      </c>
      <c r="I29" s="3">
        <f t="shared" si="0"/>
        <v>136.352</v>
      </c>
    </row>
    <row r="30" spans="1:9">
      <c r="A30" s="2" t="s">
        <v>58</v>
      </c>
      <c r="B30" s="11">
        <v>40284</v>
      </c>
      <c r="C30" s="2" t="s">
        <v>17</v>
      </c>
      <c r="D30" s="2" t="s">
        <v>57</v>
      </c>
      <c r="E30" s="50">
        <v>190.54</v>
      </c>
      <c r="F30" s="3">
        <v>3144</v>
      </c>
      <c r="G30" s="2" t="s">
        <v>10</v>
      </c>
      <c r="H30" s="11">
        <v>40284</v>
      </c>
      <c r="I30" s="3">
        <f t="shared" si="0"/>
        <v>38.107999999999997</v>
      </c>
    </row>
    <row r="31" spans="1:9">
      <c r="A31" s="11" t="s">
        <v>16</v>
      </c>
      <c r="B31" s="11">
        <v>40284</v>
      </c>
      <c r="C31" s="2" t="s">
        <v>11</v>
      </c>
      <c r="D31" s="2" t="s">
        <v>44</v>
      </c>
      <c r="E31" s="50">
        <f>144+333.4+15.65</f>
        <v>493.04999999999995</v>
      </c>
      <c r="F31" s="3">
        <v>8139</v>
      </c>
      <c r="G31" s="2" t="s">
        <v>10</v>
      </c>
      <c r="H31" s="11">
        <v>40299</v>
      </c>
      <c r="I31" s="3">
        <f t="shared" si="0"/>
        <v>98.61</v>
      </c>
    </row>
    <row r="32" spans="1:9">
      <c r="A32" s="2" t="s">
        <v>18</v>
      </c>
      <c r="B32" s="11">
        <v>40284</v>
      </c>
      <c r="C32" s="2" t="s">
        <v>17</v>
      </c>
      <c r="D32" s="2" t="s">
        <v>59</v>
      </c>
      <c r="E32" s="50">
        <f>7980/12</f>
        <v>665</v>
      </c>
      <c r="F32" s="3">
        <v>7980</v>
      </c>
      <c r="G32" s="2" t="s">
        <v>10</v>
      </c>
      <c r="H32" s="11">
        <v>40348</v>
      </c>
      <c r="I32" s="3">
        <f t="shared" si="0"/>
        <v>133</v>
      </c>
    </row>
    <row r="33" spans="1:9">
      <c r="A33" s="2" t="s">
        <v>93</v>
      </c>
      <c r="B33" s="11">
        <v>40285</v>
      </c>
      <c r="C33" s="2" t="s">
        <v>83</v>
      </c>
      <c r="D33" s="2" t="s">
        <v>68</v>
      </c>
      <c r="E33" s="50">
        <v>384.2</v>
      </c>
      <c r="F33" s="3">
        <v>10565.5</v>
      </c>
      <c r="G33" s="2" t="s">
        <v>10</v>
      </c>
      <c r="H33" s="11">
        <v>40287</v>
      </c>
      <c r="I33" s="3">
        <f t="shared" si="0"/>
        <v>76.84</v>
      </c>
    </row>
    <row r="34" spans="1:9">
      <c r="A34" s="2" t="s">
        <v>19</v>
      </c>
      <c r="B34" s="11">
        <v>40287</v>
      </c>
      <c r="C34" s="2" t="s">
        <v>17</v>
      </c>
      <c r="D34" s="2" t="s">
        <v>59</v>
      </c>
      <c r="E34" s="50">
        <v>638.29999999999995</v>
      </c>
      <c r="F34" s="3">
        <v>7658.5</v>
      </c>
      <c r="G34" s="2" t="s">
        <v>10</v>
      </c>
      <c r="H34" s="11">
        <v>40288</v>
      </c>
      <c r="I34" s="3">
        <f t="shared" si="0"/>
        <v>127.66</v>
      </c>
    </row>
    <row r="35" spans="1:9">
      <c r="A35" s="2">
        <v>4932</v>
      </c>
      <c r="B35" s="11">
        <v>40288</v>
      </c>
      <c r="C35" s="11" t="s">
        <v>62</v>
      </c>
      <c r="D35" s="11" t="s">
        <v>13</v>
      </c>
      <c r="E35" s="50">
        <v>883.9</v>
      </c>
      <c r="F35" s="3">
        <v>24300.21</v>
      </c>
      <c r="G35" s="3" t="s">
        <v>65</v>
      </c>
      <c r="H35" s="4">
        <v>40291</v>
      </c>
      <c r="I35" s="3">
        <f t="shared" si="0"/>
        <v>176.78</v>
      </c>
    </row>
    <row r="36" spans="1:9">
      <c r="A36" s="2">
        <v>29729</v>
      </c>
      <c r="B36" s="11">
        <v>40290</v>
      </c>
      <c r="C36" s="11" t="s">
        <v>11</v>
      </c>
      <c r="D36" s="11" t="s">
        <v>13</v>
      </c>
      <c r="E36" s="50">
        <f>198.3+408.3+13.61+80+816.6</f>
        <v>1516.81</v>
      </c>
      <c r="F36" s="3">
        <v>34183.279999999999</v>
      </c>
      <c r="G36" s="3" t="s">
        <v>65</v>
      </c>
      <c r="H36" s="4">
        <v>40290</v>
      </c>
      <c r="I36" s="3">
        <f t="shared" si="0"/>
        <v>303.36200000000002</v>
      </c>
    </row>
    <row r="37" spans="1:9">
      <c r="A37" s="2">
        <v>29730</v>
      </c>
      <c r="B37" s="11">
        <v>40290</v>
      </c>
      <c r="C37" s="2" t="s">
        <v>11</v>
      </c>
      <c r="D37" s="2" t="s">
        <v>14</v>
      </c>
      <c r="E37" s="50">
        <f>136.1+372</f>
        <v>508.1</v>
      </c>
      <c r="F37" s="3">
        <v>12475.65</v>
      </c>
      <c r="G37" s="2" t="s">
        <v>65</v>
      </c>
      <c r="H37" s="11">
        <v>40290</v>
      </c>
      <c r="I37" s="3">
        <f t="shared" si="0"/>
        <v>101.62</v>
      </c>
    </row>
    <row r="38" spans="1:9">
      <c r="A38" s="2" t="s">
        <v>90</v>
      </c>
      <c r="B38" s="11">
        <v>40290</v>
      </c>
      <c r="C38" s="2" t="s">
        <v>83</v>
      </c>
      <c r="D38" s="2" t="s">
        <v>91</v>
      </c>
      <c r="E38" s="50">
        <v>203.5</v>
      </c>
      <c r="F38" s="3">
        <v>5596.25</v>
      </c>
      <c r="G38" s="2" t="s">
        <v>10</v>
      </c>
      <c r="H38" s="11">
        <v>40290</v>
      </c>
      <c r="I38" s="3">
        <f t="shared" si="0"/>
        <v>40.700000000000003</v>
      </c>
    </row>
    <row r="39" spans="1:9">
      <c r="A39" s="2" t="s">
        <v>87</v>
      </c>
      <c r="B39" s="11">
        <v>40291</v>
      </c>
      <c r="C39" s="2" t="s">
        <v>11</v>
      </c>
      <c r="D39" s="2" t="s">
        <v>35</v>
      </c>
      <c r="E39" s="50">
        <f>27.22+3*5.44</f>
        <v>43.54</v>
      </c>
      <c r="F39" s="3">
        <v>1330</v>
      </c>
      <c r="G39" s="2" t="s">
        <v>10</v>
      </c>
      <c r="H39" s="11">
        <v>40291</v>
      </c>
      <c r="I39" s="3">
        <f t="shared" si="0"/>
        <v>8.7080000000000002</v>
      </c>
    </row>
    <row r="40" spans="1:9">
      <c r="A40" s="2" t="s">
        <v>92</v>
      </c>
      <c r="B40" s="11">
        <v>40294</v>
      </c>
      <c r="C40" s="2" t="s">
        <v>17</v>
      </c>
      <c r="D40" s="2" t="s">
        <v>14</v>
      </c>
      <c r="E40" s="50">
        <v>619.79999999999995</v>
      </c>
      <c r="F40" s="3">
        <v>7437.5</v>
      </c>
      <c r="G40" s="2" t="s">
        <v>10</v>
      </c>
      <c r="H40" s="11">
        <v>40295</v>
      </c>
      <c r="I40" s="3">
        <f t="shared" si="0"/>
        <v>123.96</v>
      </c>
    </row>
    <row r="41" spans="1:9">
      <c r="A41" s="2">
        <v>29810</v>
      </c>
      <c r="B41" s="11">
        <v>40296</v>
      </c>
      <c r="C41" s="2" t="s">
        <v>11</v>
      </c>
      <c r="D41" s="2" t="s">
        <v>13</v>
      </c>
      <c r="E41" s="50">
        <f>40+95.4+27.22+54.44+544.4+934.8+29</f>
        <v>1725.26</v>
      </c>
      <c r="F41" s="3">
        <v>43250.36</v>
      </c>
      <c r="G41" s="2" t="s">
        <v>65</v>
      </c>
      <c r="H41" s="11">
        <v>40297</v>
      </c>
      <c r="I41" s="3">
        <f t="shared" si="0"/>
        <v>345.05200000000002</v>
      </c>
    </row>
    <row r="42" spans="1:9">
      <c r="A42" s="2">
        <v>29813</v>
      </c>
      <c r="B42" s="11">
        <v>40297</v>
      </c>
      <c r="C42" s="2" t="s">
        <v>11</v>
      </c>
      <c r="D42" s="2" t="s">
        <v>12</v>
      </c>
      <c r="E42" s="50">
        <f>115.5+100</f>
        <v>215.5</v>
      </c>
      <c r="F42" s="3">
        <v>8389</v>
      </c>
      <c r="G42" s="2" t="s">
        <v>65</v>
      </c>
      <c r="H42" s="11">
        <v>40297</v>
      </c>
      <c r="I42" s="3">
        <f t="shared" si="0"/>
        <v>43.1</v>
      </c>
    </row>
    <row r="43" spans="1:9">
      <c r="A43" s="2">
        <v>29816</v>
      </c>
      <c r="B43" s="11">
        <v>40297</v>
      </c>
      <c r="C43" s="2" t="s">
        <v>11</v>
      </c>
      <c r="D43" s="2" t="s">
        <v>86</v>
      </c>
      <c r="E43" s="50">
        <f>206.5+1370.3</f>
        <v>1576.8</v>
      </c>
      <c r="F43" s="3">
        <v>41193.75</v>
      </c>
      <c r="G43" s="2" t="s">
        <v>65</v>
      </c>
      <c r="H43" s="11">
        <v>40297</v>
      </c>
      <c r="I43" s="3">
        <f t="shared" si="0"/>
        <v>315.36</v>
      </c>
    </row>
    <row r="44" spans="1:9">
      <c r="A44" s="2" t="s">
        <v>103</v>
      </c>
      <c r="B44" s="11">
        <v>40297</v>
      </c>
      <c r="C44" s="2" t="s">
        <v>83</v>
      </c>
      <c r="D44" s="2" t="s">
        <v>86</v>
      </c>
      <c r="E44" s="50">
        <v>2308.1</v>
      </c>
      <c r="F44" s="3">
        <v>63472.75</v>
      </c>
      <c r="G44" s="2" t="s">
        <v>65</v>
      </c>
      <c r="H44" s="11">
        <v>40299</v>
      </c>
      <c r="I44" s="3">
        <f t="shared" si="0"/>
        <v>461.62</v>
      </c>
    </row>
    <row r="45" spans="1:9">
      <c r="A45" s="2" t="s">
        <v>48</v>
      </c>
      <c r="B45" s="11">
        <v>40297</v>
      </c>
      <c r="C45" s="2" t="s">
        <v>100</v>
      </c>
      <c r="D45" s="2" t="s">
        <v>59</v>
      </c>
      <c r="E45" s="50">
        <v>79.400000000000006</v>
      </c>
      <c r="F45" s="3">
        <v>2541</v>
      </c>
      <c r="G45" s="2" t="s">
        <v>10</v>
      </c>
      <c r="H45" s="11">
        <v>40299</v>
      </c>
      <c r="I45" s="3">
        <f t="shared" si="0"/>
        <v>15.880000000000003</v>
      </c>
    </row>
    <row r="46" spans="1:9">
      <c r="A46" s="2">
        <v>29828</v>
      </c>
      <c r="B46" s="11">
        <v>40298</v>
      </c>
      <c r="C46" s="2" t="s">
        <v>20</v>
      </c>
      <c r="D46" s="2" t="s">
        <v>51</v>
      </c>
      <c r="E46" s="50">
        <v>1360.8</v>
      </c>
      <c r="F46" s="3">
        <v>22453.200000000001</v>
      </c>
      <c r="G46" s="2" t="s">
        <v>10</v>
      </c>
      <c r="H46" s="11">
        <v>40302</v>
      </c>
      <c r="I46" s="3">
        <f t="shared" si="0"/>
        <v>272.16000000000003</v>
      </c>
    </row>
    <row r="47" spans="1:9">
      <c r="A47" s="2">
        <v>29829</v>
      </c>
      <c r="B47" s="11">
        <v>40298</v>
      </c>
      <c r="C47" s="2" t="s">
        <v>62</v>
      </c>
      <c r="D47" s="2" t="s">
        <v>14</v>
      </c>
      <c r="E47" s="50">
        <v>925.17</v>
      </c>
      <c r="F47" s="3">
        <v>25257.14</v>
      </c>
      <c r="G47" s="2" t="s">
        <v>65</v>
      </c>
      <c r="H47" s="11">
        <v>40299</v>
      </c>
      <c r="I47" s="3">
        <f t="shared" si="0"/>
        <v>185.03399999999999</v>
      </c>
    </row>
    <row r="48" spans="1:9">
      <c r="A48" s="2" t="s">
        <v>61</v>
      </c>
      <c r="B48" s="11">
        <v>40299</v>
      </c>
      <c r="C48" s="2" t="s">
        <v>17</v>
      </c>
      <c r="D48" s="2" t="s">
        <v>59</v>
      </c>
      <c r="E48" s="50">
        <v>700.6</v>
      </c>
      <c r="F48" s="3">
        <v>8407</v>
      </c>
      <c r="G48" s="2" t="s">
        <v>10</v>
      </c>
      <c r="H48" s="11">
        <v>40302</v>
      </c>
      <c r="I48" s="3">
        <f t="shared" si="0"/>
        <v>140.12</v>
      </c>
    </row>
    <row r="49" spans="1:9">
      <c r="E49" s="50">
        <v>0</v>
      </c>
      <c r="I49" s="9">
        <f t="shared" si="0"/>
        <v>0</v>
      </c>
    </row>
    <row r="50" spans="1:9" ht="15.75">
      <c r="E50" s="48">
        <f>SUM(E7:E49)</f>
        <v>33482.74</v>
      </c>
      <c r="F50" s="5">
        <f>SUM(F7:F49)</f>
        <v>756050.74</v>
      </c>
      <c r="G50" s="1"/>
      <c r="H50" s="15" t="s">
        <v>63</v>
      </c>
      <c r="I50" s="13">
        <f>SUM(I7:I49)</f>
        <v>6696.5479999999989</v>
      </c>
    </row>
    <row r="55" spans="1:9">
      <c r="A55" s="18"/>
    </row>
  </sheetData>
  <mergeCells count="1">
    <mergeCell ref="E5:F5"/>
  </mergeCells>
  <phoneticPr fontId="2" type="noConversion"/>
  <pageMargins left="0.42" right="0.35" top="0.56999999999999995" bottom="1" header="0" footer="0"/>
  <pageSetup scale="5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92"/>
  <sheetViews>
    <sheetView topLeftCell="A67" workbookViewId="0">
      <selection activeCell="E89" sqref="E89"/>
    </sheetView>
  </sheetViews>
  <sheetFormatPr baseColWidth="10" defaultRowHeight="12.75"/>
  <cols>
    <col min="1" max="1" width="9.28515625" customWidth="1"/>
    <col min="4" max="4" width="21.28515625" customWidth="1"/>
    <col min="5" max="5" width="11.42578125" style="82"/>
    <col min="6" max="6" width="13.42578125" bestFit="1" customWidth="1"/>
    <col min="7" max="7" width="9.140625" customWidth="1"/>
    <col min="9" max="9" width="18" bestFit="1" customWidth="1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1" t="s">
        <v>1076</v>
      </c>
      <c r="E2" s="51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>
      <c r="A5" s="30" t="s">
        <v>5</v>
      </c>
      <c r="B5" s="30" t="s">
        <v>0</v>
      </c>
      <c r="C5" s="30" t="s">
        <v>7</v>
      </c>
      <c r="D5" s="30" t="s">
        <v>9</v>
      </c>
      <c r="E5" s="124" t="s">
        <v>1</v>
      </c>
      <c r="F5" s="124"/>
      <c r="G5" s="46" t="s">
        <v>24</v>
      </c>
      <c r="H5" s="31" t="s">
        <v>3</v>
      </c>
      <c r="I5" s="30" t="s">
        <v>80</v>
      </c>
    </row>
    <row r="6" spans="1:9">
      <c r="A6" s="30"/>
      <c r="B6" s="30"/>
      <c r="C6" s="30"/>
      <c r="D6" s="30"/>
      <c r="E6" s="72" t="s">
        <v>6</v>
      </c>
      <c r="F6" s="31" t="s">
        <v>2</v>
      </c>
      <c r="G6" s="31"/>
      <c r="H6" s="31" t="s">
        <v>4</v>
      </c>
      <c r="I6" s="31">
        <v>0.2</v>
      </c>
    </row>
    <row r="7" spans="1:9">
      <c r="A7" s="33" t="s">
        <v>794</v>
      </c>
      <c r="B7" s="38">
        <v>40469</v>
      </c>
      <c r="C7" s="29" t="s">
        <v>11</v>
      </c>
      <c r="D7" s="29" t="s">
        <v>360</v>
      </c>
      <c r="E7" s="70">
        <v>824.5</v>
      </c>
      <c r="F7" s="83">
        <v>13192</v>
      </c>
      <c r="G7" s="29" t="s">
        <v>10</v>
      </c>
      <c r="H7" s="38"/>
      <c r="I7" s="25">
        <f t="shared" ref="I7:I85" si="0">$I$6*E7</f>
        <v>164.9</v>
      </c>
    </row>
    <row r="8" spans="1:9">
      <c r="A8" s="33" t="s">
        <v>573</v>
      </c>
      <c r="B8" s="38">
        <v>40507</v>
      </c>
      <c r="C8" s="29" t="s">
        <v>11</v>
      </c>
      <c r="D8" s="29" t="s">
        <v>32</v>
      </c>
      <c r="E8" s="70">
        <f>677.8+179.16+516.2+272.12+248.6+64.21</f>
        <v>1958.0899999999997</v>
      </c>
      <c r="F8" s="39">
        <v>52000</v>
      </c>
      <c r="G8" s="29" t="s">
        <v>10</v>
      </c>
      <c r="H8" s="38">
        <v>40520</v>
      </c>
      <c r="I8" s="25">
        <f t="shared" si="0"/>
        <v>391.61799999999994</v>
      </c>
    </row>
    <row r="9" spans="1:9">
      <c r="A9" s="77" t="s">
        <v>1133</v>
      </c>
      <c r="B9" s="38">
        <v>40511</v>
      </c>
      <c r="C9" s="29" t="s">
        <v>11</v>
      </c>
      <c r="D9" s="29" t="s">
        <v>1131</v>
      </c>
      <c r="E9" s="70">
        <v>0</v>
      </c>
      <c r="F9" s="39">
        <v>59586</v>
      </c>
      <c r="G9" s="29" t="s">
        <v>10</v>
      </c>
      <c r="H9" s="81" t="s">
        <v>1132</v>
      </c>
      <c r="I9" s="25">
        <f t="shared" si="0"/>
        <v>0</v>
      </c>
    </row>
    <row r="10" spans="1:9">
      <c r="A10" s="33" t="s">
        <v>743</v>
      </c>
      <c r="B10" s="81">
        <v>40546</v>
      </c>
      <c r="C10" s="29" t="s">
        <v>634</v>
      </c>
      <c r="D10" s="29" t="s">
        <v>35</v>
      </c>
      <c r="E10" s="70">
        <v>203.6</v>
      </c>
      <c r="F10" s="39">
        <v>8551</v>
      </c>
      <c r="G10" s="29" t="s">
        <v>10</v>
      </c>
      <c r="H10" s="38"/>
      <c r="I10" s="25">
        <f t="shared" si="0"/>
        <v>40.72</v>
      </c>
    </row>
    <row r="11" spans="1:9">
      <c r="A11" s="33" t="s">
        <v>770</v>
      </c>
      <c r="B11" s="38">
        <v>40515</v>
      </c>
      <c r="C11" s="29" t="s">
        <v>11</v>
      </c>
      <c r="D11" s="29" t="s">
        <v>35</v>
      </c>
      <c r="E11" s="70">
        <f>12.94+127+77.5+77.5</f>
        <v>294.94</v>
      </c>
      <c r="F11" s="39">
        <v>9616</v>
      </c>
      <c r="G11" s="29" t="s">
        <v>10</v>
      </c>
      <c r="H11" s="38"/>
      <c r="I11" s="25">
        <f t="shared" si="0"/>
        <v>58.988</v>
      </c>
    </row>
    <row r="12" spans="1:9">
      <c r="A12" s="33" t="s">
        <v>746</v>
      </c>
      <c r="B12" s="38">
        <v>40518</v>
      </c>
      <c r="C12" s="38" t="s">
        <v>11</v>
      </c>
      <c r="D12" s="29" t="s">
        <v>423</v>
      </c>
      <c r="E12" s="70">
        <f>723.4+35.32+95.5+16.3</f>
        <v>870.52</v>
      </c>
      <c r="F12" s="39">
        <v>18039.580000000002</v>
      </c>
      <c r="G12" s="29" t="s">
        <v>10</v>
      </c>
      <c r="H12" s="41">
        <v>40520</v>
      </c>
      <c r="I12" s="25">
        <f t="shared" si="0"/>
        <v>174.10400000000001</v>
      </c>
    </row>
    <row r="13" spans="1:9">
      <c r="A13" s="33" t="s">
        <v>745</v>
      </c>
      <c r="B13" s="38">
        <v>40521</v>
      </c>
      <c r="C13" s="29" t="s">
        <v>11</v>
      </c>
      <c r="D13" s="29" t="s">
        <v>14</v>
      </c>
      <c r="E13" s="70">
        <v>1902.84</v>
      </c>
      <c r="F13" s="39">
        <v>59939.79</v>
      </c>
      <c r="G13" s="29" t="s">
        <v>10</v>
      </c>
      <c r="H13" s="38"/>
      <c r="I13" s="25">
        <f t="shared" si="0"/>
        <v>380.56799999999998</v>
      </c>
    </row>
    <row r="14" spans="1:9">
      <c r="A14" s="33" t="s">
        <v>742</v>
      </c>
      <c r="B14" s="38">
        <v>40528</v>
      </c>
      <c r="C14" s="29" t="s">
        <v>11</v>
      </c>
      <c r="D14" s="29" t="s">
        <v>14</v>
      </c>
      <c r="E14" s="70">
        <f>911+272.2</f>
        <v>1183.2</v>
      </c>
      <c r="F14" s="39">
        <v>35595.9</v>
      </c>
      <c r="G14" s="29" t="s">
        <v>10</v>
      </c>
      <c r="H14" s="38">
        <v>40552</v>
      </c>
      <c r="I14" s="25">
        <f t="shared" si="0"/>
        <v>236.64000000000001</v>
      </c>
    </row>
    <row r="15" spans="1:9">
      <c r="A15" s="33" t="s">
        <v>629</v>
      </c>
      <c r="B15" s="81">
        <v>40561</v>
      </c>
      <c r="C15" s="29" t="s">
        <v>11</v>
      </c>
      <c r="D15" s="29" t="s">
        <v>274</v>
      </c>
      <c r="E15" s="70">
        <f>108.88+136.1+10.88+27.22+30+927.6+943</f>
        <v>2183.6800000000003</v>
      </c>
      <c r="F15" s="39">
        <v>57091</v>
      </c>
      <c r="G15" s="29" t="s">
        <v>10</v>
      </c>
      <c r="H15" s="38"/>
      <c r="I15" s="25">
        <f t="shared" si="0"/>
        <v>436.7360000000001</v>
      </c>
    </row>
    <row r="16" spans="1:9">
      <c r="A16" s="33" t="s">
        <v>731</v>
      </c>
      <c r="B16" s="38">
        <v>40530</v>
      </c>
      <c r="C16" s="38" t="s">
        <v>11</v>
      </c>
      <c r="D16" s="29" t="s">
        <v>35</v>
      </c>
      <c r="E16" s="70">
        <f>364.5+139.5+66</f>
        <v>570</v>
      </c>
      <c r="F16" s="39">
        <v>19096.5</v>
      </c>
      <c r="G16" s="39" t="s">
        <v>10</v>
      </c>
      <c r="H16" s="41"/>
      <c r="I16" s="25">
        <f t="shared" si="0"/>
        <v>114</v>
      </c>
    </row>
    <row r="17" spans="1:9">
      <c r="A17" s="33" t="s">
        <v>1134</v>
      </c>
      <c r="B17" s="38">
        <v>40531</v>
      </c>
      <c r="C17" s="29" t="s">
        <v>11</v>
      </c>
      <c r="D17" s="29" t="s">
        <v>14</v>
      </c>
      <c r="E17" s="70">
        <f>951.2+874</f>
        <v>1825.2</v>
      </c>
      <c r="F17" s="39">
        <v>59319</v>
      </c>
      <c r="G17" s="29" t="s">
        <v>10</v>
      </c>
      <c r="H17" s="38">
        <v>36900</v>
      </c>
      <c r="I17" s="25">
        <f t="shared" si="0"/>
        <v>365.04</v>
      </c>
    </row>
    <row r="18" spans="1:9">
      <c r="A18" s="33" t="s">
        <v>766</v>
      </c>
      <c r="B18" s="38">
        <v>40531</v>
      </c>
      <c r="C18" s="29" t="s">
        <v>11</v>
      </c>
      <c r="D18" s="29" t="s">
        <v>35</v>
      </c>
      <c r="E18" s="70">
        <v>96.5</v>
      </c>
      <c r="F18" s="39">
        <v>3040</v>
      </c>
      <c r="G18" s="29" t="s">
        <v>10</v>
      </c>
      <c r="H18" s="38"/>
      <c r="I18" s="25">
        <f t="shared" si="0"/>
        <v>19.3</v>
      </c>
    </row>
    <row r="19" spans="1:9">
      <c r="A19" s="33" t="s">
        <v>1135</v>
      </c>
      <c r="B19" s="38">
        <v>40533</v>
      </c>
      <c r="C19" s="29" t="s">
        <v>11</v>
      </c>
      <c r="D19" s="29" t="s">
        <v>35</v>
      </c>
      <c r="E19" s="70">
        <f>240.5+106</f>
        <v>346.5</v>
      </c>
      <c r="F19" s="39">
        <v>11498</v>
      </c>
      <c r="G19" s="29" t="s">
        <v>10</v>
      </c>
      <c r="H19" s="38"/>
      <c r="I19" s="25">
        <f t="shared" si="0"/>
        <v>69.3</v>
      </c>
    </row>
    <row r="20" spans="1:9">
      <c r="A20" s="33" t="s">
        <v>751</v>
      </c>
      <c r="B20" s="38">
        <v>40534</v>
      </c>
      <c r="C20" s="29" t="s">
        <v>347</v>
      </c>
      <c r="D20" s="33" t="s">
        <v>37</v>
      </c>
      <c r="E20" s="70">
        <v>993.36</v>
      </c>
      <c r="F20" s="39">
        <v>27814</v>
      </c>
      <c r="G20" s="29" t="s">
        <v>10</v>
      </c>
      <c r="H20" s="38"/>
      <c r="I20" s="25">
        <f t="shared" si="0"/>
        <v>198.67200000000003</v>
      </c>
    </row>
    <row r="21" spans="1:9">
      <c r="A21" s="33" t="s">
        <v>763</v>
      </c>
      <c r="B21" s="38">
        <v>40534</v>
      </c>
      <c r="C21" s="29" t="s">
        <v>11</v>
      </c>
      <c r="D21" s="29" t="s">
        <v>32</v>
      </c>
      <c r="E21" s="70">
        <f>805.4+928.5+1022+211.44+116.88</f>
        <v>3084.2200000000003</v>
      </c>
      <c r="F21" s="39">
        <v>108771.5</v>
      </c>
      <c r="G21" s="29" t="s">
        <v>10</v>
      </c>
      <c r="H21" s="38"/>
      <c r="I21" s="25">
        <f t="shared" si="0"/>
        <v>616.84400000000005</v>
      </c>
    </row>
    <row r="22" spans="1:9">
      <c r="A22" s="33" t="s">
        <v>800</v>
      </c>
      <c r="B22" s="38">
        <v>40534</v>
      </c>
      <c r="C22" s="29" t="s">
        <v>11</v>
      </c>
      <c r="D22" s="29" t="s">
        <v>14</v>
      </c>
      <c r="E22" s="70">
        <f>68.05+272.2+27.2+50.34+419.82</f>
        <v>837.6099999999999</v>
      </c>
      <c r="F22" s="39">
        <v>30021.06</v>
      </c>
      <c r="G22" s="29" t="s">
        <v>10</v>
      </c>
      <c r="H22" s="38"/>
      <c r="I22" s="25">
        <f t="shared" si="0"/>
        <v>167.52199999999999</v>
      </c>
    </row>
    <row r="23" spans="1:9">
      <c r="A23" s="33" t="s">
        <v>348</v>
      </c>
      <c r="B23" s="38">
        <v>40535</v>
      </c>
      <c r="C23" s="29" t="s">
        <v>11</v>
      </c>
      <c r="D23" s="29" t="s">
        <v>35</v>
      </c>
      <c r="E23" s="70">
        <f>55+110.76</f>
        <v>165.76</v>
      </c>
      <c r="F23" s="39">
        <v>6243</v>
      </c>
      <c r="G23" s="29" t="s">
        <v>10</v>
      </c>
      <c r="H23" s="38"/>
      <c r="I23" s="25">
        <f t="shared" si="0"/>
        <v>33.152000000000001</v>
      </c>
    </row>
    <row r="24" spans="1:9">
      <c r="A24" s="33" t="s">
        <v>764</v>
      </c>
      <c r="B24" s="38">
        <v>40536</v>
      </c>
      <c r="C24" s="29" t="s">
        <v>11</v>
      </c>
      <c r="D24" s="29" t="s">
        <v>35</v>
      </c>
      <c r="E24" s="70">
        <f>117+84.5+44.94</f>
        <v>246.44</v>
      </c>
      <c r="F24" s="39">
        <v>9771</v>
      </c>
      <c r="G24" s="29" t="s">
        <v>10</v>
      </c>
      <c r="H24" s="38"/>
      <c r="I24" s="25">
        <f t="shared" si="0"/>
        <v>49.288000000000004</v>
      </c>
    </row>
    <row r="25" spans="1:9">
      <c r="A25" s="42" t="s">
        <v>747</v>
      </c>
      <c r="B25" s="38">
        <v>40538</v>
      </c>
      <c r="C25" s="29" t="s">
        <v>11</v>
      </c>
      <c r="D25" s="29" t="s">
        <v>274</v>
      </c>
      <c r="E25" s="70">
        <f>40+108.88+217.76+309.78+811.79+925.3</f>
        <v>2413.5100000000002</v>
      </c>
      <c r="F25" s="39">
        <v>69957</v>
      </c>
      <c r="G25" s="29" t="s">
        <v>10</v>
      </c>
      <c r="H25" s="38"/>
      <c r="I25" s="25">
        <f t="shared" si="0"/>
        <v>482.70200000000006</v>
      </c>
    </row>
    <row r="26" spans="1:9">
      <c r="A26" s="33" t="s">
        <v>750</v>
      </c>
      <c r="B26" s="38">
        <v>40538</v>
      </c>
      <c r="C26" s="29" t="s">
        <v>11</v>
      </c>
      <c r="D26" s="29" t="s">
        <v>32</v>
      </c>
      <c r="E26" s="70">
        <f>54.44+736.51+793.2+546.26+285.14</f>
        <v>2415.5499999999997</v>
      </c>
      <c r="F26" s="39">
        <v>82059.5</v>
      </c>
      <c r="G26" s="29" t="s">
        <v>10</v>
      </c>
      <c r="H26" s="38"/>
      <c r="I26" s="25">
        <f t="shared" si="0"/>
        <v>483.10999999999996</v>
      </c>
    </row>
    <row r="27" spans="1:9">
      <c r="A27" s="33" t="s">
        <v>769</v>
      </c>
      <c r="B27" s="38">
        <v>40538</v>
      </c>
      <c r="C27" s="29" t="s">
        <v>11</v>
      </c>
      <c r="D27" s="29" t="s">
        <v>35</v>
      </c>
      <c r="E27" s="70">
        <f>149+25.4+23.42+47.92+27.2</f>
        <v>272.94</v>
      </c>
      <c r="F27" s="39">
        <v>10599</v>
      </c>
      <c r="G27" s="29" t="s">
        <v>10</v>
      </c>
      <c r="H27" s="38"/>
      <c r="I27" s="25">
        <f t="shared" si="0"/>
        <v>54.588000000000001</v>
      </c>
    </row>
    <row r="28" spans="1:9">
      <c r="A28" s="33" t="s">
        <v>758</v>
      </c>
      <c r="B28" s="38">
        <v>40538</v>
      </c>
      <c r="C28" s="29" t="s">
        <v>11</v>
      </c>
      <c r="D28" s="29" t="s">
        <v>14</v>
      </c>
      <c r="E28" s="70">
        <f>899+603.48+120.36+931.2+31.22</f>
        <v>2585.2599999999998</v>
      </c>
      <c r="F28" s="39">
        <v>86763.42</v>
      </c>
      <c r="G28" s="29" t="s">
        <v>10</v>
      </c>
      <c r="H28" s="38"/>
      <c r="I28" s="25">
        <f t="shared" si="0"/>
        <v>517.05200000000002</v>
      </c>
    </row>
    <row r="29" spans="1:9">
      <c r="A29" s="33" t="s">
        <v>477</v>
      </c>
      <c r="B29" s="38">
        <v>40539</v>
      </c>
      <c r="C29" s="29" t="s">
        <v>749</v>
      </c>
      <c r="D29" s="29" t="s">
        <v>35</v>
      </c>
      <c r="E29" s="70">
        <v>89.5</v>
      </c>
      <c r="F29" s="39">
        <v>3043</v>
      </c>
      <c r="G29" s="29" t="s">
        <v>10</v>
      </c>
      <c r="H29" s="38"/>
      <c r="I29" s="25">
        <f t="shared" si="0"/>
        <v>17.900000000000002</v>
      </c>
    </row>
    <row r="30" spans="1:9">
      <c r="A30" s="33" t="s">
        <v>744</v>
      </c>
      <c r="B30" s="38">
        <v>40541</v>
      </c>
      <c r="C30" s="29" t="s">
        <v>11</v>
      </c>
      <c r="D30" s="29" t="s">
        <v>274</v>
      </c>
      <c r="E30" s="70">
        <v>3500.29</v>
      </c>
      <c r="F30" s="39">
        <v>101847</v>
      </c>
      <c r="G30" s="29" t="s">
        <v>10</v>
      </c>
      <c r="H30" s="38"/>
      <c r="I30" s="25">
        <f t="shared" si="0"/>
        <v>700.05799999999999</v>
      </c>
    </row>
    <row r="31" spans="1:9">
      <c r="A31" s="33" t="s">
        <v>768</v>
      </c>
      <c r="B31" s="38">
        <v>40541</v>
      </c>
      <c r="C31" s="29" t="s">
        <v>11</v>
      </c>
      <c r="D31" s="29" t="s">
        <v>35</v>
      </c>
      <c r="E31" s="70">
        <f>43.3+114</f>
        <v>157.30000000000001</v>
      </c>
      <c r="F31" s="39">
        <v>5690</v>
      </c>
      <c r="G31" s="29" t="s">
        <v>10</v>
      </c>
      <c r="H31" s="38"/>
      <c r="I31" s="25">
        <f t="shared" si="0"/>
        <v>31.460000000000004</v>
      </c>
    </row>
    <row r="32" spans="1:9">
      <c r="A32" s="33" t="s">
        <v>891</v>
      </c>
      <c r="B32" s="38">
        <v>40541</v>
      </c>
      <c r="C32" s="29" t="s">
        <v>11</v>
      </c>
      <c r="D32" s="29" t="s">
        <v>32</v>
      </c>
      <c r="E32" s="70">
        <f>1107.94+919+150.58+924+112.7+13.3</f>
        <v>3227.52</v>
      </c>
      <c r="F32" s="39">
        <v>115803.5</v>
      </c>
      <c r="G32" s="29" t="s">
        <v>10</v>
      </c>
      <c r="H32" s="38"/>
      <c r="I32" s="25">
        <f t="shared" si="0"/>
        <v>645.50400000000002</v>
      </c>
    </row>
    <row r="33" spans="1:9">
      <c r="A33" s="33" t="s">
        <v>798</v>
      </c>
      <c r="B33" s="38">
        <v>40541</v>
      </c>
      <c r="C33" s="29" t="s">
        <v>347</v>
      </c>
      <c r="D33" s="29" t="s">
        <v>353</v>
      </c>
      <c r="E33" s="70">
        <v>922</v>
      </c>
      <c r="F33" s="39">
        <v>25634.38</v>
      </c>
      <c r="G33" s="29" t="s">
        <v>10</v>
      </c>
      <c r="H33" s="38"/>
      <c r="I33" s="25">
        <f t="shared" si="0"/>
        <v>184.4</v>
      </c>
    </row>
    <row r="34" spans="1:9">
      <c r="A34" s="33" t="s">
        <v>774</v>
      </c>
      <c r="B34" s="38">
        <v>40542</v>
      </c>
      <c r="C34" s="29" t="s">
        <v>11</v>
      </c>
      <c r="D34" s="29" t="s">
        <v>35</v>
      </c>
      <c r="E34" s="70">
        <f>314.5+54.44</f>
        <v>368.94</v>
      </c>
      <c r="F34" s="39">
        <v>11159</v>
      </c>
      <c r="G34" s="29" t="s">
        <v>10</v>
      </c>
      <c r="H34" s="38"/>
      <c r="I34" s="25">
        <f t="shared" si="0"/>
        <v>73.787999999999997</v>
      </c>
    </row>
    <row r="35" spans="1:9">
      <c r="A35" s="33" t="s">
        <v>645</v>
      </c>
      <c r="B35" s="38">
        <v>40543</v>
      </c>
      <c r="C35" s="29" t="s">
        <v>11</v>
      </c>
      <c r="D35" s="29" t="s">
        <v>35</v>
      </c>
      <c r="E35" s="70">
        <f>162+22.78</f>
        <v>184.78</v>
      </c>
      <c r="F35" s="39">
        <v>8145.5</v>
      </c>
      <c r="G35" s="29" t="s">
        <v>10</v>
      </c>
      <c r="H35" s="38"/>
      <c r="I35" s="25">
        <f t="shared" si="0"/>
        <v>36.956000000000003</v>
      </c>
    </row>
    <row r="36" spans="1:9">
      <c r="A36" s="33" t="s">
        <v>771</v>
      </c>
      <c r="B36" s="81">
        <v>40554</v>
      </c>
      <c r="C36" s="29" t="s">
        <v>11</v>
      </c>
      <c r="D36" s="29" t="s">
        <v>423</v>
      </c>
      <c r="E36" s="70">
        <f>10.94+175.3</f>
        <v>186.24</v>
      </c>
      <c r="F36" s="39">
        <v>3724</v>
      </c>
      <c r="G36" s="29" t="s">
        <v>10</v>
      </c>
      <c r="H36" s="38"/>
      <c r="I36" s="25">
        <f t="shared" si="0"/>
        <v>37.248000000000005</v>
      </c>
    </row>
    <row r="37" spans="1:9">
      <c r="A37" s="33" t="s">
        <v>406</v>
      </c>
      <c r="B37" s="38">
        <v>40546</v>
      </c>
      <c r="C37" s="29" t="s">
        <v>11</v>
      </c>
      <c r="D37" s="29" t="s">
        <v>423</v>
      </c>
      <c r="E37" s="70">
        <f>136.1+175.9</f>
        <v>312</v>
      </c>
      <c r="F37" s="39">
        <v>5860</v>
      </c>
      <c r="G37" s="29" t="s">
        <v>10</v>
      </c>
      <c r="H37" s="38"/>
      <c r="I37" s="25">
        <f t="shared" si="0"/>
        <v>62.400000000000006</v>
      </c>
    </row>
    <row r="38" spans="1:9">
      <c r="A38" s="33" t="s">
        <v>436</v>
      </c>
      <c r="B38" s="38">
        <v>40546</v>
      </c>
      <c r="C38" s="29" t="s">
        <v>347</v>
      </c>
      <c r="D38" s="29" t="s">
        <v>37</v>
      </c>
      <c r="E38" s="70">
        <v>914.4</v>
      </c>
      <c r="F38" s="39">
        <v>24689</v>
      </c>
      <c r="G38" s="29" t="s">
        <v>10</v>
      </c>
      <c r="H38" s="38"/>
      <c r="I38" s="25">
        <f t="shared" si="0"/>
        <v>182.88</v>
      </c>
    </row>
    <row r="39" spans="1:9">
      <c r="A39" s="33" t="s">
        <v>646</v>
      </c>
      <c r="B39" s="38">
        <v>40546</v>
      </c>
      <c r="C39" s="29" t="s">
        <v>11</v>
      </c>
      <c r="D39" s="29" t="s">
        <v>274</v>
      </c>
      <c r="E39" s="70">
        <f>217.76+81.66+10.88+20+38.96+59.26+99.96</f>
        <v>528.4799999999999</v>
      </c>
      <c r="F39" s="39">
        <v>14752</v>
      </c>
      <c r="G39" s="29" t="s">
        <v>10</v>
      </c>
      <c r="H39" s="38"/>
      <c r="I39" s="25">
        <f t="shared" si="0"/>
        <v>105.69599999999998</v>
      </c>
    </row>
    <row r="40" spans="1:9">
      <c r="A40" s="33" t="s">
        <v>743</v>
      </c>
      <c r="B40" s="38">
        <v>40546</v>
      </c>
      <c r="C40" s="29" t="s">
        <v>1136</v>
      </c>
      <c r="D40" s="29" t="s">
        <v>1137</v>
      </c>
      <c r="E40" s="70">
        <v>0</v>
      </c>
      <c r="F40" s="39">
        <v>8551</v>
      </c>
      <c r="G40" s="29" t="s">
        <v>10</v>
      </c>
      <c r="H40" s="81" t="s">
        <v>1132</v>
      </c>
      <c r="I40" s="25">
        <f t="shared" si="0"/>
        <v>0</v>
      </c>
    </row>
    <row r="41" spans="1:9">
      <c r="A41" s="33" t="s">
        <v>785</v>
      </c>
      <c r="B41" s="38">
        <v>40546</v>
      </c>
      <c r="C41" s="29" t="s">
        <v>11</v>
      </c>
      <c r="D41" s="29" t="s">
        <v>32</v>
      </c>
      <c r="E41" s="70">
        <f>567.7+118+914.4+54.44+213.22</f>
        <v>1867.76</v>
      </c>
      <c r="F41" s="39">
        <v>57825.5</v>
      </c>
      <c r="G41" s="29" t="s">
        <v>10</v>
      </c>
      <c r="H41" s="38"/>
      <c r="I41" s="25">
        <f t="shared" si="0"/>
        <v>373.55200000000002</v>
      </c>
    </row>
    <row r="42" spans="1:9">
      <c r="A42" s="33" t="s">
        <v>762</v>
      </c>
      <c r="B42" s="38">
        <v>40547</v>
      </c>
      <c r="C42" s="29" t="s">
        <v>17</v>
      </c>
      <c r="D42" s="29" t="s">
        <v>56</v>
      </c>
      <c r="E42" s="70">
        <v>2034</v>
      </c>
      <c r="F42" s="39">
        <v>24408</v>
      </c>
      <c r="G42" s="29" t="s">
        <v>10</v>
      </c>
      <c r="H42" s="38">
        <v>40547</v>
      </c>
      <c r="I42" s="25">
        <f t="shared" si="0"/>
        <v>406.8</v>
      </c>
    </row>
    <row r="43" spans="1:9">
      <c r="A43" s="33" t="s">
        <v>464</v>
      </c>
      <c r="B43" s="38">
        <v>40548</v>
      </c>
      <c r="C43" s="29" t="s">
        <v>11</v>
      </c>
      <c r="D43" s="29" t="s">
        <v>35</v>
      </c>
      <c r="E43" s="70">
        <f>128+71.14</f>
        <v>199.14</v>
      </c>
      <c r="F43" s="39">
        <v>7724</v>
      </c>
      <c r="G43" s="29" t="s">
        <v>10</v>
      </c>
      <c r="H43" s="38"/>
      <c r="I43" s="25">
        <f t="shared" si="0"/>
        <v>39.828000000000003</v>
      </c>
    </row>
    <row r="44" spans="1:9">
      <c r="A44" s="33" t="s">
        <v>793</v>
      </c>
      <c r="B44" s="38">
        <v>40549</v>
      </c>
      <c r="C44" s="29" t="s">
        <v>11</v>
      </c>
      <c r="D44" s="29" t="s">
        <v>32</v>
      </c>
      <c r="E44" s="70">
        <f>436.7+215.26+925.3+66.24+66.4</f>
        <v>1709.9</v>
      </c>
      <c r="F44" s="39">
        <v>49997.5</v>
      </c>
      <c r="G44" s="29" t="s">
        <v>10</v>
      </c>
      <c r="H44" s="38"/>
      <c r="I44" s="25">
        <f t="shared" si="0"/>
        <v>341.98</v>
      </c>
    </row>
    <row r="45" spans="1:9">
      <c r="A45" s="33" t="s">
        <v>773</v>
      </c>
      <c r="B45" s="38">
        <v>40549</v>
      </c>
      <c r="C45" s="29" t="s">
        <v>347</v>
      </c>
      <c r="D45" s="29" t="s">
        <v>37</v>
      </c>
      <c r="E45" s="70">
        <v>937.6</v>
      </c>
      <c r="F45" s="39">
        <v>25315</v>
      </c>
      <c r="G45" s="29" t="s">
        <v>10</v>
      </c>
      <c r="H45" s="38"/>
      <c r="I45" s="25">
        <f t="shared" si="0"/>
        <v>187.52</v>
      </c>
    </row>
    <row r="46" spans="1:9">
      <c r="A46" s="33" t="s">
        <v>640</v>
      </c>
      <c r="B46" s="38">
        <v>40549</v>
      </c>
      <c r="C46" s="29" t="s">
        <v>11</v>
      </c>
      <c r="D46" s="29" t="s">
        <v>274</v>
      </c>
      <c r="E46" s="70">
        <f>2205.2+210.96+81.66+136+54.44+50+10.88</f>
        <v>2749.14</v>
      </c>
      <c r="F46" s="39">
        <v>87466</v>
      </c>
      <c r="G46" s="29" t="s">
        <v>10</v>
      </c>
      <c r="H46" s="38"/>
      <c r="I46" s="25">
        <f t="shared" si="0"/>
        <v>549.82799999999997</v>
      </c>
    </row>
    <row r="47" spans="1:9">
      <c r="A47" s="33" t="s">
        <v>788</v>
      </c>
      <c r="B47" s="38">
        <v>40550</v>
      </c>
      <c r="C47" s="29" t="s">
        <v>11</v>
      </c>
      <c r="D47" s="29" t="s">
        <v>35</v>
      </c>
      <c r="E47" s="70">
        <v>465</v>
      </c>
      <c r="F47" s="39">
        <v>14415</v>
      </c>
      <c r="G47" s="29" t="s">
        <v>10</v>
      </c>
      <c r="H47" s="38"/>
      <c r="I47" s="25">
        <f t="shared" si="0"/>
        <v>93</v>
      </c>
    </row>
    <row r="48" spans="1:9">
      <c r="A48" s="33" t="s">
        <v>789</v>
      </c>
      <c r="B48" s="38">
        <v>40551</v>
      </c>
      <c r="C48" s="29" t="s">
        <v>11</v>
      </c>
      <c r="D48" s="29" t="s">
        <v>35</v>
      </c>
      <c r="E48" s="70">
        <f>158+196</f>
        <v>354</v>
      </c>
      <c r="F48" s="39">
        <v>13490</v>
      </c>
      <c r="G48" s="29" t="s">
        <v>10</v>
      </c>
      <c r="H48" s="38"/>
      <c r="I48" s="25">
        <f t="shared" si="0"/>
        <v>70.8</v>
      </c>
    </row>
    <row r="49" spans="1:10">
      <c r="A49" s="33" t="s">
        <v>772</v>
      </c>
      <c r="B49" s="38">
        <v>40553</v>
      </c>
      <c r="C49" s="29" t="s">
        <v>11</v>
      </c>
      <c r="D49" s="29" t="s">
        <v>32</v>
      </c>
      <c r="E49" s="70">
        <f>823.58+391.02+431.6+81.66+27.22+112.02</f>
        <v>1867.1</v>
      </c>
      <c r="F49" s="39">
        <v>59481</v>
      </c>
      <c r="G49" s="29" t="s">
        <v>10</v>
      </c>
      <c r="H49" s="38"/>
      <c r="I49" s="25">
        <f t="shared" si="0"/>
        <v>373.42</v>
      </c>
    </row>
    <row r="50" spans="1:10">
      <c r="A50" s="33" t="s">
        <v>776</v>
      </c>
      <c r="B50" s="38">
        <v>40553</v>
      </c>
      <c r="C50" s="29" t="s">
        <v>11</v>
      </c>
      <c r="D50" s="29" t="s">
        <v>274</v>
      </c>
      <c r="E50" s="70">
        <f>2556.2+164.96+854.42+821.77+108.88+40.83</f>
        <v>4547.0600000000004</v>
      </c>
      <c r="F50" s="39">
        <v>134956</v>
      </c>
      <c r="G50" s="29" t="s">
        <v>10</v>
      </c>
      <c r="H50" s="38"/>
      <c r="I50" s="25">
        <f t="shared" si="0"/>
        <v>909.41200000000015</v>
      </c>
    </row>
    <row r="51" spans="1:10">
      <c r="A51" s="33" t="s">
        <v>786</v>
      </c>
      <c r="B51" s="38">
        <v>40553</v>
      </c>
      <c r="C51" s="29" t="s">
        <v>11</v>
      </c>
      <c r="D51" s="29" t="s">
        <v>64</v>
      </c>
      <c r="E51" s="70">
        <f>826.3+44.28</f>
        <v>870.57999999999993</v>
      </c>
      <c r="F51" s="39">
        <v>23845</v>
      </c>
      <c r="G51" s="29" t="s">
        <v>10</v>
      </c>
      <c r="H51" s="38"/>
      <c r="I51" s="25">
        <f t="shared" si="0"/>
        <v>174.11599999999999</v>
      </c>
    </row>
    <row r="52" spans="1:10">
      <c r="A52" s="33" t="s">
        <v>787</v>
      </c>
      <c r="B52" s="38">
        <v>40553</v>
      </c>
      <c r="C52" s="29" t="s">
        <v>11</v>
      </c>
      <c r="D52" s="29" t="s">
        <v>274</v>
      </c>
      <c r="E52" s="70">
        <f>40+217.76+5.44</f>
        <v>263.2</v>
      </c>
      <c r="F52" s="39">
        <v>6676</v>
      </c>
      <c r="G52" s="29" t="s">
        <v>10</v>
      </c>
      <c r="H52" s="38"/>
      <c r="I52" s="25">
        <f t="shared" si="0"/>
        <v>52.64</v>
      </c>
    </row>
    <row r="53" spans="1:10">
      <c r="A53" s="33" t="s">
        <v>748</v>
      </c>
      <c r="B53" s="38">
        <v>40554</v>
      </c>
      <c r="C53" s="29" t="s">
        <v>17</v>
      </c>
      <c r="D53" s="29" t="s">
        <v>171</v>
      </c>
      <c r="E53" s="70">
        <v>1041</v>
      </c>
      <c r="F53" s="39">
        <v>13012.5</v>
      </c>
      <c r="G53" s="29" t="s">
        <v>10</v>
      </c>
      <c r="H53" s="38"/>
      <c r="I53" s="25">
        <f t="shared" si="0"/>
        <v>208.20000000000002</v>
      </c>
      <c r="J53" s="32"/>
    </row>
    <row r="54" spans="1:10">
      <c r="A54" s="33" t="s">
        <v>782</v>
      </c>
      <c r="B54" s="38">
        <v>40555</v>
      </c>
      <c r="C54" s="29" t="s">
        <v>11</v>
      </c>
      <c r="D54" s="29" t="s">
        <v>13</v>
      </c>
      <c r="E54" s="70">
        <f>61.3+53.72+408.3+190.54</f>
        <v>713.86</v>
      </c>
      <c r="F54" s="39">
        <v>13742.15</v>
      </c>
      <c r="G54" s="29" t="s">
        <v>10</v>
      </c>
      <c r="H54" s="38"/>
      <c r="I54" s="25">
        <f t="shared" si="0"/>
        <v>142.77200000000002</v>
      </c>
    </row>
    <row r="55" spans="1:10">
      <c r="A55" s="33" t="s">
        <v>801</v>
      </c>
      <c r="B55" s="38">
        <v>40555</v>
      </c>
      <c r="C55" s="29" t="s">
        <v>11</v>
      </c>
      <c r="D55" s="29" t="s">
        <v>12</v>
      </c>
      <c r="E55" s="70">
        <v>136.1</v>
      </c>
      <c r="F55" s="39">
        <v>5852.5</v>
      </c>
      <c r="G55" s="29"/>
      <c r="H55" s="38"/>
      <c r="I55" s="25">
        <f t="shared" si="0"/>
        <v>27.22</v>
      </c>
    </row>
    <row r="56" spans="1:10">
      <c r="A56" s="33" t="s">
        <v>803</v>
      </c>
      <c r="B56" s="38">
        <v>40555</v>
      </c>
      <c r="C56" s="29" t="s">
        <v>268</v>
      </c>
      <c r="D56" s="29" t="s">
        <v>35</v>
      </c>
      <c r="E56" s="70">
        <v>239</v>
      </c>
      <c r="F56" s="39">
        <v>9082</v>
      </c>
      <c r="G56" s="29"/>
      <c r="H56" s="38"/>
      <c r="I56" s="25">
        <f t="shared" si="0"/>
        <v>47.800000000000004</v>
      </c>
    </row>
    <row r="57" spans="1:10">
      <c r="A57" s="33" t="s">
        <v>777</v>
      </c>
      <c r="B57" s="38">
        <v>40557</v>
      </c>
      <c r="C57" s="29" t="s">
        <v>11</v>
      </c>
      <c r="D57" s="29" t="s">
        <v>32</v>
      </c>
      <c r="E57" s="70">
        <f>819.5+255.7+289.65+331.6+219.38+54.1</f>
        <v>1969.9299999999998</v>
      </c>
      <c r="F57" s="39">
        <v>62506</v>
      </c>
      <c r="G57" s="29" t="s">
        <v>10</v>
      </c>
      <c r="H57" s="38"/>
      <c r="I57" s="25">
        <f t="shared" si="0"/>
        <v>393.98599999999999</v>
      </c>
    </row>
    <row r="58" spans="1:10">
      <c r="A58" s="33" t="s">
        <v>784</v>
      </c>
      <c r="B58" s="38">
        <v>40557</v>
      </c>
      <c r="C58" s="29" t="s">
        <v>17</v>
      </c>
      <c r="D58" s="29" t="s">
        <v>423</v>
      </c>
      <c r="E58" s="70">
        <v>230</v>
      </c>
      <c r="F58" s="39">
        <v>4255</v>
      </c>
      <c r="G58" s="29" t="s">
        <v>10</v>
      </c>
      <c r="H58" s="38"/>
      <c r="I58" s="25">
        <f t="shared" si="0"/>
        <v>46</v>
      </c>
    </row>
    <row r="59" spans="1:10">
      <c r="A59" s="33" t="s">
        <v>790</v>
      </c>
      <c r="B59" s="38">
        <v>40557</v>
      </c>
      <c r="C59" s="29" t="s">
        <v>11</v>
      </c>
      <c r="D59" s="29" t="s">
        <v>35</v>
      </c>
      <c r="E59" s="70">
        <v>118</v>
      </c>
      <c r="F59" s="39">
        <v>4366</v>
      </c>
      <c r="G59" s="29" t="s">
        <v>10</v>
      </c>
      <c r="H59" s="38"/>
      <c r="I59" s="25">
        <f t="shared" si="0"/>
        <v>23.6</v>
      </c>
    </row>
    <row r="60" spans="1:10">
      <c r="A60" s="33" t="s">
        <v>775</v>
      </c>
      <c r="B60" s="38">
        <v>40558</v>
      </c>
      <c r="C60" s="29" t="s">
        <v>11</v>
      </c>
      <c r="D60" s="29" t="s">
        <v>274</v>
      </c>
      <c r="E60" s="70">
        <f>845.35+822.22+272.2+27.22+20+54.44+46.46+1372.2</f>
        <v>3460.09</v>
      </c>
      <c r="F60" s="83">
        <v>96912.75</v>
      </c>
      <c r="G60" s="29" t="s">
        <v>10</v>
      </c>
      <c r="H60" s="38"/>
      <c r="I60" s="25">
        <f t="shared" si="0"/>
        <v>692.01800000000003</v>
      </c>
    </row>
    <row r="61" spans="1:10">
      <c r="A61" s="33" t="s">
        <v>752</v>
      </c>
      <c r="B61" s="38">
        <v>40560</v>
      </c>
      <c r="C61" s="29" t="s">
        <v>11</v>
      </c>
      <c r="D61" s="29" t="s">
        <v>32</v>
      </c>
      <c r="E61" s="70">
        <f>105.32+89.08+909+357.7+326.38+74.4+132.1</f>
        <v>1993.98</v>
      </c>
      <c r="F61" s="39">
        <v>61325</v>
      </c>
      <c r="G61" s="29" t="s">
        <v>10</v>
      </c>
      <c r="H61" s="38"/>
      <c r="I61" s="25">
        <f t="shared" si="0"/>
        <v>398.79600000000005</v>
      </c>
    </row>
    <row r="62" spans="1:10">
      <c r="A62" s="33" t="s">
        <v>791</v>
      </c>
      <c r="B62" s="38">
        <v>40560</v>
      </c>
      <c r="C62" s="29" t="s">
        <v>11</v>
      </c>
      <c r="D62" s="29" t="s">
        <v>171</v>
      </c>
      <c r="E62" s="70">
        <f>1067+288.5</f>
        <v>1355.5</v>
      </c>
      <c r="F62" s="39">
        <v>16410</v>
      </c>
      <c r="G62" s="29" t="s">
        <v>10</v>
      </c>
      <c r="H62" s="38"/>
      <c r="I62" s="25">
        <f t="shared" si="0"/>
        <v>271.10000000000002</v>
      </c>
    </row>
    <row r="63" spans="1:10">
      <c r="A63" s="33" t="s">
        <v>792</v>
      </c>
      <c r="B63" s="38">
        <v>40560</v>
      </c>
      <c r="C63" s="29" t="s">
        <v>11</v>
      </c>
      <c r="D63" s="29" t="s">
        <v>44</v>
      </c>
      <c r="E63" s="70">
        <f>62.92+946.6</f>
        <v>1009.52</v>
      </c>
      <c r="F63" s="39">
        <v>26059.599999999999</v>
      </c>
      <c r="G63" s="29" t="s">
        <v>10</v>
      </c>
      <c r="H63" s="38"/>
      <c r="I63" s="25">
        <f t="shared" si="0"/>
        <v>201.904</v>
      </c>
    </row>
    <row r="64" spans="1:10">
      <c r="A64" s="33" t="s">
        <v>783</v>
      </c>
      <c r="B64" s="38">
        <v>40561</v>
      </c>
      <c r="C64" s="29" t="s">
        <v>11</v>
      </c>
      <c r="D64" s="29" t="s">
        <v>423</v>
      </c>
      <c r="E64" s="70">
        <f>221.58+64.7+374.3</f>
        <v>660.58</v>
      </c>
      <c r="F64" s="39">
        <v>12549.97</v>
      </c>
      <c r="G64" s="29" t="s">
        <v>10</v>
      </c>
      <c r="H64" s="38"/>
      <c r="I64" s="25">
        <f t="shared" si="0"/>
        <v>132.11600000000001</v>
      </c>
    </row>
    <row r="65" spans="1:9">
      <c r="A65" s="33" t="s">
        <v>802</v>
      </c>
      <c r="B65" s="38">
        <v>40561</v>
      </c>
      <c r="C65" s="29" t="s">
        <v>11</v>
      </c>
      <c r="D65" s="29" t="s">
        <v>35</v>
      </c>
      <c r="E65" s="70">
        <v>229.5</v>
      </c>
      <c r="F65" s="39">
        <v>8721</v>
      </c>
      <c r="G65" s="29"/>
      <c r="H65" s="38"/>
      <c r="I65" s="25">
        <f t="shared" si="0"/>
        <v>45.900000000000006</v>
      </c>
    </row>
    <row r="66" spans="1:9">
      <c r="A66" s="33" t="s">
        <v>799</v>
      </c>
      <c r="B66" s="38">
        <v>40562</v>
      </c>
      <c r="C66" s="29" t="s">
        <v>760</v>
      </c>
      <c r="D66" s="33" t="s">
        <v>12</v>
      </c>
      <c r="E66" s="70">
        <v>176.93</v>
      </c>
      <c r="F66" s="39">
        <v>7607.99</v>
      </c>
      <c r="G66" s="29" t="s">
        <v>10</v>
      </c>
      <c r="H66" s="38"/>
      <c r="I66" s="25">
        <f t="shared" si="0"/>
        <v>35.386000000000003</v>
      </c>
    </row>
    <row r="67" spans="1:9">
      <c r="A67" s="33" t="s">
        <v>794</v>
      </c>
      <c r="B67" s="38">
        <v>40562</v>
      </c>
      <c r="C67" s="29" t="s">
        <v>11</v>
      </c>
      <c r="D67" s="29" t="s">
        <v>35</v>
      </c>
      <c r="E67" s="70">
        <f>254.5+21.32+52+21.3</f>
        <v>349.12</v>
      </c>
      <c r="F67" s="39">
        <v>14457.5</v>
      </c>
      <c r="G67" s="29"/>
      <c r="H67" s="38"/>
      <c r="I67" s="25">
        <f t="shared" si="0"/>
        <v>69.823999999999998</v>
      </c>
    </row>
    <row r="68" spans="1:9">
      <c r="A68" s="33" t="s">
        <v>761</v>
      </c>
      <c r="B68" s="38">
        <v>40563</v>
      </c>
      <c r="C68" s="29" t="s">
        <v>11</v>
      </c>
      <c r="D68" s="29" t="s">
        <v>32</v>
      </c>
      <c r="E68" s="70">
        <f>956.69+126.78+196.6+300.2+229.4+153.68</f>
        <v>1963.3500000000001</v>
      </c>
      <c r="F68" s="39">
        <v>58081.5</v>
      </c>
      <c r="G68" s="29" t="s">
        <v>10</v>
      </c>
      <c r="H68" s="38"/>
      <c r="I68" s="25">
        <f t="shared" si="0"/>
        <v>392.67000000000007</v>
      </c>
    </row>
    <row r="69" spans="1:9">
      <c r="A69" s="33" t="s">
        <v>1138</v>
      </c>
      <c r="B69" s="38">
        <v>40563</v>
      </c>
      <c r="C69" s="29" t="s">
        <v>11</v>
      </c>
      <c r="D69" s="29" t="s">
        <v>274</v>
      </c>
      <c r="E69" s="70">
        <f>40.3+171.2+27.76</f>
        <v>239.26</v>
      </c>
      <c r="F69" s="39">
        <v>5628</v>
      </c>
      <c r="G69" s="29" t="s">
        <v>10</v>
      </c>
      <c r="H69" s="38"/>
      <c r="I69" s="25">
        <f t="shared" si="0"/>
        <v>47.852000000000004</v>
      </c>
    </row>
    <row r="70" spans="1:9">
      <c r="A70" s="33" t="s">
        <v>765</v>
      </c>
      <c r="B70" s="81">
        <v>40547</v>
      </c>
      <c r="C70" s="29" t="s">
        <v>347</v>
      </c>
      <c r="D70" s="29" t="s">
        <v>64</v>
      </c>
      <c r="E70" s="70">
        <v>915.3</v>
      </c>
      <c r="F70" s="39">
        <v>24713</v>
      </c>
      <c r="G70" s="29" t="s">
        <v>10</v>
      </c>
      <c r="H70" s="38"/>
      <c r="I70" s="25">
        <f t="shared" si="0"/>
        <v>183.06</v>
      </c>
    </row>
    <row r="71" spans="1:9">
      <c r="A71" s="33" t="s">
        <v>759</v>
      </c>
      <c r="B71" s="38">
        <v>40567</v>
      </c>
      <c r="C71" s="29" t="s">
        <v>760</v>
      </c>
      <c r="D71" s="29" t="s">
        <v>64</v>
      </c>
      <c r="E71" s="70">
        <v>40.83</v>
      </c>
      <c r="F71" s="39">
        <v>1796.5</v>
      </c>
      <c r="G71" s="29" t="s">
        <v>10</v>
      </c>
      <c r="H71" s="38"/>
      <c r="I71" s="25">
        <f t="shared" si="0"/>
        <v>8.1660000000000004</v>
      </c>
    </row>
    <row r="72" spans="1:9">
      <c r="A72" s="33" t="s">
        <v>778</v>
      </c>
      <c r="B72" s="38">
        <v>40567</v>
      </c>
      <c r="C72" s="29" t="s">
        <v>11</v>
      </c>
      <c r="D72" s="29" t="s">
        <v>423</v>
      </c>
      <c r="E72" s="70">
        <f>10.88+308.9</f>
        <v>319.77999999999997</v>
      </c>
      <c r="F72" s="39">
        <v>6274</v>
      </c>
      <c r="G72" s="29" t="s">
        <v>10</v>
      </c>
      <c r="H72" s="38"/>
      <c r="I72" s="25">
        <f t="shared" si="0"/>
        <v>63.955999999999996</v>
      </c>
    </row>
    <row r="73" spans="1:9">
      <c r="A73" s="33" t="s">
        <v>779</v>
      </c>
      <c r="B73" s="38">
        <v>40567</v>
      </c>
      <c r="C73" s="29" t="s">
        <v>11</v>
      </c>
      <c r="D73" s="29" t="s">
        <v>44</v>
      </c>
      <c r="E73" s="70">
        <v>1147.44</v>
      </c>
      <c r="F73" s="39">
        <v>28077.13</v>
      </c>
      <c r="G73" s="29" t="s">
        <v>10</v>
      </c>
      <c r="H73" s="38"/>
      <c r="I73" s="25">
        <f t="shared" si="0"/>
        <v>229.48800000000003</v>
      </c>
    </row>
    <row r="74" spans="1:9">
      <c r="A74" s="33" t="s">
        <v>781</v>
      </c>
      <c r="B74" s="38">
        <v>40569</v>
      </c>
      <c r="C74" s="29" t="s">
        <v>11</v>
      </c>
      <c r="D74" s="29" t="s">
        <v>353</v>
      </c>
      <c r="E74" s="70">
        <v>305.60000000000002</v>
      </c>
      <c r="F74" s="39">
        <v>7895.28</v>
      </c>
      <c r="G74" s="29" t="s">
        <v>10</v>
      </c>
      <c r="H74" s="38"/>
      <c r="I74" s="25">
        <f t="shared" si="0"/>
        <v>61.120000000000005</v>
      </c>
    </row>
    <row r="75" spans="1:9">
      <c r="A75" s="33" t="s">
        <v>795</v>
      </c>
      <c r="B75" s="38">
        <v>40569</v>
      </c>
      <c r="C75" s="29" t="s">
        <v>11</v>
      </c>
      <c r="D75" s="29" t="s">
        <v>357</v>
      </c>
      <c r="E75" s="70">
        <v>1329.6</v>
      </c>
      <c r="F75" s="39">
        <v>41616.480000000003</v>
      </c>
      <c r="G75" s="29" t="s">
        <v>10</v>
      </c>
      <c r="H75" s="38"/>
      <c r="I75" s="25">
        <f t="shared" si="0"/>
        <v>265.92</v>
      </c>
    </row>
    <row r="76" spans="1:9">
      <c r="A76" s="33" t="s">
        <v>796</v>
      </c>
      <c r="B76" s="38">
        <v>40569</v>
      </c>
      <c r="C76" s="29" t="s">
        <v>11</v>
      </c>
      <c r="D76" s="29" t="s">
        <v>357</v>
      </c>
      <c r="E76" s="70">
        <v>2262.8000000000002</v>
      </c>
      <c r="F76" s="39">
        <v>69015.399999999994</v>
      </c>
      <c r="G76" s="29" t="s">
        <v>10</v>
      </c>
      <c r="H76" s="38"/>
      <c r="I76" s="25">
        <f t="shared" si="0"/>
        <v>452.56000000000006</v>
      </c>
    </row>
    <row r="77" spans="1:9">
      <c r="A77" s="33" t="s">
        <v>797</v>
      </c>
      <c r="B77" s="38">
        <v>40569</v>
      </c>
      <c r="C77" s="29" t="s">
        <v>17</v>
      </c>
      <c r="D77" s="29" t="s">
        <v>171</v>
      </c>
      <c r="E77" s="70">
        <v>914</v>
      </c>
      <c r="F77" s="39">
        <v>10968</v>
      </c>
      <c r="G77" s="29" t="s">
        <v>10</v>
      </c>
      <c r="H77" s="38"/>
      <c r="I77" s="25">
        <f t="shared" si="0"/>
        <v>182.8</v>
      </c>
    </row>
    <row r="78" spans="1:9">
      <c r="A78" s="33" t="s">
        <v>606</v>
      </c>
      <c r="B78" s="38">
        <v>40570</v>
      </c>
      <c r="C78" s="29" t="s">
        <v>11</v>
      </c>
      <c r="D78" s="29" t="s">
        <v>32</v>
      </c>
      <c r="E78" s="70">
        <f>927.1+226.33+390.34+215.8+102.1</f>
        <v>1861.6699999999998</v>
      </c>
      <c r="F78" s="39">
        <v>55634.81</v>
      </c>
      <c r="G78" s="29" t="s">
        <v>10</v>
      </c>
      <c r="H78" s="38"/>
      <c r="I78" s="25">
        <f t="shared" si="0"/>
        <v>372.334</v>
      </c>
    </row>
    <row r="79" spans="1:9">
      <c r="A79" s="33" t="s">
        <v>754</v>
      </c>
      <c r="B79" s="38">
        <v>40574</v>
      </c>
      <c r="C79" s="29" t="s">
        <v>17</v>
      </c>
      <c r="D79" s="29" t="s">
        <v>274</v>
      </c>
      <c r="E79" s="70">
        <v>108.88</v>
      </c>
      <c r="F79" s="39">
        <v>1960</v>
      </c>
      <c r="G79" s="29" t="s">
        <v>10</v>
      </c>
      <c r="H79" s="38"/>
      <c r="I79" s="25">
        <f t="shared" si="0"/>
        <v>21.776</v>
      </c>
    </row>
    <row r="80" spans="1:9">
      <c r="A80" s="33" t="s">
        <v>755</v>
      </c>
      <c r="B80" s="38">
        <v>40574</v>
      </c>
      <c r="C80" s="29" t="s">
        <v>17</v>
      </c>
      <c r="D80" s="29" t="s">
        <v>56</v>
      </c>
      <c r="E80" s="70">
        <v>142.80000000000001</v>
      </c>
      <c r="F80" s="39">
        <v>1785</v>
      </c>
      <c r="G80" s="29" t="s">
        <v>10</v>
      </c>
      <c r="H80" s="38"/>
      <c r="I80" s="25">
        <f t="shared" si="0"/>
        <v>28.560000000000002</v>
      </c>
    </row>
    <row r="81" spans="1:9">
      <c r="A81" s="33" t="s">
        <v>756</v>
      </c>
      <c r="B81" s="38">
        <v>40574</v>
      </c>
      <c r="C81" s="29" t="s">
        <v>347</v>
      </c>
      <c r="D81" s="29" t="s">
        <v>274</v>
      </c>
      <c r="E81" s="70">
        <f>818+751</f>
        <v>1569</v>
      </c>
      <c r="F81" s="39">
        <v>41108</v>
      </c>
      <c r="G81" s="29" t="s">
        <v>10</v>
      </c>
      <c r="H81" s="38"/>
      <c r="I81" s="25">
        <f t="shared" si="0"/>
        <v>313.8</v>
      </c>
    </row>
    <row r="82" spans="1:9">
      <c r="A82" s="33" t="s">
        <v>757</v>
      </c>
      <c r="B82" s="38">
        <v>40577</v>
      </c>
      <c r="C82" s="29" t="s">
        <v>17</v>
      </c>
      <c r="D82" s="29" t="s">
        <v>171</v>
      </c>
      <c r="E82" s="70">
        <v>562</v>
      </c>
      <c r="F82" s="39">
        <v>7306</v>
      </c>
      <c r="G82" s="29" t="s">
        <v>10</v>
      </c>
      <c r="H82" s="38"/>
      <c r="I82" s="25">
        <f t="shared" si="0"/>
        <v>112.4</v>
      </c>
    </row>
    <row r="83" spans="1:9">
      <c r="A83" s="33" t="s">
        <v>408</v>
      </c>
      <c r="B83" s="81">
        <v>40546</v>
      </c>
      <c r="C83" s="29" t="s">
        <v>11</v>
      </c>
      <c r="D83" s="29" t="s">
        <v>44</v>
      </c>
      <c r="E83" s="70">
        <f>929+52.14+102.12</f>
        <v>1083.26</v>
      </c>
      <c r="F83" s="39">
        <v>27859.5</v>
      </c>
      <c r="G83" s="29" t="s">
        <v>10</v>
      </c>
      <c r="H83" s="38"/>
      <c r="I83" s="25">
        <f t="shared" si="0"/>
        <v>216.65200000000002</v>
      </c>
    </row>
    <row r="84" spans="1:9">
      <c r="A84" s="33" t="s">
        <v>753</v>
      </c>
      <c r="B84" s="38">
        <v>40581</v>
      </c>
      <c r="C84" s="29" t="s">
        <v>11</v>
      </c>
      <c r="D84" s="29" t="s">
        <v>64</v>
      </c>
      <c r="E84" s="70">
        <v>45.36</v>
      </c>
      <c r="F84" s="39">
        <v>1973.16</v>
      </c>
      <c r="G84" s="29" t="s">
        <v>10</v>
      </c>
      <c r="H84" s="38"/>
      <c r="I84" s="25">
        <f t="shared" si="0"/>
        <v>9.072000000000001</v>
      </c>
    </row>
    <row r="85" spans="1:9">
      <c r="A85" s="42" t="s">
        <v>780</v>
      </c>
      <c r="B85" s="38">
        <v>40850</v>
      </c>
      <c r="C85" s="29" t="s">
        <v>20</v>
      </c>
      <c r="D85" s="29" t="s">
        <v>353</v>
      </c>
      <c r="E85" s="70">
        <v>272.2</v>
      </c>
      <c r="F85" s="39">
        <v>6070.06</v>
      </c>
      <c r="G85" s="29" t="s">
        <v>10</v>
      </c>
      <c r="H85" s="38"/>
      <c r="I85" s="25">
        <f t="shared" si="0"/>
        <v>54.44</v>
      </c>
    </row>
    <row r="86" spans="1:9">
      <c r="A86" s="32"/>
      <c r="B86" s="14"/>
      <c r="C86" s="14"/>
      <c r="D86" s="14"/>
      <c r="E86" s="71"/>
      <c r="F86" s="25"/>
      <c r="G86" s="14"/>
      <c r="H86" s="14"/>
      <c r="I86" s="25">
        <f t="shared" ref="I86" si="1">$I$6*E86</f>
        <v>0</v>
      </c>
    </row>
    <row r="87" spans="1:9">
      <c r="A87" s="32"/>
      <c r="B87" s="14"/>
      <c r="C87" s="14"/>
      <c r="D87" s="14"/>
      <c r="E87" s="68">
        <f>SUM(E7:E86)</f>
        <v>82296.390000000014</v>
      </c>
      <c r="F87" s="19">
        <f>SUM(F7:F86)</f>
        <v>2427683.4099999997</v>
      </c>
      <c r="G87" s="17"/>
      <c r="H87" s="27" t="s">
        <v>63</v>
      </c>
      <c r="I87" s="19">
        <f>SUM(I7:I86)</f>
        <v>16459.277999999995</v>
      </c>
    </row>
    <row r="88" spans="1:9" ht="15">
      <c r="A88" s="32"/>
      <c r="B88" s="2"/>
      <c r="C88" s="2"/>
      <c r="D88" s="2"/>
      <c r="E88" s="53"/>
      <c r="F88" s="3"/>
      <c r="G88" s="2"/>
      <c r="H88" s="2"/>
      <c r="I88" s="2"/>
    </row>
    <row r="89" spans="1:9" ht="15">
      <c r="A89" s="2"/>
      <c r="B89" s="2"/>
      <c r="C89" s="2"/>
      <c r="D89" s="2"/>
      <c r="E89" s="53"/>
      <c r="F89" s="3"/>
      <c r="G89" s="2"/>
      <c r="H89" s="2"/>
      <c r="I89" s="2"/>
    </row>
    <row r="90" spans="1:9" ht="15">
      <c r="A90" s="2"/>
      <c r="B90" s="2"/>
      <c r="C90" s="2"/>
      <c r="D90" s="2"/>
      <c r="E90" s="53"/>
      <c r="F90" s="3"/>
      <c r="G90" s="2"/>
      <c r="H90" s="2"/>
      <c r="I90" s="2"/>
    </row>
    <row r="91" spans="1:9" ht="15">
      <c r="A91" s="2"/>
      <c r="B91" s="2"/>
      <c r="C91" s="2"/>
      <c r="D91" s="2"/>
      <c r="E91" s="53"/>
      <c r="F91" s="3"/>
      <c r="G91" s="2"/>
      <c r="H91" s="2"/>
      <c r="I91" s="2"/>
    </row>
    <row r="92" spans="1:9" ht="15">
      <c r="A92" s="18"/>
      <c r="B92" s="2"/>
      <c r="C92" s="2"/>
      <c r="D92" s="2"/>
      <c r="E92" s="53"/>
      <c r="F92" s="3"/>
      <c r="G92" s="2"/>
      <c r="H92" s="2"/>
      <c r="I92" s="2"/>
    </row>
  </sheetData>
  <sortState ref="A7:H87">
    <sortCondition ref="B7:B87"/>
  </sortState>
  <mergeCells count="1">
    <mergeCell ref="E5:F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4"/>
  <sheetViews>
    <sheetView topLeftCell="A76" workbookViewId="0">
      <selection activeCell="D96" sqref="D96"/>
    </sheetView>
  </sheetViews>
  <sheetFormatPr baseColWidth="10" defaultRowHeight="12.75"/>
  <cols>
    <col min="3" max="3" width="14.7109375" customWidth="1"/>
    <col min="4" max="4" width="27.42578125" customWidth="1"/>
    <col min="5" max="5" width="11.42578125" style="82"/>
    <col min="6" max="6" width="13.42578125" bestFit="1" customWidth="1"/>
    <col min="7" max="7" width="11.85546875" customWidth="1"/>
    <col min="10" max="10" width="11.42578125" style="84"/>
  </cols>
  <sheetData>
    <row r="1" spans="1:10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10" ht="15.75">
      <c r="A2" s="1"/>
      <c r="B2" s="1"/>
      <c r="C2" s="1"/>
      <c r="D2" s="1" t="s">
        <v>1075</v>
      </c>
      <c r="E2" s="51"/>
      <c r="F2" s="5"/>
      <c r="G2" s="5"/>
      <c r="H2" s="5"/>
      <c r="I2" s="1"/>
    </row>
    <row r="3" spans="1:10" ht="15.75">
      <c r="A3" s="8"/>
      <c r="B3" s="6"/>
      <c r="C3" s="6"/>
      <c r="D3" s="6"/>
      <c r="E3" s="51"/>
      <c r="F3" s="5"/>
      <c r="G3" s="7"/>
      <c r="H3" s="7"/>
      <c r="I3" s="1"/>
    </row>
    <row r="4" spans="1:10" ht="15.75">
      <c r="A4" s="1"/>
      <c r="B4" s="1"/>
      <c r="C4" s="1"/>
      <c r="D4" s="1"/>
      <c r="E4" s="51"/>
      <c r="F4" s="5"/>
      <c r="G4" s="5"/>
      <c r="H4" s="5"/>
      <c r="I4" s="1"/>
    </row>
    <row r="5" spans="1:10">
      <c r="A5" s="30" t="s">
        <v>5</v>
      </c>
      <c r="B5" s="30" t="s">
        <v>0</v>
      </c>
      <c r="C5" s="30" t="s">
        <v>7</v>
      </c>
      <c r="D5" s="30" t="s">
        <v>9</v>
      </c>
      <c r="E5" s="124" t="s">
        <v>1</v>
      </c>
      <c r="F5" s="124"/>
      <c r="G5" s="46" t="s">
        <v>24</v>
      </c>
      <c r="H5" s="31" t="s">
        <v>3</v>
      </c>
      <c r="I5" s="30" t="s">
        <v>80</v>
      </c>
    </row>
    <row r="6" spans="1:10">
      <c r="A6" s="30"/>
      <c r="B6" s="30"/>
      <c r="C6" s="30"/>
      <c r="D6" s="30"/>
      <c r="E6" s="72" t="s">
        <v>6</v>
      </c>
      <c r="F6" s="31" t="s">
        <v>2</v>
      </c>
      <c r="G6" s="31"/>
      <c r="H6" s="31" t="s">
        <v>4</v>
      </c>
      <c r="I6" s="31">
        <v>0.2</v>
      </c>
    </row>
    <row r="7" spans="1:10">
      <c r="A7" s="29" t="s">
        <v>816</v>
      </c>
      <c r="B7" s="38">
        <v>36950</v>
      </c>
      <c r="C7" s="29" t="s">
        <v>17</v>
      </c>
      <c r="D7" s="29" t="s">
        <v>56</v>
      </c>
      <c r="E7" s="70">
        <v>2124.5</v>
      </c>
      <c r="F7" s="39">
        <v>25494</v>
      </c>
      <c r="G7" s="29" t="s">
        <v>10</v>
      </c>
      <c r="H7" s="38"/>
      <c r="I7" s="25">
        <f t="shared" ref="I7:I92" si="0">$I$6*E7</f>
        <v>424.90000000000003</v>
      </c>
    </row>
    <row r="8" spans="1:10">
      <c r="A8" s="29" t="s">
        <v>837</v>
      </c>
      <c r="B8" s="38">
        <v>36957</v>
      </c>
      <c r="C8" s="29" t="s">
        <v>349</v>
      </c>
      <c r="D8" s="29" t="s">
        <v>274</v>
      </c>
      <c r="E8" s="70">
        <v>2104.8000000000002</v>
      </c>
      <c r="F8" s="39">
        <v>62091.6</v>
      </c>
      <c r="G8" s="29" t="s">
        <v>10</v>
      </c>
      <c r="H8" s="38"/>
      <c r="I8" s="25">
        <f t="shared" si="0"/>
        <v>420.96000000000004</v>
      </c>
    </row>
    <row r="9" spans="1:10">
      <c r="A9" s="29" t="s">
        <v>821</v>
      </c>
      <c r="B9" s="38">
        <v>40237</v>
      </c>
      <c r="C9" s="29" t="s">
        <v>11</v>
      </c>
      <c r="D9" s="29" t="s">
        <v>32</v>
      </c>
      <c r="E9" s="70">
        <f>100+164.5</f>
        <v>264.5</v>
      </c>
      <c r="F9" s="39">
        <v>4303</v>
      </c>
      <c r="G9" s="29" t="s">
        <v>10</v>
      </c>
      <c r="H9" s="38"/>
      <c r="I9" s="25">
        <f t="shared" si="0"/>
        <v>52.900000000000006</v>
      </c>
    </row>
    <row r="10" spans="1:10">
      <c r="A10" s="29" t="s">
        <v>345</v>
      </c>
      <c r="B10" s="38">
        <v>40546</v>
      </c>
      <c r="C10" s="29" t="s">
        <v>11</v>
      </c>
      <c r="D10" s="29" t="s">
        <v>14</v>
      </c>
      <c r="E10" s="70">
        <f>885.9+926.2+35.02</f>
        <v>1847.12</v>
      </c>
      <c r="F10" s="39">
        <v>53366.5</v>
      </c>
      <c r="G10" s="29" t="s">
        <v>10</v>
      </c>
      <c r="H10" s="38"/>
      <c r="I10" s="25">
        <f t="shared" si="0"/>
        <v>369.42399999999998</v>
      </c>
    </row>
    <row r="11" spans="1:10">
      <c r="A11" s="29" t="s">
        <v>849</v>
      </c>
      <c r="B11" s="38">
        <v>40549</v>
      </c>
      <c r="C11" s="29" t="s">
        <v>11</v>
      </c>
      <c r="D11" s="29" t="s">
        <v>14</v>
      </c>
      <c r="E11" s="70">
        <v>475.32</v>
      </c>
      <c r="F11" s="39">
        <v>15007.34</v>
      </c>
      <c r="G11" s="29" t="s">
        <v>10</v>
      </c>
      <c r="H11" s="38"/>
      <c r="I11" s="25">
        <f t="shared" si="0"/>
        <v>95.064000000000007</v>
      </c>
      <c r="J11" s="84" t="s">
        <v>1139</v>
      </c>
    </row>
    <row r="12" spans="1:10">
      <c r="A12" s="29" t="s">
        <v>841</v>
      </c>
      <c r="B12" s="38">
        <v>40557</v>
      </c>
      <c r="C12" s="29" t="s">
        <v>11</v>
      </c>
      <c r="D12" s="29" t="s">
        <v>14</v>
      </c>
      <c r="E12" s="70">
        <f>284.62+272.2</f>
        <v>556.81999999999994</v>
      </c>
      <c r="F12" s="39">
        <v>19080.919999999998</v>
      </c>
      <c r="G12" s="29" t="s">
        <v>10</v>
      </c>
      <c r="H12" s="38"/>
      <c r="I12" s="25">
        <f t="shared" si="0"/>
        <v>111.36399999999999</v>
      </c>
      <c r="J12" s="84" t="s">
        <v>1140</v>
      </c>
    </row>
    <row r="13" spans="1:10">
      <c r="A13" s="29" t="s">
        <v>846</v>
      </c>
      <c r="B13" s="38">
        <v>40557</v>
      </c>
      <c r="C13" s="29" t="s">
        <v>11</v>
      </c>
      <c r="D13" s="29" t="s">
        <v>14</v>
      </c>
      <c r="E13" s="70">
        <f>258.9+107.5+329.68</f>
        <v>696.07999999999993</v>
      </c>
      <c r="F13" s="39">
        <v>12153.5</v>
      </c>
      <c r="G13" s="29" t="s">
        <v>10</v>
      </c>
      <c r="H13" s="38"/>
      <c r="I13" s="25">
        <f t="shared" si="0"/>
        <v>139.21599999999998</v>
      </c>
      <c r="J13" s="84" t="s">
        <v>1141</v>
      </c>
    </row>
    <row r="14" spans="1:10">
      <c r="A14" s="29" t="s">
        <v>632</v>
      </c>
      <c r="B14" s="38">
        <v>40563</v>
      </c>
      <c r="C14" s="29" t="s">
        <v>845</v>
      </c>
      <c r="D14" s="29" t="s">
        <v>14</v>
      </c>
      <c r="E14" s="70">
        <v>877.3</v>
      </c>
      <c r="F14" s="39">
        <v>12545</v>
      </c>
      <c r="G14" s="29" t="s">
        <v>10</v>
      </c>
      <c r="H14" s="38"/>
      <c r="I14" s="25">
        <f t="shared" si="0"/>
        <v>175.46</v>
      </c>
      <c r="J14" s="84" t="s">
        <v>1139</v>
      </c>
    </row>
    <row r="15" spans="1:10">
      <c r="A15" s="29" t="s">
        <v>872</v>
      </c>
      <c r="B15" s="38">
        <v>40563</v>
      </c>
      <c r="C15" s="29" t="s">
        <v>11</v>
      </c>
      <c r="D15" s="29" t="s">
        <v>274</v>
      </c>
      <c r="E15" s="70">
        <f>132.06+814.06+108.88+27.22+20</f>
        <v>1102.22</v>
      </c>
      <c r="F15" s="39">
        <v>31834</v>
      </c>
      <c r="G15" s="29" t="s">
        <v>10</v>
      </c>
      <c r="H15" s="38"/>
      <c r="I15" s="25">
        <f t="shared" si="0"/>
        <v>220.44400000000002</v>
      </c>
    </row>
    <row r="16" spans="1:10">
      <c r="A16" s="29" t="s">
        <v>869</v>
      </c>
      <c r="B16" s="38">
        <v>40564</v>
      </c>
      <c r="C16" s="29" t="s">
        <v>11</v>
      </c>
      <c r="D16" s="29" t="s">
        <v>353</v>
      </c>
      <c r="E16" s="70">
        <f>272.22+27.2</f>
        <v>299.42</v>
      </c>
      <c r="F16" s="39">
        <v>7388.4</v>
      </c>
      <c r="G16" s="29" t="s">
        <v>10</v>
      </c>
      <c r="H16" s="38"/>
      <c r="I16" s="25">
        <f t="shared" si="0"/>
        <v>59.884000000000007</v>
      </c>
    </row>
    <row r="17" spans="1:11">
      <c r="A17" s="29" t="s">
        <v>853</v>
      </c>
      <c r="B17" s="38">
        <v>40568</v>
      </c>
      <c r="C17" s="29" t="s">
        <v>11</v>
      </c>
      <c r="D17" s="29" t="s">
        <v>35</v>
      </c>
      <c r="E17" s="70">
        <f>268+39.02</f>
        <v>307.02</v>
      </c>
      <c r="F17" s="39">
        <v>9835</v>
      </c>
      <c r="G17" s="29" t="s">
        <v>10</v>
      </c>
      <c r="H17" s="38"/>
      <c r="I17" s="25">
        <f t="shared" si="0"/>
        <v>61.403999999999996</v>
      </c>
      <c r="K17" s="29"/>
    </row>
    <row r="18" spans="1:11">
      <c r="A18" s="29" t="s">
        <v>850</v>
      </c>
      <c r="B18" s="38">
        <v>40570</v>
      </c>
      <c r="C18" s="29" t="s">
        <v>11</v>
      </c>
      <c r="D18" s="29" t="s">
        <v>14</v>
      </c>
      <c r="E18" s="70">
        <f>27.2+836+155.48+77.22+272.2+111.7</f>
        <v>1479.8000000000002</v>
      </c>
      <c r="F18" s="39">
        <v>42829.93</v>
      </c>
      <c r="G18" s="29" t="s">
        <v>10</v>
      </c>
      <c r="H18" s="38"/>
      <c r="I18" s="25">
        <f t="shared" si="0"/>
        <v>295.96000000000004</v>
      </c>
      <c r="J18" s="84" t="s">
        <v>1142</v>
      </c>
      <c r="K18" s="29"/>
    </row>
    <row r="19" spans="1:11">
      <c r="A19" s="29" t="s">
        <v>833</v>
      </c>
      <c r="B19" s="38">
        <v>40574</v>
      </c>
      <c r="C19" s="29" t="s">
        <v>349</v>
      </c>
      <c r="D19" s="29" t="s">
        <v>357</v>
      </c>
      <c r="E19" s="70">
        <v>1819.2</v>
      </c>
      <c r="F19" s="39">
        <v>55485.599999999999</v>
      </c>
      <c r="G19" s="29" t="s">
        <v>10</v>
      </c>
      <c r="H19" s="38"/>
      <c r="I19" s="25">
        <f t="shared" si="0"/>
        <v>363.84000000000003</v>
      </c>
      <c r="K19" s="29"/>
    </row>
    <row r="20" spans="1:11">
      <c r="A20" s="29" t="s">
        <v>854</v>
      </c>
      <c r="B20" s="38">
        <v>40574</v>
      </c>
      <c r="C20" s="29" t="s">
        <v>11</v>
      </c>
      <c r="D20" s="29" t="s">
        <v>32</v>
      </c>
      <c r="E20" s="70">
        <f>106.8+909+159+102.18+151.56+256.04+714.3+412.32+27.22+13.61</f>
        <v>2852.03</v>
      </c>
      <c r="F20" s="39">
        <v>87837</v>
      </c>
      <c r="G20" s="29" t="s">
        <v>10</v>
      </c>
      <c r="H20" s="38"/>
      <c r="I20" s="25">
        <f t="shared" si="0"/>
        <v>570.40600000000006</v>
      </c>
      <c r="K20" s="29"/>
    </row>
    <row r="21" spans="1:11">
      <c r="A21" s="29" t="s">
        <v>864</v>
      </c>
      <c r="B21" s="38">
        <v>40574</v>
      </c>
      <c r="C21" s="29" t="s">
        <v>11</v>
      </c>
      <c r="D21" s="29" t="s">
        <v>14</v>
      </c>
      <c r="E21" s="70">
        <f>107.8+22.26</f>
        <v>130.06</v>
      </c>
      <c r="F21" s="39">
        <v>5122.5</v>
      </c>
      <c r="G21" s="29" t="s">
        <v>10</v>
      </c>
      <c r="H21" s="38"/>
      <c r="I21" s="25">
        <f t="shared" si="0"/>
        <v>26.012</v>
      </c>
      <c r="J21" s="84" t="s">
        <v>1143</v>
      </c>
      <c r="K21" s="29"/>
    </row>
    <row r="22" spans="1:11">
      <c r="A22" s="29" t="s">
        <v>873</v>
      </c>
      <c r="B22" s="38">
        <v>40574</v>
      </c>
      <c r="C22" s="29" t="s">
        <v>438</v>
      </c>
      <c r="D22" s="29" t="s">
        <v>357</v>
      </c>
      <c r="E22" s="70">
        <v>1519.1</v>
      </c>
      <c r="F22" s="39">
        <v>46332.55</v>
      </c>
      <c r="G22" s="29" t="s">
        <v>10</v>
      </c>
      <c r="H22" s="38"/>
      <c r="I22" s="25">
        <f t="shared" si="0"/>
        <v>303.82</v>
      </c>
      <c r="K22" s="29"/>
    </row>
    <row r="23" spans="1:11">
      <c r="A23" s="29" t="s">
        <v>834</v>
      </c>
      <c r="B23" s="38">
        <v>40576</v>
      </c>
      <c r="C23" s="29" t="s">
        <v>11</v>
      </c>
      <c r="D23" s="29" t="s">
        <v>13</v>
      </c>
      <c r="E23" s="70">
        <f>41.88+6.08+82.9+272.2+181.44+29.8+408.3</f>
        <v>1022.5999999999999</v>
      </c>
      <c r="F23" s="39">
        <v>26713.49</v>
      </c>
      <c r="G23" s="29" t="s">
        <v>10</v>
      </c>
      <c r="H23" s="38"/>
      <c r="I23" s="25">
        <f t="shared" si="0"/>
        <v>204.51999999999998</v>
      </c>
      <c r="K23" s="29"/>
    </row>
    <row r="24" spans="1:11">
      <c r="A24" s="29" t="s">
        <v>836</v>
      </c>
      <c r="B24" s="81">
        <v>40595</v>
      </c>
      <c r="C24" s="29" t="s">
        <v>17</v>
      </c>
      <c r="D24" s="29" t="s">
        <v>423</v>
      </c>
      <c r="E24" s="70">
        <v>443.21</v>
      </c>
      <c r="F24" s="39">
        <v>8421</v>
      </c>
      <c r="G24" s="29" t="s">
        <v>10</v>
      </c>
      <c r="H24" s="38"/>
      <c r="I24" s="25">
        <f t="shared" si="0"/>
        <v>88.641999999999996</v>
      </c>
      <c r="K24" s="29"/>
    </row>
    <row r="25" spans="1:11">
      <c r="A25" s="29" t="s">
        <v>840</v>
      </c>
      <c r="B25" s="38">
        <v>40576</v>
      </c>
      <c r="C25" s="29" t="s">
        <v>438</v>
      </c>
      <c r="D25" s="29" t="s">
        <v>12</v>
      </c>
      <c r="E25" s="70">
        <v>931.7</v>
      </c>
      <c r="F25" s="39">
        <v>24504</v>
      </c>
      <c r="G25" s="29" t="s">
        <v>10</v>
      </c>
      <c r="H25" s="38"/>
      <c r="I25" s="25">
        <f t="shared" si="0"/>
        <v>186.34000000000003</v>
      </c>
      <c r="J25" s="84" t="s">
        <v>1144</v>
      </c>
      <c r="K25" s="29"/>
    </row>
    <row r="26" spans="1:11">
      <c r="A26" s="29" t="s">
        <v>851</v>
      </c>
      <c r="B26" s="38">
        <v>40577</v>
      </c>
      <c r="C26" s="29" t="s">
        <v>11</v>
      </c>
      <c r="D26" s="29" t="s">
        <v>274</v>
      </c>
      <c r="E26" s="70">
        <f>103.62+122.28+54.56+212.8+81.66+163.32</f>
        <v>738.24</v>
      </c>
      <c r="F26" s="39">
        <v>19491.61</v>
      </c>
      <c r="G26" s="29" t="s">
        <v>10</v>
      </c>
      <c r="H26" s="38"/>
      <c r="I26" s="25">
        <f t="shared" si="0"/>
        <v>147.648</v>
      </c>
      <c r="K26" s="29"/>
    </row>
    <row r="27" spans="1:11">
      <c r="A27" s="29" t="s">
        <v>856</v>
      </c>
      <c r="B27" s="38">
        <v>40577</v>
      </c>
      <c r="C27" s="29" t="s">
        <v>11</v>
      </c>
      <c r="D27" s="29" t="s">
        <v>274</v>
      </c>
      <c r="E27" s="70">
        <f>27.22+45.36</f>
        <v>72.58</v>
      </c>
      <c r="F27" s="39">
        <v>3021.13</v>
      </c>
      <c r="G27" s="29" t="s">
        <v>10</v>
      </c>
      <c r="H27" s="38"/>
      <c r="I27" s="25">
        <f t="shared" si="0"/>
        <v>14.516</v>
      </c>
      <c r="K27" s="29"/>
    </row>
    <row r="28" spans="1:11">
      <c r="A28" s="29" t="s">
        <v>859</v>
      </c>
      <c r="B28" s="38">
        <v>40577</v>
      </c>
      <c r="C28" s="29" t="s">
        <v>11</v>
      </c>
      <c r="D28" s="29" t="s">
        <v>353</v>
      </c>
      <c r="E28" s="70">
        <f>109.14+88.28+136.1</f>
        <v>333.52</v>
      </c>
      <c r="F28" s="39">
        <v>5907.05</v>
      </c>
      <c r="G28" s="29" t="s">
        <v>10</v>
      </c>
      <c r="H28" s="38"/>
      <c r="I28" s="25">
        <f t="shared" si="0"/>
        <v>66.703999999999994</v>
      </c>
      <c r="J28" s="84" t="s">
        <v>1145</v>
      </c>
      <c r="K28" s="29"/>
    </row>
    <row r="29" spans="1:11">
      <c r="A29" s="29" t="s">
        <v>860</v>
      </c>
      <c r="B29" s="38">
        <v>40577</v>
      </c>
      <c r="C29" s="29" t="s">
        <v>11</v>
      </c>
      <c r="D29" s="29" t="s">
        <v>357</v>
      </c>
      <c r="E29" s="70">
        <v>1819.2</v>
      </c>
      <c r="F29" s="39">
        <v>55485.599999999999</v>
      </c>
      <c r="G29" s="29" t="s">
        <v>10</v>
      </c>
      <c r="H29" s="38"/>
      <c r="I29" s="25">
        <f t="shared" si="0"/>
        <v>363.84000000000003</v>
      </c>
      <c r="J29" s="86" t="s">
        <v>1146</v>
      </c>
      <c r="K29" s="78"/>
    </row>
    <row r="30" spans="1:11">
      <c r="A30" s="29" t="s">
        <v>861</v>
      </c>
      <c r="B30" s="38">
        <v>40577</v>
      </c>
      <c r="C30" s="29" t="s">
        <v>11</v>
      </c>
      <c r="D30" s="29" t="s">
        <v>13</v>
      </c>
      <c r="E30" s="70">
        <f>160.3+21.1+68.05+20.46+108.88+54.44</f>
        <v>433.22999999999996</v>
      </c>
      <c r="F30" s="39">
        <v>17814.439999999999</v>
      </c>
      <c r="G30" s="29" t="s">
        <v>10</v>
      </c>
      <c r="H30" s="38"/>
      <c r="I30" s="25">
        <f t="shared" si="0"/>
        <v>86.646000000000001</v>
      </c>
      <c r="K30" s="37"/>
    </row>
    <row r="31" spans="1:11">
      <c r="A31" s="29" t="s">
        <v>862</v>
      </c>
      <c r="B31" s="38">
        <v>40577</v>
      </c>
      <c r="C31" s="29" t="s">
        <v>349</v>
      </c>
      <c r="D31" s="29" t="s">
        <v>357</v>
      </c>
      <c r="E31" s="70">
        <v>1519.1</v>
      </c>
      <c r="F31" s="39">
        <v>46332.55</v>
      </c>
      <c r="G31" s="29" t="s">
        <v>10</v>
      </c>
      <c r="H31" s="38"/>
      <c r="I31" s="25">
        <f t="shared" si="0"/>
        <v>303.82</v>
      </c>
      <c r="J31" s="86" t="s">
        <v>1147</v>
      </c>
      <c r="K31" s="87"/>
    </row>
    <row r="32" spans="1:11">
      <c r="A32" s="29" t="s">
        <v>863</v>
      </c>
      <c r="B32" s="38">
        <v>40577</v>
      </c>
      <c r="C32" s="29" t="s">
        <v>11</v>
      </c>
      <c r="D32" s="29" t="s">
        <v>1162</v>
      </c>
      <c r="E32" s="88">
        <v>718</v>
      </c>
      <c r="F32" s="39">
        <v>20577.32</v>
      </c>
      <c r="G32" s="29" t="s">
        <v>10</v>
      </c>
      <c r="H32" s="38"/>
      <c r="I32" s="25">
        <f t="shared" si="0"/>
        <v>143.6</v>
      </c>
      <c r="J32" s="84" t="s">
        <v>1148</v>
      </c>
    </row>
    <row r="33" spans="1:10">
      <c r="A33" s="29" t="s">
        <v>867</v>
      </c>
      <c r="B33" s="38">
        <v>40577</v>
      </c>
      <c r="C33" s="29" t="s">
        <v>438</v>
      </c>
      <c r="D33" s="29" t="s">
        <v>274</v>
      </c>
      <c r="E33" s="70">
        <v>825.4</v>
      </c>
      <c r="F33" s="39">
        <v>22038</v>
      </c>
      <c r="G33" s="29" t="s">
        <v>10</v>
      </c>
      <c r="H33" s="38"/>
      <c r="I33" s="25">
        <f t="shared" si="0"/>
        <v>165.08</v>
      </c>
    </row>
    <row r="34" spans="1:10">
      <c r="A34" s="29" t="s">
        <v>868</v>
      </c>
      <c r="B34" s="38">
        <v>40577</v>
      </c>
      <c r="C34" s="29" t="s">
        <v>11</v>
      </c>
      <c r="D34" s="29" t="s">
        <v>32</v>
      </c>
      <c r="E34" s="70">
        <f>113.3+760.54+269.8+184.12+163.34+27.22+303.7+41.7</f>
        <v>1863.7199999999998</v>
      </c>
      <c r="F34" s="39">
        <v>54023.5</v>
      </c>
      <c r="G34" s="29" t="s">
        <v>10</v>
      </c>
      <c r="H34" s="38"/>
      <c r="I34" s="25">
        <f t="shared" si="0"/>
        <v>372.74399999999997</v>
      </c>
    </row>
    <row r="35" spans="1:10">
      <c r="A35" s="29" t="s">
        <v>852</v>
      </c>
      <c r="B35" s="38">
        <v>40578</v>
      </c>
      <c r="C35" s="29" t="s">
        <v>11</v>
      </c>
      <c r="D35" s="29" t="s">
        <v>35</v>
      </c>
      <c r="E35" s="70">
        <f>304.5+33.34</f>
        <v>337.84000000000003</v>
      </c>
      <c r="F35" s="39">
        <v>10364</v>
      </c>
      <c r="G35" s="29" t="s">
        <v>10</v>
      </c>
      <c r="H35" s="38"/>
      <c r="I35" s="25">
        <f t="shared" si="0"/>
        <v>67.568000000000012</v>
      </c>
    </row>
    <row r="36" spans="1:10">
      <c r="A36" s="29" t="s">
        <v>866</v>
      </c>
      <c r="B36" s="81">
        <v>40590</v>
      </c>
      <c r="C36" s="29" t="s">
        <v>11</v>
      </c>
      <c r="D36" s="29" t="s">
        <v>171</v>
      </c>
      <c r="E36" s="70">
        <f>926.3+7.22</f>
        <v>933.52</v>
      </c>
      <c r="F36" s="39">
        <v>12179</v>
      </c>
      <c r="G36" s="29" t="s">
        <v>10</v>
      </c>
      <c r="H36" s="38"/>
      <c r="I36" s="25">
        <f t="shared" si="0"/>
        <v>186.70400000000001</v>
      </c>
    </row>
    <row r="37" spans="1:10">
      <c r="A37" s="29" t="s">
        <v>804</v>
      </c>
      <c r="B37" s="38">
        <v>40581</v>
      </c>
      <c r="C37" s="29" t="s">
        <v>438</v>
      </c>
      <c r="D37" s="29" t="s">
        <v>274</v>
      </c>
      <c r="E37" s="70">
        <f>938+852.61</f>
        <v>1790.6100000000001</v>
      </c>
      <c r="F37" s="39">
        <v>47809.29</v>
      </c>
      <c r="G37" s="29" t="s">
        <v>10</v>
      </c>
      <c r="H37" s="38"/>
      <c r="I37" s="25">
        <f t="shared" si="0"/>
        <v>358.12200000000007</v>
      </c>
    </row>
    <row r="38" spans="1:10">
      <c r="A38" s="29" t="s">
        <v>806</v>
      </c>
      <c r="B38" s="38">
        <v>40581</v>
      </c>
      <c r="C38" s="29" t="s">
        <v>11</v>
      </c>
      <c r="D38" s="29" t="s">
        <v>32</v>
      </c>
      <c r="E38" s="70">
        <f>150.1+787.3+198.48+118.46+261.1+107+220.16</f>
        <v>1842.6000000000001</v>
      </c>
      <c r="F38" s="39">
        <v>56154</v>
      </c>
      <c r="G38" s="29" t="s">
        <v>10</v>
      </c>
      <c r="H38" s="38"/>
      <c r="I38" s="25">
        <f t="shared" si="0"/>
        <v>368.52000000000004</v>
      </c>
    </row>
    <row r="39" spans="1:10">
      <c r="A39" s="29" t="s">
        <v>807</v>
      </c>
      <c r="B39" s="38">
        <v>40581</v>
      </c>
      <c r="C39" s="29" t="s">
        <v>11</v>
      </c>
      <c r="D39" s="29" t="s">
        <v>44</v>
      </c>
      <c r="E39" s="70">
        <f>839.46+40.54+136.1</f>
        <v>1016.1</v>
      </c>
      <c r="F39" s="39">
        <v>25771</v>
      </c>
      <c r="G39" s="29" t="s">
        <v>10</v>
      </c>
      <c r="H39" s="38"/>
      <c r="I39" s="25">
        <f t="shared" si="0"/>
        <v>203.22000000000003</v>
      </c>
    </row>
    <row r="40" spans="1:10">
      <c r="A40" s="29" t="s">
        <v>855</v>
      </c>
      <c r="B40" s="38">
        <v>40581</v>
      </c>
      <c r="C40" s="29" t="s">
        <v>11</v>
      </c>
      <c r="D40" s="29" t="s">
        <v>274</v>
      </c>
      <c r="E40" s="70">
        <f>289.2+90.72+108.88+10.88+163.32+45.36</f>
        <v>708.36</v>
      </c>
      <c r="F40" s="39">
        <v>16058.02</v>
      </c>
      <c r="G40" s="29" t="s">
        <v>10</v>
      </c>
      <c r="H40" s="38"/>
      <c r="I40" s="25">
        <f t="shared" si="0"/>
        <v>141.672</v>
      </c>
    </row>
    <row r="41" spans="1:10">
      <c r="A41" s="29" t="s">
        <v>857</v>
      </c>
      <c r="B41" s="38">
        <v>40581</v>
      </c>
      <c r="C41" s="29" t="s">
        <v>349</v>
      </c>
      <c r="D41" s="29" t="s">
        <v>357</v>
      </c>
      <c r="E41" s="70">
        <v>2335.9</v>
      </c>
      <c r="F41" s="39">
        <v>71245</v>
      </c>
      <c r="G41" s="29" t="s">
        <v>10</v>
      </c>
      <c r="H41" s="38"/>
      <c r="I41" s="25">
        <f t="shared" si="0"/>
        <v>467.18000000000006</v>
      </c>
    </row>
    <row r="42" spans="1:10">
      <c r="A42" s="29" t="s">
        <v>858</v>
      </c>
      <c r="B42" s="38">
        <v>40581</v>
      </c>
      <c r="C42" s="29" t="s">
        <v>11</v>
      </c>
      <c r="D42" s="29" t="s">
        <v>423</v>
      </c>
      <c r="E42" s="70">
        <f>123.56+614.8+113.4+372.5</f>
        <v>1224.2599999999998</v>
      </c>
      <c r="F42" s="39">
        <v>35256.43</v>
      </c>
      <c r="G42" s="29" t="s">
        <v>10</v>
      </c>
      <c r="H42" s="38"/>
      <c r="I42" s="25">
        <f t="shared" si="0"/>
        <v>244.85199999999998</v>
      </c>
    </row>
    <row r="43" spans="1:10">
      <c r="A43" s="29" t="s">
        <v>865</v>
      </c>
      <c r="B43" s="38">
        <v>40581</v>
      </c>
      <c r="C43" s="29" t="s">
        <v>349</v>
      </c>
      <c r="D43" s="29" t="s">
        <v>14</v>
      </c>
      <c r="E43" s="70">
        <v>411</v>
      </c>
      <c r="F43" s="39">
        <v>12658.8</v>
      </c>
      <c r="G43" s="29" t="s">
        <v>10</v>
      </c>
      <c r="H43" s="38"/>
      <c r="I43" s="25">
        <f t="shared" si="0"/>
        <v>82.2</v>
      </c>
      <c r="J43" s="84" t="s">
        <v>1149</v>
      </c>
    </row>
    <row r="44" spans="1:10">
      <c r="A44" s="29" t="s">
        <v>871</v>
      </c>
      <c r="B44" s="38">
        <v>40581</v>
      </c>
      <c r="C44" s="29" t="s">
        <v>1164</v>
      </c>
      <c r="D44" s="29" t="s">
        <v>1163</v>
      </c>
      <c r="E44" s="70">
        <v>0</v>
      </c>
      <c r="F44" s="39">
        <v>26713.49</v>
      </c>
      <c r="G44" s="29" t="s">
        <v>10</v>
      </c>
      <c r="H44" s="81" t="s">
        <v>1128</v>
      </c>
      <c r="I44" s="25">
        <f t="shared" si="0"/>
        <v>0</v>
      </c>
      <c r="J44" s="84" t="s">
        <v>1150</v>
      </c>
    </row>
    <row r="45" spans="1:10">
      <c r="A45" s="29" t="s">
        <v>1165</v>
      </c>
      <c r="B45" s="38">
        <v>40583</v>
      </c>
      <c r="C45" s="29" t="s">
        <v>17</v>
      </c>
      <c r="D45" s="29" t="s">
        <v>171</v>
      </c>
      <c r="E45" s="70">
        <v>1020</v>
      </c>
      <c r="F45" s="39">
        <v>13260</v>
      </c>
      <c r="G45" s="29" t="s">
        <v>10</v>
      </c>
      <c r="H45" s="38"/>
      <c r="I45" s="25">
        <f t="shared" si="0"/>
        <v>204</v>
      </c>
    </row>
    <row r="46" spans="1:10">
      <c r="A46" s="29" t="s">
        <v>814</v>
      </c>
      <c r="B46" s="38">
        <v>40584</v>
      </c>
      <c r="C46" s="29" t="s">
        <v>11</v>
      </c>
      <c r="D46" s="29" t="s">
        <v>32</v>
      </c>
      <c r="E46" s="70">
        <f>802.72+344.3+377.4+359+164.7</f>
        <v>2048.12</v>
      </c>
      <c r="F46" s="39">
        <v>56390.22</v>
      </c>
      <c r="G46" s="29" t="s">
        <v>10</v>
      </c>
      <c r="H46" s="38"/>
      <c r="I46" s="25">
        <f t="shared" si="0"/>
        <v>409.62400000000002</v>
      </c>
    </row>
    <row r="47" spans="1:10">
      <c r="A47" s="29" t="s">
        <v>815</v>
      </c>
      <c r="B47" s="38">
        <v>40584</v>
      </c>
      <c r="C47" s="29" t="s">
        <v>349</v>
      </c>
      <c r="D47" s="29" t="s">
        <v>14</v>
      </c>
      <c r="E47" s="70">
        <v>442.5</v>
      </c>
      <c r="F47" s="39">
        <v>13629</v>
      </c>
      <c r="G47" s="29" t="s">
        <v>10</v>
      </c>
      <c r="H47" s="38"/>
      <c r="I47" s="25">
        <f t="shared" si="0"/>
        <v>88.5</v>
      </c>
      <c r="J47" s="84" t="s">
        <v>1151</v>
      </c>
    </row>
    <row r="48" spans="1:10">
      <c r="A48" s="29" t="s">
        <v>817</v>
      </c>
      <c r="B48" s="38">
        <v>40584</v>
      </c>
      <c r="C48" s="29" t="s">
        <v>11</v>
      </c>
      <c r="D48" s="29" t="s">
        <v>274</v>
      </c>
      <c r="E48" s="70">
        <f>842.65+830.39</f>
        <v>1673.04</v>
      </c>
      <c r="F48" s="39">
        <v>45171.54</v>
      </c>
      <c r="G48" s="29" t="s">
        <v>10</v>
      </c>
      <c r="H48" s="38"/>
      <c r="I48" s="25">
        <f t="shared" si="0"/>
        <v>334.608</v>
      </c>
    </row>
    <row r="49" spans="1:10">
      <c r="A49" s="29" t="s">
        <v>870</v>
      </c>
      <c r="B49" s="38">
        <v>40584</v>
      </c>
      <c r="C49" s="29" t="s">
        <v>11</v>
      </c>
      <c r="D49" s="29" t="s">
        <v>274</v>
      </c>
      <c r="E49" s="70">
        <v>690.39</v>
      </c>
      <c r="F49" s="39">
        <v>17720</v>
      </c>
      <c r="G49" s="29" t="s">
        <v>10</v>
      </c>
      <c r="H49" s="38"/>
      <c r="I49" s="25">
        <f t="shared" si="0"/>
        <v>138.078</v>
      </c>
    </row>
    <row r="50" spans="1:10">
      <c r="A50" s="29" t="s">
        <v>886</v>
      </c>
      <c r="B50" s="38">
        <v>40584</v>
      </c>
      <c r="C50" s="29" t="s">
        <v>438</v>
      </c>
      <c r="D50" s="29" t="s">
        <v>876</v>
      </c>
      <c r="E50" s="70">
        <f>929.9+857.14</f>
        <v>1787.04</v>
      </c>
      <c r="F50" s="39">
        <v>48250.080000000002</v>
      </c>
      <c r="G50" s="29" t="s">
        <v>10</v>
      </c>
      <c r="H50" s="38"/>
      <c r="I50" s="25">
        <f t="shared" si="0"/>
        <v>357.40800000000002</v>
      </c>
    </row>
    <row r="51" spans="1:10">
      <c r="A51" s="29" t="s">
        <v>831</v>
      </c>
      <c r="B51" s="38">
        <v>40586</v>
      </c>
      <c r="C51" s="29" t="s">
        <v>349</v>
      </c>
      <c r="D51" s="29" t="s">
        <v>357</v>
      </c>
      <c r="E51" s="70">
        <v>2057.4</v>
      </c>
      <c r="F51" s="39">
        <v>62750.7</v>
      </c>
      <c r="G51" s="29" t="s">
        <v>10</v>
      </c>
      <c r="H51" s="38"/>
      <c r="I51" s="25">
        <f t="shared" si="0"/>
        <v>411.48</v>
      </c>
    </row>
    <row r="52" spans="1:10">
      <c r="A52" s="29" t="s">
        <v>832</v>
      </c>
      <c r="B52" s="38">
        <v>40586</v>
      </c>
      <c r="C52" s="29" t="s">
        <v>349</v>
      </c>
      <c r="D52" s="29" t="s">
        <v>357</v>
      </c>
      <c r="E52" s="70">
        <v>2213.3000000000002</v>
      </c>
      <c r="F52" s="39">
        <v>67505.649999999994</v>
      </c>
      <c r="G52" s="29" t="s">
        <v>10</v>
      </c>
      <c r="H52" s="38"/>
      <c r="I52" s="25">
        <f t="shared" si="0"/>
        <v>442.66000000000008</v>
      </c>
    </row>
    <row r="53" spans="1:10">
      <c r="A53" s="29" t="s">
        <v>805</v>
      </c>
      <c r="B53" s="38">
        <v>40588</v>
      </c>
      <c r="C53" s="38" t="s">
        <v>11</v>
      </c>
      <c r="D53" s="29" t="s">
        <v>44</v>
      </c>
      <c r="E53" s="70">
        <f>92.1+152.5+272.2+22.68</f>
        <v>539.4799999999999</v>
      </c>
      <c r="F53" s="39">
        <v>10589.74</v>
      </c>
      <c r="G53" s="29" t="s">
        <v>10</v>
      </c>
      <c r="H53" s="41"/>
      <c r="I53" s="25">
        <f t="shared" si="0"/>
        <v>107.89599999999999</v>
      </c>
    </row>
    <row r="54" spans="1:10">
      <c r="A54" s="29" t="s">
        <v>808</v>
      </c>
      <c r="B54" s="38">
        <v>40588</v>
      </c>
      <c r="C54" s="29" t="s">
        <v>11</v>
      </c>
      <c r="D54" s="29" t="s">
        <v>630</v>
      </c>
      <c r="E54" s="70">
        <f>18.3+41.2+79</f>
        <v>138.5</v>
      </c>
      <c r="F54" s="39">
        <v>3133.5</v>
      </c>
      <c r="G54" s="29" t="s">
        <v>10</v>
      </c>
      <c r="H54" s="38"/>
      <c r="I54" s="25">
        <f t="shared" si="0"/>
        <v>27.700000000000003</v>
      </c>
    </row>
    <row r="55" spans="1:10">
      <c r="A55" s="29" t="s">
        <v>809</v>
      </c>
      <c r="B55" s="38">
        <v>40588</v>
      </c>
      <c r="C55" s="29" t="s">
        <v>11</v>
      </c>
      <c r="D55" s="29" t="s">
        <v>630</v>
      </c>
      <c r="E55" s="70">
        <v>272.2</v>
      </c>
      <c r="F55" s="39">
        <v>5035.7</v>
      </c>
      <c r="G55" s="29" t="s">
        <v>10</v>
      </c>
      <c r="H55" s="38"/>
      <c r="I55" s="25">
        <f t="shared" si="0"/>
        <v>54.44</v>
      </c>
      <c r="J55" s="84" t="s">
        <v>1152</v>
      </c>
    </row>
    <row r="56" spans="1:10">
      <c r="A56" s="29" t="s">
        <v>810</v>
      </c>
      <c r="B56" s="38">
        <v>40588</v>
      </c>
      <c r="C56" s="38" t="s">
        <v>11</v>
      </c>
      <c r="D56" s="38" t="s">
        <v>274</v>
      </c>
      <c r="E56" s="70">
        <f>876+839.5</f>
        <v>1715.5</v>
      </c>
      <c r="F56" s="39">
        <v>46661.5</v>
      </c>
      <c r="G56" s="29" t="s">
        <v>10</v>
      </c>
      <c r="H56" s="41"/>
      <c r="I56" s="25">
        <f t="shared" si="0"/>
        <v>343.1</v>
      </c>
    </row>
    <row r="57" spans="1:10">
      <c r="A57" s="38" t="s">
        <v>811</v>
      </c>
      <c r="B57" s="38">
        <v>40588</v>
      </c>
      <c r="C57" s="29" t="s">
        <v>11</v>
      </c>
      <c r="D57" s="29" t="s">
        <v>274</v>
      </c>
      <c r="E57" s="70">
        <f>102.21+295.1+84.68+5.44+190.54+81.66+27.22+12.15</f>
        <v>799</v>
      </c>
      <c r="F57" s="39">
        <v>20107.599999999999</v>
      </c>
      <c r="G57" s="29" t="s">
        <v>10</v>
      </c>
      <c r="H57" s="38"/>
      <c r="I57" s="25">
        <f t="shared" si="0"/>
        <v>159.80000000000001</v>
      </c>
    </row>
    <row r="58" spans="1:10">
      <c r="A58" s="29" t="s">
        <v>812</v>
      </c>
      <c r="B58" s="38">
        <v>40588</v>
      </c>
      <c r="C58" s="29" t="s">
        <v>11</v>
      </c>
      <c r="D58" s="29" t="s">
        <v>274</v>
      </c>
      <c r="E58" s="70">
        <v>2118.6999999999998</v>
      </c>
      <c r="F58" s="39">
        <v>63261</v>
      </c>
      <c r="G58" s="29" t="s">
        <v>10</v>
      </c>
      <c r="H58" s="38"/>
      <c r="I58" s="25">
        <f t="shared" si="0"/>
        <v>423.74</v>
      </c>
      <c r="J58" s="84" t="s">
        <v>1153</v>
      </c>
    </row>
    <row r="59" spans="1:10">
      <c r="A59" s="29" t="s">
        <v>818</v>
      </c>
      <c r="B59" s="38">
        <v>40588</v>
      </c>
      <c r="C59" s="29" t="s">
        <v>11</v>
      </c>
      <c r="D59" s="29" t="s">
        <v>32</v>
      </c>
      <c r="E59" s="70">
        <f>871.5+131.7+250+405.34+128.76+27.22+123.9+100.9+5.44</f>
        <v>2044.7600000000002</v>
      </c>
      <c r="F59" s="39">
        <v>62806.3</v>
      </c>
      <c r="G59" s="29" t="s">
        <v>10</v>
      </c>
      <c r="H59" s="38"/>
      <c r="I59" s="25">
        <f t="shared" si="0"/>
        <v>408.95200000000006</v>
      </c>
    </row>
    <row r="60" spans="1:10">
      <c r="A60" s="29" t="s">
        <v>824</v>
      </c>
      <c r="B60" s="38">
        <v>40588</v>
      </c>
      <c r="C60" s="29" t="s">
        <v>11</v>
      </c>
      <c r="D60" s="29" t="s">
        <v>423</v>
      </c>
      <c r="E60" s="70">
        <f>307.26+488.3+16.32+45.36+576.8</f>
        <v>1434.04</v>
      </c>
      <c r="F60" s="39">
        <v>36429.03</v>
      </c>
      <c r="G60" s="29" t="s">
        <v>10</v>
      </c>
      <c r="H60" s="38"/>
      <c r="I60" s="25">
        <f t="shared" si="0"/>
        <v>286.80799999999999</v>
      </c>
      <c r="J60" s="84" t="s">
        <v>1154</v>
      </c>
    </row>
    <row r="61" spans="1:10">
      <c r="A61" s="29" t="s">
        <v>813</v>
      </c>
      <c r="B61" s="38">
        <v>40591</v>
      </c>
      <c r="C61" s="29" t="s">
        <v>11</v>
      </c>
      <c r="D61" s="29" t="s">
        <v>274</v>
      </c>
      <c r="E61" s="70">
        <v>2076.5</v>
      </c>
      <c r="F61" s="39">
        <v>62295</v>
      </c>
      <c r="G61" s="29" t="s">
        <v>10</v>
      </c>
      <c r="H61" s="38"/>
      <c r="I61" s="25">
        <f t="shared" si="0"/>
        <v>415.3</v>
      </c>
      <c r="J61" s="84" t="s">
        <v>1155</v>
      </c>
    </row>
    <row r="62" spans="1:10">
      <c r="A62" s="29" t="s">
        <v>843</v>
      </c>
      <c r="B62" s="38">
        <v>40591</v>
      </c>
      <c r="C62" s="29" t="s">
        <v>438</v>
      </c>
      <c r="D62" s="29" t="s">
        <v>353</v>
      </c>
      <c r="E62" s="70">
        <v>845.35</v>
      </c>
      <c r="F62" s="39">
        <v>22401.78</v>
      </c>
      <c r="G62" s="29" t="s">
        <v>10</v>
      </c>
      <c r="H62" s="38"/>
      <c r="I62" s="25">
        <f t="shared" si="0"/>
        <v>169.07000000000002</v>
      </c>
      <c r="J62" s="84" t="s">
        <v>1156</v>
      </c>
    </row>
    <row r="63" spans="1:10">
      <c r="A63" s="29" t="s">
        <v>879</v>
      </c>
      <c r="B63" s="38">
        <v>40591</v>
      </c>
      <c r="C63" s="29" t="s">
        <v>438</v>
      </c>
      <c r="D63" s="29" t="s">
        <v>876</v>
      </c>
      <c r="E63" s="70">
        <f>836.73+839.46</f>
        <v>1676.19</v>
      </c>
      <c r="F63" s="39">
        <v>44419</v>
      </c>
      <c r="G63" s="29" t="s">
        <v>10</v>
      </c>
      <c r="H63" s="38"/>
      <c r="I63" s="25">
        <f t="shared" si="0"/>
        <v>335.23800000000006</v>
      </c>
    </row>
    <row r="64" spans="1:10">
      <c r="A64" s="29" t="s">
        <v>885</v>
      </c>
      <c r="B64" s="38">
        <v>40591</v>
      </c>
      <c r="C64" s="29" t="s">
        <v>11</v>
      </c>
      <c r="D64" s="29" t="s">
        <v>32</v>
      </c>
      <c r="E64" s="70">
        <f>927.1+119.36+308.64+312.54+378.1+139.98</f>
        <v>2185.7199999999998</v>
      </c>
      <c r="F64" s="39">
        <v>59147.25</v>
      </c>
      <c r="G64" s="29" t="s">
        <v>10</v>
      </c>
      <c r="H64" s="38"/>
      <c r="I64" s="25">
        <f t="shared" si="0"/>
        <v>437.14400000000001</v>
      </c>
    </row>
    <row r="65" spans="1:10">
      <c r="A65" s="29" t="s">
        <v>887</v>
      </c>
      <c r="B65" s="38">
        <v>40591</v>
      </c>
      <c r="C65" s="29" t="s">
        <v>17</v>
      </c>
      <c r="D65" s="29" t="s">
        <v>12</v>
      </c>
      <c r="E65" s="70">
        <v>310.14</v>
      </c>
      <c r="F65" s="39">
        <v>4341.96</v>
      </c>
      <c r="G65" s="29" t="s">
        <v>10</v>
      </c>
      <c r="H65" s="38"/>
      <c r="I65" s="25">
        <f t="shared" si="0"/>
        <v>62.027999999999999</v>
      </c>
      <c r="J65" s="84" t="s">
        <v>1157</v>
      </c>
    </row>
    <row r="66" spans="1:10">
      <c r="A66" s="29" t="s">
        <v>822</v>
      </c>
      <c r="B66" s="38">
        <v>40595</v>
      </c>
      <c r="C66" s="29" t="s">
        <v>11</v>
      </c>
      <c r="D66" s="29" t="s">
        <v>423</v>
      </c>
      <c r="E66" s="70">
        <v>596.4</v>
      </c>
      <c r="F66" s="39">
        <v>21052.92</v>
      </c>
      <c r="G66" s="29" t="s">
        <v>10</v>
      </c>
      <c r="H66" s="38"/>
      <c r="I66" s="25">
        <f t="shared" si="0"/>
        <v>119.28</v>
      </c>
      <c r="J66" s="84" t="s">
        <v>1158</v>
      </c>
    </row>
    <row r="67" spans="1:10">
      <c r="A67" s="29" t="s">
        <v>828</v>
      </c>
      <c r="B67" s="38">
        <v>40595</v>
      </c>
      <c r="C67" s="29" t="s">
        <v>11</v>
      </c>
      <c r="D67" s="29" t="s">
        <v>44</v>
      </c>
      <c r="E67" s="70">
        <f>914+136.1</f>
        <v>1050.0999999999999</v>
      </c>
      <c r="F67" s="39">
        <v>26828.25</v>
      </c>
      <c r="G67" s="29" t="s">
        <v>10</v>
      </c>
      <c r="H67" s="38"/>
      <c r="I67" s="25">
        <f t="shared" si="0"/>
        <v>210.01999999999998</v>
      </c>
    </row>
    <row r="68" spans="1:10">
      <c r="A68" s="29" t="s">
        <v>830</v>
      </c>
      <c r="B68" s="38">
        <v>40595</v>
      </c>
      <c r="C68" s="29" t="s">
        <v>11</v>
      </c>
      <c r="D68" s="29" t="s">
        <v>14</v>
      </c>
      <c r="E68" s="70">
        <f>209.32+52.78+404.6+200.9+20.86+101.38+61</f>
        <v>1050.8400000000001</v>
      </c>
      <c r="F68" s="39">
        <v>32495.98</v>
      </c>
      <c r="G68" s="29" t="s">
        <v>10</v>
      </c>
      <c r="H68" s="38"/>
      <c r="I68" s="25">
        <f t="shared" si="0"/>
        <v>210.16800000000003</v>
      </c>
    </row>
    <row r="69" spans="1:10">
      <c r="A69" s="29" t="s">
        <v>1167</v>
      </c>
      <c r="B69" s="38">
        <v>40595</v>
      </c>
      <c r="C69" s="29" t="s">
        <v>17</v>
      </c>
      <c r="D69" s="29" t="s">
        <v>1166</v>
      </c>
      <c r="E69" s="70">
        <v>0</v>
      </c>
      <c r="F69" s="39">
        <v>5035.7</v>
      </c>
      <c r="G69" s="80" t="s">
        <v>1168</v>
      </c>
      <c r="H69" s="81" t="s">
        <v>1128</v>
      </c>
      <c r="I69" s="25">
        <f t="shared" si="0"/>
        <v>0</v>
      </c>
    </row>
    <row r="70" spans="1:10">
      <c r="A70" s="29" t="s">
        <v>835</v>
      </c>
      <c r="B70" s="38">
        <v>40595</v>
      </c>
      <c r="C70" s="29" t="s">
        <v>11</v>
      </c>
      <c r="D70" s="29" t="s">
        <v>13</v>
      </c>
      <c r="E70" s="70">
        <f>18.299+41.198+79</f>
        <v>138.49700000000001</v>
      </c>
      <c r="F70" s="39">
        <v>3133.52</v>
      </c>
      <c r="G70" s="29" t="s">
        <v>10</v>
      </c>
      <c r="H70" s="38"/>
      <c r="I70" s="25">
        <f t="shared" si="0"/>
        <v>27.699400000000004</v>
      </c>
    </row>
    <row r="71" spans="1:10">
      <c r="A71" s="29" t="s">
        <v>847</v>
      </c>
      <c r="B71" s="38">
        <v>40595</v>
      </c>
      <c r="C71" s="29" t="s">
        <v>11</v>
      </c>
      <c r="D71" s="29" t="s">
        <v>274</v>
      </c>
      <c r="E71" s="70">
        <f>2235.3+195.7</f>
        <v>2431</v>
      </c>
      <c r="F71" s="39">
        <v>70777.3</v>
      </c>
      <c r="G71" s="29" t="s">
        <v>10</v>
      </c>
      <c r="H71" s="38"/>
      <c r="I71" s="25">
        <f t="shared" si="0"/>
        <v>486.20000000000005</v>
      </c>
      <c r="J71" s="84" t="s">
        <v>1159</v>
      </c>
    </row>
    <row r="72" spans="1:10">
      <c r="A72" s="29" t="s">
        <v>1170</v>
      </c>
      <c r="B72" s="38">
        <v>40595</v>
      </c>
      <c r="C72" s="29" t="s">
        <v>438</v>
      </c>
      <c r="D72" s="29" t="s">
        <v>1169</v>
      </c>
      <c r="E72" s="70">
        <v>0</v>
      </c>
      <c r="F72" s="39">
        <v>24504</v>
      </c>
      <c r="G72" s="80" t="s">
        <v>1168</v>
      </c>
      <c r="H72" s="81" t="s">
        <v>1128</v>
      </c>
      <c r="I72" s="25">
        <f t="shared" si="0"/>
        <v>0</v>
      </c>
    </row>
    <row r="73" spans="1:10">
      <c r="A73" s="29" t="s">
        <v>839</v>
      </c>
      <c r="B73" s="38">
        <v>40595</v>
      </c>
      <c r="C73" s="29" t="s">
        <v>823</v>
      </c>
      <c r="D73" s="29" t="s">
        <v>12</v>
      </c>
      <c r="E73" s="70">
        <v>289.7</v>
      </c>
      <c r="F73" s="39">
        <v>10197.44</v>
      </c>
      <c r="G73" s="29" t="s">
        <v>10</v>
      </c>
      <c r="H73" s="38"/>
      <c r="I73" s="25">
        <f t="shared" si="0"/>
        <v>57.94</v>
      </c>
      <c r="J73" s="84" t="s">
        <v>1144</v>
      </c>
    </row>
    <row r="74" spans="1:10">
      <c r="A74" s="29" t="s">
        <v>878</v>
      </c>
      <c r="B74" s="38">
        <v>40595</v>
      </c>
      <c r="C74" s="29" t="s">
        <v>11</v>
      </c>
      <c r="D74" s="29" t="s">
        <v>32</v>
      </c>
      <c r="E74" s="70">
        <f>911.3+185.88+37.12+159.38+290.7+10.88+54.44+348+142.4+113.2</f>
        <v>2253.2999999999997</v>
      </c>
      <c r="F74" s="39">
        <v>68499.75</v>
      </c>
      <c r="G74" s="29" t="s">
        <v>10</v>
      </c>
      <c r="H74" s="38"/>
      <c r="I74" s="25">
        <f t="shared" si="0"/>
        <v>450.65999999999997</v>
      </c>
    </row>
    <row r="75" spans="1:10">
      <c r="A75" s="29" t="s">
        <v>826</v>
      </c>
      <c r="B75" s="38">
        <v>40598</v>
      </c>
      <c r="C75" s="29" t="s">
        <v>11</v>
      </c>
      <c r="D75" s="29" t="s">
        <v>353</v>
      </c>
      <c r="E75" s="70">
        <f>50.9+27.2</f>
        <v>78.099999999999994</v>
      </c>
      <c r="F75" s="39">
        <v>2341.65</v>
      </c>
      <c r="G75" s="29" t="s">
        <v>10</v>
      </c>
      <c r="H75" s="38"/>
      <c r="I75" s="25">
        <f t="shared" si="0"/>
        <v>15.62</v>
      </c>
    </row>
    <row r="76" spans="1:10">
      <c r="A76" s="29" t="s">
        <v>842</v>
      </c>
      <c r="B76" s="38">
        <v>40598</v>
      </c>
      <c r="C76" s="29" t="s">
        <v>11</v>
      </c>
      <c r="D76" s="29" t="s">
        <v>274</v>
      </c>
      <c r="E76" s="70">
        <f>532.2+40.83+1877+5.44+81.66</f>
        <v>2537.13</v>
      </c>
      <c r="F76" s="39">
        <v>70223.64</v>
      </c>
      <c r="G76" s="29" t="s">
        <v>10</v>
      </c>
      <c r="H76" s="38"/>
      <c r="I76" s="25">
        <f t="shared" si="0"/>
        <v>507.42600000000004</v>
      </c>
      <c r="J76" s="84" t="s">
        <v>1160</v>
      </c>
    </row>
    <row r="77" spans="1:10">
      <c r="A77" s="29" t="s">
        <v>875</v>
      </c>
      <c r="B77" s="38">
        <v>40598</v>
      </c>
      <c r="C77" s="29" t="s">
        <v>438</v>
      </c>
      <c r="D77" s="29" t="s">
        <v>876</v>
      </c>
      <c r="E77" s="70">
        <v>825.4</v>
      </c>
      <c r="F77" s="39">
        <v>22698.5</v>
      </c>
      <c r="G77" s="29" t="s">
        <v>10</v>
      </c>
      <c r="H77" s="38"/>
      <c r="I77" s="25">
        <f t="shared" si="0"/>
        <v>165.08</v>
      </c>
    </row>
    <row r="78" spans="1:10">
      <c r="A78" s="29" t="s">
        <v>884</v>
      </c>
      <c r="B78" s="38">
        <v>40598</v>
      </c>
      <c r="C78" s="29" t="s">
        <v>11</v>
      </c>
      <c r="D78" s="29" t="s">
        <v>423</v>
      </c>
      <c r="E78" s="70">
        <f>103.9+188.5+10.88</f>
        <v>303.27999999999997</v>
      </c>
      <c r="F78" s="39">
        <v>4693.05</v>
      </c>
      <c r="G78" s="29" t="s">
        <v>10</v>
      </c>
      <c r="H78" s="38"/>
      <c r="I78" s="25">
        <f t="shared" si="0"/>
        <v>60.655999999999999</v>
      </c>
    </row>
    <row r="79" spans="1:10" s="37" customFormat="1">
      <c r="A79" s="29" t="s">
        <v>882</v>
      </c>
      <c r="B79" s="38">
        <v>40599</v>
      </c>
      <c r="C79" s="29" t="s">
        <v>11</v>
      </c>
      <c r="D79" s="29" t="s">
        <v>32</v>
      </c>
      <c r="E79" s="70">
        <f>882.09+121.8+86.5+348+49.7+289.7+310.66+220.28+3</f>
        <v>2311.73</v>
      </c>
      <c r="F79" s="39">
        <v>64303.48</v>
      </c>
      <c r="G79" s="29" t="s">
        <v>10</v>
      </c>
      <c r="H79" s="38"/>
      <c r="I79" s="39">
        <f t="shared" si="0"/>
        <v>462.346</v>
      </c>
      <c r="J79" s="85"/>
    </row>
    <row r="80" spans="1:10">
      <c r="A80" s="29" t="s">
        <v>881</v>
      </c>
      <c r="B80" s="38">
        <v>40600</v>
      </c>
      <c r="C80" s="29" t="s">
        <v>17</v>
      </c>
      <c r="D80" s="29" t="s">
        <v>171</v>
      </c>
      <c r="E80" s="70">
        <v>1264</v>
      </c>
      <c r="F80" s="39">
        <v>16432</v>
      </c>
      <c r="G80" s="29" t="s">
        <v>10</v>
      </c>
      <c r="H80" s="38"/>
      <c r="I80" s="25">
        <f t="shared" si="0"/>
        <v>252.8</v>
      </c>
    </row>
    <row r="81" spans="1:10">
      <c r="A81" s="29" t="s">
        <v>825</v>
      </c>
      <c r="B81" s="38">
        <v>40602</v>
      </c>
      <c r="C81" s="29" t="s">
        <v>11</v>
      </c>
      <c r="D81" s="29" t="s">
        <v>423</v>
      </c>
      <c r="E81" s="70">
        <f>178+504.2</f>
        <v>682.2</v>
      </c>
      <c r="F81" s="39">
        <v>12576</v>
      </c>
      <c r="G81" s="29" t="s">
        <v>10</v>
      </c>
      <c r="H81" s="38"/>
      <c r="I81" s="25">
        <f t="shared" si="0"/>
        <v>136.44000000000003</v>
      </c>
    </row>
    <row r="82" spans="1:10">
      <c r="A82" s="29" t="s">
        <v>838</v>
      </c>
      <c r="B82" s="38">
        <v>40602</v>
      </c>
      <c r="C82" s="29" t="s">
        <v>11</v>
      </c>
      <c r="D82" s="29" t="s">
        <v>12</v>
      </c>
      <c r="E82" s="70">
        <f>869.39+842.18+251.6+390</f>
        <v>2353.17</v>
      </c>
      <c r="F82" s="39">
        <v>61042.18</v>
      </c>
      <c r="G82" s="29" t="s">
        <v>10</v>
      </c>
      <c r="H82" s="38"/>
      <c r="I82" s="25">
        <f t="shared" si="0"/>
        <v>470.63400000000001</v>
      </c>
      <c r="J82" s="84" t="s">
        <v>1161</v>
      </c>
    </row>
    <row r="83" spans="1:10">
      <c r="A83" s="29" t="s">
        <v>874</v>
      </c>
      <c r="B83" s="38">
        <v>40602</v>
      </c>
      <c r="C83" s="29" t="s">
        <v>11</v>
      </c>
      <c r="D83" s="29" t="s">
        <v>32</v>
      </c>
      <c r="E83" s="70">
        <f>813.61+32.06+135.24+360.1+132.24+245.6</f>
        <v>1718.8500000000001</v>
      </c>
      <c r="F83" s="39">
        <v>52352.84</v>
      </c>
      <c r="G83" s="29" t="s">
        <v>10</v>
      </c>
      <c r="H83" s="38"/>
      <c r="I83" s="25">
        <f t="shared" si="0"/>
        <v>343.77000000000004</v>
      </c>
    </row>
    <row r="84" spans="1:10">
      <c r="A84" s="29" t="s">
        <v>848</v>
      </c>
      <c r="B84" s="38">
        <v>40605</v>
      </c>
      <c r="C84" s="29" t="s">
        <v>349</v>
      </c>
      <c r="D84" s="29" t="s">
        <v>274</v>
      </c>
      <c r="E84" s="70">
        <v>1764.9</v>
      </c>
      <c r="F84" s="39">
        <v>52064.55</v>
      </c>
      <c r="G84" s="29" t="s">
        <v>10</v>
      </c>
      <c r="H84" s="38"/>
      <c r="I84" s="25">
        <f t="shared" si="0"/>
        <v>352.98</v>
      </c>
    </row>
    <row r="85" spans="1:10">
      <c r="A85" s="29" t="s">
        <v>880</v>
      </c>
      <c r="B85" s="38">
        <v>40605</v>
      </c>
      <c r="C85" s="29" t="s">
        <v>11</v>
      </c>
      <c r="D85" s="29" t="s">
        <v>423</v>
      </c>
      <c r="E85" s="70">
        <f>316.8+327.5</f>
        <v>644.29999999999995</v>
      </c>
      <c r="F85" s="39">
        <v>17864</v>
      </c>
      <c r="G85" s="29" t="s">
        <v>10</v>
      </c>
      <c r="H85" s="38"/>
      <c r="I85" s="25">
        <f t="shared" si="0"/>
        <v>128.85999999999999</v>
      </c>
    </row>
    <row r="86" spans="1:10">
      <c r="A86" s="29" t="s">
        <v>819</v>
      </c>
      <c r="B86" s="38">
        <v>40609</v>
      </c>
      <c r="C86" s="29" t="s">
        <v>11</v>
      </c>
      <c r="D86" s="29" t="s">
        <v>423</v>
      </c>
      <c r="E86" s="70">
        <f>615+165.24+151.6</f>
        <v>931.84</v>
      </c>
      <c r="F86" s="39">
        <v>17655.3</v>
      </c>
      <c r="G86" s="29" t="s">
        <v>10</v>
      </c>
      <c r="H86" s="38"/>
      <c r="I86" s="25">
        <f t="shared" si="0"/>
        <v>186.36800000000002</v>
      </c>
    </row>
    <row r="87" spans="1:10">
      <c r="A87" s="29" t="s">
        <v>820</v>
      </c>
      <c r="B87" s="38">
        <v>40609</v>
      </c>
      <c r="C87" s="29" t="s">
        <v>11</v>
      </c>
      <c r="D87" s="29" t="s">
        <v>64</v>
      </c>
      <c r="E87" s="70">
        <f>201.2+52.28</f>
        <v>253.48</v>
      </c>
      <c r="F87" s="39">
        <v>7874.52</v>
      </c>
      <c r="G87" s="29" t="s">
        <v>10</v>
      </c>
      <c r="H87" s="38"/>
      <c r="I87" s="25">
        <f t="shared" si="0"/>
        <v>50.695999999999998</v>
      </c>
    </row>
    <row r="88" spans="1:10">
      <c r="A88" s="29" t="s">
        <v>827</v>
      </c>
      <c r="B88" s="38">
        <v>40609</v>
      </c>
      <c r="C88" s="29" t="s">
        <v>11</v>
      </c>
      <c r="D88" s="33" t="s">
        <v>12</v>
      </c>
      <c r="E88" s="70">
        <v>933.9</v>
      </c>
      <c r="F88" s="39">
        <v>26616.15</v>
      </c>
      <c r="G88" s="29" t="s">
        <v>10</v>
      </c>
      <c r="H88" s="38"/>
      <c r="I88" s="25">
        <f t="shared" si="0"/>
        <v>186.78</v>
      </c>
    </row>
    <row r="89" spans="1:10">
      <c r="A89" s="29" t="s">
        <v>877</v>
      </c>
      <c r="B89" s="38">
        <v>40609</v>
      </c>
      <c r="C89" s="29" t="s">
        <v>438</v>
      </c>
      <c r="D89" s="29" t="s">
        <v>35</v>
      </c>
      <c r="E89" s="70">
        <v>76.5</v>
      </c>
      <c r="F89" s="39">
        <v>2142</v>
      </c>
      <c r="G89" s="29" t="s">
        <v>10</v>
      </c>
      <c r="H89" s="38"/>
      <c r="I89" s="25">
        <f t="shared" si="0"/>
        <v>15.3</v>
      </c>
    </row>
    <row r="90" spans="1:10">
      <c r="A90" s="29" t="s">
        <v>883</v>
      </c>
      <c r="B90" s="38">
        <v>40609</v>
      </c>
      <c r="C90" s="29" t="s">
        <v>11</v>
      </c>
      <c r="D90" s="29" t="s">
        <v>413</v>
      </c>
      <c r="E90" s="70">
        <f>81.16+53.1</f>
        <v>134.26</v>
      </c>
      <c r="F90" s="39">
        <v>4589.04</v>
      </c>
      <c r="G90" s="29" t="s">
        <v>10</v>
      </c>
      <c r="H90" s="38"/>
      <c r="I90" s="25">
        <f t="shared" si="0"/>
        <v>26.852</v>
      </c>
    </row>
    <row r="91" spans="1:10">
      <c r="A91" s="29" t="s">
        <v>844</v>
      </c>
      <c r="B91" s="38">
        <v>40610</v>
      </c>
      <c r="C91" s="29" t="s">
        <v>11</v>
      </c>
      <c r="D91" s="29" t="s">
        <v>35</v>
      </c>
      <c r="E91" s="70">
        <f>16.32+73.5</f>
        <v>89.82</v>
      </c>
      <c r="F91" s="39">
        <v>2629</v>
      </c>
      <c r="G91" s="29" t="s">
        <v>10</v>
      </c>
      <c r="H91" s="38"/>
      <c r="I91" s="25">
        <f t="shared" si="0"/>
        <v>17.963999999999999</v>
      </c>
    </row>
    <row r="92" spans="1:10">
      <c r="A92" s="29" t="s">
        <v>829</v>
      </c>
      <c r="B92" s="38">
        <v>40906</v>
      </c>
      <c r="C92" s="29" t="s">
        <v>40</v>
      </c>
      <c r="D92" s="29" t="s">
        <v>14</v>
      </c>
      <c r="E92" s="70">
        <v>556.76</v>
      </c>
      <c r="F92" s="39">
        <v>24497.439999999999</v>
      </c>
      <c r="G92" s="29" t="s">
        <v>10</v>
      </c>
      <c r="H92" s="38"/>
      <c r="I92" s="25">
        <f t="shared" si="0"/>
        <v>111.352</v>
      </c>
    </row>
    <row r="93" spans="1:10" ht="15">
      <c r="A93" s="2"/>
      <c r="B93" s="14"/>
      <c r="C93" s="14"/>
      <c r="D93" s="14"/>
      <c r="E93" s="71"/>
      <c r="F93" s="25"/>
      <c r="G93" s="14"/>
      <c r="H93" s="14"/>
      <c r="I93" s="25">
        <f t="shared" ref="I93" si="1">$I$6*E93</f>
        <v>0</v>
      </c>
    </row>
    <row r="94" spans="1:10" ht="15">
      <c r="A94" s="2"/>
      <c r="B94" s="14"/>
      <c r="C94" s="14"/>
      <c r="D94" s="14"/>
      <c r="E94" s="68">
        <f>SUM(E7:E93)</f>
        <v>93133.306999999986</v>
      </c>
      <c r="F94" s="19">
        <f>SUM(F7:F93)</f>
        <v>2599672.3099999991</v>
      </c>
      <c r="G94" s="17"/>
      <c r="H94" s="27" t="s">
        <v>63</v>
      </c>
      <c r="I94" s="25">
        <f>SUM(I7:I93)</f>
        <v>18626.661399999994</v>
      </c>
    </row>
  </sheetData>
  <sortState ref="A7:H93">
    <sortCondition ref="B7:B93"/>
  </sortState>
  <mergeCells count="1">
    <mergeCell ref="E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6"/>
  <sheetViews>
    <sheetView topLeftCell="A124" workbookViewId="0">
      <selection activeCell="E142" sqref="E142"/>
    </sheetView>
  </sheetViews>
  <sheetFormatPr baseColWidth="10" defaultRowHeight="12.75"/>
  <cols>
    <col min="3" max="3" width="13.140625" customWidth="1"/>
    <col min="4" max="4" width="21.5703125" customWidth="1"/>
    <col min="5" max="5" width="11.42578125" style="82"/>
    <col min="6" max="6" width="13.42578125" bestFit="1" customWidth="1"/>
    <col min="7" max="7" width="11.42578125" style="97"/>
    <col min="10" max="10" width="11.42578125" style="84"/>
  </cols>
  <sheetData>
    <row r="1" spans="1:10" ht="15.75">
      <c r="A1" s="1" t="s">
        <v>23</v>
      </c>
      <c r="B1" s="1"/>
      <c r="C1" s="1"/>
      <c r="D1" s="1"/>
      <c r="E1" s="51"/>
      <c r="F1" s="5"/>
      <c r="G1" s="90"/>
      <c r="H1" s="5"/>
      <c r="I1" s="1"/>
    </row>
    <row r="2" spans="1:10" ht="15.75">
      <c r="A2" s="1"/>
      <c r="B2" s="1"/>
      <c r="C2" s="1"/>
      <c r="D2" s="1" t="s">
        <v>1074</v>
      </c>
      <c r="E2" s="51"/>
      <c r="F2" s="5"/>
      <c r="G2" s="90"/>
      <c r="H2" s="5"/>
      <c r="I2" s="1"/>
    </row>
    <row r="3" spans="1:10" ht="15.75">
      <c r="A3" s="8"/>
      <c r="B3" s="6"/>
      <c r="C3" s="6"/>
      <c r="D3" s="6"/>
      <c r="E3" s="51"/>
      <c r="F3" s="5"/>
      <c r="G3" s="91"/>
      <c r="H3" s="7"/>
      <c r="I3" s="1"/>
    </row>
    <row r="4" spans="1:10" ht="15.75">
      <c r="A4" s="1"/>
      <c r="B4" s="1"/>
      <c r="C4" s="1"/>
      <c r="D4" s="1"/>
      <c r="E4" s="51"/>
      <c r="F4" s="5"/>
      <c r="G4" s="90"/>
      <c r="H4" s="5"/>
      <c r="I4" s="1"/>
    </row>
    <row r="5" spans="1:10">
      <c r="A5" s="30" t="s">
        <v>5</v>
      </c>
      <c r="B5" s="30" t="s">
        <v>0</v>
      </c>
      <c r="C5" s="30" t="s">
        <v>7</v>
      </c>
      <c r="D5" s="30" t="s">
        <v>9</v>
      </c>
      <c r="E5" s="124" t="s">
        <v>1</v>
      </c>
      <c r="F5" s="124"/>
      <c r="G5" s="92" t="s">
        <v>24</v>
      </c>
      <c r="H5" s="31" t="s">
        <v>3</v>
      </c>
      <c r="I5" s="30" t="s">
        <v>80</v>
      </c>
    </row>
    <row r="6" spans="1:10">
      <c r="A6" s="30"/>
      <c r="B6" s="30"/>
      <c r="C6" s="30"/>
      <c r="D6" s="30"/>
      <c r="E6" s="72" t="s">
        <v>6</v>
      </c>
      <c r="F6" s="31" t="s">
        <v>2</v>
      </c>
      <c r="G6" s="92"/>
      <c r="H6" s="31" t="s">
        <v>4</v>
      </c>
      <c r="I6" s="31">
        <v>0.2</v>
      </c>
    </row>
    <row r="7" spans="1:10">
      <c r="A7" s="29" t="s">
        <v>949</v>
      </c>
      <c r="B7" s="38">
        <v>36929</v>
      </c>
      <c r="C7" s="29" t="s">
        <v>11</v>
      </c>
      <c r="D7" s="29" t="s">
        <v>12</v>
      </c>
      <c r="E7" s="70">
        <f>927.89+226.8</f>
        <v>1154.69</v>
      </c>
      <c r="F7" s="83">
        <v>34640.5</v>
      </c>
      <c r="G7" s="93" t="s">
        <v>10</v>
      </c>
      <c r="H7" s="38"/>
      <c r="I7" s="25">
        <f t="shared" ref="I7:I85" si="0">$I$6*E7</f>
        <v>230.93800000000002</v>
      </c>
    </row>
    <row r="8" spans="1:10">
      <c r="A8" s="29" t="s">
        <v>945</v>
      </c>
      <c r="B8" s="38">
        <v>36950</v>
      </c>
      <c r="C8" s="29" t="s">
        <v>11</v>
      </c>
      <c r="D8" s="29" t="s">
        <v>944</v>
      </c>
      <c r="E8" s="70">
        <f>544.4+13.61+84.3+355.76</f>
        <v>998.06999999999994</v>
      </c>
      <c r="F8" s="39">
        <v>36862.699999999997</v>
      </c>
      <c r="G8" s="93" t="s">
        <v>10</v>
      </c>
      <c r="H8" s="38"/>
      <c r="I8" s="25">
        <f t="shared" si="0"/>
        <v>199.614</v>
      </c>
      <c r="J8" s="84" t="s">
        <v>1193</v>
      </c>
    </row>
    <row r="9" spans="1:10">
      <c r="A9" s="29" t="s">
        <v>942</v>
      </c>
      <c r="B9" s="38">
        <v>36957</v>
      </c>
      <c r="C9" s="29" t="s">
        <v>45</v>
      </c>
      <c r="D9" s="29" t="s">
        <v>339</v>
      </c>
      <c r="E9" s="70">
        <v>1226</v>
      </c>
      <c r="F9" s="39">
        <v>15935</v>
      </c>
      <c r="G9" s="93" t="s">
        <v>10</v>
      </c>
      <c r="H9" s="38"/>
      <c r="I9" s="25">
        <f t="shared" si="0"/>
        <v>245.20000000000002</v>
      </c>
    </row>
    <row r="10" spans="1:10">
      <c r="A10" s="29" t="s">
        <v>933</v>
      </c>
      <c r="B10" s="38">
        <v>36964</v>
      </c>
      <c r="C10" s="29" t="s">
        <v>11</v>
      </c>
      <c r="D10" s="29" t="s">
        <v>32</v>
      </c>
      <c r="E10" s="70">
        <f>121.34+103.3+243.36+106.9+92</f>
        <v>666.9</v>
      </c>
      <c r="F10" s="39">
        <v>21196.5</v>
      </c>
      <c r="G10" s="93" t="s">
        <v>10</v>
      </c>
      <c r="H10" s="38"/>
      <c r="I10" s="25">
        <f t="shared" si="0"/>
        <v>133.38</v>
      </c>
    </row>
    <row r="11" spans="1:10">
      <c r="A11" s="29" t="s">
        <v>841</v>
      </c>
      <c r="B11" s="38">
        <v>36981</v>
      </c>
      <c r="C11" s="29" t="s">
        <v>11</v>
      </c>
      <c r="D11" s="29" t="s">
        <v>274</v>
      </c>
      <c r="E11" s="70">
        <f>843.54+814.06+136.1+10.88+27.22</f>
        <v>1831.8</v>
      </c>
      <c r="F11" s="39">
        <v>49709.52</v>
      </c>
      <c r="G11" s="93" t="s">
        <v>10</v>
      </c>
      <c r="H11" s="38"/>
      <c r="I11" s="25">
        <f t="shared" si="0"/>
        <v>366.36</v>
      </c>
    </row>
    <row r="12" spans="1:10">
      <c r="A12" s="29" t="s">
        <v>896</v>
      </c>
      <c r="B12" s="38">
        <v>40240</v>
      </c>
      <c r="C12" s="29" t="s">
        <v>11</v>
      </c>
      <c r="D12" s="29" t="s">
        <v>32</v>
      </c>
      <c r="E12" s="70">
        <f>384.58+374.4</f>
        <v>758.98</v>
      </c>
      <c r="F12" s="39">
        <v>19217.689999999999</v>
      </c>
      <c r="G12" s="93" t="s">
        <v>10</v>
      </c>
      <c r="H12" s="38"/>
      <c r="I12" s="25">
        <f t="shared" si="0"/>
        <v>151.79600000000002</v>
      </c>
    </row>
    <row r="13" spans="1:10">
      <c r="A13" s="29" t="s">
        <v>1070</v>
      </c>
      <c r="B13" s="81">
        <v>40633</v>
      </c>
      <c r="C13" s="29" t="s">
        <v>438</v>
      </c>
      <c r="D13" s="29" t="s">
        <v>1071</v>
      </c>
      <c r="E13" s="70">
        <f>809.07+757.37</f>
        <v>1566.44</v>
      </c>
      <c r="F13" s="39">
        <v>43860.32</v>
      </c>
      <c r="G13" s="93" t="s">
        <v>10</v>
      </c>
      <c r="H13" s="38"/>
      <c r="I13" s="25">
        <f t="shared" si="0"/>
        <v>313.28800000000001</v>
      </c>
    </row>
    <row r="14" spans="1:10">
      <c r="A14" s="29" t="s">
        <v>1172</v>
      </c>
      <c r="B14" s="38">
        <v>40567</v>
      </c>
      <c r="C14" s="29" t="s">
        <v>1173</v>
      </c>
      <c r="D14" s="29" t="s">
        <v>1171</v>
      </c>
      <c r="E14" s="70">
        <v>0</v>
      </c>
      <c r="F14" s="39">
        <v>28077.13</v>
      </c>
      <c r="G14" s="94" t="s">
        <v>10</v>
      </c>
      <c r="H14" s="81" t="s">
        <v>1132</v>
      </c>
      <c r="I14" s="25">
        <f t="shared" si="0"/>
        <v>0</v>
      </c>
    </row>
    <row r="15" spans="1:10">
      <c r="A15" s="29" t="s">
        <v>955</v>
      </c>
      <c r="B15" s="38">
        <v>40567</v>
      </c>
      <c r="C15" s="29" t="s">
        <v>11</v>
      </c>
      <c r="D15" s="29" t="s">
        <v>32</v>
      </c>
      <c r="E15" s="70">
        <f>929+104.58+408.94+542.7+196.38+103.4</f>
        <v>2285</v>
      </c>
      <c r="F15" s="39">
        <v>73323.5</v>
      </c>
      <c r="G15" s="93" t="s">
        <v>10</v>
      </c>
      <c r="H15" s="38"/>
      <c r="I15" s="25">
        <f t="shared" si="0"/>
        <v>457</v>
      </c>
    </row>
    <row r="16" spans="1:10">
      <c r="A16" s="29" t="s">
        <v>956</v>
      </c>
      <c r="B16" s="38">
        <v>40567</v>
      </c>
      <c r="C16" s="29" t="s">
        <v>11</v>
      </c>
      <c r="D16" s="29" t="s">
        <v>274</v>
      </c>
      <c r="E16" s="70">
        <f>145.74+94.08+928.5+108.88+163.32+16.32+287.7+308.8</f>
        <v>2053.3399999999997</v>
      </c>
      <c r="F16" s="39">
        <v>51285.94</v>
      </c>
      <c r="G16" s="93" t="s">
        <v>10</v>
      </c>
      <c r="H16" s="38"/>
      <c r="I16" s="25">
        <f t="shared" si="0"/>
        <v>410.66799999999995</v>
      </c>
    </row>
    <row r="17" spans="1:10">
      <c r="A17" s="29" t="s">
        <v>952</v>
      </c>
      <c r="B17" s="38">
        <v>40570</v>
      </c>
      <c r="C17" s="29" t="s">
        <v>11</v>
      </c>
      <c r="D17" s="29" t="s">
        <v>274</v>
      </c>
      <c r="E17" s="70">
        <f>41.82+16.32+109.76+27.22+11.43+108.88</f>
        <v>315.43</v>
      </c>
      <c r="F17" s="39">
        <v>11116.59</v>
      </c>
      <c r="G17" s="94" t="s">
        <v>10</v>
      </c>
      <c r="H17" s="38"/>
      <c r="I17" s="25">
        <f t="shared" si="0"/>
        <v>63.086000000000006</v>
      </c>
    </row>
    <row r="18" spans="1:10">
      <c r="A18" s="29" t="s">
        <v>957</v>
      </c>
      <c r="B18" s="38">
        <v>40570</v>
      </c>
      <c r="C18" s="29" t="s">
        <v>11</v>
      </c>
      <c r="D18" s="29" t="s">
        <v>274</v>
      </c>
      <c r="E18" s="70">
        <f>922+936.7+110.58+249.1+81.66+40.83</f>
        <v>2340.87</v>
      </c>
      <c r="F18" s="83">
        <v>59816.94</v>
      </c>
      <c r="G18" s="93" t="s">
        <v>10</v>
      </c>
      <c r="H18" s="38"/>
      <c r="I18" s="25">
        <f t="shared" si="0"/>
        <v>468.17399999999998</v>
      </c>
    </row>
    <row r="19" spans="1:10">
      <c r="A19" s="29" t="s">
        <v>1175</v>
      </c>
      <c r="B19" s="38">
        <v>40574</v>
      </c>
      <c r="C19" s="29" t="s">
        <v>349</v>
      </c>
      <c r="D19" s="29" t="s">
        <v>1174</v>
      </c>
      <c r="E19" s="70">
        <v>0</v>
      </c>
      <c r="F19" s="39">
        <v>71245</v>
      </c>
      <c r="G19" s="94" t="s">
        <v>10</v>
      </c>
      <c r="H19" s="81" t="s">
        <v>1132</v>
      </c>
      <c r="I19" s="25">
        <f t="shared" si="0"/>
        <v>0</v>
      </c>
      <c r="J19" s="84" t="s">
        <v>1194</v>
      </c>
    </row>
    <row r="20" spans="1:10">
      <c r="A20" s="29" t="s">
        <v>946</v>
      </c>
      <c r="B20" s="38">
        <v>40574</v>
      </c>
      <c r="C20" s="29" t="s">
        <v>11</v>
      </c>
      <c r="D20" s="29" t="s">
        <v>44</v>
      </c>
      <c r="E20" s="70">
        <f>937.6+13.61</f>
        <v>951.21</v>
      </c>
      <c r="F20" s="39">
        <v>25157</v>
      </c>
      <c r="G20" s="93" t="s">
        <v>10</v>
      </c>
      <c r="H20" s="38"/>
      <c r="I20" s="25">
        <f t="shared" si="0"/>
        <v>190.24200000000002</v>
      </c>
    </row>
    <row r="21" spans="1:10">
      <c r="A21" s="29" t="s">
        <v>947</v>
      </c>
      <c r="B21" s="38">
        <v>40574</v>
      </c>
      <c r="C21" s="29" t="s">
        <v>11</v>
      </c>
      <c r="D21" s="29" t="s">
        <v>274</v>
      </c>
      <c r="E21" s="70">
        <f>206.02+121.18+43.5+99.52+218.7+68.05+108.88</f>
        <v>865.85</v>
      </c>
      <c r="F21" s="39">
        <v>23968.5</v>
      </c>
      <c r="G21" s="93" t="s">
        <v>10</v>
      </c>
      <c r="H21" s="38"/>
      <c r="I21" s="25">
        <f t="shared" si="0"/>
        <v>173.17000000000002</v>
      </c>
    </row>
    <row r="22" spans="1:10">
      <c r="A22" s="29" t="s">
        <v>950</v>
      </c>
      <c r="B22" s="38">
        <v>40574</v>
      </c>
      <c r="C22" s="29" t="s">
        <v>951</v>
      </c>
      <c r="D22" s="29" t="s">
        <v>12</v>
      </c>
      <c r="E22" s="70">
        <v>68.05</v>
      </c>
      <c r="F22" s="39">
        <v>2960</v>
      </c>
      <c r="G22" s="93" t="s">
        <v>10</v>
      </c>
      <c r="H22" s="38"/>
      <c r="I22" s="25">
        <f t="shared" si="0"/>
        <v>13.61</v>
      </c>
      <c r="J22" s="84" t="s">
        <v>1195</v>
      </c>
    </row>
    <row r="23" spans="1:10">
      <c r="A23" s="29" t="s">
        <v>948</v>
      </c>
      <c r="B23" s="38">
        <v>40577</v>
      </c>
      <c r="C23" s="29" t="s">
        <v>420</v>
      </c>
      <c r="D23" s="29" t="s">
        <v>274</v>
      </c>
      <c r="E23" s="70">
        <v>2135.4</v>
      </c>
      <c r="F23" s="39">
        <v>65129.7</v>
      </c>
      <c r="G23" s="93" t="s">
        <v>10</v>
      </c>
      <c r="H23" s="38"/>
      <c r="I23" s="25">
        <f t="shared" si="0"/>
        <v>427.08000000000004</v>
      </c>
      <c r="J23" s="84" t="s">
        <v>1196</v>
      </c>
    </row>
    <row r="24" spans="1:10">
      <c r="A24" s="29" t="s">
        <v>953</v>
      </c>
      <c r="B24" s="38">
        <v>40577</v>
      </c>
      <c r="C24" s="29" t="s">
        <v>11</v>
      </c>
      <c r="D24" s="29" t="s">
        <v>13</v>
      </c>
      <c r="E24" s="70">
        <f>272.2+204.15+15.3+163.32</f>
        <v>654.97</v>
      </c>
      <c r="F24" s="39">
        <v>17923.97</v>
      </c>
      <c r="G24" s="93" t="s">
        <v>10</v>
      </c>
      <c r="H24" s="38"/>
      <c r="I24" s="25">
        <f t="shared" si="0"/>
        <v>130.994</v>
      </c>
    </row>
    <row r="25" spans="1:10">
      <c r="A25" s="29" t="s">
        <v>954</v>
      </c>
      <c r="B25" s="38">
        <v>40577</v>
      </c>
      <c r="C25" s="29" t="s">
        <v>11</v>
      </c>
      <c r="D25" s="29" t="s">
        <v>13</v>
      </c>
      <c r="E25" s="70">
        <f>22.96+408.3</f>
        <v>431.26</v>
      </c>
      <c r="F25" s="39">
        <v>7854.52</v>
      </c>
      <c r="G25" s="94" t="s">
        <v>10</v>
      </c>
      <c r="H25" s="38"/>
      <c r="I25" s="25">
        <f t="shared" si="0"/>
        <v>86.25200000000001</v>
      </c>
    </row>
    <row r="26" spans="1:10">
      <c r="A26" s="29" t="s">
        <v>935</v>
      </c>
      <c r="B26" s="38">
        <v>40581</v>
      </c>
      <c r="C26" s="29" t="s">
        <v>11</v>
      </c>
      <c r="D26" s="29" t="s">
        <v>353</v>
      </c>
      <c r="E26" s="70">
        <f>163.32+27.2+93</f>
        <v>283.52</v>
      </c>
      <c r="F26" s="39">
        <v>6050.06</v>
      </c>
      <c r="G26" s="94" t="s">
        <v>10</v>
      </c>
      <c r="H26" s="38"/>
      <c r="I26" s="25">
        <f t="shared" si="0"/>
        <v>56.704000000000001</v>
      </c>
    </row>
    <row r="27" spans="1:10">
      <c r="A27" s="17" t="s">
        <v>1178</v>
      </c>
      <c r="B27" s="24">
        <v>40584</v>
      </c>
      <c r="C27" s="14" t="s">
        <v>349</v>
      </c>
      <c r="D27" s="14" t="s">
        <v>1176</v>
      </c>
      <c r="E27" s="71">
        <v>0</v>
      </c>
      <c r="F27" s="25">
        <v>13629</v>
      </c>
      <c r="G27" s="95" t="s">
        <v>1177</v>
      </c>
      <c r="H27" s="89" t="s">
        <v>1132</v>
      </c>
      <c r="I27" s="25">
        <f t="shared" si="0"/>
        <v>0</v>
      </c>
      <c r="J27" s="84" t="s">
        <v>1151</v>
      </c>
    </row>
    <row r="28" spans="1:10">
      <c r="A28" s="29" t="s">
        <v>918</v>
      </c>
      <c r="B28" s="38">
        <v>40585</v>
      </c>
      <c r="C28" s="29" t="s">
        <v>203</v>
      </c>
      <c r="D28" s="29" t="s">
        <v>35</v>
      </c>
      <c r="E28" s="70">
        <v>194</v>
      </c>
      <c r="F28" s="39">
        <v>7372</v>
      </c>
      <c r="G28" s="93" t="s">
        <v>10</v>
      </c>
      <c r="H28" s="38">
        <v>40623</v>
      </c>
      <c r="I28" s="25">
        <f t="shared" si="0"/>
        <v>38.800000000000004</v>
      </c>
    </row>
    <row r="29" spans="1:10">
      <c r="A29" s="14" t="s">
        <v>978</v>
      </c>
      <c r="B29" s="24">
        <v>40588</v>
      </c>
      <c r="C29" s="14" t="s">
        <v>11</v>
      </c>
      <c r="D29" s="14" t="s">
        <v>25</v>
      </c>
      <c r="E29" s="71">
        <f>469+191.1+106.74</f>
        <v>766.84</v>
      </c>
      <c r="F29" s="25">
        <v>25639.54</v>
      </c>
      <c r="G29" s="95" t="s">
        <v>10</v>
      </c>
      <c r="H29" s="24"/>
      <c r="I29" s="25">
        <f t="shared" si="0"/>
        <v>153.36800000000002</v>
      </c>
      <c r="J29" s="84" t="s">
        <v>1197</v>
      </c>
    </row>
    <row r="30" spans="1:10">
      <c r="A30" s="29" t="s">
        <v>936</v>
      </c>
      <c r="B30" s="38">
        <v>40591</v>
      </c>
      <c r="C30" s="29" t="s">
        <v>347</v>
      </c>
      <c r="D30" s="29" t="s">
        <v>274</v>
      </c>
      <c r="E30" s="70">
        <f>848.53+843.05</f>
        <v>1691.58</v>
      </c>
      <c r="F30" s="39">
        <v>44826.879999999997</v>
      </c>
      <c r="G30" s="93" t="s">
        <v>10</v>
      </c>
      <c r="H30" s="38"/>
      <c r="I30" s="25">
        <f t="shared" si="0"/>
        <v>338.31600000000003</v>
      </c>
    </row>
    <row r="31" spans="1:10">
      <c r="A31" s="29" t="s">
        <v>937</v>
      </c>
      <c r="B31" s="38">
        <v>40591</v>
      </c>
      <c r="C31" s="29" t="s">
        <v>11</v>
      </c>
      <c r="D31" s="29" t="s">
        <v>274</v>
      </c>
      <c r="E31" s="70">
        <f>311.1+62+81.66+136.1</f>
        <v>590.86</v>
      </c>
      <c r="F31" s="39">
        <v>11669.66</v>
      </c>
      <c r="G31" s="93" t="s">
        <v>10</v>
      </c>
      <c r="H31" s="38"/>
      <c r="I31" s="25">
        <f t="shared" si="0"/>
        <v>118.17200000000001</v>
      </c>
    </row>
    <row r="32" spans="1:10">
      <c r="A32" s="29" t="s">
        <v>895</v>
      </c>
      <c r="B32" s="38">
        <v>40591</v>
      </c>
      <c r="C32" s="29" t="s">
        <v>11</v>
      </c>
      <c r="D32" s="29" t="s">
        <v>274</v>
      </c>
      <c r="E32" s="70">
        <f>108.2+40.83+108.88+163.32+10.88+40.83</f>
        <v>472.93999999999994</v>
      </c>
      <c r="F32" s="39">
        <v>12773.6</v>
      </c>
      <c r="G32" s="93" t="s">
        <v>10</v>
      </c>
      <c r="H32" s="38"/>
      <c r="I32" s="25">
        <f t="shared" si="0"/>
        <v>94.587999999999994</v>
      </c>
    </row>
    <row r="33" spans="1:10">
      <c r="A33" s="29" t="s">
        <v>1181</v>
      </c>
      <c r="B33" s="38">
        <v>40591</v>
      </c>
      <c r="C33" s="29" t="s">
        <v>347</v>
      </c>
      <c r="D33" s="29" t="s">
        <v>1179</v>
      </c>
      <c r="E33" s="70">
        <v>0</v>
      </c>
      <c r="F33" s="39">
        <v>22401.78</v>
      </c>
      <c r="G33" s="98" t="s">
        <v>1180</v>
      </c>
      <c r="H33" s="81" t="s">
        <v>1132</v>
      </c>
      <c r="I33" s="25">
        <f t="shared" si="0"/>
        <v>0</v>
      </c>
    </row>
    <row r="34" spans="1:10">
      <c r="A34" s="14" t="s">
        <v>1183</v>
      </c>
      <c r="B34" s="24">
        <v>40591</v>
      </c>
      <c r="C34" s="14" t="s">
        <v>11</v>
      </c>
      <c r="D34" s="14" t="s">
        <v>1182</v>
      </c>
      <c r="E34" s="71">
        <v>0</v>
      </c>
      <c r="F34" s="25">
        <v>32495.98</v>
      </c>
      <c r="G34" s="95" t="s">
        <v>1177</v>
      </c>
      <c r="H34" s="89" t="s">
        <v>1132</v>
      </c>
      <c r="I34" s="25">
        <f t="shared" si="0"/>
        <v>0</v>
      </c>
      <c r="J34" s="84" t="s">
        <v>1198</v>
      </c>
    </row>
    <row r="35" spans="1:10">
      <c r="A35" s="29" t="s">
        <v>1044</v>
      </c>
      <c r="B35" s="38">
        <v>40591</v>
      </c>
      <c r="C35" s="29" t="s">
        <v>845</v>
      </c>
      <c r="D35" s="29" t="s">
        <v>32</v>
      </c>
      <c r="E35" s="70">
        <v>41.8</v>
      </c>
      <c r="F35" s="39">
        <v>627</v>
      </c>
      <c r="G35" s="93" t="s">
        <v>10</v>
      </c>
      <c r="H35" s="38">
        <v>40677</v>
      </c>
      <c r="I35" s="25">
        <f t="shared" si="0"/>
        <v>8.36</v>
      </c>
    </row>
    <row r="36" spans="1:10">
      <c r="A36" s="29" t="s">
        <v>941</v>
      </c>
      <c r="B36" s="38">
        <v>40592</v>
      </c>
      <c r="C36" s="29" t="s">
        <v>11</v>
      </c>
      <c r="D36" s="29" t="s">
        <v>35</v>
      </c>
      <c r="E36" s="70">
        <f>11+60.5+340</f>
        <v>411.5</v>
      </c>
      <c r="F36" s="39">
        <v>12553</v>
      </c>
      <c r="G36" s="94" t="s">
        <v>10</v>
      </c>
      <c r="H36" s="38"/>
      <c r="I36" s="25">
        <f t="shared" si="0"/>
        <v>82.300000000000011</v>
      </c>
    </row>
    <row r="37" spans="1:10">
      <c r="A37" s="29" t="s">
        <v>1186</v>
      </c>
      <c r="B37" s="38">
        <v>40595</v>
      </c>
      <c r="C37" s="29" t="s">
        <v>11</v>
      </c>
      <c r="D37" s="29" t="s">
        <v>1184</v>
      </c>
      <c r="E37" s="70">
        <v>0</v>
      </c>
      <c r="F37" s="39">
        <v>48694.45</v>
      </c>
      <c r="G37" s="93" t="s">
        <v>1177</v>
      </c>
      <c r="H37" s="38">
        <v>40623</v>
      </c>
      <c r="I37" s="25">
        <f t="shared" si="0"/>
        <v>0</v>
      </c>
      <c r="J37" s="84" t="s">
        <v>1185</v>
      </c>
    </row>
    <row r="38" spans="1:10">
      <c r="A38" s="29" t="s">
        <v>904</v>
      </c>
      <c r="B38" s="38">
        <v>40595</v>
      </c>
      <c r="C38" s="29" t="s">
        <v>11</v>
      </c>
      <c r="D38" s="29" t="s">
        <v>899</v>
      </c>
      <c r="E38" s="70">
        <f>144.76+138.86+27.2+272.2+81.66+40.83+901.1</f>
        <v>1606.6100000000001</v>
      </c>
      <c r="F38" s="39">
        <v>48621.54</v>
      </c>
      <c r="G38" s="94" t="s">
        <v>10</v>
      </c>
      <c r="H38" s="38">
        <v>40625</v>
      </c>
      <c r="I38" s="25">
        <f t="shared" si="0"/>
        <v>321.32200000000006</v>
      </c>
    </row>
    <row r="39" spans="1:10">
      <c r="A39" s="14" t="s">
        <v>973</v>
      </c>
      <c r="B39" s="24">
        <v>40595</v>
      </c>
      <c r="C39" s="14" t="s">
        <v>11</v>
      </c>
      <c r="D39" s="14" t="s">
        <v>630</v>
      </c>
      <c r="E39" s="71">
        <f>23.46+265.44+34.32+76.9</f>
        <v>400.12</v>
      </c>
      <c r="F39" s="25">
        <v>20931.22</v>
      </c>
      <c r="G39" s="95" t="s">
        <v>10</v>
      </c>
      <c r="H39" s="24">
        <v>40611</v>
      </c>
      <c r="I39" s="25">
        <f t="shared" si="0"/>
        <v>80.024000000000001</v>
      </c>
      <c r="J39" s="84" t="s">
        <v>1199</v>
      </c>
    </row>
    <row r="40" spans="1:10">
      <c r="A40" s="14" t="s">
        <v>975</v>
      </c>
      <c r="B40" s="24">
        <v>40595</v>
      </c>
      <c r="C40" s="14" t="s">
        <v>347</v>
      </c>
      <c r="D40" s="14" t="s">
        <v>274</v>
      </c>
      <c r="E40" s="71">
        <f>933.9+917.6</f>
        <v>1851.5</v>
      </c>
      <c r="F40" s="25">
        <v>48694.45</v>
      </c>
      <c r="G40" s="95" t="s">
        <v>10</v>
      </c>
      <c r="H40" s="24">
        <v>40623</v>
      </c>
      <c r="I40" s="25">
        <f t="shared" si="0"/>
        <v>370.3</v>
      </c>
    </row>
    <row r="41" spans="1:10">
      <c r="A41" s="29" t="s">
        <v>919</v>
      </c>
      <c r="B41" s="38">
        <v>40596</v>
      </c>
      <c r="C41" s="29" t="s">
        <v>11</v>
      </c>
      <c r="D41" s="29" t="s">
        <v>35</v>
      </c>
      <c r="E41" s="70">
        <f>133+265.5+24</f>
        <v>422.5</v>
      </c>
      <c r="F41" s="39">
        <v>14496</v>
      </c>
      <c r="G41" s="93" t="s">
        <v>10</v>
      </c>
      <c r="H41" s="38">
        <v>40623</v>
      </c>
      <c r="I41" s="25">
        <f t="shared" si="0"/>
        <v>84.5</v>
      </c>
    </row>
    <row r="42" spans="1:10">
      <c r="A42" s="29" t="s">
        <v>898</v>
      </c>
      <c r="B42" s="38">
        <v>40598</v>
      </c>
      <c r="C42" s="38" t="s">
        <v>11</v>
      </c>
      <c r="D42" s="38" t="s">
        <v>899</v>
      </c>
      <c r="E42" s="70">
        <f>109.7+335+104.6+117+69.1+257.2</f>
        <v>992.59999999999991</v>
      </c>
      <c r="F42" s="39">
        <v>32051.7</v>
      </c>
      <c r="G42" s="94" t="s">
        <v>10</v>
      </c>
      <c r="H42" s="41">
        <v>36980</v>
      </c>
      <c r="I42" s="25">
        <f t="shared" si="0"/>
        <v>198.51999999999998</v>
      </c>
      <c r="J42" s="84" t="s">
        <v>1200</v>
      </c>
    </row>
    <row r="43" spans="1:10">
      <c r="A43" s="29" t="s">
        <v>930</v>
      </c>
      <c r="B43" s="38">
        <v>40598</v>
      </c>
      <c r="C43" s="29" t="s">
        <v>11</v>
      </c>
      <c r="D43" s="29" t="s">
        <v>899</v>
      </c>
      <c r="E43" s="70">
        <f>157.2+54.4+57.3</f>
        <v>268.89999999999998</v>
      </c>
      <c r="F43" s="39">
        <v>11593.75</v>
      </c>
      <c r="G43" s="94" t="s">
        <v>10</v>
      </c>
      <c r="H43" s="38"/>
      <c r="I43" s="25">
        <f t="shared" si="0"/>
        <v>53.78</v>
      </c>
    </row>
    <row r="44" spans="1:10">
      <c r="A44" s="29" t="s">
        <v>939</v>
      </c>
      <c r="B44" s="38">
        <v>40598</v>
      </c>
      <c r="C44" s="29" t="s">
        <v>347</v>
      </c>
      <c r="D44" s="29" t="s">
        <v>274</v>
      </c>
      <c r="E44" s="70">
        <v>848.56</v>
      </c>
      <c r="F44" s="39">
        <v>23334.58</v>
      </c>
      <c r="G44" s="94" t="s">
        <v>10</v>
      </c>
      <c r="H44" s="38"/>
      <c r="I44" s="25">
        <f t="shared" si="0"/>
        <v>169.71199999999999</v>
      </c>
    </row>
    <row r="45" spans="1:10">
      <c r="A45" s="29" t="s">
        <v>1187</v>
      </c>
      <c r="B45" s="38">
        <v>40600</v>
      </c>
      <c r="C45" s="29" t="s">
        <v>11</v>
      </c>
      <c r="D45" s="29" t="s">
        <v>35</v>
      </c>
      <c r="E45" s="70">
        <f>105.8+515.5</f>
        <v>621.29999999999995</v>
      </c>
      <c r="F45" s="39">
        <v>18395</v>
      </c>
      <c r="G45" s="93" t="s">
        <v>10</v>
      </c>
      <c r="H45" s="38">
        <v>40623</v>
      </c>
      <c r="I45" s="25">
        <f t="shared" si="0"/>
        <v>124.25999999999999</v>
      </c>
    </row>
    <row r="46" spans="1:10">
      <c r="A46" s="29" t="s">
        <v>905</v>
      </c>
      <c r="B46" s="38">
        <v>40602</v>
      </c>
      <c r="C46" s="29" t="s">
        <v>11</v>
      </c>
      <c r="D46" s="29" t="s">
        <v>274</v>
      </c>
      <c r="E46" s="70">
        <f>111.42+2204.4+422.9+42.49</f>
        <v>2781.21</v>
      </c>
      <c r="F46" s="83">
        <v>80035</v>
      </c>
      <c r="G46" s="93" t="s">
        <v>10</v>
      </c>
      <c r="H46" s="38">
        <v>40623</v>
      </c>
      <c r="I46" s="25">
        <f t="shared" si="0"/>
        <v>556.24200000000008</v>
      </c>
    </row>
    <row r="47" spans="1:10">
      <c r="A47" s="29" t="s">
        <v>938</v>
      </c>
      <c r="B47" s="38">
        <v>40602</v>
      </c>
      <c r="C47" s="29" t="s">
        <v>11</v>
      </c>
      <c r="D47" s="29" t="s">
        <v>274</v>
      </c>
      <c r="E47" s="70">
        <f>40.83+81.66+22.63+10.88+108.88</f>
        <v>264.88</v>
      </c>
      <c r="F47" s="39">
        <v>6868.51</v>
      </c>
      <c r="G47" s="93" t="s">
        <v>10</v>
      </c>
      <c r="H47" s="38"/>
      <c r="I47" s="25">
        <f t="shared" si="0"/>
        <v>52.975999999999999</v>
      </c>
    </row>
    <row r="48" spans="1:10">
      <c r="A48" s="29" t="s">
        <v>940</v>
      </c>
      <c r="B48" s="38">
        <v>40602</v>
      </c>
      <c r="C48" s="29" t="s">
        <v>347</v>
      </c>
      <c r="D48" s="29" t="s">
        <v>274</v>
      </c>
      <c r="E48" s="70">
        <v>843.99</v>
      </c>
      <c r="F48" s="39">
        <v>23040.93</v>
      </c>
      <c r="G48" s="93" t="s">
        <v>10</v>
      </c>
      <c r="H48" s="38"/>
      <c r="I48" s="25">
        <f t="shared" si="0"/>
        <v>168.798</v>
      </c>
    </row>
    <row r="49" spans="1:10">
      <c r="A49" s="29" t="s">
        <v>1189</v>
      </c>
      <c r="B49" s="38">
        <v>40602</v>
      </c>
      <c r="C49" s="29" t="s">
        <v>11</v>
      </c>
      <c r="D49" s="29" t="s">
        <v>1188</v>
      </c>
      <c r="E49" s="70">
        <v>0</v>
      </c>
      <c r="F49" s="39">
        <v>3277</v>
      </c>
      <c r="G49" s="93" t="s">
        <v>1177</v>
      </c>
      <c r="H49" s="81" t="s">
        <v>1132</v>
      </c>
      <c r="I49" s="25">
        <f t="shared" si="0"/>
        <v>0</v>
      </c>
      <c r="J49" s="84" t="s">
        <v>1193</v>
      </c>
    </row>
    <row r="50" spans="1:10">
      <c r="A50" s="14" t="s">
        <v>943</v>
      </c>
      <c r="B50" s="24">
        <v>40602</v>
      </c>
      <c r="C50" s="14" t="s">
        <v>11</v>
      </c>
      <c r="D50" s="14" t="s">
        <v>630</v>
      </c>
      <c r="E50" s="71">
        <f>48.9+27.8</f>
        <v>76.7</v>
      </c>
      <c r="F50" s="25">
        <v>3277</v>
      </c>
      <c r="G50" s="95" t="s">
        <v>10</v>
      </c>
      <c r="H50" s="24"/>
      <c r="I50" s="25">
        <f t="shared" si="0"/>
        <v>15.340000000000002</v>
      </c>
    </row>
    <row r="51" spans="1:10">
      <c r="A51" s="14" t="s">
        <v>1192</v>
      </c>
      <c r="B51" s="24">
        <v>40602</v>
      </c>
      <c r="C51" s="14" t="s">
        <v>11</v>
      </c>
      <c r="D51" s="14" t="s">
        <v>1190</v>
      </c>
      <c r="E51" s="71">
        <v>0</v>
      </c>
      <c r="F51" s="25">
        <v>36862.699999999997</v>
      </c>
      <c r="G51" s="95" t="s">
        <v>1191</v>
      </c>
      <c r="H51" s="89" t="s">
        <v>1132</v>
      </c>
      <c r="I51" s="25">
        <f t="shared" si="0"/>
        <v>0</v>
      </c>
    </row>
    <row r="52" spans="1:10">
      <c r="A52" s="14" t="s">
        <v>979</v>
      </c>
      <c r="B52" s="24">
        <v>40602</v>
      </c>
      <c r="C52" s="14" t="s">
        <v>11</v>
      </c>
      <c r="D52" s="14" t="s">
        <v>12</v>
      </c>
      <c r="E52" s="71">
        <v>257.04000000000002</v>
      </c>
      <c r="F52" s="25">
        <v>3598.56</v>
      </c>
      <c r="G52" s="95" t="s">
        <v>10</v>
      </c>
      <c r="H52" s="24"/>
      <c r="I52" s="25">
        <f t="shared" si="0"/>
        <v>51.408000000000008</v>
      </c>
    </row>
    <row r="53" spans="1:10">
      <c r="A53" s="29" t="s">
        <v>628</v>
      </c>
      <c r="B53" s="38">
        <v>40603</v>
      </c>
      <c r="C53" s="29" t="s">
        <v>11</v>
      </c>
      <c r="D53" s="29" t="s">
        <v>35</v>
      </c>
      <c r="E53" s="70">
        <f>75.5+82.8+77.7+77.4</f>
        <v>313.39999999999998</v>
      </c>
      <c r="F53" s="39">
        <v>8932</v>
      </c>
      <c r="G53" s="93" t="s">
        <v>10</v>
      </c>
      <c r="H53" s="38">
        <v>40623</v>
      </c>
      <c r="I53" s="25">
        <f t="shared" si="0"/>
        <v>62.68</v>
      </c>
    </row>
    <row r="54" spans="1:10">
      <c r="A54" s="38" t="s">
        <v>900</v>
      </c>
      <c r="B54" s="38">
        <v>40605</v>
      </c>
      <c r="C54" s="29" t="s">
        <v>11</v>
      </c>
      <c r="D54" s="29" t="s">
        <v>899</v>
      </c>
      <c r="E54" s="70">
        <f>161.66+420.8+299.62+27.2+100.5+37.76</f>
        <v>1047.5400000000002</v>
      </c>
      <c r="F54" s="39">
        <v>33916</v>
      </c>
      <c r="G54" s="93" t="s">
        <v>10</v>
      </c>
      <c r="H54" s="38">
        <v>40632</v>
      </c>
      <c r="I54" s="25">
        <f t="shared" si="0"/>
        <v>209.50800000000004</v>
      </c>
      <c r="J54" s="84" t="s">
        <v>1201</v>
      </c>
    </row>
    <row r="55" spans="1:10">
      <c r="A55" s="29" t="s">
        <v>924</v>
      </c>
      <c r="B55" s="38">
        <v>40605</v>
      </c>
      <c r="C55" s="29" t="s">
        <v>11</v>
      </c>
      <c r="D55" s="29" t="s">
        <v>35</v>
      </c>
      <c r="E55" s="70">
        <f>41.24+247.5+36.64</f>
        <v>325.38</v>
      </c>
      <c r="F55" s="39">
        <v>9564.5</v>
      </c>
      <c r="G55" s="94" t="s">
        <v>10</v>
      </c>
      <c r="H55" s="38">
        <v>40625</v>
      </c>
      <c r="I55" s="25">
        <f t="shared" si="0"/>
        <v>65.076000000000008</v>
      </c>
    </row>
    <row r="56" spans="1:10">
      <c r="A56" s="29" t="s">
        <v>926</v>
      </c>
      <c r="B56" s="38">
        <v>40605</v>
      </c>
      <c r="C56" s="29" t="s">
        <v>11</v>
      </c>
      <c r="D56" s="29" t="s">
        <v>32</v>
      </c>
      <c r="E56" s="70">
        <f>356.3+109.02+53.9+32.96+316.98+845.35</f>
        <v>1714.5100000000002</v>
      </c>
      <c r="F56" s="39">
        <v>46430.5</v>
      </c>
      <c r="G56" s="93" t="s">
        <v>10</v>
      </c>
      <c r="H56" s="38"/>
      <c r="I56" s="25">
        <f t="shared" si="0"/>
        <v>342.90200000000004</v>
      </c>
    </row>
    <row r="57" spans="1:10">
      <c r="A57" s="29" t="s">
        <v>931</v>
      </c>
      <c r="B57" s="38">
        <v>40605</v>
      </c>
      <c r="C57" s="29" t="s">
        <v>347</v>
      </c>
      <c r="D57" s="29" t="s">
        <v>274</v>
      </c>
      <c r="E57" s="70">
        <v>849.43</v>
      </c>
      <c r="F57" s="39">
        <v>24378.69</v>
      </c>
      <c r="G57" s="93" t="s">
        <v>10</v>
      </c>
      <c r="H57" s="38">
        <v>40623</v>
      </c>
      <c r="I57" s="25">
        <f t="shared" si="0"/>
        <v>169.886</v>
      </c>
    </row>
    <row r="58" spans="1:10">
      <c r="A58" s="29" t="s">
        <v>932</v>
      </c>
      <c r="B58" s="38">
        <v>40605</v>
      </c>
      <c r="C58" s="29" t="s">
        <v>11</v>
      </c>
      <c r="D58" s="29" t="s">
        <v>274</v>
      </c>
      <c r="E58" s="70">
        <f>101.12+335.2</f>
        <v>436.32</v>
      </c>
      <c r="F58" s="39">
        <v>11052.16</v>
      </c>
      <c r="G58" s="93" t="s">
        <v>10</v>
      </c>
      <c r="H58" s="38">
        <v>40623</v>
      </c>
      <c r="I58" s="25">
        <f t="shared" si="0"/>
        <v>87.26400000000001</v>
      </c>
    </row>
    <row r="59" spans="1:10">
      <c r="A59" s="29" t="s">
        <v>1202</v>
      </c>
      <c r="B59" s="38">
        <v>40605</v>
      </c>
      <c r="C59" s="29" t="s">
        <v>11</v>
      </c>
      <c r="D59" s="29" t="s">
        <v>274</v>
      </c>
      <c r="E59" s="70">
        <f>81.66+40.83+10.88+10.52+59.2</f>
        <v>203.09000000000003</v>
      </c>
      <c r="F59" s="39">
        <v>6319.47</v>
      </c>
      <c r="G59" s="93" t="s">
        <v>10</v>
      </c>
      <c r="H59" s="38">
        <v>40623</v>
      </c>
      <c r="I59" s="25">
        <f t="shared" si="0"/>
        <v>40.618000000000009</v>
      </c>
    </row>
    <row r="60" spans="1:10">
      <c r="A60" s="14" t="s">
        <v>1010</v>
      </c>
      <c r="B60" s="24">
        <v>40605</v>
      </c>
      <c r="C60" s="14" t="s">
        <v>349</v>
      </c>
      <c r="D60" s="99" t="s">
        <v>274</v>
      </c>
      <c r="E60" s="100">
        <v>1764.9</v>
      </c>
      <c r="F60" s="25">
        <v>52064.55</v>
      </c>
      <c r="G60" s="95" t="s">
        <v>10</v>
      </c>
      <c r="H60" s="24"/>
      <c r="I60" s="25">
        <f t="shared" si="0"/>
        <v>352.98</v>
      </c>
    </row>
    <row r="61" spans="1:10">
      <c r="A61" s="14" t="s">
        <v>990</v>
      </c>
      <c r="B61" s="24">
        <v>40606</v>
      </c>
      <c r="C61" s="14" t="s">
        <v>11</v>
      </c>
      <c r="D61" s="99" t="s">
        <v>32</v>
      </c>
      <c r="E61" s="100">
        <f>547.52+269.5+206.7+109.92</f>
        <v>1133.6400000000001</v>
      </c>
      <c r="F61" s="25">
        <v>37277</v>
      </c>
      <c r="G61" s="95" t="s">
        <v>10</v>
      </c>
      <c r="H61" s="24">
        <v>40618</v>
      </c>
      <c r="I61" s="25">
        <f t="shared" si="0"/>
        <v>226.72800000000004</v>
      </c>
    </row>
    <row r="62" spans="1:10">
      <c r="A62" s="14" t="s">
        <v>994</v>
      </c>
      <c r="B62" s="24">
        <v>40606</v>
      </c>
      <c r="C62" s="14" t="s">
        <v>79</v>
      </c>
      <c r="D62" s="99" t="s">
        <v>12</v>
      </c>
      <c r="E62" s="100">
        <v>265.82</v>
      </c>
      <c r="F62" s="25">
        <v>3721.5</v>
      </c>
      <c r="G62" s="95" t="s">
        <v>10</v>
      </c>
      <c r="H62" s="24">
        <v>40608</v>
      </c>
      <c r="I62" s="25">
        <f t="shared" si="0"/>
        <v>53.164000000000001</v>
      </c>
    </row>
    <row r="63" spans="1:10">
      <c r="A63" s="29" t="s">
        <v>925</v>
      </c>
      <c r="B63" s="38">
        <v>40607</v>
      </c>
      <c r="C63" s="29" t="s">
        <v>11</v>
      </c>
      <c r="D63" s="29" t="s">
        <v>35</v>
      </c>
      <c r="E63" s="70">
        <f>11.7+439.2</f>
        <v>450.9</v>
      </c>
      <c r="F63" s="39">
        <v>13195</v>
      </c>
      <c r="G63" s="93" t="s">
        <v>10</v>
      </c>
      <c r="H63" s="38">
        <v>40625</v>
      </c>
      <c r="I63" s="25">
        <f t="shared" si="0"/>
        <v>90.18</v>
      </c>
    </row>
    <row r="64" spans="1:10">
      <c r="A64" s="29" t="s">
        <v>897</v>
      </c>
      <c r="B64" s="38">
        <v>40609</v>
      </c>
      <c r="C64" s="29" t="s">
        <v>11</v>
      </c>
      <c r="D64" s="29" t="s">
        <v>32</v>
      </c>
      <c r="E64" s="70">
        <f>922.6+525.04+30.2+174.54+233.9</f>
        <v>1886.28</v>
      </c>
      <c r="F64" s="39">
        <v>57652.5</v>
      </c>
      <c r="G64" s="93" t="s">
        <v>10</v>
      </c>
      <c r="H64" s="38"/>
      <c r="I64" s="25">
        <f t="shared" si="0"/>
        <v>377.25600000000003</v>
      </c>
    </row>
    <row r="65" spans="1:10">
      <c r="A65" s="29" t="s">
        <v>908</v>
      </c>
      <c r="B65" s="38">
        <v>40609</v>
      </c>
      <c r="C65" s="29" t="s">
        <v>347</v>
      </c>
      <c r="D65" s="29" t="s">
        <v>274</v>
      </c>
      <c r="E65" s="70">
        <v>848.07</v>
      </c>
      <c r="F65" s="39">
        <v>24424.42</v>
      </c>
      <c r="G65" s="94" t="s">
        <v>10</v>
      </c>
      <c r="H65" s="38">
        <v>40625</v>
      </c>
      <c r="I65" s="25">
        <f t="shared" si="0"/>
        <v>169.61400000000003</v>
      </c>
    </row>
    <row r="66" spans="1:10">
      <c r="A66" s="29" t="s">
        <v>909</v>
      </c>
      <c r="B66" s="38">
        <v>40609</v>
      </c>
      <c r="C66" s="29" t="s">
        <v>11</v>
      </c>
      <c r="D66" s="29" t="s">
        <v>274</v>
      </c>
      <c r="E66" s="70">
        <f>42.12+133.5+16.28</f>
        <v>191.9</v>
      </c>
      <c r="F66" s="39">
        <v>4268.76</v>
      </c>
      <c r="G66" s="93" t="s">
        <v>10</v>
      </c>
      <c r="H66" s="38">
        <v>40625</v>
      </c>
      <c r="I66" s="25">
        <f t="shared" si="0"/>
        <v>38.380000000000003</v>
      </c>
    </row>
    <row r="67" spans="1:10">
      <c r="A67" s="29" t="s">
        <v>910</v>
      </c>
      <c r="B67" s="38">
        <v>40609</v>
      </c>
      <c r="C67" s="29" t="s">
        <v>347</v>
      </c>
      <c r="D67" s="29" t="s">
        <v>274</v>
      </c>
      <c r="E67" s="70">
        <v>919</v>
      </c>
      <c r="F67" s="39">
        <v>26467.5</v>
      </c>
      <c r="G67" s="94" t="s">
        <v>10</v>
      </c>
      <c r="H67" s="38">
        <v>40625</v>
      </c>
      <c r="I67" s="25">
        <f t="shared" si="0"/>
        <v>183.8</v>
      </c>
    </row>
    <row r="68" spans="1:10">
      <c r="A68" s="29" t="s">
        <v>911</v>
      </c>
      <c r="B68" s="38">
        <v>40609</v>
      </c>
      <c r="C68" s="29" t="s">
        <v>11</v>
      </c>
      <c r="D68" s="29" t="s">
        <v>274</v>
      </c>
      <c r="E68" s="70">
        <f>10.88+217.76+27.22+22.13</f>
        <v>277.99</v>
      </c>
      <c r="F68" s="39">
        <v>7842.45</v>
      </c>
      <c r="G68" s="93" t="s">
        <v>10</v>
      </c>
      <c r="H68" s="38">
        <v>40625</v>
      </c>
      <c r="I68" s="25">
        <f t="shared" si="0"/>
        <v>55.598000000000006</v>
      </c>
    </row>
    <row r="69" spans="1:10">
      <c r="A69" s="29" t="s">
        <v>914</v>
      </c>
      <c r="B69" s="38">
        <v>40609</v>
      </c>
      <c r="C69" s="29" t="s">
        <v>45</v>
      </c>
      <c r="D69" s="29" t="s">
        <v>12</v>
      </c>
      <c r="E69" s="70">
        <v>197.7</v>
      </c>
      <c r="F69" s="39">
        <v>2767.5</v>
      </c>
      <c r="G69" s="93" t="s">
        <v>10</v>
      </c>
      <c r="H69" s="38"/>
      <c r="I69" s="25">
        <f t="shared" si="0"/>
        <v>39.54</v>
      </c>
      <c r="J69" s="84" t="s">
        <v>1203</v>
      </c>
    </row>
    <row r="70" spans="1:10">
      <c r="A70" s="29" t="s">
        <v>915</v>
      </c>
      <c r="B70" s="38">
        <v>40609</v>
      </c>
      <c r="C70" s="29" t="s">
        <v>823</v>
      </c>
      <c r="D70" s="29" t="s">
        <v>12</v>
      </c>
      <c r="E70" s="70">
        <v>205.5</v>
      </c>
      <c r="F70" s="39">
        <v>7295.25</v>
      </c>
      <c r="G70" s="94" t="s">
        <v>10</v>
      </c>
      <c r="H70" s="38"/>
      <c r="I70" s="25">
        <f t="shared" si="0"/>
        <v>41.1</v>
      </c>
      <c r="J70" s="84" t="s">
        <v>1203</v>
      </c>
    </row>
    <row r="71" spans="1:10">
      <c r="A71" s="14" t="s">
        <v>964</v>
      </c>
      <c r="B71" s="24">
        <v>40609</v>
      </c>
      <c r="C71" s="24" t="s">
        <v>11</v>
      </c>
      <c r="D71" s="101" t="s">
        <v>423</v>
      </c>
      <c r="E71" s="100">
        <f>254.36+694.1+44.38</f>
        <v>992.84</v>
      </c>
      <c r="F71" s="25">
        <v>19329</v>
      </c>
      <c r="G71" s="95" t="s">
        <v>10</v>
      </c>
      <c r="H71" s="26">
        <v>40615</v>
      </c>
      <c r="I71" s="25">
        <f t="shared" si="0"/>
        <v>198.56800000000001</v>
      </c>
    </row>
    <row r="72" spans="1:10">
      <c r="A72" s="29" t="s">
        <v>902</v>
      </c>
      <c r="B72" s="38">
        <v>40612</v>
      </c>
      <c r="C72" s="29" t="s">
        <v>11</v>
      </c>
      <c r="D72" s="99" t="s">
        <v>274</v>
      </c>
      <c r="E72" s="100">
        <v>895.69</v>
      </c>
      <c r="F72" s="39">
        <v>24362.7</v>
      </c>
      <c r="G72" s="93" t="s">
        <v>10</v>
      </c>
      <c r="H72" s="38">
        <v>40632</v>
      </c>
      <c r="I72" s="25">
        <f t="shared" si="0"/>
        <v>179.13800000000003</v>
      </c>
    </row>
    <row r="73" spans="1:10">
      <c r="A73" s="29" t="s">
        <v>903</v>
      </c>
      <c r="B73" s="38">
        <v>40612</v>
      </c>
      <c r="C73" s="29" t="s">
        <v>11</v>
      </c>
      <c r="D73" s="29" t="s">
        <v>274</v>
      </c>
      <c r="E73" s="70">
        <f>151.54+65.1+298.3+108.88+24.3+13.61</f>
        <v>661.73</v>
      </c>
      <c r="F73" s="39">
        <v>17475.990000000002</v>
      </c>
      <c r="G73" s="93" t="s">
        <v>10</v>
      </c>
      <c r="H73" s="38">
        <v>40632</v>
      </c>
      <c r="I73" s="25">
        <f t="shared" si="0"/>
        <v>132.346</v>
      </c>
    </row>
    <row r="74" spans="1:10">
      <c r="A74" s="29" t="s">
        <v>912</v>
      </c>
      <c r="B74" s="38">
        <v>40612</v>
      </c>
      <c r="C74" s="29" t="s">
        <v>11</v>
      </c>
      <c r="D74" s="29" t="s">
        <v>32</v>
      </c>
      <c r="E74" s="70">
        <f>339.6+52.48+193.48+317.3+197.4+289.06+859.41</f>
        <v>2248.73</v>
      </c>
      <c r="F74" s="39">
        <v>61539.27</v>
      </c>
      <c r="G74" s="93" t="s">
        <v>10</v>
      </c>
      <c r="H74" s="38">
        <v>40625</v>
      </c>
      <c r="I74" s="25">
        <f t="shared" si="0"/>
        <v>449.74600000000004</v>
      </c>
    </row>
    <row r="75" spans="1:10">
      <c r="A75" s="29" t="s">
        <v>921</v>
      </c>
      <c r="B75" s="38">
        <v>40612</v>
      </c>
      <c r="C75" s="29" t="s">
        <v>11</v>
      </c>
      <c r="D75" s="29" t="s">
        <v>35</v>
      </c>
      <c r="E75" s="70">
        <f>230.5+52.06</f>
        <v>282.56</v>
      </c>
      <c r="F75" s="39">
        <v>8276</v>
      </c>
      <c r="G75" s="93" t="s">
        <v>10</v>
      </c>
      <c r="H75" s="38">
        <v>40628</v>
      </c>
      <c r="I75" s="25">
        <f t="shared" si="0"/>
        <v>56.512</v>
      </c>
    </row>
    <row r="76" spans="1:10">
      <c r="A76" s="29" t="s">
        <v>928</v>
      </c>
      <c r="B76" s="38">
        <v>40612</v>
      </c>
      <c r="C76" s="29" t="s">
        <v>11</v>
      </c>
      <c r="D76" s="29" t="s">
        <v>1204</v>
      </c>
      <c r="E76" s="88">
        <v>1583.1</v>
      </c>
      <c r="F76" s="39">
        <v>46701.45</v>
      </c>
      <c r="G76" s="93" t="s">
        <v>10</v>
      </c>
      <c r="H76" s="38"/>
      <c r="I76" s="25">
        <f t="shared" si="0"/>
        <v>316.62</v>
      </c>
    </row>
    <row r="77" spans="1:10">
      <c r="A77" s="29" t="s">
        <v>922</v>
      </c>
      <c r="B77" s="38">
        <v>40613</v>
      </c>
      <c r="C77" s="29" t="s">
        <v>11</v>
      </c>
      <c r="D77" s="29" t="s">
        <v>35</v>
      </c>
      <c r="E77" s="70">
        <f>159.5+24.2</f>
        <v>183.7</v>
      </c>
      <c r="F77" s="39">
        <v>6111.5</v>
      </c>
      <c r="G77" s="94" t="s">
        <v>10</v>
      </c>
      <c r="H77" s="38">
        <v>40628</v>
      </c>
      <c r="I77" s="25">
        <f t="shared" si="0"/>
        <v>36.74</v>
      </c>
    </row>
    <row r="78" spans="1:10">
      <c r="A78" s="29" t="s">
        <v>929</v>
      </c>
      <c r="B78" s="38">
        <v>40614</v>
      </c>
      <c r="C78" s="29" t="s">
        <v>349</v>
      </c>
      <c r="D78" s="29" t="s">
        <v>35</v>
      </c>
      <c r="E78" s="70">
        <v>439.2</v>
      </c>
      <c r="F78" s="39">
        <v>12078</v>
      </c>
      <c r="G78" s="93" t="s">
        <v>10</v>
      </c>
      <c r="H78" s="38">
        <v>40632</v>
      </c>
      <c r="I78" s="25">
        <f t="shared" si="0"/>
        <v>87.84</v>
      </c>
    </row>
    <row r="79" spans="1:10">
      <c r="A79" s="14" t="s">
        <v>1206</v>
      </c>
      <c r="B79" s="24">
        <v>40614</v>
      </c>
      <c r="C79" s="14" t="s">
        <v>349</v>
      </c>
      <c r="D79" s="14" t="s">
        <v>1205</v>
      </c>
      <c r="E79" s="71">
        <v>0</v>
      </c>
      <c r="F79" s="25">
        <v>12078</v>
      </c>
      <c r="G79" s="95" t="s">
        <v>1177</v>
      </c>
      <c r="H79" s="24">
        <v>40632</v>
      </c>
      <c r="I79" s="25">
        <f t="shared" si="0"/>
        <v>0</v>
      </c>
      <c r="J79" s="84" t="s">
        <v>1185</v>
      </c>
    </row>
    <row r="80" spans="1:10">
      <c r="A80" s="29" t="s">
        <v>901</v>
      </c>
      <c r="B80" s="38">
        <v>40616</v>
      </c>
      <c r="C80" s="29" t="s">
        <v>11</v>
      </c>
      <c r="D80" s="29" t="s">
        <v>274</v>
      </c>
      <c r="E80" s="70">
        <f>839.91+898.87</f>
        <v>1738.78</v>
      </c>
      <c r="F80" s="39">
        <v>47468.69</v>
      </c>
      <c r="G80" s="94" t="s">
        <v>10</v>
      </c>
      <c r="H80" s="38">
        <v>40632</v>
      </c>
      <c r="I80" s="25">
        <f t="shared" si="0"/>
        <v>347.75600000000003</v>
      </c>
    </row>
    <row r="81" spans="1:10">
      <c r="A81" s="29" t="s">
        <v>870</v>
      </c>
      <c r="B81" s="38">
        <v>40616</v>
      </c>
      <c r="C81" s="29" t="s">
        <v>11</v>
      </c>
      <c r="D81" s="29" t="s">
        <v>274</v>
      </c>
      <c r="E81" s="70">
        <f>84.72+54.44+136.1+27.22+13.61</f>
        <v>316.09000000000003</v>
      </c>
      <c r="F81" s="39">
        <v>7587.17</v>
      </c>
      <c r="G81" s="93" t="s">
        <v>10</v>
      </c>
      <c r="H81" s="38">
        <v>40632</v>
      </c>
      <c r="I81" s="25">
        <f t="shared" si="0"/>
        <v>63.218000000000011</v>
      </c>
    </row>
    <row r="82" spans="1:10">
      <c r="A82" s="29" t="s">
        <v>817</v>
      </c>
      <c r="B82" s="38">
        <v>40616</v>
      </c>
      <c r="C82" s="29" t="s">
        <v>11</v>
      </c>
      <c r="D82" s="29" t="s">
        <v>32</v>
      </c>
      <c r="E82" s="70">
        <f>1261.5+10.88</f>
        <v>1272.3800000000001</v>
      </c>
      <c r="F82" s="39">
        <v>37143.5</v>
      </c>
      <c r="G82" s="93" t="s">
        <v>10</v>
      </c>
      <c r="H82" s="38"/>
      <c r="I82" s="25">
        <f t="shared" si="0"/>
        <v>254.47600000000003</v>
      </c>
    </row>
    <row r="83" spans="1:10">
      <c r="A83" s="29" t="s">
        <v>913</v>
      </c>
      <c r="B83" s="38">
        <v>40616</v>
      </c>
      <c r="C83" s="29" t="s">
        <v>11</v>
      </c>
      <c r="D83" s="29" t="s">
        <v>339</v>
      </c>
      <c r="E83" s="70">
        <v>1241.8</v>
      </c>
      <c r="F83" s="39">
        <v>16143.5</v>
      </c>
      <c r="G83" s="93" t="s">
        <v>10</v>
      </c>
      <c r="H83" s="38">
        <v>40632</v>
      </c>
      <c r="I83" s="25">
        <f t="shared" si="0"/>
        <v>248.36</v>
      </c>
    </row>
    <row r="84" spans="1:10">
      <c r="A84" s="29" t="s">
        <v>927</v>
      </c>
      <c r="B84" s="38">
        <v>40616</v>
      </c>
      <c r="C84" s="29" t="s">
        <v>11</v>
      </c>
      <c r="D84" s="29" t="s">
        <v>423</v>
      </c>
      <c r="E84" s="70">
        <f>514.3+104.5</f>
        <v>618.79999999999995</v>
      </c>
      <c r="F84" s="39">
        <v>11749</v>
      </c>
      <c r="G84" s="93" t="s">
        <v>10</v>
      </c>
      <c r="H84" s="38"/>
      <c r="I84" s="25">
        <f t="shared" si="0"/>
        <v>123.75999999999999</v>
      </c>
    </row>
    <row r="85" spans="1:10">
      <c r="A85" s="29" t="s">
        <v>814</v>
      </c>
      <c r="B85" s="38">
        <v>40616</v>
      </c>
      <c r="C85" s="29" t="s">
        <v>349</v>
      </c>
      <c r="D85" s="29" t="s">
        <v>274</v>
      </c>
      <c r="E85" s="70">
        <v>2126.5</v>
      </c>
      <c r="F85" s="39">
        <v>60605</v>
      </c>
      <c r="G85" s="94" t="s">
        <v>10</v>
      </c>
      <c r="H85" s="38"/>
      <c r="I85" s="25">
        <f t="shared" si="0"/>
        <v>425.3</v>
      </c>
      <c r="J85" s="84" t="s">
        <v>1207</v>
      </c>
    </row>
    <row r="86" spans="1:10">
      <c r="A86" s="29" t="s">
        <v>1011</v>
      </c>
      <c r="B86" s="38">
        <v>40616</v>
      </c>
      <c r="C86" s="29" t="s">
        <v>11</v>
      </c>
      <c r="D86" s="29" t="s">
        <v>25</v>
      </c>
      <c r="E86" s="70">
        <v>774.18</v>
      </c>
      <c r="F86" s="39">
        <v>25742.09</v>
      </c>
      <c r="G86" s="93" t="s">
        <v>10</v>
      </c>
      <c r="H86" s="38">
        <v>40622</v>
      </c>
      <c r="I86" s="25">
        <f t="shared" ref="I86:I134" si="1">$I$6*E86</f>
        <v>154.83600000000001</v>
      </c>
      <c r="J86" s="84" t="s">
        <v>1208</v>
      </c>
    </row>
    <row r="87" spans="1:10">
      <c r="A87" s="14" t="s">
        <v>1002</v>
      </c>
      <c r="B87" s="24">
        <v>40617</v>
      </c>
      <c r="C87" s="14" t="s">
        <v>11</v>
      </c>
      <c r="D87" s="14" t="s">
        <v>35</v>
      </c>
      <c r="E87" s="71">
        <f>61.5+150.3</f>
        <v>211.8</v>
      </c>
      <c r="F87" s="25">
        <v>6355.5</v>
      </c>
      <c r="G87" s="95" t="s">
        <v>10</v>
      </c>
      <c r="H87" s="24"/>
      <c r="I87" s="25">
        <f t="shared" si="1"/>
        <v>42.360000000000007</v>
      </c>
    </row>
    <row r="88" spans="1:10">
      <c r="A88" s="29" t="s">
        <v>916</v>
      </c>
      <c r="B88" s="38">
        <v>40618</v>
      </c>
      <c r="C88" s="29" t="s">
        <v>45</v>
      </c>
      <c r="D88" s="29" t="s">
        <v>12</v>
      </c>
      <c r="E88" s="70">
        <v>293.5</v>
      </c>
      <c r="F88" s="39">
        <v>4109</v>
      </c>
      <c r="G88" s="93" t="s">
        <v>10</v>
      </c>
      <c r="H88" s="38">
        <v>40623</v>
      </c>
      <c r="I88" s="25">
        <f t="shared" si="1"/>
        <v>58.7</v>
      </c>
    </row>
    <row r="89" spans="1:10">
      <c r="A89" s="29" t="s">
        <v>934</v>
      </c>
      <c r="B89" s="38">
        <v>40618</v>
      </c>
      <c r="C89" s="29" t="s">
        <v>11</v>
      </c>
      <c r="D89" s="29" t="s">
        <v>13</v>
      </c>
      <c r="E89" s="70">
        <f>21.92+17.9+27.26+326.64</f>
        <v>393.71999999999997</v>
      </c>
      <c r="F89" s="39">
        <v>7503.74</v>
      </c>
      <c r="G89" s="93" t="s">
        <v>10</v>
      </c>
      <c r="H89" s="38"/>
      <c r="I89" s="25">
        <f t="shared" si="1"/>
        <v>78.744</v>
      </c>
    </row>
    <row r="90" spans="1:10">
      <c r="A90" s="29" t="s">
        <v>894</v>
      </c>
      <c r="B90" s="38">
        <v>40619</v>
      </c>
      <c r="C90" s="38" t="s">
        <v>11</v>
      </c>
      <c r="D90" s="38" t="s">
        <v>32</v>
      </c>
      <c r="E90" s="70">
        <f>575.4+930.3+378.9+249.44+174.54+236.58+336.42</f>
        <v>2881.58</v>
      </c>
      <c r="F90" s="39">
        <v>79735.5</v>
      </c>
      <c r="G90" s="94" t="s">
        <v>10</v>
      </c>
      <c r="H90" s="41">
        <v>40632</v>
      </c>
      <c r="I90" s="25">
        <f t="shared" si="1"/>
        <v>576.31600000000003</v>
      </c>
    </row>
    <row r="91" spans="1:10">
      <c r="A91" s="29" t="s">
        <v>920</v>
      </c>
      <c r="B91" s="38">
        <v>40619</v>
      </c>
      <c r="C91" s="29" t="s">
        <v>11</v>
      </c>
      <c r="D91" s="29" t="s">
        <v>35</v>
      </c>
      <c r="E91" s="70">
        <v>254</v>
      </c>
      <c r="F91" s="39">
        <v>7709</v>
      </c>
      <c r="G91" s="93" t="s">
        <v>10</v>
      </c>
      <c r="H91" s="38">
        <v>40628</v>
      </c>
      <c r="I91" s="25">
        <f t="shared" si="1"/>
        <v>50.800000000000004</v>
      </c>
    </row>
    <row r="92" spans="1:10">
      <c r="A92" s="14" t="s">
        <v>987</v>
      </c>
      <c r="B92" s="24">
        <v>40619</v>
      </c>
      <c r="C92" s="14" t="s">
        <v>347</v>
      </c>
      <c r="D92" s="14" t="s">
        <v>988</v>
      </c>
      <c r="E92" s="71">
        <v>936.2</v>
      </c>
      <c r="F92" s="25">
        <v>25464.5</v>
      </c>
      <c r="G92" s="95" t="s">
        <v>10</v>
      </c>
      <c r="H92" s="24">
        <v>40604</v>
      </c>
      <c r="I92" s="25">
        <f t="shared" si="1"/>
        <v>187.24</v>
      </c>
    </row>
    <row r="93" spans="1:10">
      <c r="A93" s="14" t="s">
        <v>1006</v>
      </c>
      <c r="B93" s="24">
        <v>40619</v>
      </c>
      <c r="C93" s="14" t="s">
        <v>11</v>
      </c>
      <c r="D93" s="14" t="s">
        <v>274</v>
      </c>
      <c r="E93" s="71">
        <f>933+158.3+72.58+23.76+69.08+374.1+27.2</f>
        <v>1658.0199999999998</v>
      </c>
      <c r="F93" s="25">
        <v>44305.36</v>
      </c>
      <c r="G93" s="95" t="s">
        <v>10</v>
      </c>
      <c r="H93" s="24">
        <v>40608</v>
      </c>
      <c r="I93" s="25">
        <f t="shared" si="1"/>
        <v>331.60399999999998</v>
      </c>
    </row>
    <row r="94" spans="1:10">
      <c r="A94" s="29" t="s">
        <v>1014</v>
      </c>
      <c r="B94" s="38">
        <v>40619</v>
      </c>
      <c r="C94" s="29" t="s">
        <v>11</v>
      </c>
      <c r="D94" s="29" t="s">
        <v>25</v>
      </c>
      <c r="E94" s="70">
        <f>109.9+47.3+16.32+50.64+147.1+199.9</f>
        <v>571.16</v>
      </c>
      <c r="F94" s="39">
        <v>16983.919999999998</v>
      </c>
      <c r="G94" s="93" t="s">
        <v>10</v>
      </c>
      <c r="H94" s="38">
        <v>40670</v>
      </c>
      <c r="I94" s="25">
        <f t="shared" si="1"/>
        <v>114.232</v>
      </c>
      <c r="J94" s="84" t="s">
        <v>1209</v>
      </c>
    </row>
    <row r="95" spans="1:10">
      <c r="A95" s="29" t="s">
        <v>743</v>
      </c>
      <c r="B95" s="38">
        <v>40621</v>
      </c>
      <c r="C95" s="29" t="s">
        <v>11</v>
      </c>
      <c r="D95" s="29" t="s">
        <v>35</v>
      </c>
      <c r="E95" s="70">
        <f>120+502.5</f>
        <v>622.5</v>
      </c>
      <c r="F95" s="39">
        <v>18007.5</v>
      </c>
      <c r="G95" s="94" t="s">
        <v>10</v>
      </c>
      <c r="H95" s="38">
        <v>40630</v>
      </c>
      <c r="I95" s="25">
        <f t="shared" si="1"/>
        <v>124.5</v>
      </c>
    </row>
    <row r="96" spans="1:10">
      <c r="A96" s="14" t="s">
        <v>982</v>
      </c>
      <c r="B96" s="24">
        <v>40622</v>
      </c>
      <c r="C96" s="14" t="s">
        <v>983</v>
      </c>
      <c r="D96" s="14" t="s">
        <v>35</v>
      </c>
      <c r="E96" s="71">
        <v>97.1</v>
      </c>
      <c r="F96" s="25">
        <v>4272.5</v>
      </c>
      <c r="G96" s="95" t="s">
        <v>10</v>
      </c>
      <c r="H96" s="24"/>
      <c r="I96" s="25">
        <f t="shared" si="1"/>
        <v>19.420000000000002</v>
      </c>
    </row>
    <row r="97" spans="1:10">
      <c r="A97" s="29" t="s">
        <v>808</v>
      </c>
      <c r="B97" s="38">
        <v>40623</v>
      </c>
      <c r="C97" s="29" t="s">
        <v>11</v>
      </c>
      <c r="D97" s="29" t="s">
        <v>12</v>
      </c>
      <c r="E97" s="70">
        <v>190.6</v>
      </c>
      <c r="F97" s="39">
        <v>2668.4</v>
      </c>
      <c r="G97" s="93" t="s">
        <v>10</v>
      </c>
      <c r="H97" s="38"/>
      <c r="I97" s="25">
        <f t="shared" si="1"/>
        <v>38.119999999999997</v>
      </c>
      <c r="J97" s="84" t="s">
        <v>1210</v>
      </c>
    </row>
    <row r="98" spans="1:10">
      <c r="A98" s="29" t="s">
        <v>906</v>
      </c>
      <c r="B98" s="38">
        <v>40623</v>
      </c>
      <c r="C98" s="29" t="s">
        <v>11</v>
      </c>
      <c r="D98" s="29" t="s">
        <v>44</v>
      </c>
      <c r="E98" s="70">
        <f>91.24+109+163.31</f>
        <v>363.55</v>
      </c>
      <c r="F98" s="39">
        <v>6180.16</v>
      </c>
      <c r="G98" s="93" t="s">
        <v>10</v>
      </c>
      <c r="H98" s="38">
        <v>40632</v>
      </c>
      <c r="I98" s="25">
        <f t="shared" si="1"/>
        <v>72.710000000000008</v>
      </c>
    </row>
    <row r="99" spans="1:10">
      <c r="A99" s="29" t="s">
        <v>907</v>
      </c>
      <c r="B99" s="38">
        <v>40623</v>
      </c>
      <c r="C99" s="29" t="s">
        <v>349</v>
      </c>
      <c r="D99" s="29" t="s">
        <v>357</v>
      </c>
      <c r="E99" s="70">
        <v>1513.3</v>
      </c>
      <c r="F99" s="39">
        <v>43129.05</v>
      </c>
      <c r="G99" s="93" t="s">
        <v>10</v>
      </c>
      <c r="H99" s="38">
        <v>40625</v>
      </c>
      <c r="I99" s="25">
        <f t="shared" si="1"/>
        <v>302.66000000000003</v>
      </c>
    </row>
    <row r="100" spans="1:10">
      <c r="A100" s="29" t="s">
        <v>805</v>
      </c>
      <c r="B100" s="38">
        <v>40623</v>
      </c>
      <c r="C100" s="29" t="s">
        <v>11</v>
      </c>
      <c r="D100" s="29" t="s">
        <v>423</v>
      </c>
      <c r="E100" s="70">
        <f>466.9+341.44+32.64</f>
        <v>840.9799999999999</v>
      </c>
      <c r="F100" s="39">
        <v>15793.96</v>
      </c>
      <c r="G100" s="94" t="s">
        <v>10</v>
      </c>
      <c r="H100" s="38"/>
      <c r="I100" s="25">
        <f t="shared" si="1"/>
        <v>168.196</v>
      </c>
    </row>
    <row r="101" spans="1:10">
      <c r="A101" s="14" t="s">
        <v>976</v>
      </c>
      <c r="B101" s="24">
        <v>40623</v>
      </c>
      <c r="C101" s="14" t="s">
        <v>11</v>
      </c>
      <c r="D101" s="14" t="s">
        <v>977</v>
      </c>
      <c r="E101" s="71">
        <f>136.1+33.1+24.88</f>
        <v>194.07999999999998</v>
      </c>
      <c r="F101" s="25">
        <v>3563.56</v>
      </c>
      <c r="G101" s="95" t="s">
        <v>10</v>
      </c>
      <c r="H101" s="24">
        <v>40626</v>
      </c>
      <c r="I101" s="25">
        <f t="shared" si="1"/>
        <v>38.816000000000003</v>
      </c>
      <c r="J101" s="84" t="s">
        <v>1211</v>
      </c>
    </row>
    <row r="102" spans="1:10">
      <c r="A102" s="14" t="s">
        <v>986</v>
      </c>
      <c r="B102" s="24">
        <v>40623</v>
      </c>
      <c r="C102" s="14" t="s">
        <v>11</v>
      </c>
      <c r="D102" s="14" t="s">
        <v>32</v>
      </c>
      <c r="E102" s="71">
        <f>1053.2+247.82+233.64+58.24+471.82+10.88</f>
        <v>2075.6</v>
      </c>
      <c r="F102" s="25">
        <v>65595.42</v>
      </c>
      <c r="G102" s="95" t="s">
        <v>10</v>
      </c>
      <c r="H102" s="24">
        <v>40604</v>
      </c>
      <c r="I102" s="25">
        <f t="shared" si="1"/>
        <v>415.12</v>
      </c>
    </row>
    <row r="103" spans="1:10">
      <c r="A103" s="14" t="s">
        <v>978</v>
      </c>
      <c r="B103" s="24">
        <v>40623</v>
      </c>
      <c r="C103" s="14" t="s">
        <v>11</v>
      </c>
      <c r="D103" s="14" t="s">
        <v>274</v>
      </c>
      <c r="E103" s="71">
        <f>353.4+28.44+27.22+136.1+48.48+66.58</f>
        <v>660.22</v>
      </c>
      <c r="F103" s="25">
        <v>13018.55</v>
      </c>
      <c r="G103" s="95" t="s">
        <v>10</v>
      </c>
      <c r="H103" s="24">
        <v>40608</v>
      </c>
      <c r="I103" s="25">
        <f t="shared" si="1"/>
        <v>132.04400000000001</v>
      </c>
    </row>
    <row r="104" spans="1:10">
      <c r="A104" s="14" t="s">
        <v>1001</v>
      </c>
      <c r="B104" s="24">
        <v>40623</v>
      </c>
      <c r="C104" s="14" t="s">
        <v>347</v>
      </c>
      <c r="D104" s="14" t="s">
        <v>274</v>
      </c>
      <c r="E104" s="71">
        <f>937.1+927.1</f>
        <v>1864.2</v>
      </c>
      <c r="F104" s="25">
        <v>49690.559999999998</v>
      </c>
      <c r="G104" s="95" t="s">
        <v>10</v>
      </c>
      <c r="H104" s="24">
        <v>40608</v>
      </c>
      <c r="I104" s="25">
        <f t="shared" si="1"/>
        <v>372.84000000000003</v>
      </c>
    </row>
    <row r="105" spans="1:10">
      <c r="A105" s="29" t="s">
        <v>1017</v>
      </c>
      <c r="B105" s="38">
        <v>40623</v>
      </c>
      <c r="C105" s="29" t="s">
        <v>11</v>
      </c>
      <c r="D105" s="29" t="s">
        <v>25</v>
      </c>
      <c r="E105" s="70">
        <f>257.8+73.98+114.4+356.2+216.66</f>
        <v>1019.0400000000001</v>
      </c>
      <c r="F105" s="39">
        <v>3424.42</v>
      </c>
      <c r="G105" s="93" t="s">
        <v>10</v>
      </c>
      <c r="H105" s="38">
        <v>40670</v>
      </c>
      <c r="I105" s="25">
        <f t="shared" si="1"/>
        <v>203.80800000000002</v>
      </c>
      <c r="J105" s="84" t="s">
        <v>1212</v>
      </c>
    </row>
    <row r="106" spans="1:10">
      <c r="A106" s="14" t="s">
        <v>984</v>
      </c>
      <c r="B106" s="24">
        <v>40624</v>
      </c>
      <c r="C106" s="14" t="s">
        <v>11</v>
      </c>
      <c r="D106" s="14" t="s">
        <v>35</v>
      </c>
      <c r="E106" s="71">
        <f>88+41</f>
        <v>129</v>
      </c>
      <c r="F106" s="25">
        <v>3893</v>
      </c>
      <c r="G106" s="95" t="s">
        <v>10</v>
      </c>
      <c r="H106" s="24"/>
      <c r="I106" s="25">
        <f t="shared" si="1"/>
        <v>25.8</v>
      </c>
    </row>
    <row r="107" spans="1:10">
      <c r="A107" s="29" t="s">
        <v>892</v>
      </c>
      <c r="B107" s="38">
        <v>40625</v>
      </c>
      <c r="C107" s="29" t="s">
        <v>11</v>
      </c>
      <c r="D107" s="29" t="s">
        <v>893</v>
      </c>
      <c r="E107" s="70">
        <v>129</v>
      </c>
      <c r="F107" s="39">
        <v>3048.5</v>
      </c>
      <c r="G107" s="93" t="s">
        <v>10</v>
      </c>
      <c r="H107" s="38">
        <v>40632</v>
      </c>
      <c r="I107" s="25">
        <f t="shared" si="1"/>
        <v>25.8</v>
      </c>
    </row>
    <row r="108" spans="1:10">
      <c r="A108" s="29" t="s">
        <v>923</v>
      </c>
      <c r="B108" s="38">
        <v>40625</v>
      </c>
      <c r="C108" s="29" t="s">
        <v>347</v>
      </c>
      <c r="D108" s="29" t="s">
        <v>353</v>
      </c>
      <c r="E108" s="70">
        <v>935.8</v>
      </c>
      <c r="F108" s="39">
        <v>26951.4</v>
      </c>
      <c r="G108" s="93" t="s">
        <v>10</v>
      </c>
      <c r="H108" s="38">
        <v>40626</v>
      </c>
      <c r="I108" s="25">
        <f t="shared" si="1"/>
        <v>187.16</v>
      </c>
    </row>
    <row r="109" spans="1:10">
      <c r="A109" s="14" t="s">
        <v>981</v>
      </c>
      <c r="B109" s="24">
        <v>40625</v>
      </c>
      <c r="C109" s="14" t="s">
        <v>349</v>
      </c>
      <c r="D109" s="14" t="s">
        <v>35</v>
      </c>
      <c r="E109" s="71">
        <v>262.5</v>
      </c>
      <c r="F109" s="25">
        <v>7087.5</v>
      </c>
      <c r="G109" s="95" t="s">
        <v>10</v>
      </c>
      <c r="H109" s="24"/>
      <c r="I109" s="25">
        <f t="shared" si="1"/>
        <v>52.5</v>
      </c>
    </row>
    <row r="110" spans="1:10">
      <c r="A110" s="14" t="s">
        <v>961</v>
      </c>
      <c r="B110" s="24">
        <v>40626</v>
      </c>
      <c r="C110" s="14" t="s">
        <v>11</v>
      </c>
      <c r="D110" s="14" t="s">
        <v>274</v>
      </c>
      <c r="E110" s="71">
        <f>203.6+309.1+10.88+13.61+163.32+58.3+11.78</f>
        <v>770.58999999999992</v>
      </c>
      <c r="F110" s="25">
        <v>20152.11</v>
      </c>
      <c r="G110" s="95" t="s">
        <v>10</v>
      </c>
      <c r="H110" s="24">
        <v>40615</v>
      </c>
      <c r="I110" s="25">
        <f t="shared" si="1"/>
        <v>154.11799999999999</v>
      </c>
    </row>
    <row r="111" spans="1:10">
      <c r="A111" s="14" t="s">
        <v>1214</v>
      </c>
      <c r="B111" s="24">
        <v>40626</v>
      </c>
      <c r="C111" s="14" t="s">
        <v>11</v>
      </c>
      <c r="D111" s="14" t="s">
        <v>1213</v>
      </c>
      <c r="E111" s="71">
        <v>0</v>
      </c>
      <c r="F111" s="25">
        <v>54808.6</v>
      </c>
      <c r="G111" s="95" t="s">
        <v>1177</v>
      </c>
      <c r="H111" s="89" t="s">
        <v>1132</v>
      </c>
      <c r="I111" s="25">
        <f t="shared" si="1"/>
        <v>0</v>
      </c>
    </row>
    <row r="112" spans="1:10">
      <c r="A112" s="14" t="s">
        <v>985</v>
      </c>
      <c r="B112" s="24">
        <v>40626</v>
      </c>
      <c r="C112" s="14" t="s">
        <v>79</v>
      </c>
      <c r="D112" s="14" t="s">
        <v>32</v>
      </c>
      <c r="E112" s="71">
        <v>98</v>
      </c>
      <c r="F112" s="25">
        <v>1960</v>
      </c>
      <c r="G112" s="95" t="s">
        <v>10</v>
      </c>
      <c r="H112" s="24">
        <v>40604</v>
      </c>
      <c r="I112" s="25">
        <f t="shared" si="1"/>
        <v>19.600000000000001</v>
      </c>
    </row>
    <row r="113" spans="1:10">
      <c r="A113" s="14" t="s">
        <v>991</v>
      </c>
      <c r="B113" s="24">
        <v>40626</v>
      </c>
      <c r="C113" s="14" t="s">
        <v>347</v>
      </c>
      <c r="D113" s="14" t="s">
        <v>988</v>
      </c>
      <c r="E113" s="71">
        <f>841.27+842.63</f>
        <v>1683.9</v>
      </c>
      <c r="F113" s="25">
        <v>46307.26</v>
      </c>
      <c r="G113" s="95" t="s">
        <v>10</v>
      </c>
      <c r="H113" s="24">
        <v>40611</v>
      </c>
      <c r="I113" s="25">
        <f t="shared" si="1"/>
        <v>336.78000000000003</v>
      </c>
    </row>
    <row r="114" spans="1:10">
      <c r="A114" s="14" t="s">
        <v>473</v>
      </c>
      <c r="B114" s="24">
        <v>40626</v>
      </c>
      <c r="C114" s="14" t="s">
        <v>634</v>
      </c>
      <c r="D114" s="14" t="s">
        <v>35</v>
      </c>
      <c r="E114" s="71">
        <v>179.13</v>
      </c>
      <c r="F114" s="25">
        <v>7523.5</v>
      </c>
      <c r="G114" s="95" t="s">
        <v>10</v>
      </c>
      <c r="H114" s="24">
        <v>40609</v>
      </c>
      <c r="I114" s="25">
        <f t="shared" si="1"/>
        <v>35.826000000000001</v>
      </c>
    </row>
    <row r="115" spans="1:10">
      <c r="A115" s="14" t="s">
        <v>995</v>
      </c>
      <c r="B115" s="24">
        <v>40626</v>
      </c>
      <c r="C115" s="14" t="s">
        <v>11</v>
      </c>
      <c r="D115" s="14" t="s">
        <v>353</v>
      </c>
      <c r="E115" s="71">
        <f>894.33+27.2</f>
        <v>921.53000000000009</v>
      </c>
      <c r="F115" s="102">
        <v>25994</v>
      </c>
      <c r="G115" s="95" t="s">
        <v>10</v>
      </c>
      <c r="H115" s="24">
        <v>40613</v>
      </c>
      <c r="I115" s="25">
        <f t="shared" si="1"/>
        <v>184.30600000000004</v>
      </c>
    </row>
    <row r="116" spans="1:10">
      <c r="A116" s="14" t="s">
        <v>1004</v>
      </c>
      <c r="B116" s="24">
        <v>40626</v>
      </c>
      <c r="C116" s="14" t="s">
        <v>11</v>
      </c>
      <c r="D116" s="14" t="s">
        <v>32</v>
      </c>
      <c r="E116" s="71">
        <v>800.45</v>
      </c>
      <c r="F116" s="25">
        <v>21772.240000000002</v>
      </c>
      <c r="G116" s="95" t="s">
        <v>10</v>
      </c>
      <c r="H116" s="24">
        <v>40608</v>
      </c>
      <c r="I116" s="25">
        <f t="shared" si="1"/>
        <v>160.09000000000003</v>
      </c>
    </row>
    <row r="117" spans="1:10">
      <c r="A117" s="14" t="s">
        <v>980</v>
      </c>
      <c r="B117" s="24">
        <v>40626</v>
      </c>
      <c r="C117" s="14" t="s">
        <v>11</v>
      </c>
      <c r="D117" s="14" t="s">
        <v>32</v>
      </c>
      <c r="E117" s="71">
        <f>27.22+461.7+512+238.9+257.48+203.48+196</f>
        <v>1896.78</v>
      </c>
      <c r="F117" s="25">
        <v>54106.64</v>
      </c>
      <c r="G117" s="95" t="s">
        <v>10</v>
      </c>
      <c r="H117" s="24">
        <v>40608</v>
      </c>
      <c r="I117" s="25">
        <f t="shared" si="1"/>
        <v>379.35599999999999</v>
      </c>
    </row>
    <row r="118" spans="1:10">
      <c r="A118" s="29" t="s">
        <v>1012</v>
      </c>
      <c r="B118" s="38">
        <v>40626</v>
      </c>
      <c r="C118" s="38" t="s">
        <v>11</v>
      </c>
      <c r="D118" s="38" t="s">
        <v>25</v>
      </c>
      <c r="E118" s="70">
        <f>148.64+683.5</f>
        <v>832.14</v>
      </c>
      <c r="F118" s="39">
        <v>26213</v>
      </c>
      <c r="G118" s="93" t="s">
        <v>10</v>
      </c>
      <c r="H118" s="41"/>
      <c r="I118" s="25">
        <f t="shared" si="1"/>
        <v>166.428</v>
      </c>
      <c r="J118" s="84" t="s">
        <v>1215</v>
      </c>
    </row>
    <row r="119" spans="1:10">
      <c r="A119" s="29" t="s">
        <v>917</v>
      </c>
      <c r="B119" s="38">
        <v>40628</v>
      </c>
      <c r="C119" s="29" t="s">
        <v>11</v>
      </c>
      <c r="D119" s="29" t="s">
        <v>1216</v>
      </c>
      <c r="E119" s="88">
        <v>236.8</v>
      </c>
      <c r="F119" s="39">
        <v>5461.8</v>
      </c>
      <c r="G119" s="94" t="s">
        <v>10</v>
      </c>
      <c r="H119" s="38">
        <v>40630</v>
      </c>
      <c r="I119" s="25">
        <f t="shared" si="1"/>
        <v>47.360000000000007</v>
      </c>
    </row>
    <row r="120" spans="1:10">
      <c r="A120" s="14" t="s">
        <v>736</v>
      </c>
      <c r="B120" s="24">
        <v>40628</v>
      </c>
      <c r="C120" s="14" t="s">
        <v>11</v>
      </c>
      <c r="D120" s="14" t="s">
        <v>35</v>
      </c>
      <c r="E120" s="71">
        <f>482.5+213.8</f>
        <v>696.3</v>
      </c>
      <c r="F120" s="25">
        <v>22007</v>
      </c>
      <c r="G120" s="95" t="s">
        <v>10</v>
      </c>
      <c r="H120" s="24">
        <v>40604</v>
      </c>
      <c r="I120" s="25">
        <f t="shared" si="1"/>
        <v>139.26</v>
      </c>
    </row>
    <row r="121" spans="1:10">
      <c r="A121" s="14" t="s">
        <v>918</v>
      </c>
      <c r="B121" s="24">
        <v>40628</v>
      </c>
      <c r="C121" s="14" t="s">
        <v>11</v>
      </c>
      <c r="D121" s="14" t="s">
        <v>35</v>
      </c>
      <c r="E121" s="71">
        <v>570.5</v>
      </c>
      <c r="F121" s="25">
        <v>15403.5</v>
      </c>
      <c r="G121" s="95" t="s">
        <v>10</v>
      </c>
      <c r="H121" s="24">
        <v>40608</v>
      </c>
      <c r="I121" s="25">
        <f t="shared" si="1"/>
        <v>114.10000000000001</v>
      </c>
    </row>
    <row r="122" spans="1:10">
      <c r="A122" s="14" t="s">
        <v>992</v>
      </c>
      <c r="B122" s="24">
        <v>40629</v>
      </c>
      <c r="C122" s="14" t="s">
        <v>11</v>
      </c>
      <c r="D122" s="14" t="s">
        <v>35</v>
      </c>
      <c r="E122" s="71">
        <f>168+154.5</f>
        <v>322.5</v>
      </c>
      <c r="F122" s="25">
        <v>12537</v>
      </c>
      <c r="G122" s="95" t="s">
        <v>10</v>
      </c>
      <c r="H122" s="24"/>
      <c r="I122" s="25">
        <f t="shared" si="1"/>
        <v>64.5</v>
      </c>
    </row>
    <row r="123" spans="1:10">
      <c r="A123" s="14" t="s">
        <v>959</v>
      </c>
      <c r="B123" s="24">
        <v>40630</v>
      </c>
      <c r="C123" s="24" t="s">
        <v>11</v>
      </c>
      <c r="D123" s="14" t="s">
        <v>274</v>
      </c>
      <c r="E123" s="71">
        <f>375.5+136.28+53.8+75.3</f>
        <v>640.87999999999988</v>
      </c>
      <c r="F123" s="25">
        <v>16092.4</v>
      </c>
      <c r="G123" s="95" t="s">
        <v>10</v>
      </c>
      <c r="H123" s="26">
        <v>40615</v>
      </c>
      <c r="I123" s="25">
        <f t="shared" si="1"/>
        <v>128.17599999999999</v>
      </c>
    </row>
    <row r="124" spans="1:10">
      <c r="A124" s="14" t="s">
        <v>960</v>
      </c>
      <c r="B124" s="24">
        <v>40630</v>
      </c>
      <c r="C124" s="14" t="s">
        <v>11</v>
      </c>
      <c r="D124" s="14" t="s">
        <v>274</v>
      </c>
      <c r="E124" s="71">
        <f>927.6+27.22+16.32</f>
        <v>971.1400000000001</v>
      </c>
      <c r="F124" s="25">
        <v>27118.69</v>
      </c>
      <c r="G124" s="95" t="s">
        <v>10</v>
      </c>
      <c r="H124" s="24">
        <v>40615</v>
      </c>
      <c r="I124" s="25">
        <f t="shared" si="1"/>
        <v>194.22800000000004</v>
      </c>
    </row>
    <row r="125" spans="1:10">
      <c r="A125" s="14" t="s">
        <v>970</v>
      </c>
      <c r="B125" s="24">
        <v>40630</v>
      </c>
      <c r="C125" s="14" t="s">
        <v>11</v>
      </c>
      <c r="D125" s="14" t="s">
        <v>1217</v>
      </c>
      <c r="E125" s="103">
        <v>1028.54</v>
      </c>
      <c r="F125" s="25">
        <v>13371</v>
      </c>
      <c r="G125" s="95" t="s">
        <v>10</v>
      </c>
      <c r="H125" s="24">
        <v>40615</v>
      </c>
      <c r="I125" s="25">
        <f t="shared" si="1"/>
        <v>205.708</v>
      </c>
    </row>
    <row r="126" spans="1:10">
      <c r="A126" s="14" t="s">
        <v>974</v>
      </c>
      <c r="B126" s="24">
        <v>40630</v>
      </c>
      <c r="C126" s="14" t="s">
        <v>11</v>
      </c>
      <c r="D126" s="14" t="s">
        <v>32</v>
      </c>
      <c r="E126" s="70">
        <f>976.7+190.62+920.3+61.18+498.26</f>
        <v>2647.0599999999995</v>
      </c>
      <c r="F126" s="25">
        <v>76929.5</v>
      </c>
      <c r="G126" s="95" t="s">
        <v>10</v>
      </c>
      <c r="H126" s="24">
        <v>40611</v>
      </c>
      <c r="I126" s="25">
        <f t="shared" si="1"/>
        <v>529.41199999999992</v>
      </c>
    </row>
    <row r="127" spans="1:10">
      <c r="A127" s="14" t="s">
        <v>997</v>
      </c>
      <c r="B127" s="24">
        <v>40630</v>
      </c>
      <c r="C127" s="14" t="s">
        <v>11</v>
      </c>
      <c r="D127" s="14" t="s">
        <v>1218</v>
      </c>
      <c r="E127" s="103">
        <v>499.47</v>
      </c>
      <c r="F127" s="25">
        <v>9716.7999999999993</v>
      </c>
      <c r="G127" s="95" t="s">
        <v>10</v>
      </c>
      <c r="H127" s="24">
        <v>40606</v>
      </c>
      <c r="I127" s="25">
        <f t="shared" si="1"/>
        <v>99.894000000000005</v>
      </c>
    </row>
    <row r="128" spans="1:10">
      <c r="A128" s="14" t="s">
        <v>1005</v>
      </c>
      <c r="B128" s="24">
        <v>40630</v>
      </c>
      <c r="C128" s="14" t="s">
        <v>11</v>
      </c>
      <c r="D128" s="14" t="s">
        <v>44</v>
      </c>
      <c r="E128" s="71">
        <f>917.6+136.1+13.61</f>
        <v>1067.31</v>
      </c>
      <c r="F128" s="25">
        <v>28343.88</v>
      </c>
      <c r="G128" s="95" t="s">
        <v>10</v>
      </c>
      <c r="H128" s="24">
        <v>40608</v>
      </c>
      <c r="I128" s="25">
        <f t="shared" si="1"/>
        <v>213.46199999999999</v>
      </c>
    </row>
    <row r="129" spans="1:10">
      <c r="A129" s="14" t="s">
        <v>1008</v>
      </c>
      <c r="B129" s="24">
        <v>40630</v>
      </c>
      <c r="C129" s="14" t="s">
        <v>11</v>
      </c>
      <c r="D129" s="14" t="s">
        <v>353</v>
      </c>
      <c r="E129" s="71">
        <f>206.8+36.34</f>
        <v>243.14000000000001</v>
      </c>
      <c r="F129" s="25">
        <v>7746</v>
      </c>
      <c r="G129" s="95" t="s">
        <v>10</v>
      </c>
      <c r="H129" s="24">
        <v>40616</v>
      </c>
      <c r="I129" s="25">
        <f t="shared" si="1"/>
        <v>48.628000000000007</v>
      </c>
    </row>
    <row r="130" spans="1:10">
      <c r="A130" s="29" t="s">
        <v>1013</v>
      </c>
      <c r="B130" s="38">
        <v>40630</v>
      </c>
      <c r="C130" s="29" t="s">
        <v>11</v>
      </c>
      <c r="D130" s="29" t="s">
        <v>25</v>
      </c>
      <c r="E130" s="70">
        <f>232.5+106.6+397.6+128.2</f>
        <v>864.90000000000009</v>
      </c>
      <c r="F130" s="39">
        <v>30076.48</v>
      </c>
      <c r="G130" s="93" t="s">
        <v>10</v>
      </c>
      <c r="H130" s="38">
        <v>40670</v>
      </c>
      <c r="I130" s="25">
        <f t="shared" si="1"/>
        <v>172.98000000000002</v>
      </c>
      <c r="J130" s="84" t="s">
        <v>1219</v>
      </c>
    </row>
    <row r="131" spans="1:10">
      <c r="A131" s="29" t="s">
        <v>1043</v>
      </c>
      <c r="B131" s="38">
        <v>40630</v>
      </c>
      <c r="C131" s="29" t="s">
        <v>11</v>
      </c>
      <c r="D131" s="29" t="s">
        <v>630</v>
      </c>
      <c r="E131" s="70">
        <f>28.02+30.68+15.36+35.14+924.9+272.2</f>
        <v>1306.3</v>
      </c>
      <c r="F131" s="39">
        <v>32325.71</v>
      </c>
      <c r="G131" s="93" t="s">
        <v>10</v>
      </c>
      <c r="H131" s="38">
        <v>40606</v>
      </c>
      <c r="I131" s="25">
        <f t="shared" si="1"/>
        <v>261.26</v>
      </c>
      <c r="J131" s="84" t="s">
        <v>1220</v>
      </c>
    </row>
    <row r="132" spans="1:10">
      <c r="A132" s="24" t="s">
        <v>965</v>
      </c>
      <c r="B132" s="24">
        <v>40631</v>
      </c>
      <c r="C132" s="14" t="s">
        <v>11</v>
      </c>
      <c r="D132" s="14" t="s">
        <v>35</v>
      </c>
      <c r="E132" s="71">
        <f>123.2+12.34</f>
        <v>135.54</v>
      </c>
      <c r="F132" s="25">
        <v>4830</v>
      </c>
      <c r="G132" s="95" t="s">
        <v>10</v>
      </c>
      <c r="H132" s="24">
        <v>40615</v>
      </c>
      <c r="I132" s="25">
        <f t="shared" si="1"/>
        <v>27.108000000000001</v>
      </c>
    </row>
    <row r="133" spans="1:10">
      <c r="A133" s="29" t="s">
        <v>1065</v>
      </c>
      <c r="B133" s="38">
        <v>40633</v>
      </c>
      <c r="C133" s="29" t="s">
        <v>11</v>
      </c>
      <c r="D133" s="29" t="s">
        <v>32</v>
      </c>
      <c r="E133" s="70">
        <f>931.2+415.9+346</f>
        <v>1693.1</v>
      </c>
      <c r="F133" s="39">
        <v>44868.46</v>
      </c>
      <c r="G133" s="94" t="s">
        <v>10</v>
      </c>
      <c r="H133" s="38"/>
      <c r="I133" s="25">
        <f t="shared" si="1"/>
        <v>338.62</v>
      </c>
    </row>
    <row r="134" spans="1:10">
      <c r="A134" s="30"/>
      <c r="B134" s="30"/>
      <c r="C134" s="30"/>
      <c r="D134" s="30"/>
      <c r="E134" s="72"/>
      <c r="F134" s="31"/>
      <c r="G134" s="92"/>
      <c r="H134" s="31"/>
      <c r="I134" s="25">
        <f t="shared" si="1"/>
        <v>0</v>
      </c>
    </row>
    <row r="135" spans="1:10" ht="15">
      <c r="A135" s="2"/>
      <c r="B135" s="14"/>
      <c r="C135" s="14"/>
      <c r="D135" s="14"/>
      <c r="E135" s="71"/>
      <c r="F135" s="25"/>
      <c r="G135" s="95"/>
      <c r="H135" s="14"/>
      <c r="I135" s="25">
        <f t="shared" ref="I135" si="2">$I$6*E135</f>
        <v>0</v>
      </c>
    </row>
    <row r="136" spans="1:10" ht="15">
      <c r="A136" s="2"/>
      <c r="B136" s="14"/>
      <c r="C136" s="14"/>
      <c r="D136" s="14"/>
      <c r="E136" s="68">
        <f>SUM(E7:E135)</f>
        <v>102604.10999999999</v>
      </c>
      <c r="F136" s="19">
        <f>SUM(F7:F135)</f>
        <v>3129209.0899999985</v>
      </c>
      <c r="G136" s="96"/>
      <c r="H136" s="27" t="s">
        <v>63</v>
      </c>
      <c r="I136" s="19">
        <f>SUM(I7:I135)</f>
        <v>20520.821999999993</v>
      </c>
    </row>
  </sheetData>
  <sortState ref="A7:H134">
    <sortCondition ref="B7:B134"/>
  </sortState>
  <mergeCells count="1">
    <mergeCell ref="E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4"/>
  <sheetViews>
    <sheetView topLeftCell="A90" workbookViewId="0">
      <selection activeCell="E37" sqref="E37"/>
    </sheetView>
  </sheetViews>
  <sheetFormatPr baseColWidth="10" defaultRowHeight="12.75"/>
  <cols>
    <col min="3" max="3" width="13.42578125" customWidth="1"/>
    <col min="4" max="4" width="23" customWidth="1"/>
    <col min="5" max="5" width="11.42578125" style="82"/>
    <col min="6" max="6" width="14.140625" customWidth="1"/>
    <col min="10" max="10" width="11.42578125" style="84"/>
  </cols>
  <sheetData>
    <row r="1" spans="1:10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10" ht="15.75">
      <c r="A2" s="1"/>
      <c r="B2" s="1"/>
      <c r="C2" s="1"/>
      <c r="D2" s="1" t="s">
        <v>1073</v>
      </c>
      <c r="E2" s="51"/>
      <c r="F2" s="5"/>
      <c r="G2" s="5"/>
      <c r="H2" s="5"/>
      <c r="I2" s="1"/>
    </row>
    <row r="3" spans="1:10" ht="15.75">
      <c r="A3" s="8"/>
      <c r="B3" s="6"/>
      <c r="C3" s="6"/>
      <c r="D3" s="6"/>
      <c r="E3" s="51"/>
      <c r="F3" s="5"/>
      <c r="G3" s="7"/>
      <c r="H3" s="7"/>
      <c r="I3" s="1"/>
    </row>
    <row r="4" spans="1:10" ht="15.75">
      <c r="A4" s="1"/>
      <c r="B4" s="1"/>
      <c r="C4" s="1"/>
      <c r="D4" s="1"/>
      <c r="E4" s="51"/>
      <c r="F4" s="5"/>
      <c r="G4" s="5"/>
      <c r="H4" s="5"/>
      <c r="I4" s="1"/>
    </row>
    <row r="5" spans="1:10">
      <c r="A5" s="30" t="s">
        <v>5</v>
      </c>
      <c r="B5" s="30" t="s">
        <v>0</v>
      </c>
      <c r="C5" s="30" t="s">
        <v>7</v>
      </c>
      <c r="D5" s="30" t="s">
        <v>9</v>
      </c>
      <c r="E5" s="124" t="s">
        <v>1</v>
      </c>
      <c r="F5" s="124"/>
      <c r="G5" s="46" t="s">
        <v>24</v>
      </c>
      <c r="H5" s="31" t="s">
        <v>3</v>
      </c>
      <c r="I5" s="30" t="s">
        <v>80</v>
      </c>
    </row>
    <row r="6" spans="1:10">
      <c r="A6" s="30"/>
      <c r="B6" s="30"/>
      <c r="C6" s="30"/>
      <c r="D6" s="30"/>
      <c r="E6" s="72" t="s">
        <v>6</v>
      </c>
      <c r="F6" s="31" t="s">
        <v>2</v>
      </c>
      <c r="G6" s="31"/>
      <c r="H6" s="31" t="s">
        <v>4</v>
      </c>
      <c r="I6" s="31">
        <v>0.2</v>
      </c>
    </row>
    <row r="7" spans="1:10">
      <c r="A7" s="14" t="s">
        <v>958</v>
      </c>
      <c r="B7" s="24">
        <v>40632</v>
      </c>
      <c r="C7" s="14" t="s">
        <v>11</v>
      </c>
      <c r="D7" s="14" t="s">
        <v>32</v>
      </c>
      <c r="E7" s="71">
        <f>432.5+299.44+226.52</f>
        <v>958.46</v>
      </c>
      <c r="F7" s="25">
        <v>26783.99</v>
      </c>
      <c r="G7" s="14" t="s">
        <v>10</v>
      </c>
      <c r="H7" s="24">
        <v>40618</v>
      </c>
      <c r="I7" s="25">
        <f t="shared" ref="I7:I31" si="0">$I$6*E7</f>
        <v>191.69200000000001</v>
      </c>
    </row>
    <row r="8" spans="1:10">
      <c r="A8" s="14" t="s">
        <v>971</v>
      </c>
      <c r="B8" s="24">
        <v>40632</v>
      </c>
      <c r="C8" s="14" t="s">
        <v>349</v>
      </c>
      <c r="D8" s="14" t="s">
        <v>35</v>
      </c>
      <c r="E8" s="71">
        <v>663</v>
      </c>
      <c r="F8" s="25">
        <v>17901</v>
      </c>
      <c r="G8" s="14" t="s">
        <v>10</v>
      </c>
      <c r="H8" s="24">
        <v>40615</v>
      </c>
      <c r="I8" s="25">
        <f t="shared" si="0"/>
        <v>132.6</v>
      </c>
    </row>
    <row r="9" spans="1:10">
      <c r="A9" s="14" t="s">
        <v>366</v>
      </c>
      <c r="B9" s="24">
        <v>40632</v>
      </c>
      <c r="C9" s="14" t="s">
        <v>349</v>
      </c>
      <c r="D9" s="14" t="s">
        <v>274</v>
      </c>
      <c r="E9" s="71">
        <v>2066.1999999999998</v>
      </c>
      <c r="F9" s="25">
        <v>58886.7</v>
      </c>
      <c r="G9" s="14" t="s">
        <v>10</v>
      </c>
      <c r="H9" s="24">
        <v>40606</v>
      </c>
      <c r="I9" s="25">
        <f t="shared" si="0"/>
        <v>413.24</v>
      </c>
    </row>
    <row r="10" spans="1:10">
      <c r="A10" s="14" t="s">
        <v>381</v>
      </c>
      <c r="B10" s="24">
        <v>40632</v>
      </c>
      <c r="C10" s="14" t="s">
        <v>349</v>
      </c>
      <c r="D10" s="14" t="s">
        <v>969</v>
      </c>
      <c r="E10" s="71">
        <v>1639.8</v>
      </c>
      <c r="F10" s="25">
        <v>46734.3</v>
      </c>
      <c r="G10" s="14" t="s">
        <v>10</v>
      </c>
      <c r="H10" s="24">
        <v>40606</v>
      </c>
      <c r="I10" s="25">
        <f t="shared" si="0"/>
        <v>327.96000000000004</v>
      </c>
    </row>
    <row r="11" spans="1:10">
      <c r="A11" s="14" t="s">
        <v>996</v>
      </c>
      <c r="B11" s="24">
        <v>40632</v>
      </c>
      <c r="C11" s="14" t="s">
        <v>79</v>
      </c>
      <c r="D11" s="14" t="s">
        <v>25</v>
      </c>
      <c r="E11" s="71">
        <v>53.6</v>
      </c>
      <c r="F11" s="25">
        <v>1072</v>
      </c>
      <c r="G11" s="14" t="s">
        <v>10</v>
      </c>
      <c r="H11" s="24"/>
      <c r="I11" s="25">
        <f t="shared" si="0"/>
        <v>10.72</v>
      </c>
    </row>
    <row r="12" spans="1:10">
      <c r="A12" s="14" t="s">
        <v>1223</v>
      </c>
      <c r="B12" s="24">
        <v>40632</v>
      </c>
      <c r="C12" s="14" t="s">
        <v>11</v>
      </c>
      <c r="D12" s="14" t="s">
        <v>1221</v>
      </c>
      <c r="E12" s="71">
        <v>0</v>
      </c>
      <c r="F12" s="25">
        <v>32325.71</v>
      </c>
      <c r="G12" s="14" t="s">
        <v>1222</v>
      </c>
      <c r="H12" s="24">
        <v>40606</v>
      </c>
      <c r="I12" s="25">
        <f t="shared" si="0"/>
        <v>0</v>
      </c>
      <c r="J12" s="84" t="s">
        <v>1224</v>
      </c>
    </row>
    <row r="13" spans="1:10">
      <c r="A13" s="14" t="s">
        <v>365</v>
      </c>
      <c r="B13" s="24">
        <v>40632</v>
      </c>
      <c r="C13" s="14" t="s">
        <v>349</v>
      </c>
      <c r="D13" s="14" t="s">
        <v>357</v>
      </c>
      <c r="E13" s="71">
        <v>2010.5</v>
      </c>
      <c r="F13" s="25">
        <v>57299.25</v>
      </c>
      <c r="G13" s="14" t="s">
        <v>10</v>
      </c>
      <c r="H13" s="24">
        <v>40606</v>
      </c>
      <c r="I13" s="25">
        <f t="shared" si="0"/>
        <v>402.1</v>
      </c>
    </row>
    <row r="14" spans="1:10">
      <c r="A14" s="14" t="s">
        <v>1009</v>
      </c>
      <c r="B14" s="24">
        <v>40632</v>
      </c>
      <c r="C14" s="14" t="s">
        <v>11</v>
      </c>
      <c r="D14" s="14" t="s">
        <v>12</v>
      </c>
      <c r="E14" s="71">
        <v>257.04000000000002</v>
      </c>
      <c r="F14" s="25">
        <v>3598.56</v>
      </c>
      <c r="G14" s="14" t="s">
        <v>10</v>
      </c>
      <c r="H14" s="24">
        <v>40606</v>
      </c>
      <c r="I14" s="25">
        <f t="shared" si="0"/>
        <v>51.408000000000008</v>
      </c>
    </row>
    <row r="15" spans="1:10">
      <c r="A15" s="14" t="s">
        <v>846</v>
      </c>
      <c r="B15" s="24">
        <v>40633</v>
      </c>
      <c r="C15" s="14" t="s">
        <v>11</v>
      </c>
      <c r="D15" s="14" t="s">
        <v>274</v>
      </c>
      <c r="E15" s="71">
        <f>151.8+111.95+75.8+403.4</f>
        <v>742.95</v>
      </c>
      <c r="F15" s="25">
        <v>18899</v>
      </c>
      <c r="G15" s="14" t="s">
        <v>10</v>
      </c>
      <c r="H15" s="24">
        <v>40615</v>
      </c>
      <c r="I15" s="25">
        <f t="shared" si="0"/>
        <v>148.59</v>
      </c>
    </row>
    <row r="16" spans="1:10">
      <c r="A16" s="14" t="s">
        <v>777</v>
      </c>
      <c r="B16" s="24">
        <v>40633</v>
      </c>
      <c r="C16" s="14" t="s">
        <v>349</v>
      </c>
      <c r="D16" s="14" t="s">
        <v>274</v>
      </c>
      <c r="E16" s="71">
        <v>1698.5</v>
      </c>
      <c r="F16" s="25">
        <v>48407</v>
      </c>
      <c r="G16" s="14" t="s">
        <v>10</v>
      </c>
      <c r="H16" s="24">
        <v>40618</v>
      </c>
      <c r="I16" s="25">
        <f t="shared" si="0"/>
        <v>339.70000000000005</v>
      </c>
      <c r="J16" s="84" t="s">
        <v>1225</v>
      </c>
    </row>
    <row r="17" spans="1:10">
      <c r="A17" s="14" t="s">
        <v>998</v>
      </c>
      <c r="B17" s="24">
        <v>40633</v>
      </c>
      <c r="C17" s="14" t="s">
        <v>999</v>
      </c>
      <c r="D17" s="14" t="s">
        <v>1000</v>
      </c>
      <c r="E17" s="71">
        <v>101.78</v>
      </c>
      <c r="F17" s="25">
        <v>2951.52</v>
      </c>
      <c r="G17" s="14" t="s">
        <v>10</v>
      </c>
      <c r="H17" s="24">
        <v>40606</v>
      </c>
      <c r="I17" s="25">
        <f t="shared" si="0"/>
        <v>20.356000000000002</v>
      </c>
    </row>
    <row r="18" spans="1:10">
      <c r="A18" s="29" t="s">
        <v>1042</v>
      </c>
      <c r="B18" s="38">
        <v>40633</v>
      </c>
      <c r="C18" s="29" t="s">
        <v>11</v>
      </c>
      <c r="D18" s="29" t="s">
        <v>423</v>
      </c>
      <c r="E18" s="70">
        <f>82.06+330.5</f>
        <v>412.56</v>
      </c>
      <c r="F18" s="39">
        <v>7758.84</v>
      </c>
      <c r="G18" s="29" t="s">
        <v>10</v>
      </c>
      <c r="H18" s="38">
        <v>40608</v>
      </c>
      <c r="I18" s="25">
        <f t="shared" si="0"/>
        <v>82.512</v>
      </c>
    </row>
    <row r="19" spans="1:10">
      <c r="A19" s="29" t="s">
        <v>1227</v>
      </c>
      <c r="B19" s="38">
        <v>40633</v>
      </c>
      <c r="C19" s="29" t="s">
        <v>11</v>
      </c>
      <c r="D19" s="29" t="s">
        <v>1226</v>
      </c>
      <c r="E19" s="70">
        <v>0</v>
      </c>
      <c r="F19" s="39">
        <v>49709.82</v>
      </c>
      <c r="G19" s="29" t="s">
        <v>1222</v>
      </c>
      <c r="H19" s="38">
        <v>40653</v>
      </c>
      <c r="I19" s="25">
        <f t="shared" si="0"/>
        <v>0</v>
      </c>
      <c r="J19" s="84" t="s">
        <v>1224</v>
      </c>
    </row>
    <row r="20" spans="1:10">
      <c r="A20" s="29" t="s">
        <v>1229</v>
      </c>
      <c r="B20" s="38">
        <v>40633</v>
      </c>
      <c r="C20" s="29" t="s">
        <v>11</v>
      </c>
      <c r="D20" s="29" t="s">
        <v>1228</v>
      </c>
      <c r="E20" s="70">
        <v>0</v>
      </c>
      <c r="F20" s="39">
        <v>44868.46</v>
      </c>
      <c r="G20" s="29" t="s">
        <v>1222</v>
      </c>
      <c r="H20" s="38">
        <v>40646</v>
      </c>
      <c r="I20" s="25">
        <f t="shared" si="0"/>
        <v>0</v>
      </c>
      <c r="J20" s="84" t="s">
        <v>1224</v>
      </c>
    </row>
    <row r="21" spans="1:10">
      <c r="A21" s="29" t="s">
        <v>1231</v>
      </c>
      <c r="B21" s="38">
        <v>40633</v>
      </c>
      <c r="C21" s="29" t="s">
        <v>438</v>
      </c>
      <c r="D21" s="29" t="s">
        <v>1230</v>
      </c>
      <c r="E21" s="70">
        <v>0</v>
      </c>
      <c r="F21" s="39">
        <v>43860.32</v>
      </c>
      <c r="G21" s="29" t="s">
        <v>1222</v>
      </c>
      <c r="H21" s="38">
        <v>40649</v>
      </c>
      <c r="I21" s="25">
        <f t="shared" si="0"/>
        <v>0</v>
      </c>
      <c r="J21" s="84" t="s">
        <v>1224</v>
      </c>
    </row>
    <row r="22" spans="1:10">
      <c r="A22" s="29" t="s">
        <v>1072</v>
      </c>
      <c r="B22" s="38">
        <v>40635</v>
      </c>
      <c r="C22" s="29" t="s">
        <v>11</v>
      </c>
      <c r="D22" s="29" t="s">
        <v>35</v>
      </c>
      <c r="E22" s="70">
        <v>676</v>
      </c>
      <c r="F22" s="39">
        <v>18252</v>
      </c>
      <c r="G22" s="14" t="s">
        <v>10</v>
      </c>
      <c r="H22" s="38"/>
      <c r="I22" s="25">
        <f t="shared" si="0"/>
        <v>135.20000000000002</v>
      </c>
    </row>
    <row r="23" spans="1:10">
      <c r="A23" s="29" t="s">
        <v>1233</v>
      </c>
      <c r="B23" s="38">
        <v>40635</v>
      </c>
      <c r="C23" s="29" t="s">
        <v>349</v>
      </c>
      <c r="D23" s="29" t="s">
        <v>1232</v>
      </c>
      <c r="E23" s="70">
        <v>0</v>
      </c>
      <c r="F23" s="39">
        <v>18252</v>
      </c>
      <c r="G23" s="29" t="s">
        <v>1222</v>
      </c>
      <c r="H23" s="38">
        <v>40649</v>
      </c>
      <c r="I23" s="25">
        <f t="shared" si="0"/>
        <v>0</v>
      </c>
      <c r="J23" s="84" t="s">
        <v>1224</v>
      </c>
    </row>
    <row r="24" spans="1:10">
      <c r="A24" s="14" t="s">
        <v>966</v>
      </c>
      <c r="B24" s="24">
        <v>40637</v>
      </c>
      <c r="C24" s="14" t="s">
        <v>11</v>
      </c>
      <c r="D24" s="14" t="s">
        <v>967</v>
      </c>
      <c r="E24" s="71">
        <f>27.02+12.7+21.18+49.6</f>
        <v>110.5</v>
      </c>
      <c r="F24" s="25">
        <v>4007</v>
      </c>
      <c r="G24" s="14" t="s">
        <v>10</v>
      </c>
      <c r="H24" s="24">
        <v>40615</v>
      </c>
      <c r="I24" s="25">
        <f t="shared" si="0"/>
        <v>22.1</v>
      </c>
    </row>
    <row r="25" spans="1:10">
      <c r="A25" s="14" t="s">
        <v>972</v>
      </c>
      <c r="B25" s="24">
        <v>40637</v>
      </c>
      <c r="C25" s="14" t="s">
        <v>522</v>
      </c>
      <c r="D25" s="14" t="s">
        <v>35</v>
      </c>
      <c r="E25" s="71">
        <v>148</v>
      </c>
      <c r="F25" s="25">
        <v>5180</v>
      </c>
      <c r="G25" s="14" t="s">
        <v>10</v>
      </c>
      <c r="H25" s="24">
        <v>40615</v>
      </c>
      <c r="I25" s="25">
        <f t="shared" si="0"/>
        <v>29.6</v>
      </c>
    </row>
    <row r="26" spans="1:10">
      <c r="A26" s="29" t="s">
        <v>1041</v>
      </c>
      <c r="B26" s="38">
        <v>40637</v>
      </c>
      <c r="C26" s="29" t="s">
        <v>11</v>
      </c>
      <c r="D26" s="29" t="s">
        <v>274</v>
      </c>
      <c r="E26" s="70">
        <f>27.22+163.32</f>
        <v>190.54</v>
      </c>
      <c r="F26" s="39">
        <v>4083</v>
      </c>
      <c r="G26" s="14" t="s">
        <v>10</v>
      </c>
      <c r="H26" s="38">
        <v>40622</v>
      </c>
      <c r="I26" s="25">
        <f t="shared" si="0"/>
        <v>38.107999999999997</v>
      </c>
    </row>
    <row r="27" spans="1:10">
      <c r="A27" s="29" t="s">
        <v>794</v>
      </c>
      <c r="B27" s="38">
        <v>40637</v>
      </c>
      <c r="C27" s="29" t="s">
        <v>11</v>
      </c>
      <c r="D27" s="29" t="s">
        <v>274</v>
      </c>
      <c r="E27" s="70">
        <f>310+81.46</f>
        <v>391.46</v>
      </c>
      <c r="F27" s="39">
        <v>7340.5</v>
      </c>
      <c r="G27" s="14" t="s">
        <v>10</v>
      </c>
      <c r="H27" s="38">
        <v>40622</v>
      </c>
      <c r="I27" s="25">
        <f t="shared" si="0"/>
        <v>78.292000000000002</v>
      </c>
    </row>
    <row r="28" spans="1:10">
      <c r="A28" s="29" t="s">
        <v>442</v>
      </c>
      <c r="B28" s="38">
        <v>40637</v>
      </c>
      <c r="C28" s="29" t="s">
        <v>347</v>
      </c>
      <c r="D28" s="29" t="s">
        <v>32</v>
      </c>
      <c r="E28" s="70">
        <v>933.53</v>
      </c>
      <c r="F28" s="39">
        <v>26418</v>
      </c>
      <c r="G28" s="14" t="s">
        <v>10</v>
      </c>
      <c r="H28" s="38"/>
      <c r="I28" s="25">
        <f t="shared" si="0"/>
        <v>186.70600000000002</v>
      </c>
    </row>
    <row r="29" spans="1:10">
      <c r="A29" s="29" t="s">
        <v>1066</v>
      </c>
      <c r="B29" s="38">
        <v>40637</v>
      </c>
      <c r="C29" s="29" t="s">
        <v>1067</v>
      </c>
      <c r="D29" s="29" t="s">
        <v>32</v>
      </c>
      <c r="E29" s="70">
        <v>894.1</v>
      </c>
      <c r="F29" s="39">
        <v>25929</v>
      </c>
      <c r="G29" s="14" t="s">
        <v>10</v>
      </c>
      <c r="H29" s="38"/>
      <c r="I29" s="25">
        <f t="shared" si="0"/>
        <v>178.82000000000002</v>
      </c>
    </row>
    <row r="30" spans="1:10">
      <c r="A30" s="29" t="s">
        <v>516</v>
      </c>
      <c r="B30" s="38">
        <v>40637</v>
      </c>
      <c r="C30" s="29" t="s">
        <v>420</v>
      </c>
      <c r="D30" s="29" t="s">
        <v>274</v>
      </c>
      <c r="E30" s="70">
        <v>2176.3000000000002</v>
      </c>
      <c r="F30" s="39">
        <v>62024</v>
      </c>
      <c r="G30" s="14" t="s">
        <v>10</v>
      </c>
      <c r="H30" s="38"/>
      <c r="I30" s="25">
        <f t="shared" si="0"/>
        <v>435.26000000000005</v>
      </c>
      <c r="J30" s="84" t="s">
        <v>1234</v>
      </c>
    </row>
    <row r="31" spans="1:10">
      <c r="A31" s="29" t="s">
        <v>994</v>
      </c>
      <c r="B31" s="38">
        <v>40637</v>
      </c>
      <c r="C31" s="29" t="s">
        <v>45</v>
      </c>
      <c r="D31" s="29" t="s">
        <v>12</v>
      </c>
      <c r="E31" s="70">
        <v>265.82</v>
      </c>
      <c r="F31" s="39">
        <v>3721.5</v>
      </c>
      <c r="G31" s="29" t="s">
        <v>10</v>
      </c>
      <c r="H31" s="38">
        <v>40608</v>
      </c>
      <c r="I31" s="25">
        <f t="shared" si="0"/>
        <v>53.164000000000001</v>
      </c>
    </row>
    <row r="32" spans="1:10">
      <c r="A32" s="29" t="s">
        <v>767</v>
      </c>
      <c r="B32" s="38">
        <v>40637</v>
      </c>
      <c r="C32" s="29" t="s">
        <v>438</v>
      </c>
      <c r="D32" s="29" t="s">
        <v>274</v>
      </c>
      <c r="E32" s="70">
        <v>938.5</v>
      </c>
      <c r="F32" s="39">
        <v>26559.5</v>
      </c>
      <c r="G32" s="29" t="s">
        <v>10</v>
      </c>
      <c r="H32" s="38">
        <v>40660</v>
      </c>
      <c r="I32" s="25">
        <f>$I$6*E32</f>
        <v>187.70000000000002</v>
      </c>
    </row>
    <row r="33" spans="1:10">
      <c r="A33" s="29" t="s">
        <v>1237</v>
      </c>
      <c r="B33" s="38">
        <v>40637</v>
      </c>
      <c r="C33" s="29" t="s">
        <v>11</v>
      </c>
      <c r="D33" s="29" t="s">
        <v>1235</v>
      </c>
      <c r="E33" s="70">
        <v>0</v>
      </c>
      <c r="F33" s="39">
        <v>4083</v>
      </c>
      <c r="G33" s="29" t="s">
        <v>1236</v>
      </c>
      <c r="H33" s="38">
        <v>40653</v>
      </c>
      <c r="I33" s="25">
        <f>$I$6*E33</f>
        <v>0</v>
      </c>
      <c r="J33" s="84" t="s">
        <v>1224</v>
      </c>
    </row>
    <row r="34" spans="1:10">
      <c r="A34" s="29" t="s">
        <v>1239</v>
      </c>
      <c r="B34" s="38">
        <v>40637</v>
      </c>
      <c r="C34" s="29" t="s">
        <v>11</v>
      </c>
      <c r="D34" s="29" t="s">
        <v>1238</v>
      </c>
      <c r="E34" s="70">
        <v>0</v>
      </c>
      <c r="F34" s="39">
        <v>7340.5</v>
      </c>
      <c r="G34" s="29" t="s">
        <v>1236</v>
      </c>
      <c r="H34" s="38">
        <v>40653</v>
      </c>
      <c r="I34" s="25">
        <f>$I$6*E34</f>
        <v>0</v>
      </c>
      <c r="J34" s="84" t="s">
        <v>1224</v>
      </c>
    </row>
    <row r="35" spans="1:10">
      <c r="A35" s="29" t="s">
        <v>1241</v>
      </c>
      <c r="B35" s="38">
        <v>40637</v>
      </c>
      <c r="C35" s="29" t="s">
        <v>438</v>
      </c>
      <c r="D35" s="29" t="s">
        <v>1240</v>
      </c>
      <c r="E35" s="70">
        <v>0</v>
      </c>
      <c r="F35" s="39">
        <v>26418</v>
      </c>
      <c r="G35" s="29" t="s">
        <v>1222</v>
      </c>
      <c r="H35" s="38">
        <v>40622</v>
      </c>
      <c r="I35" s="25">
        <f>$I$6*E35</f>
        <v>0</v>
      </c>
      <c r="J35" s="84" t="s">
        <v>1224</v>
      </c>
    </row>
    <row r="36" spans="1:10">
      <c r="A36" s="29" t="s">
        <v>1243</v>
      </c>
      <c r="B36" s="38">
        <v>40637</v>
      </c>
      <c r="C36" s="29" t="s">
        <v>349</v>
      </c>
      <c r="D36" s="29" t="s">
        <v>1242</v>
      </c>
      <c r="E36" s="70">
        <v>0</v>
      </c>
      <c r="F36" s="39">
        <v>25929</v>
      </c>
      <c r="G36" s="29" t="s">
        <v>1222</v>
      </c>
      <c r="H36" s="38">
        <v>40661</v>
      </c>
      <c r="I36" s="25">
        <f t="shared" ref="I36:I102" si="1">$I$6*E36</f>
        <v>0</v>
      </c>
      <c r="J36" s="84" t="s">
        <v>1224</v>
      </c>
    </row>
    <row r="37" spans="1:10">
      <c r="A37" s="29" t="s">
        <v>1245</v>
      </c>
      <c r="B37" s="38">
        <v>40637</v>
      </c>
      <c r="C37" s="29" t="s">
        <v>349</v>
      </c>
      <c r="D37" s="29" t="s">
        <v>1244</v>
      </c>
      <c r="E37" s="70">
        <v>0</v>
      </c>
      <c r="F37" s="39">
        <v>62024</v>
      </c>
      <c r="G37" s="29" t="s">
        <v>1222</v>
      </c>
      <c r="H37" s="38">
        <v>40649</v>
      </c>
      <c r="I37" s="25">
        <f t="shared" si="1"/>
        <v>0</v>
      </c>
      <c r="J37" s="84" t="s">
        <v>1224</v>
      </c>
    </row>
    <row r="38" spans="1:10">
      <c r="A38" s="14" t="s">
        <v>628</v>
      </c>
      <c r="B38" s="24">
        <v>40638</v>
      </c>
      <c r="C38" s="14" t="s">
        <v>11</v>
      </c>
      <c r="D38" s="14" t="s">
        <v>35</v>
      </c>
      <c r="E38" s="71">
        <f>132.9+88.5+28.14</f>
        <v>249.54000000000002</v>
      </c>
      <c r="F38" s="25">
        <v>8488.5</v>
      </c>
      <c r="G38" s="14" t="s">
        <v>10</v>
      </c>
      <c r="H38" s="24"/>
      <c r="I38" s="25">
        <f t="shared" si="1"/>
        <v>49.908000000000008</v>
      </c>
    </row>
    <row r="39" spans="1:10">
      <c r="A39" s="14" t="s">
        <v>1003</v>
      </c>
      <c r="B39" s="24">
        <v>40639</v>
      </c>
      <c r="C39" s="14" t="s">
        <v>349</v>
      </c>
      <c r="D39" s="14" t="s">
        <v>35</v>
      </c>
      <c r="E39" s="71">
        <v>391.4</v>
      </c>
      <c r="F39" s="25">
        <v>10372</v>
      </c>
      <c r="G39" s="14" t="s">
        <v>10</v>
      </c>
      <c r="H39" s="24"/>
      <c r="I39" s="25">
        <f t="shared" si="1"/>
        <v>78.28</v>
      </c>
    </row>
    <row r="40" spans="1:10">
      <c r="A40" s="29" t="s">
        <v>1025</v>
      </c>
      <c r="B40" s="38">
        <v>40639</v>
      </c>
      <c r="C40" s="29" t="s">
        <v>11</v>
      </c>
      <c r="D40" s="29" t="s">
        <v>35</v>
      </c>
      <c r="E40" s="70">
        <f>322.3+362.8</f>
        <v>685.1</v>
      </c>
      <c r="F40" s="39">
        <v>21539</v>
      </c>
      <c r="G40" s="29" t="s">
        <v>10</v>
      </c>
      <c r="H40" s="38">
        <v>40656</v>
      </c>
      <c r="I40" s="25">
        <f t="shared" si="1"/>
        <v>137.02000000000001</v>
      </c>
    </row>
    <row r="41" spans="1:10">
      <c r="A41" s="29" t="s">
        <v>632</v>
      </c>
      <c r="B41" s="38">
        <v>40640</v>
      </c>
      <c r="C41" s="29" t="s">
        <v>11</v>
      </c>
      <c r="D41" s="29" t="s">
        <v>32</v>
      </c>
      <c r="E41" s="70">
        <f>40.18+204.6+261.5</f>
        <v>506.28</v>
      </c>
      <c r="F41" s="39">
        <v>8689</v>
      </c>
      <c r="G41" s="14" t="s">
        <v>10</v>
      </c>
      <c r="H41" s="38"/>
      <c r="I41" s="25">
        <f t="shared" si="1"/>
        <v>101.256</v>
      </c>
    </row>
    <row r="42" spans="1:10">
      <c r="A42" s="29" t="s">
        <v>1068</v>
      </c>
      <c r="B42" s="38">
        <v>40640</v>
      </c>
      <c r="C42" s="29" t="s">
        <v>347</v>
      </c>
      <c r="D42" s="29" t="s">
        <v>44</v>
      </c>
      <c r="E42" s="70">
        <v>934.4</v>
      </c>
      <c r="F42" s="39">
        <v>26630.400000000001</v>
      </c>
      <c r="G42" s="14" t="s">
        <v>10</v>
      </c>
      <c r="H42" s="38"/>
      <c r="I42" s="25">
        <f t="shared" si="1"/>
        <v>186.88</v>
      </c>
    </row>
    <row r="43" spans="1:10">
      <c r="A43" s="29" t="s">
        <v>663</v>
      </c>
      <c r="B43" s="38">
        <v>40640</v>
      </c>
      <c r="C43" s="29" t="s">
        <v>349</v>
      </c>
      <c r="D43" s="29" t="s">
        <v>274</v>
      </c>
      <c r="E43" s="70">
        <v>826</v>
      </c>
      <c r="F43" s="39">
        <v>22715</v>
      </c>
      <c r="G43" s="14" t="s">
        <v>10</v>
      </c>
      <c r="H43" s="38"/>
      <c r="I43" s="25">
        <f t="shared" si="1"/>
        <v>165.20000000000002</v>
      </c>
      <c r="J43" s="84" t="s">
        <v>1246</v>
      </c>
    </row>
    <row r="44" spans="1:10">
      <c r="A44" s="29" t="s">
        <v>1050</v>
      </c>
      <c r="B44" s="38">
        <v>40640</v>
      </c>
      <c r="C44" s="29" t="s">
        <v>11</v>
      </c>
      <c r="D44" s="29" t="s">
        <v>32</v>
      </c>
      <c r="E44" s="70">
        <f>210.16+613.24+677.6+167.1</f>
        <v>1668.1</v>
      </c>
      <c r="F44" s="39">
        <v>52664.51</v>
      </c>
      <c r="G44" s="29" t="s">
        <v>10</v>
      </c>
      <c r="H44" s="38">
        <v>52664.51</v>
      </c>
      <c r="I44" s="25">
        <f t="shared" si="1"/>
        <v>333.62</v>
      </c>
    </row>
    <row r="45" spans="1:10">
      <c r="A45" s="29" t="s">
        <v>1052</v>
      </c>
      <c r="B45" s="38">
        <v>40640</v>
      </c>
      <c r="C45" s="29" t="s">
        <v>438</v>
      </c>
      <c r="D45" s="29" t="s">
        <v>274</v>
      </c>
      <c r="E45" s="70">
        <f>926.2+927.1</f>
        <v>1853.3000000000002</v>
      </c>
      <c r="F45" s="39">
        <v>52819.05</v>
      </c>
      <c r="G45" s="29" t="s">
        <v>10</v>
      </c>
      <c r="H45" s="38">
        <v>40637</v>
      </c>
      <c r="I45" s="25">
        <f t="shared" si="1"/>
        <v>370.66000000000008</v>
      </c>
    </row>
    <row r="46" spans="1:10">
      <c r="A46" s="29" t="s">
        <v>1055</v>
      </c>
      <c r="B46" s="38">
        <v>40640</v>
      </c>
      <c r="C46" s="29" t="s">
        <v>11</v>
      </c>
      <c r="D46" s="29" t="s">
        <v>274</v>
      </c>
      <c r="E46" s="70">
        <f>203.96+105.36+288.5+106.76</f>
        <v>704.57999999999993</v>
      </c>
      <c r="F46" s="39">
        <v>18995.14</v>
      </c>
      <c r="G46" s="29" t="s">
        <v>10</v>
      </c>
      <c r="H46" s="38">
        <v>18994.14</v>
      </c>
      <c r="I46" s="25">
        <f t="shared" si="1"/>
        <v>140.916</v>
      </c>
    </row>
    <row r="47" spans="1:10">
      <c r="A47" s="29" t="s">
        <v>1056</v>
      </c>
      <c r="B47" s="38">
        <v>40640</v>
      </c>
      <c r="C47" s="29" t="s">
        <v>11</v>
      </c>
      <c r="D47" s="29" t="s">
        <v>274</v>
      </c>
      <c r="E47" s="70">
        <v>247.48</v>
      </c>
      <c r="F47" s="39">
        <v>6334.66</v>
      </c>
      <c r="G47" s="29" t="s">
        <v>10</v>
      </c>
      <c r="H47" s="38">
        <v>40660</v>
      </c>
      <c r="I47" s="25">
        <f t="shared" si="1"/>
        <v>49.496000000000002</v>
      </c>
    </row>
    <row r="48" spans="1:10">
      <c r="A48" s="29" t="s">
        <v>1060</v>
      </c>
      <c r="B48" s="38">
        <v>40640</v>
      </c>
      <c r="C48" s="29" t="s">
        <v>438</v>
      </c>
      <c r="D48" s="29" t="s">
        <v>1061</v>
      </c>
      <c r="E48" s="70">
        <v>923.1</v>
      </c>
      <c r="F48" s="39">
        <v>26308.35</v>
      </c>
      <c r="G48" s="29" t="s">
        <v>10</v>
      </c>
      <c r="H48" s="38">
        <v>40667</v>
      </c>
      <c r="I48" s="25">
        <f t="shared" si="1"/>
        <v>184.62</v>
      </c>
    </row>
    <row r="49" spans="1:10">
      <c r="A49" s="29" t="s">
        <v>1248</v>
      </c>
      <c r="B49" s="38">
        <v>40640</v>
      </c>
      <c r="C49" s="29" t="s">
        <v>11</v>
      </c>
      <c r="D49" s="29" t="s">
        <v>1247</v>
      </c>
      <c r="E49" s="70">
        <v>0</v>
      </c>
      <c r="F49" s="39">
        <v>8689.5</v>
      </c>
      <c r="G49" s="29" t="s">
        <v>1222</v>
      </c>
      <c r="H49" s="38">
        <v>40653</v>
      </c>
      <c r="I49" s="25">
        <f t="shared" si="1"/>
        <v>0</v>
      </c>
      <c r="J49" s="84" t="s">
        <v>1224</v>
      </c>
    </row>
    <row r="50" spans="1:10">
      <c r="A50" s="29" t="s">
        <v>1250</v>
      </c>
      <c r="B50" s="38">
        <v>40640</v>
      </c>
      <c r="C50" s="29" t="s">
        <v>438</v>
      </c>
      <c r="D50" s="29" t="s">
        <v>1249</v>
      </c>
      <c r="E50" s="70">
        <v>0</v>
      </c>
      <c r="F50" s="39">
        <v>26630.400000000001</v>
      </c>
      <c r="G50" s="29" t="s">
        <v>1222</v>
      </c>
      <c r="H50" s="38">
        <v>40653</v>
      </c>
      <c r="I50" s="25">
        <f t="shared" si="1"/>
        <v>0</v>
      </c>
      <c r="J50" s="84" t="s">
        <v>1224</v>
      </c>
    </row>
    <row r="51" spans="1:10">
      <c r="A51" s="29" t="s">
        <v>1252</v>
      </c>
      <c r="B51" s="38">
        <v>40640</v>
      </c>
      <c r="C51" s="29" t="s">
        <v>349</v>
      </c>
      <c r="D51" s="29" t="s">
        <v>1251</v>
      </c>
      <c r="E51" s="70">
        <v>0</v>
      </c>
      <c r="F51" s="39">
        <v>22715</v>
      </c>
      <c r="G51" s="29" t="s">
        <v>1222</v>
      </c>
      <c r="H51" s="38">
        <v>40649</v>
      </c>
      <c r="I51" s="25">
        <f t="shared" si="1"/>
        <v>0</v>
      </c>
      <c r="J51" s="84" t="s">
        <v>1224</v>
      </c>
    </row>
    <row r="52" spans="1:10">
      <c r="A52" s="29" t="s">
        <v>1024</v>
      </c>
      <c r="B52" s="38">
        <v>40642</v>
      </c>
      <c r="C52" s="29" t="s">
        <v>11</v>
      </c>
      <c r="D52" s="29" t="s">
        <v>35</v>
      </c>
      <c r="E52" s="70">
        <f>681.8+5.44</f>
        <v>687.24</v>
      </c>
      <c r="F52" s="39">
        <v>18348</v>
      </c>
      <c r="G52" s="29" t="s">
        <v>10</v>
      </c>
      <c r="H52" s="38">
        <v>40656</v>
      </c>
      <c r="I52" s="25">
        <f t="shared" si="1"/>
        <v>137.44800000000001</v>
      </c>
    </row>
    <row r="53" spans="1:10">
      <c r="A53" s="14" t="s">
        <v>962</v>
      </c>
      <c r="B53" s="24">
        <v>40644</v>
      </c>
      <c r="C53" s="14" t="s">
        <v>11</v>
      </c>
      <c r="D53" s="14" t="s">
        <v>963</v>
      </c>
      <c r="E53" s="71">
        <f>62.58+33.58+21.26</f>
        <v>117.42</v>
      </c>
      <c r="F53" s="25">
        <v>2570</v>
      </c>
      <c r="G53" s="14" t="s">
        <v>10</v>
      </c>
      <c r="H53" s="24">
        <v>40615</v>
      </c>
      <c r="I53" s="25">
        <f t="shared" si="1"/>
        <v>23.484000000000002</v>
      </c>
    </row>
    <row r="54" spans="1:10">
      <c r="A54" s="14" t="s">
        <v>968</v>
      </c>
      <c r="B54" s="24">
        <v>40644</v>
      </c>
      <c r="C54" s="14" t="s">
        <v>11</v>
      </c>
      <c r="D54" s="14" t="s">
        <v>969</v>
      </c>
      <c r="E54" s="71">
        <f>49.68+5.44+34.26</f>
        <v>89.38</v>
      </c>
      <c r="F54" s="25">
        <v>1462.87</v>
      </c>
      <c r="G54" s="14" t="s">
        <v>10</v>
      </c>
      <c r="H54" s="24">
        <v>40615</v>
      </c>
      <c r="I54" s="25">
        <f t="shared" si="1"/>
        <v>17.876000000000001</v>
      </c>
    </row>
    <row r="55" spans="1:10">
      <c r="A55" s="14" t="s">
        <v>683</v>
      </c>
      <c r="B55" s="24">
        <v>40644</v>
      </c>
      <c r="C55" s="14" t="s">
        <v>79</v>
      </c>
      <c r="D55" s="14" t="s">
        <v>339</v>
      </c>
      <c r="E55" s="71">
        <v>1040.0999999999999</v>
      </c>
      <c r="F55" s="25">
        <v>13521</v>
      </c>
      <c r="G55" s="14" t="s">
        <v>10</v>
      </c>
      <c r="H55" s="24">
        <v>40620</v>
      </c>
      <c r="I55" s="25">
        <f t="shared" si="1"/>
        <v>208.01999999999998</v>
      </c>
    </row>
    <row r="56" spans="1:10">
      <c r="A56" s="14" t="s">
        <v>1007</v>
      </c>
      <c r="B56" s="24">
        <v>40644</v>
      </c>
      <c r="C56" s="14" t="s">
        <v>11</v>
      </c>
      <c r="D56" s="14" t="s">
        <v>977</v>
      </c>
      <c r="E56" s="71">
        <f>839+24.48+62.54+36+50.64+272.2</f>
        <v>1284.8599999999999</v>
      </c>
      <c r="F56" s="25">
        <v>31828.400000000001</v>
      </c>
      <c r="G56" s="14" t="s">
        <v>10</v>
      </c>
      <c r="H56" s="24">
        <v>40616</v>
      </c>
      <c r="I56" s="25">
        <f t="shared" si="1"/>
        <v>256.97199999999998</v>
      </c>
      <c r="J56" s="84" t="s">
        <v>1253</v>
      </c>
    </row>
    <row r="57" spans="1:10">
      <c r="A57" s="29" t="s">
        <v>1069</v>
      </c>
      <c r="B57" s="38">
        <v>40644</v>
      </c>
      <c r="C57" s="29" t="s">
        <v>349</v>
      </c>
      <c r="D57" s="29" t="s">
        <v>274</v>
      </c>
      <c r="E57" s="70">
        <v>2046.8</v>
      </c>
      <c r="F57" s="39">
        <v>54240.2</v>
      </c>
      <c r="G57" s="14" t="s">
        <v>10</v>
      </c>
      <c r="H57" s="38">
        <v>40618</v>
      </c>
      <c r="I57" s="25">
        <f t="shared" si="1"/>
        <v>409.36</v>
      </c>
    </row>
    <row r="58" spans="1:10">
      <c r="A58" s="29" t="s">
        <v>764</v>
      </c>
      <c r="B58" s="38">
        <v>40644</v>
      </c>
      <c r="C58" s="29" t="s">
        <v>45</v>
      </c>
      <c r="D58" s="29" t="s">
        <v>12</v>
      </c>
      <c r="E58" s="70">
        <v>207.34</v>
      </c>
      <c r="F58" s="39">
        <v>2902.76</v>
      </c>
      <c r="G58" s="29" t="s">
        <v>10</v>
      </c>
      <c r="H58" s="38"/>
      <c r="I58" s="25">
        <f t="shared" si="1"/>
        <v>41.468000000000004</v>
      </c>
      <c r="J58" s="84" t="s">
        <v>1254</v>
      </c>
    </row>
    <row r="59" spans="1:10">
      <c r="A59" s="29" t="s">
        <v>615</v>
      </c>
      <c r="B59" s="38">
        <v>40644</v>
      </c>
      <c r="C59" s="29" t="s">
        <v>45</v>
      </c>
      <c r="D59" s="29" t="s">
        <v>423</v>
      </c>
      <c r="E59" s="70">
        <v>334.7</v>
      </c>
      <c r="F59" s="39">
        <v>6694</v>
      </c>
      <c r="G59" s="29" t="s">
        <v>10</v>
      </c>
      <c r="H59" s="38">
        <v>40660</v>
      </c>
      <c r="I59" s="25">
        <f t="shared" si="1"/>
        <v>66.94</v>
      </c>
    </row>
    <row r="60" spans="1:10">
      <c r="A60" s="29" t="s">
        <v>1256</v>
      </c>
      <c r="B60" s="38">
        <v>40644</v>
      </c>
      <c r="C60" s="29" t="s">
        <v>45</v>
      </c>
      <c r="D60" s="29" t="s">
        <v>1255</v>
      </c>
      <c r="E60" s="70">
        <v>0</v>
      </c>
      <c r="F60" s="39">
        <v>2902.76</v>
      </c>
      <c r="G60" s="29" t="s">
        <v>1222</v>
      </c>
      <c r="H60" s="38"/>
      <c r="I60" s="25">
        <f t="shared" si="1"/>
        <v>0</v>
      </c>
      <c r="J60" s="84" t="s">
        <v>1224</v>
      </c>
    </row>
    <row r="61" spans="1:10">
      <c r="A61" s="29" t="s">
        <v>1053</v>
      </c>
      <c r="B61" s="38">
        <v>40644</v>
      </c>
      <c r="C61" s="29" t="s">
        <v>11</v>
      </c>
      <c r="D61" s="29" t="s">
        <v>274</v>
      </c>
      <c r="E61" s="70">
        <v>1561.1</v>
      </c>
      <c r="F61" s="39">
        <v>42728.18</v>
      </c>
      <c r="G61" s="29" t="s">
        <v>10</v>
      </c>
      <c r="H61" s="38">
        <v>40667</v>
      </c>
      <c r="I61" s="25">
        <f t="shared" si="1"/>
        <v>312.22000000000003</v>
      </c>
    </row>
    <row r="62" spans="1:10">
      <c r="A62" s="29" t="s">
        <v>1057</v>
      </c>
      <c r="B62" s="38">
        <v>40644</v>
      </c>
      <c r="C62" s="29" t="s">
        <v>11</v>
      </c>
      <c r="D62" s="29" t="s">
        <v>274</v>
      </c>
      <c r="E62" s="70">
        <f>108.88+40.83+27.22+10.88+21.17</f>
        <v>208.97999999999996</v>
      </c>
      <c r="F62" s="39">
        <v>7098.76</v>
      </c>
      <c r="G62" s="29" t="s">
        <v>10</v>
      </c>
      <c r="H62" s="38">
        <v>40660</v>
      </c>
      <c r="I62" s="25">
        <f t="shared" si="1"/>
        <v>41.795999999999992</v>
      </c>
    </row>
    <row r="63" spans="1:10">
      <c r="A63" s="29" t="s">
        <v>1063</v>
      </c>
      <c r="B63" s="38">
        <v>40644</v>
      </c>
      <c r="C63" s="29" t="s">
        <v>11</v>
      </c>
      <c r="D63" s="29" t="s">
        <v>32</v>
      </c>
      <c r="E63" s="70">
        <f>543.28+205.28+826.7+865.31</f>
        <v>2440.5699999999997</v>
      </c>
      <c r="F63" s="39">
        <v>72052</v>
      </c>
      <c r="G63" s="29" t="s">
        <v>10</v>
      </c>
      <c r="H63" s="38">
        <v>40663</v>
      </c>
      <c r="I63" s="25">
        <f t="shared" si="1"/>
        <v>488.11399999999998</v>
      </c>
    </row>
    <row r="64" spans="1:10">
      <c r="A64" s="29" t="s">
        <v>1258</v>
      </c>
      <c r="B64" s="38">
        <v>40644</v>
      </c>
      <c r="C64" s="29" t="s">
        <v>45</v>
      </c>
      <c r="D64" s="29" t="s">
        <v>1257</v>
      </c>
      <c r="E64" s="70">
        <v>0</v>
      </c>
      <c r="F64" s="39">
        <v>13521</v>
      </c>
      <c r="G64" s="29" t="s">
        <v>1222</v>
      </c>
      <c r="H64" s="38"/>
      <c r="I64" s="25">
        <f t="shared" si="1"/>
        <v>0</v>
      </c>
      <c r="J64" s="84" t="s">
        <v>1224</v>
      </c>
    </row>
    <row r="65" spans="1:10">
      <c r="A65" s="29" t="s">
        <v>1260</v>
      </c>
      <c r="B65" s="38">
        <v>40644</v>
      </c>
      <c r="C65" s="29" t="s">
        <v>349</v>
      </c>
      <c r="D65" s="29" t="s">
        <v>1259</v>
      </c>
      <c r="E65" s="70">
        <v>0</v>
      </c>
      <c r="F65" s="39">
        <v>54240</v>
      </c>
      <c r="G65" s="29" t="s">
        <v>1236</v>
      </c>
      <c r="H65" s="38">
        <v>40649</v>
      </c>
      <c r="I65" s="25">
        <f t="shared" si="1"/>
        <v>0</v>
      </c>
      <c r="J65" s="84" t="s">
        <v>1224</v>
      </c>
    </row>
    <row r="66" spans="1:10">
      <c r="A66" s="29" t="s">
        <v>1035</v>
      </c>
      <c r="B66" s="38">
        <v>40645</v>
      </c>
      <c r="C66" s="29" t="s">
        <v>11</v>
      </c>
      <c r="D66" s="29" t="s">
        <v>35</v>
      </c>
      <c r="E66" s="70">
        <v>594.29999999999995</v>
      </c>
      <c r="F66" s="39">
        <v>16549</v>
      </c>
      <c r="G66" s="29" t="s">
        <v>10</v>
      </c>
      <c r="H66" s="38">
        <v>40660</v>
      </c>
      <c r="I66" s="25">
        <f t="shared" si="1"/>
        <v>118.86</v>
      </c>
    </row>
    <row r="67" spans="1:10">
      <c r="A67" s="29" t="s">
        <v>1064</v>
      </c>
      <c r="B67" s="38">
        <v>40646</v>
      </c>
      <c r="C67" s="29" t="s">
        <v>11</v>
      </c>
      <c r="D67" s="29" t="s">
        <v>353</v>
      </c>
      <c r="E67" s="70">
        <f>206.8+36.34</f>
        <v>243.14000000000001</v>
      </c>
      <c r="F67" s="39">
        <v>7746.76</v>
      </c>
      <c r="G67" s="29" t="s">
        <v>10</v>
      </c>
      <c r="H67" s="38"/>
      <c r="I67" s="25">
        <f t="shared" si="1"/>
        <v>48.628000000000007</v>
      </c>
    </row>
    <row r="68" spans="1:10">
      <c r="A68" s="14" t="s">
        <v>989</v>
      </c>
      <c r="B68" s="24">
        <v>40647</v>
      </c>
      <c r="C68" s="14" t="s">
        <v>349</v>
      </c>
      <c r="D68" s="14" t="s">
        <v>35</v>
      </c>
      <c r="E68" s="71">
        <v>406.9</v>
      </c>
      <c r="F68" s="25">
        <v>10783</v>
      </c>
      <c r="G68" s="14" t="s">
        <v>10</v>
      </c>
      <c r="H68" s="24">
        <v>40620</v>
      </c>
      <c r="I68" s="25">
        <f t="shared" si="1"/>
        <v>81.38</v>
      </c>
    </row>
    <row r="69" spans="1:10">
      <c r="A69" s="29" t="s">
        <v>1054</v>
      </c>
      <c r="B69" s="38">
        <v>40647</v>
      </c>
      <c r="C69" s="29" t="s">
        <v>11</v>
      </c>
      <c r="D69" s="29" t="s">
        <v>274</v>
      </c>
      <c r="E69" s="70">
        <f>914+74.84+108.88+27.22+10.88</f>
        <v>1135.8200000000002</v>
      </c>
      <c r="F69" s="39">
        <v>31878.5</v>
      </c>
      <c r="G69" s="29" t="s">
        <v>10</v>
      </c>
      <c r="H69" s="38">
        <v>40667</v>
      </c>
      <c r="I69" s="25">
        <f t="shared" si="1"/>
        <v>227.16400000000004</v>
      </c>
    </row>
    <row r="70" spans="1:10">
      <c r="A70" s="29" t="s">
        <v>1018</v>
      </c>
      <c r="B70" s="38">
        <v>40647</v>
      </c>
      <c r="C70" s="29" t="s">
        <v>1019</v>
      </c>
      <c r="D70" s="29" t="s">
        <v>25</v>
      </c>
      <c r="E70" s="70">
        <v>160.84</v>
      </c>
      <c r="F70" s="39">
        <v>5146.88</v>
      </c>
      <c r="G70" s="29" t="s">
        <v>10</v>
      </c>
      <c r="H70" s="38">
        <v>40670</v>
      </c>
      <c r="I70" s="25">
        <f t="shared" si="1"/>
        <v>32.167999999999999</v>
      </c>
      <c r="J70" s="84" t="s">
        <v>1261</v>
      </c>
    </row>
    <row r="71" spans="1:10">
      <c r="A71" s="29" t="s">
        <v>1263</v>
      </c>
      <c r="B71" s="38">
        <v>40647</v>
      </c>
      <c r="C71" s="29" t="s">
        <v>349</v>
      </c>
      <c r="D71" s="29" t="s">
        <v>1262</v>
      </c>
      <c r="E71" s="70">
        <v>0</v>
      </c>
      <c r="F71" s="39">
        <v>10783</v>
      </c>
      <c r="G71" s="29" t="s">
        <v>1222</v>
      </c>
      <c r="H71" s="38">
        <v>40620</v>
      </c>
      <c r="I71" s="25">
        <f t="shared" si="1"/>
        <v>0</v>
      </c>
      <c r="J71" s="84" t="s">
        <v>1224</v>
      </c>
    </row>
    <row r="72" spans="1:10">
      <c r="A72" s="29" t="s">
        <v>1028</v>
      </c>
      <c r="B72" s="38">
        <v>40647</v>
      </c>
      <c r="C72" s="29" t="s">
        <v>11</v>
      </c>
      <c r="D72" s="29" t="s">
        <v>1027</v>
      </c>
      <c r="E72" s="70">
        <f>21.92+30.88+24.46+127.63+46.46</f>
        <v>251.35</v>
      </c>
      <c r="F72" s="39">
        <v>10591.16</v>
      </c>
      <c r="G72" s="29" t="s">
        <v>10</v>
      </c>
      <c r="H72" s="38">
        <v>40622</v>
      </c>
      <c r="I72" s="25">
        <f t="shared" si="1"/>
        <v>50.27</v>
      </c>
      <c r="J72" s="84" t="s">
        <v>1264</v>
      </c>
    </row>
    <row r="73" spans="1:10">
      <c r="A73" s="29" t="s">
        <v>1038</v>
      </c>
      <c r="B73" s="38">
        <v>40647</v>
      </c>
      <c r="C73" s="29" t="s">
        <v>349</v>
      </c>
      <c r="D73" s="29" t="s">
        <v>274</v>
      </c>
      <c r="E73" s="70">
        <v>2050</v>
      </c>
      <c r="F73" s="39">
        <v>54325</v>
      </c>
      <c r="G73" s="29" t="s">
        <v>10</v>
      </c>
      <c r="H73" s="38">
        <v>40660</v>
      </c>
      <c r="I73" s="25">
        <f t="shared" si="1"/>
        <v>410</v>
      </c>
      <c r="J73" s="84" t="s">
        <v>1265</v>
      </c>
    </row>
    <row r="74" spans="1:10">
      <c r="A74" s="29" t="s">
        <v>572</v>
      </c>
      <c r="B74" s="38">
        <v>40647</v>
      </c>
      <c r="C74" s="29" t="s">
        <v>11</v>
      </c>
      <c r="D74" s="29" t="s">
        <v>32</v>
      </c>
      <c r="E74" s="70">
        <f>119+30.22+353.4+195.4+624.88+266.66</f>
        <v>1589.5600000000002</v>
      </c>
      <c r="F74" s="39">
        <v>42429.09</v>
      </c>
      <c r="G74" s="29" t="s">
        <v>10</v>
      </c>
      <c r="H74" s="38">
        <v>40670</v>
      </c>
      <c r="I74" s="25">
        <f t="shared" si="1"/>
        <v>317.91200000000003</v>
      </c>
    </row>
    <row r="75" spans="1:10">
      <c r="A75" s="29" t="s">
        <v>1058</v>
      </c>
      <c r="B75" s="38">
        <v>40647</v>
      </c>
      <c r="C75" s="29" t="s">
        <v>11</v>
      </c>
      <c r="D75" s="29" t="s">
        <v>274</v>
      </c>
      <c r="E75" s="70">
        <f>41.52+108.72+318.2</f>
        <v>468.44</v>
      </c>
      <c r="F75" s="39">
        <v>8674.9599999999991</v>
      </c>
      <c r="G75" s="29" t="s">
        <v>10</v>
      </c>
      <c r="H75" s="38">
        <v>8674.9599999999991</v>
      </c>
      <c r="I75" s="25">
        <f t="shared" si="1"/>
        <v>93.688000000000002</v>
      </c>
    </row>
    <row r="76" spans="1:10">
      <c r="A76" s="29" t="s">
        <v>1059</v>
      </c>
      <c r="B76" s="38">
        <v>40647</v>
      </c>
      <c r="C76" s="29" t="s">
        <v>438</v>
      </c>
      <c r="D76" s="29" t="s">
        <v>1266</v>
      </c>
      <c r="E76" s="70">
        <v>914.9</v>
      </c>
      <c r="F76" s="39">
        <v>24885.279999999999</v>
      </c>
      <c r="G76" s="29" t="s">
        <v>10</v>
      </c>
      <c r="H76" s="38">
        <v>40674</v>
      </c>
      <c r="I76" s="25">
        <f t="shared" si="1"/>
        <v>182.98000000000002</v>
      </c>
    </row>
    <row r="77" spans="1:10">
      <c r="A77" s="29" t="s">
        <v>1062</v>
      </c>
      <c r="B77" s="38">
        <v>40647</v>
      </c>
      <c r="C77" s="29" t="s">
        <v>45</v>
      </c>
      <c r="D77" s="29" t="s">
        <v>32</v>
      </c>
      <c r="E77" s="70">
        <v>302.3</v>
      </c>
      <c r="F77" s="39">
        <v>6046</v>
      </c>
      <c r="G77" s="29" t="s">
        <v>10</v>
      </c>
      <c r="H77" s="38"/>
      <c r="I77" s="25">
        <f t="shared" si="1"/>
        <v>60.460000000000008</v>
      </c>
    </row>
    <row r="78" spans="1:10">
      <c r="A78" s="29" t="s">
        <v>1039</v>
      </c>
      <c r="B78" s="38">
        <v>40648</v>
      </c>
      <c r="C78" s="29" t="s">
        <v>1040</v>
      </c>
      <c r="D78" s="29" t="s">
        <v>35</v>
      </c>
      <c r="E78" s="70">
        <v>15.92</v>
      </c>
      <c r="F78" s="39">
        <v>1085.8</v>
      </c>
      <c r="G78" s="29" t="s">
        <v>10</v>
      </c>
      <c r="H78" s="38">
        <v>40660</v>
      </c>
      <c r="I78" s="25">
        <f t="shared" si="1"/>
        <v>3.1840000000000002</v>
      </c>
    </row>
    <row r="79" spans="1:10">
      <c r="A79" s="29" t="s">
        <v>581</v>
      </c>
      <c r="B79" s="38">
        <v>40649</v>
      </c>
      <c r="C79" s="29" t="s">
        <v>349</v>
      </c>
      <c r="D79" s="29" t="s">
        <v>35</v>
      </c>
      <c r="E79" s="70">
        <v>450.5</v>
      </c>
      <c r="F79" s="39">
        <v>11938</v>
      </c>
      <c r="G79" s="29" t="s">
        <v>10</v>
      </c>
      <c r="H79" s="38">
        <v>40667</v>
      </c>
      <c r="I79" s="25">
        <f t="shared" si="1"/>
        <v>90.100000000000009</v>
      </c>
    </row>
    <row r="80" spans="1:10">
      <c r="A80" s="29" t="s">
        <v>1047</v>
      </c>
      <c r="B80" s="38">
        <v>40649</v>
      </c>
      <c r="C80" s="29" t="s">
        <v>349</v>
      </c>
      <c r="D80" s="29" t="s">
        <v>35</v>
      </c>
      <c r="E80" s="70">
        <v>187</v>
      </c>
      <c r="F80" s="39">
        <v>4955.5</v>
      </c>
      <c r="G80" s="29" t="s">
        <v>10</v>
      </c>
      <c r="H80" s="38">
        <v>40661</v>
      </c>
      <c r="I80" s="25">
        <f t="shared" si="1"/>
        <v>37.4</v>
      </c>
    </row>
    <row r="81" spans="1:10">
      <c r="A81" s="29" t="s">
        <v>1049</v>
      </c>
      <c r="B81" s="38">
        <v>40649</v>
      </c>
      <c r="C81" s="29" t="s">
        <v>1040</v>
      </c>
      <c r="D81" s="29" t="s">
        <v>35</v>
      </c>
      <c r="E81" s="70">
        <v>31.93</v>
      </c>
      <c r="F81" s="39">
        <v>2139</v>
      </c>
      <c r="G81" s="29" t="s">
        <v>10</v>
      </c>
      <c r="H81" s="38">
        <v>40661</v>
      </c>
      <c r="I81" s="25">
        <f t="shared" si="1"/>
        <v>6.3860000000000001</v>
      </c>
    </row>
    <row r="82" spans="1:10">
      <c r="A82" s="29" t="s">
        <v>1021</v>
      </c>
      <c r="B82" s="38">
        <v>40651</v>
      </c>
      <c r="C82" s="29" t="s">
        <v>438</v>
      </c>
      <c r="D82" s="29" t="s">
        <v>274</v>
      </c>
      <c r="E82" s="70">
        <f>937.1+925.62</f>
        <v>1862.72</v>
      </c>
      <c r="F82" s="39">
        <v>48803.26</v>
      </c>
      <c r="G82" s="29" t="s">
        <v>10</v>
      </c>
      <c r="H82" s="38">
        <v>40674</v>
      </c>
      <c r="I82" s="25">
        <f t="shared" si="1"/>
        <v>372.54400000000004</v>
      </c>
    </row>
    <row r="83" spans="1:10">
      <c r="A83" s="29" t="s">
        <v>1026</v>
      </c>
      <c r="B83" s="38">
        <v>40651</v>
      </c>
      <c r="C83" s="29" t="s">
        <v>11</v>
      </c>
      <c r="D83" s="29" t="s">
        <v>1027</v>
      </c>
      <c r="E83" s="70">
        <f>20.9+11.68+86.68+930.3</f>
        <v>1049.56</v>
      </c>
      <c r="F83" s="39">
        <v>26678.799999999999</v>
      </c>
      <c r="G83" s="29" t="s">
        <v>10</v>
      </c>
      <c r="H83" s="38">
        <v>40622</v>
      </c>
      <c r="I83" s="25">
        <f t="shared" si="1"/>
        <v>209.91200000000001</v>
      </c>
      <c r="J83" s="84" t="s">
        <v>1264</v>
      </c>
    </row>
    <row r="84" spans="1:10">
      <c r="A84" s="29" t="s">
        <v>1030</v>
      </c>
      <c r="B84" s="38">
        <v>40651</v>
      </c>
      <c r="C84" s="29" t="s">
        <v>11</v>
      </c>
      <c r="D84" s="29" t="s">
        <v>32</v>
      </c>
      <c r="E84" s="70">
        <f>318.6+888.89+137.7+233.7+551.74</f>
        <v>2130.63</v>
      </c>
      <c r="F84" s="39">
        <v>59267.07</v>
      </c>
      <c r="G84" s="29" t="s">
        <v>10</v>
      </c>
      <c r="H84" s="38">
        <v>40667</v>
      </c>
      <c r="I84" s="25">
        <f t="shared" si="1"/>
        <v>426.12600000000003</v>
      </c>
    </row>
    <row r="85" spans="1:10">
      <c r="A85" s="29" t="s">
        <v>1032</v>
      </c>
      <c r="B85" s="38">
        <v>40651</v>
      </c>
      <c r="C85" s="29" t="s">
        <v>349</v>
      </c>
      <c r="D85" s="29" t="s">
        <v>274</v>
      </c>
      <c r="E85" s="70">
        <v>2750.8</v>
      </c>
      <c r="F85" s="39">
        <v>72896.2</v>
      </c>
      <c r="G85" s="29" t="s">
        <v>10</v>
      </c>
      <c r="H85" s="38">
        <v>40660</v>
      </c>
      <c r="I85" s="25">
        <f t="shared" si="1"/>
        <v>550.16000000000008</v>
      </c>
    </row>
    <row r="86" spans="1:10">
      <c r="A86" s="29" t="s">
        <v>1033</v>
      </c>
      <c r="B86" s="38">
        <v>40651</v>
      </c>
      <c r="C86" s="29" t="s">
        <v>21</v>
      </c>
      <c r="D86" s="29" t="s">
        <v>12</v>
      </c>
      <c r="E86" s="70">
        <v>204.15</v>
      </c>
      <c r="F86" s="39">
        <v>7349.5</v>
      </c>
      <c r="G86" s="29" t="s">
        <v>10</v>
      </c>
      <c r="H86" s="38">
        <v>40660</v>
      </c>
      <c r="I86" s="25">
        <f t="shared" si="1"/>
        <v>40.830000000000005</v>
      </c>
      <c r="J86" s="84" t="s">
        <v>1267</v>
      </c>
    </row>
    <row r="87" spans="1:10">
      <c r="A87" s="29" t="s">
        <v>1034</v>
      </c>
      <c r="B87" s="38">
        <v>40651</v>
      </c>
      <c r="C87" s="29" t="s">
        <v>11</v>
      </c>
      <c r="D87" s="29" t="s">
        <v>44</v>
      </c>
      <c r="E87" s="70">
        <f>930.8+13.61+60.4</f>
        <v>1004.81</v>
      </c>
      <c r="F87" s="39">
        <v>25708.91</v>
      </c>
      <c r="G87" s="29" t="s">
        <v>10</v>
      </c>
      <c r="H87" s="38">
        <v>40660</v>
      </c>
      <c r="I87" s="25">
        <f t="shared" si="1"/>
        <v>200.96199999999999</v>
      </c>
    </row>
    <row r="88" spans="1:10">
      <c r="A88" s="29" t="s">
        <v>1037</v>
      </c>
      <c r="B88" s="38">
        <v>40651</v>
      </c>
      <c r="C88" s="29" t="s">
        <v>11</v>
      </c>
      <c r="D88" s="29" t="s">
        <v>423</v>
      </c>
      <c r="E88" s="70">
        <v>223.5</v>
      </c>
      <c r="F88" s="39">
        <v>4470</v>
      </c>
      <c r="G88" s="29" t="s">
        <v>10</v>
      </c>
      <c r="H88" s="38">
        <v>40660</v>
      </c>
      <c r="I88" s="25">
        <f t="shared" si="1"/>
        <v>44.7</v>
      </c>
    </row>
    <row r="89" spans="1:10">
      <c r="A89" s="29" t="s">
        <v>1046</v>
      </c>
      <c r="B89" s="38">
        <v>40651</v>
      </c>
      <c r="C89" s="29" t="s">
        <v>11</v>
      </c>
      <c r="D89" s="29" t="s">
        <v>274</v>
      </c>
      <c r="E89" s="70">
        <f>158.5+240.8+66.5+33.5+136.1+27.22</f>
        <v>662.62</v>
      </c>
      <c r="F89" s="39">
        <v>17554.439999999999</v>
      </c>
      <c r="G89" s="29" t="s">
        <v>10</v>
      </c>
      <c r="H89" s="38">
        <v>40667</v>
      </c>
      <c r="I89" s="25">
        <f t="shared" si="1"/>
        <v>132.524</v>
      </c>
    </row>
    <row r="90" spans="1:10">
      <c r="A90" s="29" t="s">
        <v>1048</v>
      </c>
      <c r="B90" s="38">
        <v>40651</v>
      </c>
      <c r="C90" s="29" t="s">
        <v>11</v>
      </c>
      <c r="D90" s="29" t="s">
        <v>35</v>
      </c>
      <c r="E90" s="70">
        <f>57.46+27.22</f>
        <v>84.68</v>
      </c>
      <c r="F90" s="39">
        <v>2815</v>
      </c>
      <c r="G90" s="29" t="s">
        <v>10</v>
      </c>
      <c r="H90" s="38">
        <v>40661</v>
      </c>
      <c r="I90" s="25">
        <f t="shared" si="1"/>
        <v>16.936000000000003</v>
      </c>
    </row>
    <row r="91" spans="1:10">
      <c r="A91" s="29" t="s">
        <v>1051</v>
      </c>
      <c r="B91" s="38">
        <v>40651</v>
      </c>
      <c r="C91" s="29" t="s">
        <v>11</v>
      </c>
      <c r="D91" s="29" t="s">
        <v>171</v>
      </c>
      <c r="E91" s="70">
        <v>940</v>
      </c>
      <c r="F91" s="39">
        <v>12220</v>
      </c>
      <c r="G91" s="29" t="s">
        <v>10</v>
      </c>
      <c r="H91" s="38">
        <v>40661</v>
      </c>
      <c r="I91" s="25">
        <f t="shared" si="1"/>
        <v>188</v>
      </c>
    </row>
    <row r="92" spans="1:10">
      <c r="A92" s="29" t="s">
        <v>1045</v>
      </c>
      <c r="B92" s="38">
        <v>40654</v>
      </c>
      <c r="C92" s="29" t="s">
        <v>15</v>
      </c>
      <c r="D92" s="29" t="s">
        <v>35</v>
      </c>
      <c r="E92" s="70">
        <f>164+181.5</f>
        <v>345.5</v>
      </c>
      <c r="F92" s="39">
        <v>12783.5</v>
      </c>
      <c r="G92" s="29" t="s">
        <v>10</v>
      </c>
      <c r="H92" s="38"/>
      <c r="I92" s="25">
        <f t="shared" si="1"/>
        <v>69.100000000000009</v>
      </c>
    </row>
    <row r="93" spans="1:10">
      <c r="A93" s="29" t="s">
        <v>1023</v>
      </c>
      <c r="B93" s="38">
        <v>40656</v>
      </c>
      <c r="C93" s="29" t="s">
        <v>11</v>
      </c>
      <c r="D93" s="29" t="s">
        <v>35</v>
      </c>
      <c r="E93" s="70">
        <f>822.5+137.8</f>
        <v>960.3</v>
      </c>
      <c r="F93" s="39">
        <v>29789.8</v>
      </c>
      <c r="G93" s="29" t="s">
        <v>10</v>
      </c>
      <c r="H93" s="38">
        <v>40668</v>
      </c>
      <c r="I93" s="25">
        <f t="shared" si="1"/>
        <v>192.06</v>
      </c>
    </row>
    <row r="94" spans="1:10">
      <c r="A94" s="14" t="s">
        <v>993</v>
      </c>
      <c r="B94" s="89">
        <v>40637</v>
      </c>
      <c r="C94" s="14" t="s">
        <v>11</v>
      </c>
      <c r="D94" s="14" t="s">
        <v>977</v>
      </c>
      <c r="E94" s="71">
        <f>24+272.2+163.32+29.5</f>
        <v>489.02</v>
      </c>
      <c r="F94" s="25">
        <v>13202</v>
      </c>
      <c r="G94" s="14" t="s">
        <v>10</v>
      </c>
      <c r="H94" s="24">
        <v>40608</v>
      </c>
      <c r="I94" s="25">
        <f t="shared" si="1"/>
        <v>97.804000000000002</v>
      </c>
    </row>
    <row r="95" spans="1:10">
      <c r="A95" s="29" t="s">
        <v>1022</v>
      </c>
      <c r="B95" s="38">
        <v>40657</v>
      </c>
      <c r="C95" s="29" t="s">
        <v>11</v>
      </c>
      <c r="D95" s="29" t="s">
        <v>171</v>
      </c>
      <c r="E95" s="70">
        <v>1497.5</v>
      </c>
      <c r="F95" s="39">
        <v>19467.5</v>
      </c>
      <c r="G95" s="29" t="s">
        <v>10</v>
      </c>
      <c r="H95" s="38">
        <v>40638</v>
      </c>
      <c r="I95" s="25">
        <f t="shared" si="1"/>
        <v>299.5</v>
      </c>
    </row>
    <row r="96" spans="1:10">
      <c r="A96" s="29" t="s">
        <v>1015</v>
      </c>
      <c r="B96" s="38">
        <v>40658</v>
      </c>
      <c r="C96" s="29" t="s">
        <v>11</v>
      </c>
      <c r="D96" s="29" t="s">
        <v>423</v>
      </c>
      <c r="E96" s="70">
        <f>317.6+16.32+140.26</f>
        <v>474.18</v>
      </c>
      <c r="F96" s="39">
        <v>9155.64</v>
      </c>
      <c r="G96" s="29" t="s">
        <v>10</v>
      </c>
      <c r="H96" s="38">
        <v>40667</v>
      </c>
      <c r="I96" s="25">
        <f t="shared" si="1"/>
        <v>94.836000000000013</v>
      </c>
    </row>
    <row r="97" spans="1:10">
      <c r="A97" s="29" t="s">
        <v>1016</v>
      </c>
      <c r="B97" s="38">
        <v>40658</v>
      </c>
      <c r="C97" s="29" t="s">
        <v>11</v>
      </c>
      <c r="D97" s="29" t="s">
        <v>274</v>
      </c>
      <c r="E97" s="70">
        <f>386.7+106.2+69.26+99.5</f>
        <v>661.66</v>
      </c>
      <c r="F97" s="39">
        <v>15743.15</v>
      </c>
      <c r="G97" s="29" t="s">
        <v>10</v>
      </c>
      <c r="H97" s="38">
        <v>40670</v>
      </c>
      <c r="I97" s="25">
        <f t="shared" si="1"/>
        <v>132.33199999999999</v>
      </c>
    </row>
    <row r="98" spans="1:10">
      <c r="A98" s="29" t="s">
        <v>1020</v>
      </c>
      <c r="B98" s="38">
        <v>40658</v>
      </c>
      <c r="C98" s="29" t="s">
        <v>11</v>
      </c>
      <c r="D98" s="29" t="s">
        <v>274</v>
      </c>
      <c r="E98" s="70">
        <f>27.22+19.635+27.22+5.44+136.1</f>
        <v>215.61500000000001</v>
      </c>
      <c r="F98" s="39">
        <v>6488.9</v>
      </c>
      <c r="G98" s="29" t="s">
        <v>10</v>
      </c>
      <c r="H98" s="38">
        <v>40674</v>
      </c>
      <c r="I98" s="25">
        <f t="shared" si="1"/>
        <v>43.123000000000005</v>
      </c>
    </row>
    <row r="99" spans="1:10">
      <c r="A99" s="29" t="s">
        <v>407</v>
      </c>
      <c r="B99" s="38">
        <v>40658</v>
      </c>
      <c r="C99" s="29" t="s">
        <v>11</v>
      </c>
      <c r="D99" s="29" t="s">
        <v>274</v>
      </c>
      <c r="E99" s="70">
        <v>2382.5</v>
      </c>
      <c r="F99" s="39">
        <v>63612.75</v>
      </c>
      <c r="G99" s="29" t="s">
        <v>10</v>
      </c>
      <c r="H99" s="38">
        <v>40674</v>
      </c>
      <c r="I99" s="25">
        <f t="shared" si="1"/>
        <v>476.5</v>
      </c>
      <c r="J99" s="84" t="s">
        <v>1268</v>
      </c>
    </row>
    <row r="100" spans="1:10">
      <c r="A100" s="29" t="s">
        <v>1029</v>
      </c>
      <c r="B100" s="38">
        <v>40658</v>
      </c>
      <c r="C100" s="29" t="s">
        <v>45</v>
      </c>
      <c r="D100" s="29" t="s">
        <v>12</v>
      </c>
      <c r="E100" s="70">
        <v>224.9</v>
      </c>
      <c r="F100" s="39">
        <v>3148.6</v>
      </c>
      <c r="G100" s="29" t="s">
        <v>10</v>
      </c>
      <c r="H100" s="38"/>
      <c r="I100" s="25">
        <f t="shared" si="1"/>
        <v>44.980000000000004</v>
      </c>
      <c r="J100" s="84" t="s">
        <v>1269</v>
      </c>
    </row>
    <row r="101" spans="1:10">
      <c r="A101" s="29" t="s">
        <v>1031</v>
      </c>
      <c r="B101" s="38">
        <v>40658</v>
      </c>
      <c r="C101" s="29" t="s">
        <v>11</v>
      </c>
      <c r="D101" s="29" t="s">
        <v>44</v>
      </c>
      <c r="E101" s="70">
        <f>936.21+32.28</f>
        <v>968.49</v>
      </c>
      <c r="F101" s="39">
        <v>25448.720000000001</v>
      </c>
      <c r="G101" s="29" t="s">
        <v>10</v>
      </c>
      <c r="H101" s="38">
        <v>40667</v>
      </c>
      <c r="I101" s="25">
        <f t="shared" si="1"/>
        <v>193.69800000000001</v>
      </c>
    </row>
    <row r="102" spans="1:10">
      <c r="A102" s="29" t="s">
        <v>1036</v>
      </c>
      <c r="B102" s="38">
        <v>40658</v>
      </c>
      <c r="C102" s="29" t="s">
        <v>11</v>
      </c>
      <c r="D102" s="29" t="s">
        <v>963</v>
      </c>
      <c r="E102" s="70">
        <f>68.2+15.98</f>
        <v>84.18</v>
      </c>
      <c r="F102" s="39">
        <v>1466.116</v>
      </c>
      <c r="G102" s="29" t="s">
        <v>10</v>
      </c>
      <c r="H102" s="38">
        <v>40660</v>
      </c>
      <c r="I102" s="25">
        <f t="shared" si="1"/>
        <v>16.836000000000002</v>
      </c>
    </row>
    <row r="103" spans="1:10" ht="15">
      <c r="A103" s="2"/>
      <c r="B103" s="14"/>
      <c r="C103" s="14"/>
      <c r="D103" s="14"/>
      <c r="E103" s="71"/>
      <c r="F103" s="25"/>
      <c r="G103" s="14"/>
      <c r="H103" s="14"/>
      <c r="I103" s="25">
        <f t="shared" ref="I103" si="2">$I$6*E103</f>
        <v>0</v>
      </c>
    </row>
    <row r="104" spans="1:10" ht="15">
      <c r="A104" s="2"/>
      <c r="B104" s="14"/>
      <c r="C104" s="14"/>
      <c r="D104" s="14"/>
      <c r="E104" s="68">
        <f>SUM(E7:E103)</f>
        <v>64357.125000000007</v>
      </c>
      <c r="F104" s="19">
        <f>SUM(F7:F103)</f>
        <v>2154344.696</v>
      </c>
      <c r="G104" s="17"/>
      <c r="H104" s="27" t="s">
        <v>63</v>
      </c>
      <c r="I104" s="19">
        <f>SUM(I7:I103)</f>
        <v>12871.424999999996</v>
      </c>
    </row>
  </sheetData>
  <sortState ref="A7:H152">
    <sortCondition ref="B7:B152"/>
  </sortState>
  <mergeCells count="1">
    <mergeCell ref="E5:F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F42"/>
  <sheetViews>
    <sheetView tabSelected="1" topLeftCell="A22" workbookViewId="0">
      <selection activeCell="C42" sqref="C42"/>
    </sheetView>
  </sheetViews>
  <sheetFormatPr baseColWidth="10" defaultRowHeight="12.75"/>
  <cols>
    <col min="1" max="1" width="5.85546875" customWidth="1"/>
    <col min="2" max="2" width="23.28515625" customWidth="1"/>
    <col min="3" max="3" width="19" style="105" customWidth="1"/>
    <col min="4" max="4" width="5.140625" customWidth="1"/>
    <col min="6" max="6" width="18.85546875" style="104" customWidth="1"/>
    <col min="7" max="7" width="5.28515625" customWidth="1"/>
  </cols>
  <sheetData>
    <row r="2" spans="2:6" ht="15">
      <c r="B2" s="116"/>
      <c r="C2" s="106" t="s">
        <v>1289</v>
      </c>
    </row>
    <row r="4" spans="2:6" ht="15.75">
      <c r="B4" s="108" t="s">
        <v>1270</v>
      </c>
    </row>
    <row r="6" spans="2:6" ht="22.5">
      <c r="C6" s="107" t="s">
        <v>1272</v>
      </c>
      <c r="F6" s="109" t="s">
        <v>1273</v>
      </c>
    </row>
    <row r="8" spans="2:6" ht="16.5" thickBot="1">
      <c r="B8" s="110"/>
      <c r="C8" s="111" t="s">
        <v>1274</v>
      </c>
      <c r="D8" s="110"/>
      <c r="E8" s="110"/>
      <c r="F8" s="111" t="s">
        <v>1274</v>
      </c>
    </row>
    <row r="9" spans="2:6" ht="15.75" thickTop="1">
      <c r="B9" s="32" t="s">
        <v>1271</v>
      </c>
      <c r="C9" s="58">
        <v>6696.54</v>
      </c>
      <c r="F9" s="57">
        <v>3002.17</v>
      </c>
    </row>
    <row r="10" spans="2:6" ht="15">
      <c r="B10" s="32" t="s">
        <v>1275</v>
      </c>
      <c r="C10" s="58">
        <v>8835.56</v>
      </c>
      <c r="F10" s="57">
        <v>3986.64</v>
      </c>
    </row>
    <row r="11" spans="2:6" ht="15">
      <c r="B11" s="32" t="s">
        <v>1276</v>
      </c>
      <c r="C11" s="58">
        <v>10561.23</v>
      </c>
      <c r="F11" s="57">
        <v>21.63</v>
      </c>
    </row>
    <row r="12" spans="2:6" ht="15">
      <c r="B12" s="32" t="s">
        <v>1277</v>
      </c>
      <c r="C12" s="58">
        <v>13098.57</v>
      </c>
      <c r="F12" s="57">
        <v>13066.38</v>
      </c>
    </row>
    <row r="13" spans="2:6" ht="15">
      <c r="B13" s="32" t="s">
        <v>1278</v>
      </c>
      <c r="C13" s="58">
        <v>12765.06</v>
      </c>
      <c r="F13" s="57">
        <v>12765.06</v>
      </c>
    </row>
    <row r="14" spans="2:6" ht="15">
      <c r="B14" s="32" t="s">
        <v>1279</v>
      </c>
      <c r="C14" s="58">
        <v>11506.06</v>
      </c>
      <c r="F14" s="57">
        <v>11506.06</v>
      </c>
    </row>
    <row r="15" spans="2:6" ht="15">
      <c r="B15" s="32" t="s">
        <v>1280</v>
      </c>
      <c r="C15" s="58">
        <v>21144.83</v>
      </c>
      <c r="F15" s="57">
        <v>21144.83</v>
      </c>
    </row>
    <row r="16" spans="2:6" ht="15">
      <c r="B16" s="32" t="s">
        <v>1281</v>
      </c>
      <c r="C16" s="58">
        <v>21132.5</v>
      </c>
      <c r="F16" s="57">
        <v>21132.5</v>
      </c>
    </row>
    <row r="17" spans="2:6" ht="15">
      <c r="B17" s="32" t="s">
        <v>1282</v>
      </c>
      <c r="C17" s="58">
        <v>18451.2</v>
      </c>
      <c r="F17" s="57">
        <v>18451.2</v>
      </c>
    </row>
    <row r="18" spans="2:6" ht="15">
      <c r="B18" s="30" t="s">
        <v>1283</v>
      </c>
      <c r="C18" s="58">
        <v>16459.28</v>
      </c>
      <c r="F18" s="57">
        <v>16459.28</v>
      </c>
    </row>
    <row r="19" spans="2:6" ht="15">
      <c r="B19" s="30" t="s">
        <v>1284</v>
      </c>
      <c r="C19" s="58">
        <v>18626.66</v>
      </c>
      <c r="F19" s="57">
        <v>18626.66</v>
      </c>
    </row>
    <row r="20" spans="2:6" ht="15">
      <c r="B20" s="30" t="s">
        <v>1285</v>
      </c>
      <c r="C20" s="58">
        <v>20167.84</v>
      </c>
      <c r="F20" s="57">
        <v>20167.84</v>
      </c>
    </row>
    <row r="21" spans="2:6" ht="15">
      <c r="B21" s="30" t="s">
        <v>1286</v>
      </c>
      <c r="C21" s="58">
        <v>12871.43</v>
      </c>
      <c r="F21" s="57">
        <v>12871.43</v>
      </c>
    </row>
    <row r="22" spans="2:6" ht="15">
      <c r="B22" s="30"/>
      <c r="C22" s="58">
        <v>0</v>
      </c>
      <c r="F22" s="57">
        <v>0</v>
      </c>
    </row>
    <row r="23" spans="2:6" ht="15.75" thickBot="1">
      <c r="B23" s="30"/>
      <c r="C23" s="58">
        <v>0</v>
      </c>
      <c r="F23" s="57">
        <v>0</v>
      </c>
    </row>
    <row r="24" spans="2:6" ht="27.75" customHeight="1" thickTop="1" thickBot="1">
      <c r="B24" s="112" t="s">
        <v>1287</v>
      </c>
      <c r="C24" s="113">
        <f>SUM(C9:C23)</f>
        <v>192316.75999999998</v>
      </c>
      <c r="E24" s="114" t="s">
        <v>1288</v>
      </c>
      <c r="F24" s="115">
        <f>SUM(F9:F23)</f>
        <v>173201.67999999996</v>
      </c>
    </row>
    <row r="25" spans="2:6" ht="15">
      <c r="C25" s="58"/>
      <c r="F25" s="57"/>
    </row>
    <row r="26" spans="2:6" ht="15">
      <c r="B26" s="117" t="s">
        <v>1290</v>
      </c>
      <c r="C26" s="58">
        <v>-132630.26999999999</v>
      </c>
      <c r="E26" s="118" t="s">
        <v>1292</v>
      </c>
      <c r="F26" s="57">
        <v>-132630.26999999999</v>
      </c>
    </row>
    <row r="27" spans="2:6" ht="15.75" thickBot="1">
      <c r="C27" s="58">
        <v>0</v>
      </c>
      <c r="F27" s="57">
        <v>0</v>
      </c>
    </row>
    <row r="28" spans="2:6" ht="25.5" customHeight="1" thickBot="1">
      <c r="B28" s="119" t="s">
        <v>1291</v>
      </c>
      <c r="C28" s="120">
        <f>C24+C26</f>
        <v>59686.489999999991</v>
      </c>
      <c r="F28" s="121">
        <f>F24+F26</f>
        <v>40571.409999999974</v>
      </c>
    </row>
    <row r="29" spans="2:6" ht="15" customHeight="1">
      <c r="C29" s="125">
        <v>1</v>
      </c>
      <c r="F29" s="127">
        <v>2</v>
      </c>
    </row>
    <row r="30" spans="2:6" ht="15" customHeight="1">
      <c r="C30" s="126"/>
      <c r="F30" s="128"/>
    </row>
    <row r="31" spans="2:6" ht="15">
      <c r="B31" s="30" t="s">
        <v>1293</v>
      </c>
      <c r="C31" s="58"/>
    </row>
    <row r="35" spans="3:6">
      <c r="C35" s="129" t="s">
        <v>1294</v>
      </c>
    </row>
    <row r="36" spans="3:6" ht="13.5" thickBot="1"/>
    <row r="37" spans="3:6">
      <c r="C37" s="130" t="s">
        <v>1295</v>
      </c>
      <c r="D37" s="131"/>
      <c r="E37" s="131"/>
      <c r="F37" s="132">
        <v>11246.5</v>
      </c>
    </row>
    <row r="38" spans="3:6" ht="13.5" thickBot="1">
      <c r="C38" s="133" t="s">
        <v>1296</v>
      </c>
      <c r="D38" s="134"/>
      <c r="E38" s="134"/>
      <c r="F38" s="135"/>
    </row>
    <row r="40" spans="3:6" ht="13.5" thickBot="1"/>
    <row r="41" spans="3:6">
      <c r="E41" s="136" t="s">
        <v>1297</v>
      </c>
      <c r="F41" s="137">
        <f>F28-F37</f>
        <v>29324.909999999974</v>
      </c>
    </row>
    <row r="42" spans="3:6" ht="13.5" thickBot="1">
      <c r="E42" s="138">
        <v>40760</v>
      </c>
      <c r="F42" s="139"/>
    </row>
  </sheetData>
  <mergeCells count="2">
    <mergeCell ref="C29:C30"/>
    <mergeCell ref="F29:F30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6" zoomScale="75" workbookViewId="0">
      <selection activeCell="E75" sqref="E75"/>
    </sheetView>
  </sheetViews>
  <sheetFormatPr baseColWidth="10" defaultRowHeight="15"/>
  <cols>
    <col min="1" max="1" width="13.140625" style="2" bestFit="1" customWidth="1"/>
    <col min="2" max="2" width="13.5703125" style="2" customWidth="1"/>
    <col min="3" max="3" width="23.28515625" style="2" customWidth="1"/>
    <col min="4" max="4" width="32.85546875" style="2" customWidth="1"/>
    <col min="5" max="5" width="14.140625" style="53" customWidth="1"/>
    <col min="6" max="6" width="17.5703125" style="3" customWidth="1"/>
    <col min="7" max="7" width="19.42578125" style="2" customWidth="1"/>
    <col min="8" max="8" width="18.85546875" style="2" customWidth="1"/>
    <col min="9" max="9" width="17.1406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1" t="s">
        <v>85</v>
      </c>
      <c r="E2" s="51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 ht="15.75">
      <c r="A5" s="1" t="s">
        <v>5</v>
      </c>
      <c r="B5" s="1" t="s">
        <v>0</v>
      </c>
      <c r="C5" s="1" t="s">
        <v>7</v>
      </c>
      <c r="D5" s="1" t="s">
        <v>9</v>
      </c>
      <c r="E5" s="122" t="s">
        <v>1</v>
      </c>
      <c r="F5" s="122"/>
      <c r="G5" s="10" t="s">
        <v>24</v>
      </c>
      <c r="H5" s="5" t="s">
        <v>3</v>
      </c>
      <c r="I5" s="1" t="s">
        <v>80</v>
      </c>
    </row>
    <row r="6" spans="1:9" ht="15.75">
      <c r="A6" s="1"/>
      <c r="B6" s="1"/>
      <c r="C6" s="1"/>
      <c r="D6" s="1"/>
      <c r="E6" s="52" t="s">
        <v>6</v>
      </c>
      <c r="F6" s="5" t="s">
        <v>2</v>
      </c>
      <c r="G6" s="5"/>
      <c r="H6" s="5" t="s">
        <v>4</v>
      </c>
      <c r="I6" s="5">
        <v>0.2</v>
      </c>
    </row>
    <row r="7" spans="1:9">
      <c r="A7" s="2" t="s">
        <v>43</v>
      </c>
      <c r="B7" s="11">
        <v>40266</v>
      </c>
      <c r="C7" s="2" t="s">
        <v>17</v>
      </c>
      <c r="D7" s="2" t="s">
        <v>75</v>
      </c>
      <c r="E7" s="53">
        <v>684.5</v>
      </c>
      <c r="F7" s="3">
        <f>E7*12</f>
        <v>8214</v>
      </c>
      <c r="G7" s="2" t="s">
        <v>10</v>
      </c>
      <c r="H7" s="11">
        <v>40304</v>
      </c>
      <c r="I7" s="3">
        <f>$I$6*E7</f>
        <v>136.9</v>
      </c>
    </row>
    <row r="8" spans="1:9">
      <c r="A8" s="2" t="s">
        <v>104</v>
      </c>
      <c r="B8" s="11">
        <v>40278</v>
      </c>
      <c r="C8" s="11" t="s">
        <v>17</v>
      </c>
      <c r="D8" s="11" t="s">
        <v>75</v>
      </c>
      <c r="E8" s="53">
        <v>832.2</v>
      </c>
      <c r="F8" s="3">
        <v>9986.5</v>
      </c>
      <c r="G8" s="3" t="s">
        <v>10</v>
      </c>
      <c r="H8" s="4">
        <v>40304</v>
      </c>
      <c r="I8" s="3">
        <f t="shared" ref="I8:I67" si="0">$I$6*E8</f>
        <v>166.44000000000003</v>
      </c>
    </row>
    <row r="9" spans="1:9">
      <c r="A9" s="2" t="s">
        <v>131</v>
      </c>
      <c r="B9" s="11">
        <v>40278</v>
      </c>
      <c r="C9" s="2" t="s">
        <v>41</v>
      </c>
      <c r="D9" s="2" t="s">
        <v>66</v>
      </c>
      <c r="E9" s="53">
        <v>443.1</v>
      </c>
      <c r="F9" s="3">
        <v>12318</v>
      </c>
      <c r="G9" s="2" t="s">
        <v>10</v>
      </c>
      <c r="H9" s="11">
        <v>40315</v>
      </c>
      <c r="I9" s="3">
        <f t="shared" si="0"/>
        <v>88.62</v>
      </c>
    </row>
    <row r="10" spans="1:9">
      <c r="A10" s="2">
        <v>29657</v>
      </c>
      <c r="B10" s="11">
        <v>40284</v>
      </c>
      <c r="C10" s="2" t="s">
        <v>11</v>
      </c>
      <c r="D10" s="2" t="s">
        <v>111</v>
      </c>
      <c r="E10" s="53">
        <f>136.1+5*5.44+213.4</f>
        <v>376.70000000000005</v>
      </c>
      <c r="F10" s="3">
        <v>12172.4</v>
      </c>
      <c r="G10" s="2" t="s">
        <v>10</v>
      </c>
      <c r="H10" s="11">
        <v>40304</v>
      </c>
      <c r="I10" s="3">
        <f t="shared" si="0"/>
        <v>75.340000000000018</v>
      </c>
    </row>
    <row r="11" spans="1:9">
      <c r="A11" s="2" t="s">
        <v>69</v>
      </c>
      <c r="B11" s="11">
        <v>40290</v>
      </c>
      <c r="C11" s="2" t="s">
        <v>29</v>
      </c>
      <c r="D11" s="2" t="s">
        <v>44</v>
      </c>
      <c r="E11" s="53">
        <v>221.1</v>
      </c>
      <c r="F11" s="3">
        <v>3603.93</v>
      </c>
      <c r="G11" s="2" t="s">
        <v>10</v>
      </c>
      <c r="H11" s="11">
        <v>40304</v>
      </c>
      <c r="I11" s="3">
        <f t="shared" si="0"/>
        <v>44.22</v>
      </c>
    </row>
    <row r="12" spans="1:9">
      <c r="A12" s="2" t="s">
        <v>34</v>
      </c>
      <c r="B12" s="11">
        <v>40291</v>
      </c>
      <c r="C12" s="2" t="s">
        <v>11</v>
      </c>
      <c r="D12" s="2" t="s">
        <v>44</v>
      </c>
      <c r="E12" s="53">
        <f>996.7+226.8+27.22</f>
        <v>1250.72</v>
      </c>
      <c r="F12" s="3">
        <v>42542.28</v>
      </c>
      <c r="G12" s="2" t="s">
        <v>10</v>
      </c>
      <c r="H12" s="11">
        <v>40304</v>
      </c>
      <c r="I12" s="3">
        <f t="shared" si="0"/>
        <v>250.14400000000001</v>
      </c>
    </row>
    <row r="13" spans="1:9">
      <c r="A13" s="2" t="s">
        <v>105</v>
      </c>
      <c r="B13" s="11">
        <v>40292</v>
      </c>
      <c r="C13" s="11" t="s">
        <v>17</v>
      </c>
      <c r="D13" s="11" t="s">
        <v>75</v>
      </c>
      <c r="E13" s="53">
        <v>1002.4</v>
      </c>
      <c r="F13" s="3">
        <v>34950</v>
      </c>
      <c r="G13" s="3" t="s">
        <v>10</v>
      </c>
      <c r="H13" s="4">
        <v>40304</v>
      </c>
      <c r="I13" s="3">
        <f t="shared" si="0"/>
        <v>200.48000000000002</v>
      </c>
    </row>
    <row r="14" spans="1:9">
      <c r="A14" s="11" t="s">
        <v>106</v>
      </c>
      <c r="B14" s="11">
        <v>40292</v>
      </c>
      <c r="C14" s="2" t="s">
        <v>41</v>
      </c>
      <c r="D14" s="2" t="s">
        <v>66</v>
      </c>
      <c r="E14" s="53">
        <v>302</v>
      </c>
      <c r="F14" s="3">
        <v>8305</v>
      </c>
      <c r="G14" s="2" t="s">
        <v>10</v>
      </c>
      <c r="H14" s="11">
        <v>40304</v>
      </c>
      <c r="I14" s="3">
        <f t="shared" si="0"/>
        <v>60.400000000000006</v>
      </c>
    </row>
    <row r="15" spans="1:9">
      <c r="A15" s="2" t="s">
        <v>112</v>
      </c>
      <c r="B15" s="11">
        <v>40295</v>
      </c>
      <c r="C15" s="2" t="s">
        <v>11</v>
      </c>
      <c r="D15" s="2" t="s">
        <v>44</v>
      </c>
      <c r="E15" s="53">
        <f>441.5+211.6+831.7+81.66+260</f>
        <v>1826.4600000000003</v>
      </c>
      <c r="F15" s="3">
        <v>53816</v>
      </c>
      <c r="G15" s="2" t="s">
        <v>10</v>
      </c>
      <c r="H15" s="11">
        <v>40311</v>
      </c>
      <c r="I15" s="3">
        <f t="shared" si="0"/>
        <v>365.29200000000009</v>
      </c>
    </row>
    <row r="16" spans="1:9">
      <c r="A16" s="2" t="s">
        <v>49</v>
      </c>
      <c r="B16" s="11">
        <v>40297</v>
      </c>
      <c r="C16" s="2" t="s">
        <v>133</v>
      </c>
      <c r="D16" s="2" t="s">
        <v>13</v>
      </c>
      <c r="E16" s="53">
        <v>136</v>
      </c>
      <c r="F16" s="3">
        <v>4488</v>
      </c>
      <c r="G16" s="2" t="s">
        <v>10</v>
      </c>
      <c r="H16" s="11">
        <v>40315</v>
      </c>
      <c r="I16" s="3">
        <f t="shared" si="0"/>
        <v>27.200000000000003</v>
      </c>
    </row>
    <row r="17" spans="1:9">
      <c r="A17" s="2">
        <v>29830</v>
      </c>
      <c r="B17" s="11">
        <v>40298</v>
      </c>
      <c r="C17" s="2" t="s">
        <v>11</v>
      </c>
      <c r="D17" s="2" t="s">
        <v>111</v>
      </c>
      <c r="E17" s="53">
        <f>54.4+108.88+272.2</f>
        <v>435.48</v>
      </c>
      <c r="F17" s="3">
        <v>9659.44</v>
      </c>
      <c r="G17" s="2" t="s">
        <v>1077</v>
      </c>
      <c r="H17" s="11">
        <v>40309</v>
      </c>
      <c r="I17" s="3">
        <f t="shared" si="0"/>
        <v>87.096000000000004</v>
      </c>
    </row>
    <row r="18" spans="1:9">
      <c r="A18" s="2">
        <v>29831</v>
      </c>
      <c r="B18" s="11">
        <v>40298</v>
      </c>
      <c r="C18" s="2" t="s">
        <v>38</v>
      </c>
      <c r="D18" s="2" t="s">
        <v>111</v>
      </c>
      <c r="E18" s="53">
        <v>912.47</v>
      </c>
      <c r="F18" s="3">
        <v>24636.69</v>
      </c>
      <c r="G18" s="2" t="s">
        <v>1077</v>
      </c>
      <c r="H18" s="11">
        <v>40312</v>
      </c>
      <c r="I18" s="3">
        <f t="shared" si="0"/>
        <v>182.49400000000003</v>
      </c>
    </row>
    <row r="19" spans="1:9">
      <c r="A19" s="2" t="s">
        <v>118</v>
      </c>
      <c r="B19" s="11">
        <v>40301</v>
      </c>
      <c r="C19" s="2" t="s">
        <v>41</v>
      </c>
      <c r="D19" s="2" t="s">
        <v>35</v>
      </c>
      <c r="E19" s="53">
        <v>429</v>
      </c>
      <c r="F19" s="3">
        <v>12012</v>
      </c>
      <c r="G19" s="2" t="s">
        <v>10</v>
      </c>
      <c r="H19" s="11">
        <v>40303</v>
      </c>
      <c r="I19" s="3">
        <f t="shared" si="0"/>
        <v>85.800000000000011</v>
      </c>
    </row>
    <row r="20" spans="1:9">
      <c r="A20" s="2" t="s">
        <v>109</v>
      </c>
      <c r="B20" s="11">
        <v>40302</v>
      </c>
      <c r="C20" s="2" t="s">
        <v>41</v>
      </c>
      <c r="D20" s="2" t="s">
        <v>86</v>
      </c>
      <c r="E20" s="53">
        <v>1805.9</v>
      </c>
      <c r="F20" s="3">
        <v>50204</v>
      </c>
      <c r="G20" s="2" t="s">
        <v>1078</v>
      </c>
      <c r="H20" s="11">
        <v>40304</v>
      </c>
      <c r="I20" s="3">
        <f t="shared" si="0"/>
        <v>361.18000000000006</v>
      </c>
    </row>
    <row r="21" spans="1:9">
      <c r="A21" s="2" t="s">
        <v>129</v>
      </c>
      <c r="B21" s="11">
        <v>40302</v>
      </c>
      <c r="C21" s="2" t="s">
        <v>38</v>
      </c>
      <c r="D21" s="2" t="s">
        <v>111</v>
      </c>
      <c r="E21" s="53">
        <v>873.6</v>
      </c>
      <c r="F21" s="3">
        <v>24024</v>
      </c>
      <c r="G21" s="2" t="s">
        <v>1077</v>
      </c>
      <c r="H21" s="11">
        <v>40318</v>
      </c>
      <c r="I21" s="3">
        <f t="shared" si="0"/>
        <v>174.72000000000003</v>
      </c>
    </row>
    <row r="22" spans="1:9">
      <c r="A22" s="2" t="s">
        <v>108</v>
      </c>
      <c r="B22" s="11">
        <v>40302</v>
      </c>
      <c r="C22" s="2" t="s">
        <v>11</v>
      </c>
      <c r="D22" s="2" t="s">
        <v>86</v>
      </c>
      <c r="E22" s="53">
        <f>110.8+30.5</f>
        <v>141.30000000000001</v>
      </c>
      <c r="F22" s="3">
        <v>2331.4499999999998</v>
      </c>
      <c r="G22" s="2" t="s">
        <v>1077</v>
      </c>
      <c r="H22" s="11">
        <v>40304</v>
      </c>
      <c r="I22" s="3">
        <f t="shared" si="0"/>
        <v>28.260000000000005</v>
      </c>
    </row>
    <row r="23" spans="1:9">
      <c r="A23" s="2" t="s">
        <v>110</v>
      </c>
      <c r="B23" s="11">
        <v>40302</v>
      </c>
      <c r="C23" s="2" t="s">
        <v>38</v>
      </c>
      <c r="D23" s="2" t="s">
        <v>13</v>
      </c>
      <c r="E23" s="53">
        <v>895.4</v>
      </c>
      <c r="F23" s="3">
        <v>24623.5</v>
      </c>
      <c r="G23" s="2" t="s">
        <v>1078</v>
      </c>
      <c r="H23" s="11">
        <v>40304</v>
      </c>
      <c r="I23" s="3">
        <f t="shared" si="0"/>
        <v>179.08</v>
      </c>
    </row>
    <row r="24" spans="1:9">
      <c r="A24" s="2" t="s">
        <v>107</v>
      </c>
      <c r="B24" s="11">
        <v>40302</v>
      </c>
      <c r="C24" s="2" t="s">
        <v>29</v>
      </c>
      <c r="D24" s="2" t="s">
        <v>12</v>
      </c>
      <c r="E24" s="53">
        <v>90.1</v>
      </c>
      <c r="F24" s="3">
        <v>1487</v>
      </c>
      <c r="G24" s="2" t="s">
        <v>10</v>
      </c>
      <c r="H24" s="11">
        <v>40304</v>
      </c>
      <c r="I24" s="3">
        <f t="shared" si="0"/>
        <v>18.02</v>
      </c>
    </row>
    <row r="25" spans="1:9">
      <c r="A25" s="2" t="s">
        <v>115</v>
      </c>
      <c r="B25" s="11">
        <v>40302</v>
      </c>
      <c r="C25" s="2" t="s">
        <v>11</v>
      </c>
      <c r="D25" s="2" t="s">
        <v>35</v>
      </c>
      <c r="E25" s="53">
        <f>72+119.6</f>
        <v>191.6</v>
      </c>
      <c r="F25" s="3">
        <v>6275</v>
      </c>
      <c r="G25" s="2" t="s">
        <v>10</v>
      </c>
      <c r="H25" s="11">
        <v>40303</v>
      </c>
      <c r="I25" s="3">
        <f t="shared" si="0"/>
        <v>38.32</v>
      </c>
    </row>
    <row r="26" spans="1:9">
      <c r="A26" s="2" t="s">
        <v>134</v>
      </c>
      <c r="B26" s="11">
        <v>40302</v>
      </c>
      <c r="C26" s="2" t="s">
        <v>11</v>
      </c>
      <c r="D26" s="2" t="s">
        <v>44</v>
      </c>
      <c r="E26" s="53">
        <f>304+876.1</f>
        <v>1180.0999999999999</v>
      </c>
      <c r="F26" s="3">
        <v>33489.5</v>
      </c>
      <c r="G26" s="2" t="s">
        <v>10</v>
      </c>
      <c r="H26" s="11">
        <v>40318</v>
      </c>
      <c r="I26" s="3">
        <f t="shared" si="0"/>
        <v>236.01999999999998</v>
      </c>
    </row>
    <row r="27" spans="1:9">
      <c r="A27" s="2" t="s">
        <v>116</v>
      </c>
      <c r="B27" s="11">
        <v>40303</v>
      </c>
      <c r="C27" s="2" t="s">
        <v>117</v>
      </c>
      <c r="D27" s="2" t="s">
        <v>35</v>
      </c>
      <c r="E27" s="53">
        <v>112.8</v>
      </c>
      <c r="F27" s="3">
        <v>3835</v>
      </c>
      <c r="G27" s="2" t="s">
        <v>10</v>
      </c>
      <c r="H27" s="11">
        <v>40303</v>
      </c>
      <c r="I27" s="3">
        <f t="shared" si="0"/>
        <v>22.560000000000002</v>
      </c>
    </row>
    <row r="28" spans="1:9">
      <c r="A28" s="2">
        <v>29943</v>
      </c>
      <c r="B28" s="11">
        <v>40304</v>
      </c>
      <c r="C28" s="2" t="s">
        <v>11</v>
      </c>
      <c r="D28" s="2" t="s">
        <v>111</v>
      </c>
      <c r="E28" s="53">
        <f>81.66+272.2+251.5</f>
        <v>605.36</v>
      </c>
      <c r="F28" s="3">
        <v>15926.48</v>
      </c>
      <c r="G28" s="2" t="s">
        <v>1077</v>
      </c>
      <c r="H28" s="11">
        <v>40315</v>
      </c>
      <c r="I28" s="3">
        <f t="shared" si="0"/>
        <v>121.072</v>
      </c>
    </row>
    <row r="29" spans="1:9">
      <c r="A29" s="2">
        <v>29944</v>
      </c>
      <c r="B29" s="11">
        <v>40304</v>
      </c>
      <c r="C29" s="2" t="s">
        <v>11</v>
      </c>
      <c r="D29" s="2" t="s">
        <v>13</v>
      </c>
      <c r="E29" s="53">
        <f>680.5+40+108.88+61.6</f>
        <v>890.98</v>
      </c>
      <c r="F29" s="3">
        <v>18045.02</v>
      </c>
      <c r="G29" s="2" t="s">
        <v>1078</v>
      </c>
      <c r="H29" s="11">
        <v>40304</v>
      </c>
      <c r="I29" s="3">
        <f t="shared" si="0"/>
        <v>178.19600000000003</v>
      </c>
    </row>
    <row r="30" spans="1:9">
      <c r="A30" s="2" t="s">
        <v>121</v>
      </c>
      <c r="B30" s="11">
        <v>40304</v>
      </c>
      <c r="C30" s="2" t="s">
        <v>11</v>
      </c>
      <c r="D30" s="2" t="s">
        <v>86</v>
      </c>
      <c r="E30" s="53">
        <f>1324.9+422.9</f>
        <v>1747.8000000000002</v>
      </c>
      <c r="F30" s="3">
        <v>54171.12</v>
      </c>
      <c r="G30" s="2" t="s">
        <v>1078</v>
      </c>
      <c r="H30" s="11">
        <v>40306</v>
      </c>
      <c r="I30" s="3">
        <f t="shared" si="0"/>
        <v>349.56000000000006</v>
      </c>
    </row>
    <row r="31" spans="1:9">
      <c r="A31" s="2" t="s">
        <v>130</v>
      </c>
      <c r="B31" s="11">
        <v>40304</v>
      </c>
      <c r="C31" s="2" t="s">
        <v>17</v>
      </c>
      <c r="D31" s="2" t="s">
        <v>75</v>
      </c>
      <c r="E31" s="53">
        <f>494+282</f>
        <v>776</v>
      </c>
      <c r="F31" s="3">
        <v>9312</v>
      </c>
      <c r="G31" s="2" t="s">
        <v>10</v>
      </c>
      <c r="H31" s="11">
        <v>40315</v>
      </c>
      <c r="I31" s="3">
        <f t="shared" si="0"/>
        <v>155.20000000000002</v>
      </c>
    </row>
    <row r="32" spans="1:9">
      <c r="A32" s="2" t="s">
        <v>114</v>
      </c>
      <c r="B32" s="11">
        <v>40304</v>
      </c>
      <c r="C32" s="2" t="s">
        <v>79</v>
      </c>
      <c r="D32" s="2" t="s">
        <v>36</v>
      </c>
      <c r="E32" s="53">
        <v>94</v>
      </c>
      <c r="F32" s="3">
        <v>1551</v>
      </c>
      <c r="G32" s="2" t="s">
        <v>10</v>
      </c>
      <c r="H32" s="11">
        <v>40306</v>
      </c>
      <c r="I32" s="3">
        <f t="shared" si="0"/>
        <v>18.8</v>
      </c>
    </row>
    <row r="33" spans="1:9">
      <c r="A33" s="2">
        <v>29992</v>
      </c>
      <c r="B33" s="11">
        <v>40306</v>
      </c>
      <c r="C33" s="2" t="s">
        <v>120</v>
      </c>
      <c r="D33" s="2" t="s">
        <v>12</v>
      </c>
      <c r="E33" s="53">
        <v>81.66</v>
      </c>
      <c r="F33" s="3">
        <v>1347.39</v>
      </c>
      <c r="G33" s="2" t="s">
        <v>1078</v>
      </c>
      <c r="H33" s="11">
        <v>40306</v>
      </c>
      <c r="I33" s="3">
        <f t="shared" si="0"/>
        <v>16.332000000000001</v>
      </c>
    </row>
    <row r="34" spans="1:9">
      <c r="A34" s="2">
        <v>29993</v>
      </c>
      <c r="B34" s="11">
        <v>40306</v>
      </c>
      <c r="C34" s="2" t="s">
        <v>11</v>
      </c>
      <c r="D34" s="2" t="s">
        <v>13</v>
      </c>
      <c r="E34" s="53">
        <f>680.3+108.88</f>
        <v>789.18</v>
      </c>
      <c r="F34" s="3">
        <v>13365.02</v>
      </c>
      <c r="G34" s="2" t="s">
        <v>1078</v>
      </c>
      <c r="H34" s="11">
        <v>40306</v>
      </c>
      <c r="I34" s="3">
        <f t="shared" si="0"/>
        <v>157.83600000000001</v>
      </c>
    </row>
    <row r="35" spans="1:9">
      <c r="A35" s="2">
        <v>29995</v>
      </c>
      <c r="B35" s="11">
        <v>40306</v>
      </c>
      <c r="C35" s="2" t="s">
        <v>11</v>
      </c>
      <c r="D35" s="2" t="s">
        <v>111</v>
      </c>
      <c r="E35" s="53">
        <f>190+6*5.44+925.17</f>
        <v>1147.81</v>
      </c>
      <c r="F35" s="3">
        <v>35774.83</v>
      </c>
      <c r="G35" s="54" t="s">
        <v>1079</v>
      </c>
      <c r="H35" s="11">
        <v>40324</v>
      </c>
      <c r="I35" s="3">
        <f t="shared" si="0"/>
        <v>229.56200000000001</v>
      </c>
    </row>
    <row r="36" spans="1:9">
      <c r="A36" s="2" t="s">
        <v>39</v>
      </c>
      <c r="B36" s="11">
        <v>40308</v>
      </c>
      <c r="C36" s="2" t="s">
        <v>17</v>
      </c>
      <c r="D36" s="2" t="s">
        <v>67</v>
      </c>
      <c r="E36" s="53">
        <v>1633</v>
      </c>
      <c r="F36" s="3">
        <v>19596</v>
      </c>
      <c r="G36" s="2" t="s">
        <v>10</v>
      </c>
      <c r="H36" s="11">
        <v>40308</v>
      </c>
      <c r="I36" s="3">
        <f t="shared" si="0"/>
        <v>326.60000000000002</v>
      </c>
    </row>
    <row r="37" spans="1:9">
      <c r="A37" s="2" t="s">
        <v>143</v>
      </c>
      <c r="B37" s="11">
        <v>40308</v>
      </c>
      <c r="C37" s="2" t="s">
        <v>117</v>
      </c>
      <c r="D37" s="2" t="s">
        <v>66</v>
      </c>
      <c r="E37" s="53">
        <v>76.900000000000006</v>
      </c>
      <c r="F37" s="3">
        <v>2614.5</v>
      </c>
      <c r="G37" s="2" t="s">
        <v>10</v>
      </c>
      <c r="H37" s="11">
        <v>40320</v>
      </c>
      <c r="I37" s="3">
        <f t="shared" si="0"/>
        <v>15.380000000000003</v>
      </c>
    </row>
    <row r="38" spans="1:9">
      <c r="A38" s="2" t="s">
        <v>119</v>
      </c>
      <c r="B38" s="11">
        <v>40308</v>
      </c>
      <c r="C38" s="2" t="s">
        <v>17</v>
      </c>
      <c r="D38" s="2" t="s">
        <v>59</v>
      </c>
      <c r="E38" s="53">
        <v>320</v>
      </c>
      <c r="F38" s="3">
        <v>3840</v>
      </c>
      <c r="G38" s="2" t="s">
        <v>10</v>
      </c>
      <c r="H38" s="11">
        <v>40309</v>
      </c>
      <c r="I38" s="3">
        <f t="shared" si="0"/>
        <v>64</v>
      </c>
    </row>
    <row r="39" spans="1:9">
      <c r="A39" s="2" t="s">
        <v>140</v>
      </c>
      <c r="B39" s="11">
        <v>40308</v>
      </c>
      <c r="C39" s="2" t="s">
        <v>11</v>
      </c>
      <c r="D39" s="2" t="s">
        <v>44</v>
      </c>
      <c r="E39" s="53">
        <f>676+596.5</f>
        <v>1272.5</v>
      </c>
      <c r="F39" s="3">
        <v>31812</v>
      </c>
      <c r="G39" s="2" t="s">
        <v>10</v>
      </c>
      <c r="H39" s="11">
        <v>40324</v>
      </c>
      <c r="I39" s="3">
        <f t="shared" si="0"/>
        <v>254.5</v>
      </c>
    </row>
    <row r="40" spans="1:9">
      <c r="A40" s="2" t="s">
        <v>113</v>
      </c>
      <c r="B40" s="11">
        <v>40308</v>
      </c>
      <c r="C40" s="2" t="s">
        <v>17</v>
      </c>
      <c r="D40" s="2" t="s">
        <v>59</v>
      </c>
      <c r="E40" s="53">
        <v>237.2</v>
      </c>
      <c r="F40" s="3">
        <v>2965</v>
      </c>
      <c r="G40" s="2" t="s">
        <v>10</v>
      </c>
      <c r="H40" s="11">
        <v>40309</v>
      </c>
      <c r="I40" s="3">
        <f t="shared" si="0"/>
        <v>47.44</v>
      </c>
    </row>
    <row r="41" spans="1:9">
      <c r="A41" s="2" t="s">
        <v>123</v>
      </c>
      <c r="B41" s="11">
        <v>40309</v>
      </c>
      <c r="C41" s="2" t="s">
        <v>11</v>
      </c>
      <c r="D41" s="2" t="s">
        <v>86</v>
      </c>
      <c r="E41" s="53">
        <f>306+95.6+288.3+54.9+1793.5</f>
        <v>2538.3000000000002</v>
      </c>
      <c r="F41" s="3">
        <v>76402.850000000006</v>
      </c>
      <c r="G41" s="2" t="s">
        <v>1078</v>
      </c>
      <c r="H41" s="11">
        <v>40311</v>
      </c>
      <c r="I41" s="3">
        <f t="shared" si="0"/>
        <v>507.66000000000008</v>
      </c>
    </row>
    <row r="42" spans="1:9">
      <c r="A42" s="2" t="s">
        <v>155</v>
      </c>
      <c r="B42" s="11">
        <v>40309</v>
      </c>
      <c r="C42" s="2" t="s">
        <v>11</v>
      </c>
      <c r="D42" s="2" t="s">
        <v>111</v>
      </c>
      <c r="E42" s="53">
        <f>136.1+90.6+894.5</f>
        <v>1121.2</v>
      </c>
      <c r="F42" s="3">
        <v>31745.3</v>
      </c>
      <c r="G42" s="2" t="s">
        <v>1080</v>
      </c>
      <c r="H42" s="11">
        <v>40326</v>
      </c>
      <c r="I42" s="3">
        <f t="shared" si="0"/>
        <v>224.24</v>
      </c>
    </row>
    <row r="43" spans="1:9">
      <c r="A43" s="2" t="s">
        <v>122</v>
      </c>
      <c r="B43" s="11">
        <v>40309</v>
      </c>
      <c r="C43" s="2" t="s">
        <v>11</v>
      </c>
      <c r="D43" s="2" t="s">
        <v>13</v>
      </c>
      <c r="E43" s="53">
        <f>871.04+25.1+73.5</f>
        <v>969.64</v>
      </c>
      <c r="F43" s="3">
        <v>17606</v>
      </c>
      <c r="G43" s="55" t="s">
        <v>1078</v>
      </c>
      <c r="H43" s="11">
        <v>40311</v>
      </c>
      <c r="I43" s="3">
        <f t="shared" si="0"/>
        <v>193.928</v>
      </c>
    </row>
    <row r="44" spans="1:9">
      <c r="A44" s="2" t="s">
        <v>135</v>
      </c>
      <c r="B44" s="11">
        <v>40309</v>
      </c>
      <c r="C44" s="2" t="s">
        <v>120</v>
      </c>
      <c r="D44" s="2" t="s">
        <v>32</v>
      </c>
      <c r="E44" s="53">
        <v>163.32</v>
      </c>
      <c r="F44" s="3">
        <v>2695</v>
      </c>
      <c r="G44" s="2" t="s">
        <v>10</v>
      </c>
      <c r="H44" s="11">
        <v>40318</v>
      </c>
      <c r="I44" s="3">
        <f t="shared" si="0"/>
        <v>32.664000000000001</v>
      </c>
    </row>
    <row r="45" spans="1:9">
      <c r="A45" s="2" t="s">
        <v>145</v>
      </c>
      <c r="B45" s="11">
        <v>40311</v>
      </c>
      <c r="C45" s="2" t="s">
        <v>79</v>
      </c>
      <c r="D45" s="2" t="s">
        <v>75</v>
      </c>
      <c r="E45" s="53">
        <v>974</v>
      </c>
      <c r="F45" s="3">
        <v>15584</v>
      </c>
      <c r="G45" s="2" t="s">
        <v>10</v>
      </c>
      <c r="H45" s="11">
        <v>40322</v>
      </c>
      <c r="I45" s="3">
        <f t="shared" si="0"/>
        <v>194.8</v>
      </c>
    </row>
    <row r="46" spans="1:9">
      <c r="A46" s="2" t="s">
        <v>125</v>
      </c>
      <c r="B46" s="11">
        <v>40312</v>
      </c>
      <c r="C46" s="2" t="s">
        <v>50</v>
      </c>
      <c r="D46" s="2" t="s">
        <v>14</v>
      </c>
      <c r="E46" s="53">
        <v>272.2</v>
      </c>
      <c r="F46" s="3">
        <v>4763.5</v>
      </c>
      <c r="G46" s="2" t="s">
        <v>1078</v>
      </c>
      <c r="H46" s="11">
        <v>40313</v>
      </c>
      <c r="I46" s="3">
        <f t="shared" si="0"/>
        <v>54.44</v>
      </c>
    </row>
    <row r="47" spans="1:9">
      <c r="A47" s="2" t="s">
        <v>124</v>
      </c>
      <c r="B47" s="11">
        <v>40312</v>
      </c>
      <c r="C47" s="2" t="s">
        <v>11</v>
      </c>
      <c r="D47" s="2" t="s">
        <v>86</v>
      </c>
      <c r="E47" s="53">
        <f>1425+112.2+114.5+150.5+54.44</f>
        <v>1856.64</v>
      </c>
      <c r="F47" s="3">
        <v>53179.5</v>
      </c>
      <c r="G47" s="2" t="s">
        <v>1078</v>
      </c>
      <c r="H47" s="11">
        <v>40313</v>
      </c>
      <c r="I47" s="3">
        <f t="shared" si="0"/>
        <v>371.32800000000003</v>
      </c>
    </row>
    <row r="48" spans="1:9">
      <c r="A48" s="2" t="s">
        <v>142</v>
      </c>
      <c r="B48" s="11">
        <v>40312</v>
      </c>
      <c r="C48" s="2" t="s">
        <v>11</v>
      </c>
      <c r="D48" s="2" t="s">
        <v>35</v>
      </c>
      <c r="E48" s="53">
        <f>402.7+84.1</f>
        <v>486.79999999999995</v>
      </c>
      <c r="F48" s="3">
        <v>14639.5</v>
      </c>
      <c r="G48" s="2" t="s">
        <v>10</v>
      </c>
      <c r="H48" s="11">
        <v>40320</v>
      </c>
      <c r="I48" s="3">
        <f t="shared" si="0"/>
        <v>97.36</v>
      </c>
    </row>
    <row r="49" spans="1:9">
      <c r="A49" s="2" t="s">
        <v>138</v>
      </c>
      <c r="B49" s="11">
        <v>40312</v>
      </c>
      <c r="C49" s="2" t="s">
        <v>11</v>
      </c>
      <c r="D49" s="2" t="s">
        <v>32</v>
      </c>
      <c r="E49" s="53">
        <f>54.44+103.2</f>
        <v>157.63999999999999</v>
      </c>
      <c r="F49" s="3">
        <v>3788</v>
      </c>
      <c r="G49" s="2" t="s">
        <v>10</v>
      </c>
      <c r="H49" s="11">
        <v>40318</v>
      </c>
      <c r="I49" s="3">
        <f t="shared" si="0"/>
        <v>31.527999999999999</v>
      </c>
    </row>
    <row r="50" spans="1:9">
      <c r="A50" s="2" t="s">
        <v>153</v>
      </c>
      <c r="B50" s="11">
        <v>40313</v>
      </c>
      <c r="C50" s="2" t="s">
        <v>11</v>
      </c>
      <c r="D50" s="2" t="s">
        <v>35</v>
      </c>
      <c r="E50" s="53">
        <f>250.5+199</f>
        <v>449.5</v>
      </c>
      <c r="F50" s="3">
        <v>14974</v>
      </c>
      <c r="G50" s="2" t="s">
        <v>10</v>
      </c>
      <c r="H50" s="11">
        <v>40326</v>
      </c>
      <c r="I50" s="3">
        <f t="shared" si="0"/>
        <v>89.9</v>
      </c>
    </row>
    <row r="51" spans="1:9">
      <c r="A51" s="2" t="s">
        <v>144</v>
      </c>
      <c r="B51" s="11">
        <v>40315</v>
      </c>
      <c r="C51" s="2" t="s">
        <v>17</v>
      </c>
      <c r="D51" s="2" t="s">
        <v>75</v>
      </c>
      <c r="E51" s="53">
        <v>825.5</v>
      </c>
      <c r="F51" s="3">
        <v>10319</v>
      </c>
      <c r="G51" s="2" t="s">
        <v>10</v>
      </c>
      <c r="H51" s="11">
        <v>40322</v>
      </c>
      <c r="I51" s="3">
        <f t="shared" si="0"/>
        <v>165.10000000000002</v>
      </c>
    </row>
    <row r="52" spans="1:9">
      <c r="A52" s="2" t="s">
        <v>132</v>
      </c>
      <c r="B52" s="11">
        <v>40315</v>
      </c>
      <c r="C52" s="2" t="s">
        <v>17</v>
      </c>
      <c r="D52" s="2" t="s">
        <v>59</v>
      </c>
      <c r="E52" s="53">
        <v>511.5</v>
      </c>
      <c r="F52" s="3">
        <v>6394</v>
      </c>
      <c r="G52" s="2" t="s">
        <v>10</v>
      </c>
      <c r="H52" s="11">
        <v>40315</v>
      </c>
      <c r="I52" s="3">
        <f t="shared" si="0"/>
        <v>102.30000000000001</v>
      </c>
    </row>
    <row r="53" spans="1:9">
      <c r="A53" s="2" t="s">
        <v>127</v>
      </c>
      <c r="B53" s="11">
        <v>40316</v>
      </c>
      <c r="C53" s="2" t="s">
        <v>11</v>
      </c>
      <c r="D53" s="2" t="s">
        <v>13</v>
      </c>
      <c r="E53" s="53">
        <f>40.8+100+54.44+544.4</f>
        <v>739.64</v>
      </c>
      <c r="F53" s="3">
        <v>15585.56</v>
      </c>
      <c r="G53" s="2" t="s">
        <v>1078</v>
      </c>
      <c r="H53" s="11">
        <v>40318</v>
      </c>
      <c r="I53" s="3">
        <f t="shared" si="0"/>
        <v>147.928</v>
      </c>
    </row>
    <row r="54" spans="1:9">
      <c r="A54" s="2" t="s">
        <v>126</v>
      </c>
      <c r="B54" s="11">
        <v>40316</v>
      </c>
      <c r="C54" s="2" t="s">
        <v>11</v>
      </c>
      <c r="D54" s="2" t="s">
        <v>86</v>
      </c>
      <c r="E54" s="53">
        <f>384.7+1740.1</f>
        <v>2124.7999999999997</v>
      </c>
      <c r="F54" s="3">
        <v>64843.519999999997</v>
      </c>
      <c r="G54" s="2" t="s">
        <v>1078</v>
      </c>
      <c r="H54" s="11">
        <v>40318</v>
      </c>
      <c r="I54" s="3">
        <f t="shared" si="0"/>
        <v>424.96</v>
      </c>
    </row>
    <row r="55" spans="1:9">
      <c r="A55" s="2" t="s">
        <v>128</v>
      </c>
      <c r="B55" s="11">
        <v>40316</v>
      </c>
      <c r="C55" s="2" t="s">
        <v>11</v>
      </c>
      <c r="D55" s="2" t="s">
        <v>12</v>
      </c>
      <c r="E55" s="53">
        <f>99.6+40.8</f>
        <v>140.39999999999998</v>
      </c>
      <c r="F55" s="3">
        <v>3080.4</v>
      </c>
      <c r="G55" s="2" t="s">
        <v>1078</v>
      </c>
      <c r="H55" s="11">
        <v>40318</v>
      </c>
      <c r="I55" s="3">
        <f t="shared" si="0"/>
        <v>28.08</v>
      </c>
    </row>
    <row r="56" spans="1:9">
      <c r="A56" s="2" t="s">
        <v>136</v>
      </c>
      <c r="B56" s="11">
        <v>40316</v>
      </c>
      <c r="C56" s="2" t="s">
        <v>120</v>
      </c>
      <c r="D56" s="2" t="s">
        <v>32</v>
      </c>
      <c r="E56" s="53">
        <v>108.88</v>
      </c>
      <c r="F56" s="3">
        <v>1796.5</v>
      </c>
      <c r="G56" s="2" t="s">
        <v>10</v>
      </c>
      <c r="H56" s="11">
        <v>40318</v>
      </c>
      <c r="I56" s="3">
        <f t="shared" si="0"/>
        <v>21.776</v>
      </c>
    </row>
    <row r="57" spans="1:9">
      <c r="A57" s="2" t="s">
        <v>137</v>
      </c>
      <c r="B57" s="11">
        <v>40316</v>
      </c>
      <c r="C57" s="2" t="s">
        <v>11</v>
      </c>
      <c r="D57" s="2" t="s">
        <v>36</v>
      </c>
      <c r="E57" s="53">
        <f>190.54+20+27.22</f>
        <v>237.76</v>
      </c>
      <c r="F57" s="3">
        <v>5050</v>
      </c>
      <c r="G57" s="2" t="s">
        <v>10</v>
      </c>
      <c r="H57" s="11">
        <v>40318</v>
      </c>
      <c r="I57" s="3">
        <f t="shared" si="0"/>
        <v>47.552</v>
      </c>
    </row>
    <row r="58" spans="1:9">
      <c r="A58" s="2" t="s">
        <v>141</v>
      </c>
      <c r="B58" s="11">
        <v>40318</v>
      </c>
      <c r="C58" s="2" t="s">
        <v>11</v>
      </c>
      <c r="D58" s="2" t="s">
        <v>42</v>
      </c>
      <c r="E58" s="53">
        <f>624+32.7</f>
        <v>656.7</v>
      </c>
      <c r="F58" s="3">
        <v>11746.5</v>
      </c>
      <c r="G58" s="2" t="s">
        <v>10</v>
      </c>
      <c r="H58" s="11">
        <v>40323</v>
      </c>
      <c r="I58" s="3">
        <f t="shared" si="0"/>
        <v>131.34</v>
      </c>
    </row>
    <row r="59" spans="1:9">
      <c r="A59" s="2" t="s">
        <v>147</v>
      </c>
      <c r="B59" s="11">
        <v>40322</v>
      </c>
      <c r="C59" s="2" t="s">
        <v>11</v>
      </c>
      <c r="D59" s="2" t="s">
        <v>86</v>
      </c>
      <c r="E59" s="53">
        <f>1363.5+107.8+141+5.44+54.44</f>
        <v>1672.18</v>
      </c>
      <c r="F59" s="3">
        <v>47536.56</v>
      </c>
      <c r="G59" s="2" t="s">
        <v>1078</v>
      </c>
      <c r="H59" s="11">
        <v>40324</v>
      </c>
      <c r="I59" s="3">
        <f t="shared" si="0"/>
        <v>334.43600000000004</v>
      </c>
    </row>
    <row r="60" spans="1:9">
      <c r="A60" s="2" t="s">
        <v>148</v>
      </c>
      <c r="B60" s="11">
        <v>40322</v>
      </c>
      <c r="C60" s="2" t="s">
        <v>120</v>
      </c>
      <c r="D60" s="2" t="s">
        <v>13</v>
      </c>
      <c r="E60" s="53">
        <v>816.6</v>
      </c>
      <c r="F60" s="3">
        <v>13882.2</v>
      </c>
      <c r="G60" s="2" t="s">
        <v>1078</v>
      </c>
      <c r="H60" s="11">
        <v>40324</v>
      </c>
      <c r="I60" s="3">
        <f t="shared" si="0"/>
        <v>163.32000000000002</v>
      </c>
    </row>
    <row r="61" spans="1:9">
      <c r="A61" s="2" t="s">
        <v>146</v>
      </c>
      <c r="B61" s="11">
        <v>40322</v>
      </c>
      <c r="C61" s="2" t="s">
        <v>17</v>
      </c>
      <c r="D61" s="2" t="s">
        <v>59</v>
      </c>
      <c r="E61" s="53">
        <v>538</v>
      </c>
      <c r="F61" s="3">
        <v>7532</v>
      </c>
      <c r="G61" s="2" t="s">
        <v>10</v>
      </c>
      <c r="H61" s="11">
        <v>40322</v>
      </c>
      <c r="I61" s="3">
        <f t="shared" si="0"/>
        <v>107.60000000000001</v>
      </c>
    </row>
    <row r="62" spans="1:9">
      <c r="A62" s="2" t="s">
        <v>152</v>
      </c>
      <c r="B62" s="11">
        <v>40322</v>
      </c>
      <c r="C62" s="2" t="s">
        <v>133</v>
      </c>
      <c r="D62" s="2" t="s">
        <v>35</v>
      </c>
      <c r="E62" s="53">
        <f>4*5.44</f>
        <v>21.76</v>
      </c>
      <c r="F62" s="3">
        <v>1120</v>
      </c>
      <c r="G62" s="2" t="s">
        <v>10</v>
      </c>
      <c r="H62" s="11">
        <v>40328</v>
      </c>
      <c r="I62" s="3">
        <f t="shared" si="0"/>
        <v>4.3520000000000003</v>
      </c>
    </row>
    <row r="63" spans="1:9">
      <c r="A63" s="2" t="s">
        <v>60</v>
      </c>
      <c r="B63" s="11">
        <v>40322</v>
      </c>
      <c r="C63" s="2" t="s">
        <v>100</v>
      </c>
      <c r="D63" s="2" t="s">
        <v>32</v>
      </c>
      <c r="E63" s="53">
        <v>291.60000000000002</v>
      </c>
      <c r="F63" s="3">
        <v>9914.5</v>
      </c>
      <c r="G63" s="2" t="s">
        <v>10</v>
      </c>
      <c r="H63" s="11">
        <v>40326</v>
      </c>
      <c r="I63" s="3">
        <f t="shared" si="0"/>
        <v>58.320000000000007</v>
      </c>
    </row>
    <row r="64" spans="1:9">
      <c r="A64" s="2" t="s">
        <v>150</v>
      </c>
      <c r="B64" s="11">
        <v>40322</v>
      </c>
      <c r="C64" s="2" t="s">
        <v>11</v>
      </c>
      <c r="D64" s="2" t="s">
        <v>151</v>
      </c>
      <c r="E64" s="53">
        <f>54.44+27.22</f>
        <v>81.66</v>
      </c>
      <c r="F64" s="3">
        <v>2150</v>
      </c>
      <c r="G64" s="2" t="s">
        <v>10</v>
      </c>
      <c r="H64" s="11">
        <v>40329</v>
      </c>
      <c r="I64" s="3">
        <f t="shared" si="0"/>
        <v>16.332000000000001</v>
      </c>
    </row>
    <row r="65" spans="1:9">
      <c r="A65" s="2" t="s">
        <v>139</v>
      </c>
      <c r="B65" s="11">
        <v>40322</v>
      </c>
      <c r="C65" s="2" t="s">
        <v>41</v>
      </c>
      <c r="D65" s="2" t="s">
        <v>36</v>
      </c>
      <c r="E65" s="53">
        <v>898.2</v>
      </c>
      <c r="F65" s="3">
        <v>26047</v>
      </c>
      <c r="G65" s="2" t="s">
        <v>10</v>
      </c>
      <c r="H65" s="11">
        <v>40324</v>
      </c>
      <c r="I65" s="3">
        <f t="shared" si="0"/>
        <v>179.64000000000001</v>
      </c>
    </row>
    <row r="66" spans="1:9">
      <c r="A66" s="2" t="s">
        <v>154</v>
      </c>
      <c r="B66" s="11">
        <v>40325</v>
      </c>
      <c r="C66" s="2" t="s">
        <v>11</v>
      </c>
      <c r="D66" s="2" t="s">
        <v>86</v>
      </c>
      <c r="E66" s="53">
        <f>1360.7+92.5+108.88+104</f>
        <v>1666.08</v>
      </c>
      <c r="F66" s="3">
        <v>47273.02</v>
      </c>
      <c r="G66" s="2" t="s">
        <v>1078</v>
      </c>
      <c r="H66" s="11">
        <v>40326</v>
      </c>
      <c r="I66" s="3">
        <f t="shared" si="0"/>
        <v>333.21600000000001</v>
      </c>
    </row>
    <row r="67" spans="1:9">
      <c r="A67" s="2" t="s">
        <v>149</v>
      </c>
      <c r="B67" s="11">
        <v>40325</v>
      </c>
      <c r="C67" s="2" t="s">
        <v>11</v>
      </c>
      <c r="D67" s="2" t="s">
        <v>36</v>
      </c>
      <c r="E67" s="53">
        <f>10+13.61+18.4</f>
        <v>42.01</v>
      </c>
      <c r="F67" s="3">
        <v>1652</v>
      </c>
      <c r="G67" s="2" t="s">
        <v>10</v>
      </c>
      <c r="H67" s="11">
        <v>40329</v>
      </c>
      <c r="I67" s="3">
        <f t="shared" si="0"/>
        <v>8.4019999999999992</v>
      </c>
    </row>
    <row r="68" spans="1:9">
      <c r="E68" s="53">
        <v>0</v>
      </c>
      <c r="I68" s="9"/>
    </row>
    <row r="69" spans="1:9" ht="15.75">
      <c r="E69" s="51">
        <f>SUM(E7:E68)</f>
        <v>44177.83</v>
      </c>
      <c r="F69" s="5">
        <f>SUM(F7:F68)</f>
        <v>1104594.4600000002</v>
      </c>
      <c r="G69" s="1"/>
      <c r="H69" s="15" t="s">
        <v>63</v>
      </c>
      <c r="I69" s="13">
        <f>SUM(I7:I68)</f>
        <v>8835.5659999999989</v>
      </c>
    </row>
    <row r="71" spans="1:9" ht="15.75">
      <c r="G71" s="56" t="s">
        <v>1081</v>
      </c>
    </row>
    <row r="72" spans="1:9">
      <c r="G72" s="2" t="s">
        <v>1082</v>
      </c>
    </row>
    <row r="74" spans="1:9">
      <c r="A74" s="18"/>
      <c r="G74" s="59" t="s">
        <v>1083</v>
      </c>
    </row>
  </sheetData>
  <mergeCells count="1">
    <mergeCell ref="E5:F5"/>
  </mergeCells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3"/>
  <sheetViews>
    <sheetView topLeftCell="A64" zoomScale="75" workbookViewId="0">
      <selection activeCell="E92" sqref="E92:H92"/>
    </sheetView>
  </sheetViews>
  <sheetFormatPr baseColWidth="10" defaultRowHeight="15"/>
  <cols>
    <col min="1" max="1" width="13.140625" style="2" bestFit="1" customWidth="1"/>
    <col min="2" max="2" width="13.5703125" style="2" customWidth="1"/>
    <col min="3" max="3" width="23.28515625" style="2" customWidth="1"/>
    <col min="4" max="4" width="32.85546875" style="2" customWidth="1"/>
    <col min="5" max="5" width="16.5703125" style="53" customWidth="1"/>
    <col min="6" max="6" width="17.5703125" style="3" customWidth="1"/>
    <col min="7" max="7" width="19.42578125" style="2" customWidth="1"/>
    <col min="8" max="8" width="18.85546875" style="2" customWidth="1"/>
    <col min="9" max="9" width="17.1406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1" t="s">
        <v>156</v>
      </c>
      <c r="E2" s="51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 ht="15.75">
      <c r="A5" s="1" t="s">
        <v>5</v>
      </c>
      <c r="B5" s="1" t="s">
        <v>0</v>
      </c>
      <c r="C5" s="1" t="s">
        <v>7</v>
      </c>
      <c r="D5" s="1" t="s">
        <v>9</v>
      </c>
      <c r="E5" s="122" t="s">
        <v>1</v>
      </c>
      <c r="F5" s="122"/>
      <c r="G5" s="10" t="s">
        <v>24</v>
      </c>
      <c r="H5" s="5" t="s">
        <v>3</v>
      </c>
      <c r="I5" s="1" t="s">
        <v>80</v>
      </c>
    </row>
    <row r="6" spans="1:9" ht="15.75">
      <c r="A6" s="1"/>
      <c r="B6" s="1"/>
      <c r="C6" s="1"/>
      <c r="D6" s="1"/>
      <c r="E6" s="52" t="s">
        <v>6</v>
      </c>
      <c r="F6" s="5" t="s">
        <v>2</v>
      </c>
      <c r="G6" s="5"/>
      <c r="H6" s="5" t="s">
        <v>4</v>
      </c>
      <c r="I6" s="5">
        <v>0.2</v>
      </c>
    </row>
    <row r="7" spans="1:9">
      <c r="A7" s="2" t="s">
        <v>163</v>
      </c>
      <c r="B7" s="11">
        <v>40312</v>
      </c>
      <c r="C7" s="2" t="s">
        <v>11</v>
      </c>
      <c r="D7" s="2" t="s">
        <v>164</v>
      </c>
      <c r="E7" s="53">
        <f>922.1+136.1+202.5+81.66</f>
        <v>1342.3600000000001</v>
      </c>
      <c r="F7" s="3">
        <v>36850</v>
      </c>
      <c r="G7" s="2" t="s">
        <v>10</v>
      </c>
      <c r="H7" s="11">
        <v>40332</v>
      </c>
      <c r="I7" s="3">
        <f>$I$6*E7</f>
        <v>268.47200000000004</v>
      </c>
    </row>
    <row r="8" spans="1:9">
      <c r="A8" s="2" t="s">
        <v>176</v>
      </c>
      <c r="B8" s="11">
        <v>40316</v>
      </c>
      <c r="C8" s="2" t="s">
        <v>11</v>
      </c>
      <c r="D8" s="2" t="s">
        <v>164</v>
      </c>
      <c r="E8" s="53">
        <f>272.2+136.1+5*5.44</f>
        <v>435.49999999999994</v>
      </c>
      <c r="F8" s="3">
        <v>11743.6</v>
      </c>
      <c r="G8" s="2" t="s">
        <v>10</v>
      </c>
      <c r="H8" s="11">
        <v>40334</v>
      </c>
      <c r="I8" s="3">
        <f t="shared" ref="I8:I86" si="0">$I$6*E8</f>
        <v>87.1</v>
      </c>
    </row>
    <row r="9" spans="1:9">
      <c r="A9" s="2" t="s">
        <v>161</v>
      </c>
      <c r="B9" s="11">
        <v>40316</v>
      </c>
      <c r="C9" s="2" t="s">
        <v>11</v>
      </c>
      <c r="D9" s="2" t="s">
        <v>44</v>
      </c>
      <c r="E9" s="53">
        <f>610+559</f>
        <v>1169</v>
      </c>
      <c r="F9" s="3">
        <v>29096.5</v>
      </c>
      <c r="G9" s="2" t="s">
        <v>10</v>
      </c>
      <c r="H9" s="11">
        <v>40331</v>
      </c>
      <c r="I9" s="3">
        <f t="shared" si="0"/>
        <v>233.8</v>
      </c>
    </row>
    <row r="10" spans="1:9">
      <c r="A10" s="2" t="s">
        <v>158</v>
      </c>
      <c r="B10" s="11">
        <v>40320</v>
      </c>
      <c r="C10" s="2" t="s">
        <v>83</v>
      </c>
      <c r="D10" s="2" t="s">
        <v>35</v>
      </c>
      <c r="E10" s="53">
        <v>472.1</v>
      </c>
      <c r="F10" s="3">
        <v>13691</v>
      </c>
      <c r="G10" s="2" t="s">
        <v>10</v>
      </c>
      <c r="H10" s="11">
        <v>40332</v>
      </c>
      <c r="I10" s="3">
        <f t="shared" si="0"/>
        <v>94.420000000000016</v>
      </c>
    </row>
    <row r="11" spans="1:9">
      <c r="A11" s="2" t="s">
        <v>189</v>
      </c>
      <c r="B11" s="11">
        <v>40322</v>
      </c>
      <c r="C11" s="2" t="s">
        <v>11</v>
      </c>
      <c r="D11" s="2" t="s">
        <v>75</v>
      </c>
      <c r="E11" s="53">
        <f>537+452.5</f>
        <v>989.5</v>
      </c>
      <c r="F11" s="3">
        <v>13853</v>
      </c>
      <c r="G11" s="2" t="s">
        <v>10</v>
      </c>
      <c r="H11" s="11">
        <v>40348</v>
      </c>
      <c r="I11" s="3">
        <f t="shared" si="0"/>
        <v>197.9</v>
      </c>
    </row>
    <row r="12" spans="1:9">
      <c r="A12" s="2" t="s">
        <v>187</v>
      </c>
      <c r="B12" s="11">
        <v>40322</v>
      </c>
      <c r="C12" s="2" t="s">
        <v>11</v>
      </c>
      <c r="D12" s="2" t="s">
        <v>44</v>
      </c>
      <c r="E12" s="53">
        <f>27.22+580.5+20+227</f>
        <v>854.72</v>
      </c>
      <c r="F12" s="3">
        <v>19509</v>
      </c>
      <c r="G12" s="2" t="s">
        <v>10</v>
      </c>
      <c r="H12" s="11">
        <v>40345</v>
      </c>
      <c r="I12" s="3">
        <f t="shared" si="0"/>
        <v>170.94400000000002</v>
      </c>
    </row>
    <row r="13" spans="1:9">
      <c r="A13" s="2" t="s">
        <v>162</v>
      </c>
      <c r="B13" s="11">
        <v>40325</v>
      </c>
      <c r="C13" s="2" t="s">
        <v>11</v>
      </c>
      <c r="D13" s="2" t="s">
        <v>32</v>
      </c>
      <c r="E13" s="53">
        <f>27.22+58+218.5+81.66</f>
        <v>385.38</v>
      </c>
      <c r="F13" s="3">
        <v>10732</v>
      </c>
      <c r="G13" s="2" t="s">
        <v>10</v>
      </c>
      <c r="H13" s="11">
        <v>40331</v>
      </c>
      <c r="I13" s="3">
        <f t="shared" si="0"/>
        <v>77.076000000000008</v>
      </c>
    </row>
    <row r="14" spans="1:9">
      <c r="A14" s="2" t="s">
        <v>183</v>
      </c>
      <c r="B14" s="11">
        <v>40325</v>
      </c>
      <c r="C14" s="2" t="s">
        <v>11</v>
      </c>
      <c r="D14" s="2" t="s">
        <v>164</v>
      </c>
      <c r="E14" s="53">
        <f>81.66+136.1+4*5.44</f>
        <v>239.51999999999998</v>
      </c>
      <c r="F14" s="3">
        <v>5053.24</v>
      </c>
      <c r="G14" s="2" t="s">
        <v>10</v>
      </c>
      <c r="H14" s="11">
        <v>40338</v>
      </c>
      <c r="I14" s="3">
        <f t="shared" si="0"/>
        <v>47.903999999999996</v>
      </c>
    </row>
    <row r="15" spans="1:9">
      <c r="A15" s="2" t="s">
        <v>175</v>
      </c>
      <c r="B15" s="11">
        <v>40326</v>
      </c>
      <c r="C15" s="2" t="s">
        <v>83</v>
      </c>
      <c r="D15" s="2" t="s">
        <v>35</v>
      </c>
      <c r="E15" s="53">
        <v>463.6</v>
      </c>
      <c r="F15" s="3">
        <v>13444.5</v>
      </c>
      <c r="G15" s="2" t="s">
        <v>10</v>
      </c>
      <c r="H15" s="11">
        <v>40334</v>
      </c>
      <c r="I15" s="3">
        <f t="shared" si="0"/>
        <v>92.720000000000013</v>
      </c>
    </row>
    <row r="16" spans="1:9">
      <c r="A16" s="2" t="s">
        <v>188</v>
      </c>
      <c r="B16" s="11">
        <v>40327</v>
      </c>
      <c r="C16" s="2" t="s">
        <v>11</v>
      </c>
      <c r="D16" s="2" t="s">
        <v>75</v>
      </c>
      <c r="E16" s="53">
        <f>677+639</f>
        <v>1316</v>
      </c>
      <c r="F16" s="3">
        <v>20660</v>
      </c>
      <c r="G16" s="2" t="s">
        <v>10</v>
      </c>
      <c r="H16" s="11">
        <v>40348</v>
      </c>
      <c r="I16" s="3">
        <f t="shared" si="0"/>
        <v>263.2</v>
      </c>
    </row>
    <row r="17" spans="1:9">
      <c r="A17" s="2" t="s">
        <v>191</v>
      </c>
      <c r="B17" s="11">
        <v>40329</v>
      </c>
      <c r="C17" s="2" t="s">
        <v>17</v>
      </c>
      <c r="D17" s="2" t="s">
        <v>59</v>
      </c>
      <c r="E17" s="53">
        <v>657.5</v>
      </c>
      <c r="F17" s="3">
        <v>9205</v>
      </c>
      <c r="G17" s="2" t="s">
        <v>10</v>
      </c>
      <c r="H17" s="11">
        <v>40341</v>
      </c>
      <c r="I17" s="3">
        <f t="shared" si="0"/>
        <v>131.5</v>
      </c>
    </row>
    <row r="18" spans="1:9">
      <c r="A18" s="2" t="s">
        <v>165</v>
      </c>
      <c r="B18" s="11">
        <v>40329</v>
      </c>
      <c r="C18" s="11" t="s">
        <v>11</v>
      </c>
      <c r="D18" s="11" t="s">
        <v>166</v>
      </c>
      <c r="E18" s="53">
        <f>108.88+89.5+170.6+17.7+1317.9+314+54.44+5.44</f>
        <v>2078.46</v>
      </c>
      <c r="F18" s="3">
        <v>65399.45</v>
      </c>
      <c r="G18" s="3" t="s">
        <v>10</v>
      </c>
      <c r="H18" s="4">
        <v>40331</v>
      </c>
      <c r="I18" s="3">
        <f t="shared" si="0"/>
        <v>415.69200000000001</v>
      </c>
    </row>
    <row r="19" spans="1:9">
      <c r="A19" s="2" t="s">
        <v>182</v>
      </c>
      <c r="B19" s="11">
        <v>40329</v>
      </c>
      <c r="C19" s="2" t="s">
        <v>11</v>
      </c>
      <c r="D19" s="2" t="s">
        <v>181</v>
      </c>
      <c r="E19" s="53">
        <f>582+20+27.22</f>
        <v>629.22</v>
      </c>
      <c r="F19" s="3">
        <v>11218.02</v>
      </c>
      <c r="G19" s="2" t="s">
        <v>65</v>
      </c>
      <c r="H19" s="11">
        <v>40338</v>
      </c>
      <c r="I19" s="3">
        <f t="shared" si="0"/>
        <v>125.84400000000001</v>
      </c>
    </row>
    <row r="20" spans="1:9">
      <c r="A20" s="11" t="s">
        <v>167</v>
      </c>
      <c r="B20" s="11">
        <v>40329</v>
      </c>
      <c r="C20" s="2" t="s">
        <v>53</v>
      </c>
      <c r="D20" s="2" t="s">
        <v>12</v>
      </c>
      <c r="E20" s="53">
        <v>181.5</v>
      </c>
      <c r="F20" s="3">
        <v>3085.5</v>
      </c>
      <c r="G20" s="2" t="s">
        <v>10</v>
      </c>
      <c r="H20" s="11">
        <v>40331</v>
      </c>
      <c r="I20" s="3">
        <f t="shared" si="0"/>
        <v>36.300000000000004</v>
      </c>
    </row>
    <row r="21" spans="1:9">
      <c r="A21" s="2" t="s">
        <v>222</v>
      </c>
      <c r="B21" s="11">
        <v>40329</v>
      </c>
      <c r="C21" s="2" t="s">
        <v>133</v>
      </c>
      <c r="D21" s="2" t="s">
        <v>13</v>
      </c>
      <c r="E21" s="53">
        <v>54.44</v>
      </c>
      <c r="F21" s="3">
        <v>1796.52</v>
      </c>
      <c r="G21" s="2" t="s">
        <v>10</v>
      </c>
      <c r="H21" s="11">
        <v>40345</v>
      </c>
      <c r="I21" s="3">
        <f t="shared" si="0"/>
        <v>10.888</v>
      </c>
    </row>
    <row r="22" spans="1:9">
      <c r="A22" s="2" t="s">
        <v>160</v>
      </c>
      <c r="B22" s="11">
        <v>40329</v>
      </c>
      <c r="C22" s="2" t="s">
        <v>11</v>
      </c>
      <c r="D22" s="2" t="s">
        <v>32</v>
      </c>
      <c r="E22" s="53">
        <f>217.7+54.44</f>
        <v>272.14</v>
      </c>
      <c r="F22" s="3">
        <v>8790</v>
      </c>
      <c r="G22" s="2" t="s">
        <v>10</v>
      </c>
      <c r="H22" s="11">
        <v>40333</v>
      </c>
      <c r="I22" s="3">
        <f t="shared" si="0"/>
        <v>54.427999999999997</v>
      </c>
    </row>
    <row r="23" spans="1:9">
      <c r="A23" s="2" t="s">
        <v>172</v>
      </c>
      <c r="B23" s="11">
        <v>40330</v>
      </c>
      <c r="C23" s="2" t="s">
        <v>173</v>
      </c>
      <c r="D23" s="2" t="s">
        <v>35</v>
      </c>
      <c r="E23" s="53">
        <v>128.6</v>
      </c>
      <c r="F23" s="3">
        <v>4372.5</v>
      </c>
      <c r="G23" s="2" t="s">
        <v>10</v>
      </c>
      <c r="H23" s="11">
        <v>40330</v>
      </c>
      <c r="I23" s="3">
        <f t="shared" si="0"/>
        <v>25.72</v>
      </c>
    </row>
    <row r="24" spans="1:9">
      <c r="A24" s="2" t="s">
        <v>170</v>
      </c>
      <c r="B24" s="11">
        <v>40331</v>
      </c>
      <c r="C24" s="2" t="s">
        <v>17</v>
      </c>
      <c r="D24" s="2" t="s">
        <v>171</v>
      </c>
      <c r="E24" s="53">
        <v>410.5</v>
      </c>
      <c r="F24" s="3">
        <v>5747</v>
      </c>
      <c r="G24" s="2" t="s">
        <v>10</v>
      </c>
      <c r="H24" s="11">
        <v>40331</v>
      </c>
      <c r="I24" s="3">
        <f t="shared" si="0"/>
        <v>82.100000000000009</v>
      </c>
    </row>
    <row r="25" spans="1:9">
      <c r="A25" s="2" t="s">
        <v>217</v>
      </c>
      <c r="B25" s="11">
        <v>40332</v>
      </c>
      <c r="C25" s="2" t="s">
        <v>11</v>
      </c>
      <c r="D25" s="2" t="s">
        <v>35</v>
      </c>
      <c r="E25" s="53">
        <f>266.7+140</f>
        <v>406.7</v>
      </c>
      <c r="F25" s="3">
        <v>13181</v>
      </c>
      <c r="G25" s="2" t="s">
        <v>10</v>
      </c>
      <c r="H25" s="11">
        <v>40341</v>
      </c>
      <c r="I25" s="3">
        <f t="shared" si="0"/>
        <v>81.34</v>
      </c>
    </row>
    <row r="26" spans="1:9">
      <c r="A26" s="2" t="s">
        <v>169</v>
      </c>
      <c r="B26" s="11">
        <v>40332</v>
      </c>
      <c r="C26" s="2" t="s">
        <v>11</v>
      </c>
      <c r="D26" s="2" t="s">
        <v>166</v>
      </c>
      <c r="E26" s="53">
        <f>1637.1+126.3+54.44+81.66</f>
        <v>1899.5</v>
      </c>
      <c r="F26" s="3">
        <v>57201.599999999999</v>
      </c>
      <c r="G26" s="2" t="s">
        <v>10</v>
      </c>
      <c r="H26" s="11">
        <v>40333</v>
      </c>
      <c r="I26" s="3">
        <f t="shared" si="0"/>
        <v>379.90000000000003</v>
      </c>
    </row>
    <row r="27" spans="1:9">
      <c r="A27" s="2" t="s">
        <v>168</v>
      </c>
      <c r="B27" s="11">
        <v>40332</v>
      </c>
      <c r="C27" s="2" t="s">
        <v>81</v>
      </c>
      <c r="D27" s="2" t="s">
        <v>14</v>
      </c>
      <c r="E27" s="53">
        <v>136.1</v>
      </c>
      <c r="F27" s="3">
        <v>5171.8</v>
      </c>
      <c r="G27" s="2" t="s">
        <v>10</v>
      </c>
      <c r="H27" s="11">
        <v>40333</v>
      </c>
      <c r="I27" s="3">
        <f t="shared" si="0"/>
        <v>27.22</v>
      </c>
    </row>
    <row r="28" spans="1:9">
      <c r="A28" s="2" t="s">
        <v>159</v>
      </c>
      <c r="B28" s="11">
        <v>40332</v>
      </c>
      <c r="C28" s="11" t="s">
        <v>11</v>
      </c>
      <c r="D28" s="11" t="s">
        <v>32</v>
      </c>
      <c r="E28" s="53">
        <f>106+99+13.61+60.5</f>
        <v>279.11</v>
      </c>
      <c r="F28" s="3">
        <v>8690</v>
      </c>
      <c r="G28" s="3" t="s">
        <v>10</v>
      </c>
      <c r="H28" s="4">
        <v>40333</v>
      </c>
      <c r="I28" s="3">
        <f t="shared" si="0"/>
        <v>55.822000000000003</v>
      </c>
    </row>
    <row r="29" spans="1:9">
      <c r="A29" s="2" t="s">
        <v>209</v>
      </c>
      <c r="B29" s="11">
        <v>40334</v>
      </c>
      <c r="C29" s="2" t="s">
        <v>17</v>
      </c>
      <c r="D29" s="2" t="s">
        <v>75</v>
      </c>
      <c r="E29" s="53">
        <v>930</v>
      </c>
      <c r="F29" s="3">
        <v>13020</v>
      </c>
      <c r="G29" s="2" t="s">
        <v>10</v>
      </c>
      <c r="H29" s="11">
        <v>40350</v>
      </c>
      <c r="I29" s="3">
        <f t="shared" si="0"/>
        <v>186</v>
      </c>
    </row>
    <row r="30" spans="1:9">
      <c r="A30" s="2" t="s">
        <v>219</v>
      </c>
      <c r="B30" s="11">
        <v>40334</v>
      </c>
      <c r="C30" s="2" t="s">
        <v>11</v>
      </c>
      <c r="D30" s="2" t="s">
        <v>35</v>
      </c>
      <c r="E30" s="53">
        <f>242.5+162</f>
        <v>404.5</v>
      </c>
      <c r="F30" s="3">
        <v>13269</v>
      </c>
      <c r="G30" s="2" t="s">
        <v>10</v>
      </c>
      <c r="H30" s="11">
        <v>40343</v>
      </c>
      <c r="I30" s="3">
        <f t="shared" si="0"/>
        <v>80.900000000000006</v>
      </c>
    </row>
    <row r="31" spans="1:9">
      <c r="A31" s="2" t="s">
        <v>174</v>
      </c>
      <c r="B31" s="11">
        <v>40336</v>
      </c>
      <c r="C31" s="2" t="s">
        <v>45</v>
      </c>
      <c r="D31" s="2" t="s">
        <v>1084</v>
      </c>
      <c r="E31" s="53">
        <v>54.44</v>
      </c>
      <c r="F31" s="3">
        <v>980</v>
      </c>
      <c r="G31" s="2" t="s">
        <v>10</v>
      </c>
      <c r="H31" s="11">
        <v>40338</v>
      </c>
      <c r="I31" s="3">
        <f t="shared" si="0"/>
        <v>10.888</v>
      </c>
    </row>
    <row r="32" spans="1:9">
      <c r="A32" s="2" t="s">
        <v>178</v>
      </c>
      <c r="B32" s="11">
        <v>40336</v>
      </c>
      <c r="C32" s="2" t="s">
        <v>11</v>
      </c>
      <c r="D32" s="2" t="s">
        <v>166</v>
      </c>
      <c r="E32" s="53">
        <f>1821.7+113+81.66+53.7+151.3</f>
        <v>2221.36</v>
      </c>
      <c r="F32" s="3">
        <v>68801.320000000007</v>
      </c>
      <c r="G32" s="2" t="s">
        <v>65</v>
      </c>
      <c r="H32" s="11">
        <v>40338</v>
      </c>
      <c r="I32" s="3">
        <f t="shared" si="0"/>
        <v>444.27200000000005</v>
      </c>
    </row>
    <row r="33" spans="1:9">
      <c r="A33" s="2" t="s">
        <v>243</v>
      </c>
      <c r="B33" s="11">
        <v>40336</v>
      </c>
      <c r="C33" s="2" t="s">
        <v>11</v>
      </c>
      <c r="D33" s="2" t="s">
        <v>164</v>
      </c>
      <c r="E33" s="53">
        <f>932.13+136.1+136.1+3*5.44</f>
        <v>1220.6499999999999</v>
      </c>
      <c r="F33" s="3">
        <v>32907.47</v>
      </c>
      <c r="G33" s="2" t="s">
        <v>10</v>
      </c>
      <c r="H33" s="11">
        <v>40352</v>
      </c>
      <c r="I33" s="3">
        <f t="shared" si="0"/>
        <v>244.13</v>
      </c>
    </row>
    <row r="34" spans="1:9">
      <c r="A34" s="2" t="s">
        <v>177</v>
      </c>
      <c r="B34" s="11">
        <v>40336</v>
      </c>
      <c r="C34" s="2" t="s">
        <v>53</v>
      </c>
      <c r="D34" s="2" t="s">
        <v>12</v>
      </c>
      <c r="E34" s="53">
        <v>114</v>
      </c>
      <c r="F34" s="3">
        <v>1938</v>
      </c>
      <c r="G34" s="2" t="s">
        <v>65</v>
      </c>
      <c r="H34" s="11">
        <v>40338</v>
      </c>
      <c r="I34" s="3">
        <f t="shared" si="0"/>
        <v>22.8</v>
      </c>
    </row>
    <row r="35" spans="1:9">
      <c r="A35" s="2" t="s">
        <v>180</v>
      </c>
      <c r="B35" s="11">
        <v>40336</v>
      </c>
      <c r="C35" s="2" t="s">
        <v>11</v>
      </c>
      <c r="D35" s="2" t="s">
        <v>181</v>
      </c>
      <c r="E35" s="53">
        <f>554.5+27.22+20+303</f>
        <v>904.72</v>
      </c>
      <c r="F35" s="3">
        <v>21963.27</v>
      </c>
      <c r="G35" s="2" t="s">
        <v>65</v>
      </c>
      <c r="H35" s="11">
        <v>40338</v>
      </c>
      <c r="I35" s="3">
        <f t="shared" si="0"/>
        <v>180.94400000000002</v>
      </c>
    </row>
    <row r="36" spans="1:9">
      <c r="A36" s="2" t="s">
        <v>179</v>
      </c>
      <c r="B36" s="11">
        <v>40336</v>
      </c>
      <c r="C36" s="2" t="s">
        <v>11</v>
      </c>
      <c r="D36" s="2" t="s">
        <v>13</v>
      </c>
      <c r="E36" s="53">
        <f>1633.2+13.61</f>
        <v>1646.81</v>
      </c>
      <c r="F36" s="3">
        <v>28213.53</v>
      </c>
      <c r="G36" s="2" t="s">
        <v>65</v>
      </c>
      <c r="H36" s="11">
        <v>40338</v>
      </c>
      <c r="I36" s="3">
        <f t="shared" si="0"/>
        <v>329.36200000000002</v>
      </c>
    </row>
    <row r="37" spans="1:9">
      <c r="A37" s="2" t="s">
        <v>192</v>
      </c>
      <c r="B37" s="11">
        <v>40339</v>
      </c>
      <c r="C37" s="2" t="s">
        <v>45</v>
      </c>
      <c r="D37" s="2" t="s">
        <v>151</v>
      </c>
      <c r="E37" s="53">
        <v>190.54</v>
      </c>
      <c r="F37" s="3">
        <v>3372.5</v>
      </c>
      <c r="G37" s="3" t="s">
        <v>10</v>
      </c>
      <c r="H37" s="11">
        <v>40345</v>
      </c>
      <c r="I37" s="3">
        <f t="shared" si="0"/>
        <v>38.107999999999997</v>
      </c>
    </row>
    <row r="38" spans="1:9">
      <c r="A38" s="2" t="s">
        <v>199</v>
      </c>
      <c r="B38" s="11">
        <v>40339</v>
      </c>
      <c r="C38" s="2" t="s">
        <v>11</v>
      </c>
      <c r="D38" s="2" t="s">
        <v>32</v>
      </c>
      <c r="E38" s="53">
        <f>801.8+101.1</f>
        <v>902.9</v>
      </c>
      <c r="F38" s="3">
        <v>26958</v>
      </c>
      <c r="G38" s="2" t="s">
        <v>10</v>
      </c>
      <c r="H38" s="11">
        <v>40341</v>
      </c>
      <c r="I38" s="3">
        <f t="shared" si="0"/>
        <v>180.58</v>
      </c>
    </row>
    <row r="39" spans="1:9">
      <c r="A39" s="2" t="s">
        <v>200</v>
      </c>
      <c r="B39" s="11">
        <v>40339</v>
      </c>
      <c r="C39" s="2" t="s">
        <v>11</v>
      </c>
      <c r="D39" s="2" t="s">
        <v>36</v>
      </c>
      <c r="E39" s="53">
        <f>882.2+108.88+20+27.22</f>
        <v>1038.3</v>
      </c>
      <c r="F39" s="3">
        <v>30332</v>
      </c>
      <c r="G39" s="2" t="s">
        <v>10</v>
      </c>
      <c r="H39" s="11">
        <v>40341</v>
      </c>
      <c r="I39" s="3">
        <f t="shared" si="0"/>
        <v>207.66</v>
      </c>
    </row>
    <row r="40" spans="1:9">
      <c r="A40" s="2" t="s">
        <v>224</v>
      </c>
      <c r="B40" s="11">
        <v>40339</v>
      </c>
      <c r="C40" s="2" t="s">
        <v>11</v>
      </c>
      <c r="D40" s="2" t="s">
        <v>166</v>
      </c>
      <c r="E40" s="53">
        <f>1219+38.7+167.5+62.6+136.1</f>
        <v>1623.8999999999999</v>
      </c>
      <c r="F40" s="3">
        <v>49200.7</v>
      </c>
      <c r="G40" s="2" t="s">
        <v>65</v>
      </c>
      <c r="H40" s="11">
        <v>40341</v>
      </c>
      <c r="I40" s="3">
        <f t="shared" si="0"/>
        <v>324.77999999999997</v>
      </c>
    </row>
    <row r="41" spans="1:9">
      <c r="A41" s="2" t="s">
        <v>242</v>
      </c>
      <c r="B41" s="11">
        <v>40339</v>
      </c>
      <c r="C41" s="2" t="s">
        <v>22</v>
      </c>
      <c r="D41" s="2" t="s">
        <v>164</v>
      </c>
      <c r="E41" s="53">
        <v>896.15</v>
      </c>
      <c r="F41" s="3">
        <v>25361.05</v>
      </c>
      <c r="G41" s="2" t="s">
        <v>10</v>
      </c>
      <c r="H41" s="11">
        <v>40359</v>
      </c>
      <c r="I41" s="3">
        <f t="shared" si="0"/>
        <v>179.23000000000002</v>
      </c>
    </row>
    <row r="42" spans="1:9">
      <c r="A42" s="2" t="s">
        <v>184</v>
      </c>
      <c r="B42" s="11">
        <v>40340</v>
      </c>
      <c r="C42" s="2" t="s">
        <v>11</v>
      </c>
      <c r="D42" s="2" t="s">
        <v>35</v>
      </c>
      <c r="E42" s="53">
        <f>241.3+57.5</f>
        <v>298.8</v>
      </c>
      <c r="F42" s="3">
        <v>9314.5</v>
      </c>
      <c r="G42" s="2" t="s">
        <v>10</v>
      </c>
      <c r="H42" s="11">
        <v>40348</v>
      </c>
      <c r="I42" s="3">
        <f t="shared" si="0"/>
        <v>59.760000000000005</v>
      </c>
    </row>
    <row r="43" spans="1:9">
      <c r="A43" s="2" t="s">
        <v>210</v>
      </c>
      <c r="B43" s="11">
        <v>40341</v>
      </c>
      <c r="C43" s="2" t="s">
        <v>83</v>
      </c>
      <c r="D43" s="2" t="s">
        <v>35</v>
      </c>
      <c r="E43" s="53">
        <v>465</v>
      </c>
      <c r="F43" s="3">
        <v>14415</v>
      </c>
      <c r="G43" s="2" t="s">
        <v>10</v>
      </c>
      <c r="H43" s="11">
        <v>40350</v>
      </c>
      <c r="I43" s="3">
        <f t="shared" si="0"/>
        <v>93</v>
      </c>
    </row>
    <row r="44" spans="1:9">
      <c r="A44" s="2" t="s">
        <v>193</v>
      </c>
      <c r="B44" s="11">
        <v>40343</v>
      </c>
      <c r="C44" s="2" t="s">
        <v>83</v>
      </c>
      <c r="D44" s="2" t="s">
        <v>71</v>
      </c>
      <c r="E44" s="53">
        <v>640.4</v>
      </c>
      <c r="F44" s="3">
        <v>19532</v>
      </c>
      <c r="G44" s="2" t="s">
        <v>10</v>
      </c>
      <c r="H44" s="11">
        <v>40347</v>
      </c>
      <c r="I44" s="3">
        <f t="shared" si="0"/>
        <v>128.08000000000001</v>
      </c>
    </row>
    <row r="45" spans="1:9">
      <c r="A45" s="2" t="s">
        <v>186</v>
      </c>
      <c r="B45" s="11">
        <v>40343</v>
      </c>
      <c r="C45" s="2" t="s">
        <v>45</v>
      </c>
      <c r="D45" s="2" t="s">
        <v>32</v>
      </c>
      <c r="E45" s="53">
        <v>81.66</v>
      </c>
      <c r="F45" s="3">
        <v>1470</v>
      </c>
      <c r="G45" s="2" t="s">
        <v>10</v>
      </c>
      <c r="H45" s="11">
        <v>40345</v>
      </c>
      <c r="I45" s="3">
        <f t="shared" si="0"/>
        <v>16.332000000000001</v>
      </c>
    </row>
    <row r="46" spans="1:9">
      <c r="A46" s="2" t="s">
        <v>220</v>
      </c>
      <c r="B46" s="11">
        <v>40343</v>
      </c>
      <c r="C46" s="2" t="s">
        <v>11</v>
      </c>
      <c r="D46" s="54" t="s">
        <v>1085</v>
      </c>
      <c r="E46" s="53">
        <v>1750.48</v>
      </c>
      <c r="F46" s="3">
        <v>58339.14</v>
      </c>
      <c r="G46" s="2" t="s">
        <v>65</v>
      </c>
      <c r="H46" s="11">
        <v>40345</v>
      </c>
      <c r="I46" s="3">
        <f t="shared" si="0"/>
        <v>350.096</v>
      </c>
    </row>
    <row r="47" spans="1:9">
      <c r="A47" s="2" t="s">
        <v>244</v>
      </c>
      <c r="B47" s="11">
        <v>40343</v>
      </c>
      <c r="C47" s="2" t="s">
        <v>11</v>
      </c>
      <c r="D47" s="2" t="s">
        <v>181</v>
      </c>
      <c r="E47" s="53">
        <f>400+226.2+951.6</f>
        <v>1577.8000000000002</v>
      </c>
      <c r="F47" s="3">
        <v>41840.400000000001</v>
      </c>
      <c r="G47" s="2" t="s">
        <v>65</v>
      </c>
      <c r="H47" s="11">
        <v>40352</v>
      </c>
      <c r="I47" s="3">
        <f t="shared" si="0"/>
        <v>315.56000000000006</v>
      </c>
    </row>
    <row r="48" spans="1:9">
      <c r="A48" s="11" t="s">
        <v>223</v>
      </c>
      <c r="B48" s="11">
        <v>40343</v>
      </c>
      <c r="C48" s="2" t="s">
        <v>11</v>
      </c>
      <c r="D48" s="2" t="s">
        <v>13</v>
      </c>
      <c r="E48" s="53">
        <f>54.44+60+23.36+136.1+1007.14</f>
        <v>1281.04</v>
      </c>
      <c r="F48" s="3">
        <v>26705.88</v>
      </c>
      <c r="G48" s="2" t="s">
        <v>65</v>
      </c>
      <c r="H48" s="11">
        <v>40345</v>
      </c>
      <c r="I48" s="3">
        <f t="shared" si="0"/>
        <v>256.20800000000003</v>
      </c>
    </row>
    <row r="49" spans="1:9">
      <c r="A49" s="2" t="s">
        <v>221</v>
      </c>
      <c r="B49" s="11">
        <v>40343</v>
      </c>
      <c r="C49" s="2" t="s">
        <v>133</v>
      </c>
      <c r="D49" s="2" t="s">
        <v>12</v>
      </c>
      <c r="E49" s="53">
        <v>40.83</v>
      </c>
      <c r="F49" s="3">
        <v>1388.22</v>
      </c>
      <c r="G49" s="2" t="s">
        <v>65</v>
      </c>
      <c r="H49" s="11">
        <v>40345</v>
      </c>
      <c r="I49" s="3">
        <f t="shared" si="0"/>
        <v>8.1660000000000004</v>
      </c>
    </row>
    <row r="50" spans="1:9">
      <c r="A50" s="2" t="s">
        <v>196</v>
      </c>
      <c r="B50" s="11">
        <v>40345</v>
      </c>
      <c r="C50" s="2" t="s">
        <v>54</v>
      </c>
      <c r="D50" s="2" t="s">
        <v>71</v>
      </c>
      <c r="E50" s="53">
        <v>200.4</v>
      </c>
      <c r="F50" s="3">
        <v>8417</v>
      </c>
      <c r="G50" s="2" t="s">
        <v>10</v>
      </c>
      <c r="H50" s="11">
        <v>40349</v>
      </c>
      <c r="I50" s="3">
        <f t="shared" si="0"/>
        <v>40.080000000000005</v>
      </c>
    </row>
    <row r="51" spans="1:9">
      <c r="A51" s="2" t="s">
        <v>198</v>
      </c>
      <c r="B51" s="11">
        <v>40345</v>
      </c>
      <c r="C51" s="2" t="s">
        <v>100</v>
      </c>
      <c r="D51" s="2" t="s">
        <v>35</v>
      </c>
      <c r="E51" s="53">
        <v>54.4</v>
      </c>
      <c r="F51" s="3">
        <v>2013</v>
      </c>
      <c r="G51" s="2" t="s">
        <v>10</v>
      </c>
      <c r="H51" s="11">
        <v>40349</v>
      </c>
      <c r="I51" s="3">
        <f t="shared" si="0"/>
        <v>10.88</v>
      </c>
    </row>
    <row r="52" spans="1:9">
      <c r="A52" s="2" t="s">
        <v>236</v>
      </c>
      <c r="B52" s="11">
        <v>40346</v>
      </c>
      <c r="C52" s="2" t="s">
        <v>11</v>
      </c>
      <c r="D52" s="2" t="s">
        <v>32</v>
      </c>
      <c r="E52" s="53">
        <f>13.61+13.61+54.44+58.9+318.5</f>
        <v>459.06</v>
      </c>
      <c r="F52" s="3">
        <v>13770</v>
      </c>
      <c r="G52" s="2" t="s">
        <v>10</v>
      </c>
      <c r="H52" s="11">
        <v>40352</v>
      </c>
      <c r="I52" s="3">
        <f t="shared" si="0"/>
        <v>91.812000000000012</v>
      </c>
    </row>
    <row r="53" spans="1:9">
      <c r="A53" s="2" t="s">
        <v>190</v>
      </c>
      <c r="B53" s="11">
        <v>40346</v>
      </c>
      <c r="C53" s="2" t="s">
        <v>11</v>
      </c>
      <c r="D53" s="2" t="s">
        <v>151</v>
      </c>
      <c r="E53" s="53">
        <f>108.88+20+54.44</f>
        <v>183.32</v>
      </c>
      <c r="F53" s="3">
        <v>4982</v>
      </c>
      <c r="G53" s="2" t="s">
        <v>10</v>
      </c>
      <c r="H53" s="11">
        <v>40348</v>
      </c>
      <c r="I53" s="3">
        <f t="shared" si="0"/>
        <v>36.664000000000001</v>
      </c>
    </row>
    <row r="54" spans="1:9">
      <c r="A54" s="2" t="s">
        <v>218</v>
      </c>
      <c r="B54" s="11">
        <v>40346</v>
      </c>
      <c r="C54" s="2" t="s">
        <v>11</v>
      </c>
      <c r="D54" s="2" t="s">
        <v>166</v>
      </c>
      <c r="E54" s="53">
        <f>208.7+1273.3+68.6+163.32+113.6+65.6+108</f>
        <v>2001.1199999999997</v>
      </c>
      <c r="F54" s="3">
        <v>58919.88</v>
      </c>
      <c r="G54" s="2" t="s">
        <v>65</v>
      </c>
      <c r="H54" s="11">
        <v>40348</v>
      </c>
      <c r="I54" s="3">
        <f t="shared" si="0"/>
        <v>400.22399999999993</v>
      </c>
    </row>
    <row r="55" spans="1:9">
      <c r="A55" s="2" t="s">
        <v>239</v>
      </c>
      <c r="B55" s="11">
        <v>40346</v>
      </c>
      <c r="C55" s="2" t="s">
        <v>11</v>
      </c>
      <c r="D55" s="2" t="s">
        <v>164</v>
      </c>
      <c r="E55" s="53">
        <f>108.88+163.32</f>
        <v>272.2</v>
      </c>
      <c r="F55" s="3">
        <v>5062.92</v>
      </c>
      <c r="G55" s="2" t="s">
        <v>10</v>
      </c>
      <c r="H55" s="11">
        <v>40359</v>
      </c>
      <c r="I55" s="3">
        <f t="shared" si="0"/>
        <v>54.44</v>
      </c>
    </row>
    <row r="56" spans="1:9">
      <c r="A56" s="2" t="s">
        <v>197</v>
      </c>
      <c r="B56" s="11">
        <v>40347</v>
      </c>
      <c r="C56" s="2" t="s">
        <v>83</v>
      </c>
      <c r="D56" s="2" t="s">
        <v>35</v>
      </c>
      <c r="E56" s="53">
        <v>228.5</v>
      </c>
      <c r="F56" s="3">
        <v>7083.5</v>
      </c>
      <c r="G56" s="2" t="s">
        <v>10</v>
      </c>
      <c r="H56" s="11">
        <v>40349</v>
      </c>
      <c r="I56" s="3">
        <f t="shared" si="0"/>
        <v>45.7</v>
      </c>
    </row>
    <row r="57" spans="1:9">
      <c r="A57" s="2" t="s">
        <v>194</v>
      </c>
      <c r="B57" s="11">
        <v>40347</v>
      </c>
      <c r="C57" s="2" t="s">
        <v>11</v>
      </c>
      <c r="D57" s="2" t="s">
        <v>35</v>
      </c>
      <c r="E57" s="53">
        <f>152.3+27.22</f>
        <v>179.52</v>
      </c>
      <c r="F57" s="3">
        <v>6141</v>
      </c>
      <c r="G57" s="2" t="s">
        <v>10</v>
      </c>
      <c r="H57" s="11">
        <v>40347</v>
      </c>
      <c r="I57" s="3">
        <f t="shared" si="0"/>
        <v>35.904000000000003</v>
      </c>
    </row>
    <row r="58" spans="1:9">
      <c r="A58" s="2" t="s">
        <v>195</v>
      </c>
      <c r="B58" s="11">
        <v>40347</v>
      </c>
      <c r="C58" s="2" t="s">
        <v>83</v>
      </c>
      <c r="D58" s="2" t="s">
        <v>71</v>
      </c>
      <c r="E58" s="53">
        <v>573.5</v>
      </c>
      <c r="F58" s="3">
        <v>17492</v>
      </c>
      <c r="G58" s="2" t="s">
        <v>10</v>
      </c>
      <c r="H58" s="11">
        <v>40349</v>
      </c>
      <c r="I58" s="3">
        <f t="shared" si="0"/>
        <v>114.7</v>
      </c>
    </row>
    <row r="59" spans="1:9">
      <c r="A59" s="2" t="s">
        <v>206</v>
      </c>
      <c r="B59" s="11">
        <v>40348</v>
      </c>
      <c r="C59" s="2" t="s">
        <v>11</v>
      </c>
      <c r="D59" s="2" t="s">
        <v>35</v>
      </c>
      <c r="E59" s="53">
        <f>239.1+40.2</f>
        <v>279.3</v>
      </c>
      <c r="F59" s="3">
        <v>9100.5</v>
      </c>
      <c r="G59" s="2" t="s">
        <v>10</v>
      </c>
      <c r="H59" s="11">
        <v>40355</v>
      </c>
      <c r="I59" s="3">
        <f t="shared" si="0"/>
        <v>55.860000000000007</v>
      </c>
    </row>
    <row r="60" spans="1:9">
      <c r="A60" s="2" t="s">
        <v>208</v>
      </c>
      <c r="B60" s="11">
        <v>40348</v>
      </c>
      <c r="C60" s="2" t="s">
        <v>203</v>
      </c>
      <c r="D60" s="2" t="s">
        <v>35</v>
      </c>
      <c r="E60" s="53">
        <f>45.9+104.3</f>
        <v>150.19999999999999</v>
      </c>
      <c r="F60" s="3">
        <v>5828</v>
      </c>
      <c r="G60" s="2" t="s">
        <v>10</v>
      </c>
      <c r="H60" s="11">
        <v>40353</v>
      </c>
      <c r="I60" s="3">
        <f t="shared" si="0"/>
        <v>30.04</v>
      </c>
    </row>
    <row r="61" spans="1:9">
      <c r="A61" s="2" t="s">
        <v>233</v>
      </c>
      <c r="B61" s="11">
        <v>40350</v>
      </c>
      <c r="C61" s="2" t="s">
        <v>11</v>
      </c>
      <c r="D61" s="2" t="s">
        <v>35</v>
      </c>
      <c r="E61" s="53">
        <f>253+98.9</f>
        <v>351.9</v>
      </c>
      <c r="F61" s="3">
        <v>11925.5</v>
      </c>
      <c r="G61" s="2" t="s">
        <v>10</v>
      </c>
      <c r="H61" s="11">
        <v>40357</v>
      </c>
      <c r="I61" s="3">
        <f t="shared" si="0"/>
        <v>70.38</v>
      </c>
    </row>
    <row r="62" spans="1:9">
      <c r="A62" s="2" t="s">
        <v>212</v>
      </c>
      <c r="B62" s="11">
        <v>40350</v>
      </c>
      <c r="C62" s="2" t="s">
        <v>11</v>
      </c>
      <c r="D62" s="2" t="s">
        <v>32</v>
      </c>
      <c r="E62" s="53">
        <f>480.5+32.7</f>
        <v>513.20000000000005</v>
      </c>
      <c r="F62" s="3">
        <v>15357</v>
      </c>
      <c r="G62" s="2" t="s">
        <v>10</v>
      </c>
      <c r="H62" s="11">
        <v>40418</v>
      </c>
      <c r="I62" s="3">
        <f t="shared" si="0"/>
        <v>102.64000000000001</v>
      </c>
    </row>
    <row r="63" spans="1:9">
      <c r="A63" s="2" t="s">
        <v>238</v>
      </c>
      <c r="B63" s="11">
        <v>40350</v>
      </c>
      <c r="C63" s="2" t="s">
        <v>11</v>
      </c>
      <c r="D63" s="2" t="s">
        <v>166</v>
      </c>
      <c r="E63" s="53">
        <f>1717.7+302.8+64+43.7+102.5+54.44+27.22</f>
        <v>2312.3599999999997</v>
      </c>
      <c r="F63" s="3">
        <v>75470.759999999995</v>
      </c>
      <c r="G63" s="2" t="s">
        <v>65</v>
      </c>
      <c r="H63" s="11">
        <v>40352</v>
      </c>
      <c r="I63" s="3">
        <f t="shared" si="0"/>
        <v>462.47199999999998</v>
      </c>
    </row>
    <row r="64" spans="1:9">
      <c r="A64" s="2" t="s">
        <v>245</v>
      </c>
      <c r="B64" s="11">
        <v>40350</v>
      </c>
      <c r="C64" s="2" t="s">
        <v>11</v>
      </c>
      <c r="D64" s="2" t="s">
        <v>1086</v>
      </c>
      <c r="E64" s="53">
        <v>60.19</v>
      </c>
      <c r="F64" s="3">
        <v>2105.3200000000002</v>
      </c>
      <c r="G64" s="2" t="s">
        <v>65</v>
      </c>
      <c r="H64" s="11">
        <v>40352</v>
      </c>
      <c r="I64" s="3">
        <f t="shared" si="0"/>
        <v>12.038</v>
      </c>
    </row>
    <row r="65" spans="1:9">
      <c r="A65" s="2" t="s">
        <v>225</v>
      </c>
      <c r="B65" s="11">
        <v>40350</v>
      </c>
      <c r="C65" s="2" t="s">
        <v>11</v>
      </c>
      <c r="D65" s="2" t="s">
        <v>181</v>
      </c>
      <c r="E65" s="53">
        <f>272.2+30+346+27.22+544.4</f>
        <v>1219.8200000000002</v>
      </c>
      <c r="F65" s="3">
        <v>28889.5</v>
      </c>
      <c r="G65" s="2" t="s">
        <v>10</v>
      </c>
      <c r="H65" s="11">
        <v>40359</v>
      </c>
      <c r="I65" s="3">
        <f t="shared" si="0"/>
        <v>243.96400000000006</v>
      </c>
    </row>
    <row r="66" spans="1:9">
      <c r="A66" s="2" t="s">
        <v>226</v>
      </c>
      <c r="B66" s="11">
        <v>40350</v>
      </c>
      <c r="C66" s="2" t="s">
        <v>21</v>
      </c>
      <c r="D66" s="2" t="s">
        <v>12</v>
      </c>
      <c r="E66" s="53">
        <v>80</v>
      </c>
      <c r="F66" s="3">
        <v>3160</v>
      </c>
      <c r="G66" s="2" t="s">
        <v>65</v>
      </c>
      <c r="H66" s="11">
        <v>40351</v>
      </c>
      <c r="I66" s="3">
        <f t="shared" si="0"/>
        <v>16</v>
      </c>
    </row>
    <row r="67" spans="1:9">
      <c r="A67" s="2" t="s">
        <v>237</v>
      </c>
      <c r="B67" s="11">
        <v>40351</v>
      </c>
      <c r="C67" s="2" t="s">
        <v>83</v>
      </c>
      <c r="D67" s="2" t="s">
        <v>32</v>
      </c>
      <c r="E67" s="53">
        <v>179.58</v>
      </c>
      <c r="F67" s="3">
        <v>5620</v>
      </c>
      <c r="G67" s="2" t="s">
        <v>10</v>
      </c>
      <c r="H67" s="11">
        <v>40352</v>
      </c>
      <c r="I67" s="3">
        <f t="shared" si="0"/>
        <v>35.916000000000004</v>
      </c>
    </row>
    <row r="68" spans="1:9">
      <c r="A68" s="2" t="s">
        <v>229</v>
      </c>
      <c r="B68" s="11">
        <v>40351</v>
      </c>
      <c r="C68" s="2" t="s">
        <v>31</v>
      </c>
      <c r="D68" s="2" t="s">
        <v>35</v>
      </c>
      <c r="E68" s="60">
        <v>108.16</v>
      </c>
      <c r="F68" s="61">
        <v>3984</v>
      </c>
      <c r="G68" s="62" t="s">
        <v>10</v>
      </c>
      <c r="H68" s="11">
        <v>40351</v>
      </c>
      <c r="I68" s="3">
        <f t="shared" si="0"/>
        <v>21.632000000000001</v>
      </c>
    </row>
    <row r="69" spans="1:9">
      <c r="A69" s="2" t="s">
        <v>216</v>
      </c>
      <c r="B69" s="11">
        <v>40352</v>
      </c>
      <c r="C69" s="2" t="s">
        <v>83</v>
      </c>
      <c r="D69" s="2" t="s">
        <v>71</v>
      </c>
      <c r="E69" s="53">
        <v>603</v>
      </c>
      <c r="F69" s="3">
        <v>18693</v>
      </c>
      <c r="G69" s="2" t="s">
        <v>10</v>
      </c>
      <c r="H69" s="11">
        <v>40357</v>
      </c>
      <c r="I69" s="3">
        <f t="shared" si="0"/>
        <v>120.60000000000001</v>
      </c>
    </row>
    <row r="70" spans="1:9">
      <c r="A70" s="2" t="s">
        <v>227</v>
      </c>
      <c r="B70" s="11">
        <v>40353</v>
      </c>
      <c r="C70" s="2" t="s">
        <v>11</v>
      </c>
      <c r="D70" s="2" t="s">
        <v>166</v>
      </c>
      <c r="E70" s="53">
        <f>1670.2+94.8+303+96.9+5.44*2+45.3+46.2</f>
        <v>2267.2800000000002</v>
      </c>
      <c r="F70" s="3">
        <v>74564</v>
      </c>
      <c r="G70" s="2" t="s">
        <v>65</v>
      </c>
      <c r="H70" s="11">
        <v>40355</v>
      </c>
      <c r="I70" s="3">
        <f t="shared" si="0"/>
        <v>453.45600000000007</v>
      </c>
    </row>
    <row r="71" spans="1:9">
      <c r="A71" s="2" t="s">
        <v>204</v>
      </c>
      <c r="B71" s="11">
        <v>40353</v>
      </c>
      <c r="C71" s="2" t="s">
        <v>133</v>
      </c>
      <c r="D71" s="2" t="s">
        <v>14</v>
      </c>
      <c r="E71" s="53">
        <v>54.4</v>
      </c>
      <c r="F71" s="3">
        <v>2800</v>
      </c>
      <c r="G71" s="2" t="s">
        <v>10</v>
      </c>
      <c r="H71" s="11">
        <v>40355</v>
      </c>
      <c r="I71" s="3">
        <f t="shared" si="0"/>
        <v>10.88</v>
      </c>
    </row>
    <row r="72" spans="1:9">
      <c r="A72" s="2" t="s">
        <v>232</v>
      </c>
      <c r="B72" s="11">
        <v>40353</v>
      </c>
      <c r="C72" s="2" t="s">
        <v>83</v>
      </c>
      <c r="D72" s="2" t="s">
        <v>32</v>
      </c>
      <c r="E72" s="53">
        <v>171.5</v>
      </c>
      <c r="F72" s="3">
        <v>5402</v>
      </c>
      <c r="G72" s="2" t="s">
        <v>10</v>
      </c>
      <c r="H72" s="11">
        <v>40355</v>
      </c>
      <c r="I72" s="3">
        <f t="shared" si="0"/>
        <v>34.300000000000004</v>
      </c>
    </row>
    <row r="73" spans="1:9">
      <c r="A73" s="2" t="s">
        <v>207</v>
      </c>
      <c r="B73" s="11">
        <v>40354</v>
      </c>
      <c r="C73" s="2" t="s">
        <v>15</v>
      </c>
      <c r="D73" s="2" t="s">
        <v>35</v>
      </c>
      <c r="E73" s="53">
        <v>166</v>
      </c>
      <c r="F73" s="3">
        <v>6148</v>
      </c>
      <c r="G73" s="2" t="s">
        <v>10</v>
      </c>
      <c r="H73" s="11">
        <v>40354</v>
      </c>
      <c r="I73" s="3">
        <f t="shared" si="0"/>
        <v>33.200000000000003</v>
      </c>
    </row>
    <row r="74" spans="1:9">
      <c r="A74" s="2" t="s">
        <v>215</v>
      </c>
      <c r="B74" s="11">
        <v>40355</v>
      </c>
      <c r="C74" s="2" t="s">
        <v>17</v>
      </c>
      <c r="D74" s="2" t="s">
        <v>59</v>
      </c>
      <c r="E74" s="53">
        <v>1090.5</v>
      </c>
      <c r="F74" s="3">
        <v>15267</v>
      </c>
      <c r="G74" s="2" t="s">
        <v>10</v>
      </c>
      <c r="H74" s="11">
        <v>40418</v>
      </c>
      <c r="I74" s="3">
        <f t="shared" si="0"/>
        <v>218.10000000000002</v>
      </c>
    </row>
    <row r="75" spans="1:9">
      <c r="A75" s="2" t="s">
        <v>201</v>
      </c>
      <c r="B75" s="11">
        <v>40355</v>
      </c>
      <c r="C75" s="2" t="s">
        <v>31</v>
      </c>
      <c r="D75" s="2" t="s">
        <v>35</v>
      </c>
      <c r="E75" s="53">
        <v>123.68</v>
      </c>
      <c r="F75" s="3">
        <v>4452.5</v>
      </c>
      <c r="G75" s="2" t="s">
        <v>10</v>
      </c>
      <c r="H75" s="11">
        <v>40359</v>
      </c>
      <c r="I75" s="3">
        <f t="shared" si="0"/>
        <v>24.736000000000004</v>
      </c>
    </row>
    <row r="76" spans="1:9">
      <c r="A76" s="2" t="s">
        <v>241</v>
      </c>
      <c r="B76" s="11">
        <v>40357</v>
      </c>
      <c r="C76" s="2" t="s">
        <v>11</v>
      </c>
      <c r="D76" s="2" t="s">
        <v>166</v>
      </c>
      <c r="E76" s="53">
        <f>228.4+166.9+108.88+5.44+138.7+1781.2</f>
        <v>2429.52</v>
      </c>
      <c r="F76" s="3">
        <v>78506.16</v>
      </c>
      <c r="G76" s="2" t="s">
        <v>65</v>
      </c>
      <c r="H76" s="11">
        <v>40359</v>
      </c>
      <c r="I76" s="3">
        <f t="shared" si="0"/>
        <v>485.904</v>
      </c>
    </row>
    <row r="77" spans="1:9">
      <c r="A77" s="2" t="s">
        <v>240</v>
      </c>
      <c r="B77" s="11">
        <v>40357</v>
      </c>
      <c r="C77" s="2" t="s">
        <v>11</v>
      </c>
      <c r="D77" s="2" t="s">
        <v>13</v>
      </c>
      <c r="E77" s="53">
        <f>40.83+81.66+30+762.16</f>
        <v>914.65</v>
      </c>
      <c r="F77" s="3">
        <v>16436.48</v>
      </c>
      <c r="G77" s="2" t="s">
        <v>65</v>
      </c>
      <c r="H77" s="11">
        <v>40359</v>
      </c>
      <c r="I77" s="3">
        <f t="shared" si="0"/>
        <v>182.93</v>
      </c>
    </row>
    <row r="78" spans="1:9">
      <c r="A78" s="2" t="s">
        <v>213</v>
      </c>
      <c r="B78" s="11">
        <v>40357</v>
      </c>
      <c r="C78" s="2" t="s">
        <v>11</v>
      </c>
      <c r="D78" s="2" t="s">
        <v>214</v>
      </c>
      <c r="E78" s="53">
        <f>2.8+42.4+26.66+173</f>
        <v>244.86</v>
      </c>
      <c r="F78" s="3">
        <v>7860</v>
      </c>
      <c r="G78" s="2" t="s">
        <v>10</v>
      </c>
      <c r="H78" s="11">
        <v>40357</v>
      </c>
      <c r="I78" s="3">
        <f t="shared" si="0"/>
        <v>48.972000000000008</v>
      </c>
    </row>
    <row r="79" spans="1:9">
      <c r="A79" s="2" t="s">
        <v>234</v>
      </c>
      <c r="B79" s="11">
        <v>40357</v>
      </c>
      <c r="C79" s="2" t="s">
        <v>79</v>
      </c>
      <c r="D79" s="2" t="s">
        <v>235</v>
      </c>
      <c r="E79" s="53">
        <v>163.5</v>
      </c>
      <c r="F79" s="3">
        <v>3106.5</v>
      </c>
      <c r="G79" s="2" t="s">
        <v>10</v>
      </c>
      <c r="H79" s="11">
        <v>40357</v>
      </c>
      <c r="I79" s="3">
        <f t="shared" si="0"/>
        <v>32.700000000000003</v>
      </c>
    </row>
    <row r="80" spans="1:9">
      <c r="A80" s="2" t="s">
        <v>211</v>
      </c>
      <c r="B80" s="11">
        <v>40357</v>
      </c>
      <c r="C80" s="2" t="s">
        <v>31</v>
      </c>
      <c r="D80" s="2" t="s">
        <v>35</v>
      </c>
      <c r="E80" s="53">
        <v>100.08</v>
      </c>
      <c r="F80" s="3">
        <v>3703</v>
      </c>
      <c r="G80" s="2" t="s">
        <v>10</v>
      </c>
      <c r="H80" s="11">
        <v>40357</v>
      </c>
      <c r="I80" s="3">
        <f t="shared" si="0"/>
        <v>20.016000000000002</v>
      </c>
    </row>
    <row r="81" spans="1:9">
      <c r="A81" s="11" t="s">
        <v>205</v>
      </c>
      <c r="B81" s="11">
        <v>40357</v>
      </c>
      <c r="C81" s="2" t="s">
        <v>11</v>
      </c>
      <c r="D81" s="2" t="s">
        <v>32</v>
      </c>
      <c r="E81" s="53">
        <f>2*5.44+20+355</f>
        <v>385.88</v>
      </c>
      <c r="F81" s="3">
        <v>11645</v>
      </c>
      <c r="G81" s="2" t="s">
        <v>10</v>
      </c>
      <c r="H81" s="11">
        <v>40359</v>
      </c>
      <c r="I81" s="3">
        <f t="shared" si="0"/>
        <v>77.176000000000002</v>
      </c>
    </row>
    <row r="82" spans="1:9">
      <c r="A82" s="2" t="s">
        <v>228</v>
      </c>
      <c r="B82" s="11">
        <v>40358</v>
      </c>
      <c r="C82" s="2" t="s">
        <v>203</v>
      </c>
      <c r="D82" s="2" t="s">
        <v>35</v>
      </c>
      <c r="E82" s="53">
        <v>196</v>
      </c>
      <c r="F82" s="3">
        <v>7546</v>
      </c>
      <c r="G82" s="2" t="s">
        <v>10</v>
      </c>
      <c r="H82" s="11">
        <v>40359</v>
      </c>
      <c r="I82" s="3">
        <f t="shared" si="0"/>
        <v>39.200000000000003</v>
      </c>
    </row>
    <row r="83" spans="1:9">
      <c r="A83" s="2" t="s">
        <v>202</v>
      </c>
      <c r="B83" s="11">
        <v>40359</v>
      </c>
      <c r="C83" s="2" t="s">
        <v>203</v>
      </c>
      <c r="D83" s="2" t="s">
        <v>35</v>
      </c>
      <c r="E83" s="53">
        <v>160</v>
      </c>
      <c r="F83" s="3">
        <v>6160</v>
      </c>
      <c r="G83" s="2" t="s">
        <v>10</v>
      </c>
      <c r="H83" s="11">
        <v>40360</v>
      </c>
      <c r="I83" s="3">
        <f t="shared" si="0"/>
        <v>32</v>
      </c>
    </row>
    <row r="84" spans="1:9">
      <c r="A84" s="2" t="s">
        <v>231</v>
      </c>
      <c r="B84" s="11">
        <v>40360</v>
      </c>
      <c r="C84" s="2" t="s">
        <v>11</v>
      </c>
      <c r="D84" s="2" t="s">
        <v>35</v>
      </c>
      <c r="E84" s="53">
        <f>146.8+178.5</f>
        <v>325.3</v>
      </c>
      <c r="F84" s="3">
        <v>12304</v>
      </c>
      <c r="G84" s="2" t="s">
        <v>10</v>
      </c>
      <c r="H84" s="11">
        <v>40360</v>
      </c>
      <c r="I84" s="3">
        <f t="shared" si="0"/>
        <v>65.06</v>
      </c>
    </row>
    <row r="85" spans="1:9">
      <c r="A85" s="2" t="s">
        <v>230</v>
      </c>
      <c r="B85" s="11">
        <v>40361</v>
      </c>
      <c r="C85" s="2" t="s">
        <v>11</v>
      </c>
      <c r="D85" s="2" t="s">
        <v>32</v>
      </c>
      <c r="E85" s="53">
        <f>172.5+38.08</f>
        <v>210.57999999999998</v>
      </c>
      <c r="F85" s="3">
        <v>9232</v>
      </c>
      <c r="G85" s="2" t="s">
        <v>10</v>
      </c>
      <c r="H85" s="11">
        <v>40361</v>
      </c>
      <c r="I85" s="3">
        <f t="shared" si="0"/>
        <v>42.116</v>
      </c>
    </row>
    <row r="86" spans="1:9">
      <c r="A86" s="2" t="s">
        <v>185</v>
      </c>
      <c r="B86" s="11">
        <v>40369</v>
      </c>
      <c r="C86" s="2" t="s">
        <v>17</v>
      </c>
      <c r="D86" s="2" t="s">
        <v>75</v>
      </c>
      <c r="E86" s="53">
        <v>707</v>
      </c>
      <c r="F86" s="3">
        <v>9898</v>
      </c>
      <c r="G86" s="2" t="s">
        <v>10</v>
      </c>
      <c r="H86" s="11">
        <v>40348</v>
      </c>
      <c r="I86" s="3">
        <f t="shared" si="0"/>
        <v>141.4</v>
      </c>
    </row>
    <row r="87" spans="1:9">
      <c r="I87" s="9"/>
    </row>
    <row r="88" spans="1:9" ht="15.75">
      <c r="E88" s="51">
        <f>SUM(E7:E87)</f>
        <v>52806.190000000017</v>
      </c>
      <c r="F88" s="5">
        <f>SUM(F7:F87)</f>
        <v>1436858.73</v>
      </c>
      <c r="G88" s="1"/>
      <c r="H88" s="15" t="s">
        <v>63</v>
      </c>
      <c r="I88" s="13">
        <f>SUM(I7:I87)</f>
        <v>10561.237999999999</v>
      </c>
    </row>
    <row r="92" spans="1:9">
      <c r="E92" s="60"/>
      <c r="F92" s="61" t="s">
        <v>1087</v>
      </c>
      <c r="G92" s="62"/>
      <c r="H92" s="62"/>
    </row>
    <row r="93" spans="1:9">
      <c r="A93" s="18"/>
    </row>
  </sheetData>
  <mergeCells count="1">
    <mergeCell ref="E5:F5"/>
  </mergeCells>
  <phoneticPr fontId="2" type="noConversion"/>
  <pageMargins left="0.39" right="0.27" top="0.65" bottom="0.52" header="0" footer="0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7"/>
  <sheetViews>
    <sheetView topLeftCell="A71" zoomScale="75" workbookViewId="0">
      <selection activeCell="A89" sqref="A89"/>
    </sheetView>
  </sheetViews>
  <sheetFormatPr baseColWidth="10" defaultRowHeight="15"/>
  <cols>
    <col min="1" max="1" width="13.140625" style="2" bestFit="1" customWidth="1"/>
    <col min="2" max="2" width="13.5703125" style="2" customWidth="1"/>
    <col min="3" max="3" width="23.28515625" style="2" customWidth="1"/>
    <col min="4" max="4" width="32.85546875" style="2" customWidth="1"/>
    <col min="5" max="5" width="14.140625" style="53" customWidth="1"/>
    <col min="6" max="6" width="17.5703125" style="3" customWidth="1"/>
    <col min="7" max="7" width="19.42578125" style="2" customWidth="1"/>
    <col min="8" max="8" width="18.85546875" style="2" customWidth="1"/>
    <col min="9" max="9" width="17.1406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1" t="s">
        <v>157</v>
      </c>
      <c r="E2" s="51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 ht="15.75">
      <c r="A5" s="1" t="s">
        <v>5</v>
      </c>
      <c r="B5" s="1" t="s">
        <v>0</v>
      </c>
      <c r="C5" s="1" t="s">
        <v>7</v>
      </c>
      <c r="D5" s="1" t="s">
        <v>9</v>
      </c>
      <c r="E5" s="122" t="s">
        <v>1</v>
      </c>
      <c r="F5" s="122"/>
      <c r="G5" s="10" t="s">
        <v>24</v>
      </c>
      <c r="H5" s="5" t="s">
        <v>3</v>
      </c>
      <c r="I5" s="1" t="s">
        <v>80</v>
      </c>
    </row>
    <row r="6" spans="1:9" ht="15.75">
      <c r="A6" s="1"/>
      <c r="B6" s="1"/>
      <c r="C6" s="1"/>
      <c r="D6" s="1"/>
      <c r="E6" s="52" t="s">
        <v>6</v>
      </c>
      <c r="F6" s="5" t="s">
        <v>2</v>
      </c>
      <c r="G6" s="5"/>
      <c r="H6" s="5" t="s">
        <v>4</v>
      </c>
      <c r="I6" s="5">
        <v>0.2</v>
      </c>
    </row>
    <row r="7" spans="1:9">
      <c r="A7" s="2" t="s">
        <v>55</v>
      </c>
      <c r="B7" s="11">
        <v>40228</v>
      </c>
      <c r="C7" s="11" t="s">
        <v>250</v>
      </c>
      <c r="D7" s="11" t="s">
        <v>251</v>
      </c>
      <c r="E7" s="53">
        <v>27.22</v>
      </c>
      <c r="F7" s="3">
        <v>381</v>
      </c>
      <c r="G7" s="3" t="s">
        <v>10</v>
      </c>
      <c r="H7" s="4">
        <v>40364</v>
      </c>
      <c r="I7" s="3">
        <f>$I$6*E7</f>
        <v>5.444</v>
      </c>
    </row>
    <row r="8" spans="1:9">
      <c r="A8" s="11" t="s">
        <v>330</v>
      </c>
      <c r="B8" s="11">
        <v>40329</v>
      </c>
      <c r="C8" s="2" t="s">
        <v>83</v>
      </c>
      <c r="D8" s="2" t="s">
        <v>36</v>
      </c>
      <c r="E8" s="53">
        <v>1791</v>
      </c>
      <c r="F8" s="3">
        <v>53730</v>
      </c>
      <c r="G8" s="2" t="s">
        <v>10</v>
      </c>
      <c r="H8" s="11">
        <v>40383</v>
      </c>
      <c r="I8" s="3">
        <f>$I$6*E8</f>
        <v>358.20000000000005</v>
      </c>
    </row>
    <row r="9" spans="1:9">
      <c r="A9" s="2" t="s">
        <v>279</v>
      </c>
      <c r="B9" s="11">
        <v>40343</v>
      </c>
      <c r="C9" s="2" t="s">
        <v>76</v>
      </c>
      <c r="D9" s="2" t="s">
        <v>82</v>
      </c>
      <c r="E9" s="53">
        <f>369.5+422.5</f>
        <v>792</v>
      </c>
      <c r="F9" s="3">
        <v>12566</v>
      </c>
      <c r="G9" s="2" t="s">
        <v>10</v>
      </c>
      <c r="H9" s="11">
        <v>40364</v>
      </c>
      <c r="I9" s="3">
        <f t="shared" ref="I9:I89" si="0">$I$6*E9</f>
        <v>158.4</v>
      </c>
    </row>
    <row r="10" spans="1:9">
      <c r="A10" s="2" t="s">
        <v>336</v>
      </c>
      <c r="B10" s="11">
        <v>40348</v>
      </c>
      <c r="C10" s="2" t="s">
        <v>17</v>
      </c>
      <c r="D10" s="2" t="s">
        <v>82</v>
      </c>
      <c r="E10" s="53">
        <v>668.5</v>
      </c>
      <c r="F10" s="3">
        <v>9359</v>
      </c>
      <c r="G10" s="2" t="s">
        <v>10</v>
      </c>
      <c r="H10" s="11">
        <v>40378</v>
      </c>
      <c r="I10" s="3">
        <f t="shared" si="0"/>
        <v>133.70000000000002</v>
      </c>
    </row>
    <row r="11" spans="1:9">
      <c r="A11" s="2" t="s">
        <v>219</v>
      </c>
      <c r="B11" s="11">
        <v>40350</v>
      </c>
      <c r="C11" s="2" t="s">
        <v>11</v>
      </c>
      <c r="D11" s="32" t="s">
        <v>1088</v>
      </c>
      <c r="E11" s="53">
        <v>918.55</v>
      </c>
      <c r="F11" s="3">
        <v>27240.73</v>
      </c>
      <c r="G11" s="2" t="s">
        <v>10</v>
      </c>
      <c r="H11" s="11">
        <v>40367</v>
      </c>
      <c r="I11" s="3">
        <f t="shared" si="0"/>
        <v>183.71</v>
      </c>
    </row>
    <row r="12" spans="1:9">
      <c r="A12" s="2" t="s">
        <v>252</v>
      </c>
      <c r="B12" s="11">
        <v>40352</v>
      </c>
      <c r="C12" s="2" t="s">
        <v>253</v>
      </c>
      <c r="D12" s="2" t="s">
        <v>35</v>
      </c>
      <c r="E12" s="53">
        <v>183.7</v>
      </c>
      <c r="F12" s="3">
        <v>7348</v>
      </c>
      <c r="G12" s="2" t="s">
        <v>10</v>
      </c>
      <c r="H12" s="11">
        <v>40364</v>
      </c>
      <c r="I12" s="3">
        <f t="shared" si="0"/>
        <v>36.74</v>
      </c>
    </row>
    <row r="13" spans="1:9">
      <c r="A13" s="2" t="s">
        <v>287</v>
      </c>
      <c r="B13" s="11">
        <v>40353</v>
      </c>
      <c r="C13" s="2" t="s">
        <v>11</v>
      </c>
      <c r="D13" s="2" t="s">
        <v>72</v>
      </c>
      <c r="E13" s="53">
        <f>145.2+437+27.22</f>
        <v>609.42000000000007</v>
      </c>
      <c r="F13" s="3">
        <v>20395.5</v>
      </c>
      <c r="G13" s="3" t="s">
        <v>10</v>
      </c>
      <c r="H13" s="11">
        <v>40362</v>
      </c>
      <c r="I13" s="3">
        <f t="shared" si="0"/>
        <v>121.88400000000001</v>
      </c>
    </row>
    <row r="14" spans="1:9" ht="15.75">
      <c r="A14" s="2" t="s">
        <v>232</v>
      </c>
      <c r="B14" s="11">
        <v>40353</v>
      </c>
      <c r="C14" s="2" t="s">
        <v>83</v>
      </c>
      <c r="D14" s="2" t="s">
        <v>72</v>
      </c>
      <c r="E14" s="53">
        <v>171.5</v>
      </c>
      <c r="F14" s="3">
        <v>5402</v>
      </c>
      <c r="G14" s="63" t="s">
        <v>1077</v>
      </c>
      <c r="H14" s="11">
        <v>40355</v>
      </c>
      <c r="I14" s="3">
        <f t="shared" si="0"/>
        <v>34.300000000000004</v>
      </c>
    </row>
    <row r="15" spans="1:9">
      <c r="A15" s="2" t="s">
        <v>248</v>
      </c>
      <c r="B15" s="11">
        <v>40354</v>
      </c>
      <c r="C15" s="2" t="s">
        <v>249</v>
      </c>
      <c r="D15" s="2" t="s">
        <v>35</v>
      </c>
      <c r="E15" s="53">
        <v>271.5</v>
      </c>
      <c r="F15" s="3">
        <v>9231</v>
      </c>
      <c r="G15" s="2" t="s">
        <v>10</v>
      </c>
      <c r="H15" s="11">
        <v>40362</v>
      </c>
      <c r="I15" s="3">
        <f t="shared" si="0"/>
        <v>54.300000000000004</v>
      </c>
    </row>
    <row r="16" spans="1:9">
      <c r="A16" s="2" t="s">
        <v>1095</v>
      </c>
      <c r="B16" s="11">
        <v>40355</v>
      </c>
      <c r="C16" s="2" t="s">
        <v>17</v>
      </c>
      <c r="D16" s="2" t="s">
        <v>82</v>
      </c>
      <c r="E16" s="53">
        <v>745.5</v>
      </c>
      <c r="F16" s="3">
        <v>10437</v>
      </c>
      <c r="G16" s="2" t="s">
        <v>10</v>
      </c>
      <c r="H16" s="11">
        <v>40364</v>
      </c>
      <c r="I16" s="3">
        <f t="shared" si="0"/>
        <v>149.1</v>
      </c>
    </row>
    <row r="17" spans="1:9">
      <c r="A17" s="2" t="s">
        <v>272</v>
      </c>
      <c r="B17" s="11">
        <v>40355</v>
      </c>
      <c r="C17" s="2" t="s">
        <v>11</v>
      </c>
      <c r="D17" s="2" t="s">
        <v>35</v>
      </c>
      <c r="E17" s="53">
        <f>174+168.5</f>
        <v>342.5</v>
      </c>
      <c r="F17" s="3">
        <v>11968</v>
      </c>
      <c r="G17" s="2" t="s">
        <v>10</v>
      </c>
      <c r="H17" s="11">
        <v>40367</v>
      </c>
      <c r="I17" s="3">
        <f t="shared" si="0"/>
        <v>68.5</v>
      </c>
    </row>
    <row r="18" spans="1:9">
      <c r="A18" s="2" t="s">
        <v>260</v>
      </c>
      <c r="B18" s="11">
        <v>40357</v>
      </c>
      <c r="C18" s="2" t="s">
        <v>11</v>
      </c>
      <c r="D18" s="2" t="s">
        <v>181</v>
      </c>
      <c r="E18" s="53">
        <f>408.3+226.8+272.2+292+49+198.4</f>
        <v>1446.7</v>
      </c>
      <c r="F18" s="3">
        <v>37886.75</v>
      </c>
      <c r="G18" s="2" t="s">
        <v>65</v>
      </c>
      <c r="H18" s="11">
        <v>40366</v>
      </c>
      <c r="I18" s="3">
        <f t="shared" si="0"/>
        <v>289.34000000000003</v>
      </c>
    </row>
    <row r="19" spans="1:9">
      <c r="A19" s="2" t="s">
        <v>293</v>
      </c>
      <c r="B19" s="11">
        <v>40357</v>
      </c>
      <c r="C19" s="2" t="s">
        <v>11</v>
      </c>
      <c r="D19" s="32" t="s">
        <v>1089</v>
      </c>
      <c r="E19" s="53">
        <v>1025.1300000000001</v>
      </c>
      <c r="F19" s="3">
        <v>29135.48</v>
      </c>
      <c r="G19" s="2" t="s">
        <v>10</v>
      </c>
      <c r="H19" s="11">
        <v>40374</v>
      </c>
      <c r="I19" s="3">
        <f t="shared" si="0"/>
        <v>205.02600000000004</v>
      </c>
    </row>
    <row r="20" spans="1:9" ht="15.75">
      <c r="A20" s="2" t="s">
        <v>234</v>
      </c>
      <c r="B20" s="11">
        <v>40357</v>
      </c>
      <c r="C20" s="2" t="s">
        <v>76</v>
      </c>
      <c r="D20" s="2" t="s">
        <v>73</v>
      </c>
      <c r="E20" s="53">
        <v>163.5</v>
      </c>
      <c r="F20" s="3">
        <v>3106.5</v>
      </c>
      <c r="G20" s="63" t="s">
        <v>1080</v>
      </c>
      <c r="H20" s="11">
        <v>40357</v>
      </c>
      <c r="I20" s="3">
        <f t="shared" si="0"/>
        <v>32.700000000000003</v>
      </c>
    </row>
    <row r="21" spans="1:9">
      <c r="A21" s="2" t="s">
        <v>295</v>
      </c>
      <c r="B21" s="11">
        <v>40360</v>
      </c>
      <c r="C21" s="2" t="s">
        <v>11</v>
      </c>
      <c r="D21" s="2" t="s">
        <v>166</v>
      </c>
      <c r="E21" s="53">
        <f>1732.6+101+170.5+157+54.44+168.8</f>
        <v>2384.34</v>
      </c>
      <c r="F21" s="3">
        <v>73397.17</v>
      </c>
      <c r="G21" s="2" t="s">
        <v>65</v>
      </c>
      <c r="H21" s="11">
        <v>40364</v>
      </c>
      <c r="I21" s="3">
        <f t="shared" si="0"/>
        <v>476.86800000000005</v>
      </c>
    </row>
    <row r="22" spans="1:9">
      <c r="A22" s="2" t="s">
        <v>319</v>
      </c>
      <c r="B22" s="11">
        <v>40360</v>
      </c>
      <c r="C22" s="2" t="s">
        <v>11</v>
      </c>
      <c r="D22" s="2" t="s">
        <v>294</v>
      </c>
      <c r="E22" s="53">
        <f>820.86+136.1</f>
        <v>956.96</v>
      </c>
      <c r="F22" s="3">
        <v>26418.06</v>
      </c>
      <c r="G22" s="2" t="s">
        <v>10</v>
      </c>
      <c r="H22" s="11">
        <v>40380</v>
      </c>
      <c r="I22" s="3">
        <f t="shared" si="0"/>
        <v>191.39200000000002</v>
      </c>
    </row>
    <row r="23" spans="1:9">
      <c r="A23" s="2" t="s">
        <v>254</v>
      </c>
      <c r="B23" s="11">
        <v>40360</v>
      </c>
      <c r="C23" s="2" t="s">
        <v>20</v>
      </c>
      <c r="D23" s="2" t="s">
        <v>14</v>
      </c>
      <c r="E23" s="53">
        <v>272.2</v>
      </c>
      <c r="F23" s="3">
        <v>5172</v>
      </c>
      <c r="G23" s="2" t="s">
        <v>10</v>
      </c>
      <c r="H23" s="11">
        <v>40366</v>
      </c>
      <c r="I23" s="3">
        <f t="shared" si="0"/>
        <v>54.44</v>
      </c>
    </row>
    <row r="24" spans="1:9">
      <c r="A24" s="2" t="s">
        <v>255</v>
      </c>
      <c r="B24" s="11">
        <v>40360</v>
      </c>
      <c r="C24" s="2" t="s">
        <v>11</v>
      </c>
      <c r="D24" s="2" t="s">
        <v>72</v>
      </c>
      <c r="E24" s="53">
        <f>461.5+115</f>
        <v>576.5</v>
      </c>
      <c r="F24" s="3">
        <v>18328.5</v>
      </c>
      <c r="G24" s="2" t="s">
        <v>10</v>
      </c>
      <c r="H24" s="11">
        <v>40366</v>
      </c>
      <c r="I24" s="3">
        <f t="shared" si="0"/>
        <v>115.30000000000001</v>
      </c>
    </row>
    <row r="25" spans="1:9">
      <c r="A25" s="2" t="s">
        <v>262</v>
      </c>
      <c r="B25" s="11">
        <v>40362</v>
      </c>
      <c r="C25" s="2" t="s">
        <v>11</v>
      </c>
      <c r="D25" s="2" t="s">
        <v>214</v>
      </c>
      <c r="E25" s="53">
        <f>242.5+34.9</f>
        <v>277.39999999999998</v>
      </c>
      <c r="F25" s="3">
        <v>9674</v>
      </c>
      <c r="G25" s="2" t="s">
        <v>10</v>
      </c>
      <c r="H25" s="11">
        <v>40362</v>
      </c>
      <c r="I25" s="3">
        <f t="shared" si="0"/>
        <v>55.48</v>
      </c>
    </row>
    <row r="26" spans="1:9">
      <c r="A26" s="2" t="s">
        <v>266</v>
      </c>
      <c r="B26" s="11">
        <v>40362</v>
      </c>
      <c r="C26" s="2" t="s">
        <v>11</v>
      </c>
      <c r="D26" s="2" t="s">
        <v>73</v>
      </c>
      <c r="E26" s="53">
        <f>272.2+408.3</f>
        <v>680.5</v>
      </c>
      <c r="F26" s="3">
        <v>12113</v>
      </c>
      <c r="G26" s="2" t="s">
        <v>10</v>
      </c>
      <c r="H26" s="11">
        <v>40362</v>
      </c>
      <c r="I26" s="3">
        <f t="shared" si="0"/>
        <v>136.1</v>
      </c>
    </row>
    <row r="27" spans="1:9">
      <c r="A27" s="2" t="s">
        <v>284</v>
      </c>
      <c r="B27" s="11">
        <v>40362</v>
      </c>
      <c r="C27" s="2" t="s">
        <v>268</v>
      </c>
      <c r="D27" s="2" t="s">
        <v>35</v>
      </c>
      <c r="E27" s="53">
        <v>307</v>
      </c>
      <c r="F27" s="3">
        <v>11819.5</v>
      </c>
      <c r="G27" s="2" t="s">
        <v>10</v>
      </c>
      <c r="H27" s="11">
        <v>40371</v>
      </c>
      <c r="I27" s="3">
        <f t="shared" si="0"/>
        <v>61.400000000000006</v>
      </c>
    </row>
    <row r="28" spans="1:9">
      <c r="A28" s="2" t="s">
        <v>259</v>
      </c>
      <c r="B28" s="11">
        <v>40364</v>
      </c>
      <c r="C28" s="2" t="s">
        <v>83</v>
      </c>
      <c r="D28" s="11" t="s">
        <v>166</v>
      </c>
      <c r="E28" s="53">
        <v>1600.76</v>
      </c>
      <c r="F28" s="3">
        <v>50423.94</v>
      </c>
      <c r="G28" s="2" t="s">
        <v>65</v>
      </c>
      <c r="H28" s="11">
        <v>40366</v>
      </c>
      <c r="I28" s="3">
        <f t="shared" si="0"/>
        <v>320.15200000000004</v>
      </c>
    </row>
    <row r="29" spans="1:9">
      <c r="A29" s="2" t="s">
        <v>291</v>
      </c>
      <c r="B29" s="11">
        <v>40364</v>
      </c>
      <c r="C29" s="2" t="s">
        <v>11</v>
      </c>
      <c r="D29" s="2" t="s">
        <v>181</v>
      </c>
      <c r="E29" s="53">
        <f>408.3+226.8+802.5</f>
        <v>1437.6</v>
      </c>
      <c r="F29" s="3">
        <v>48601.2</v>
      </c>
      <c r="G29" s="2" t="s">
        <v>65</v>
      </c>
      <c r="H29" s="11">
        <v>40373</v>
      </c>
      <c r="I29" s="3">
        <f t="shared" si="0"/>
        <v>287.52</v>
      </c>
    </row>
    <row r="30" spans="1:9">
      <c r="A30" s="2" t="s">
        <v>256</v>
      </c>
      <c r="B30" s="11">
        <v>40364</v>
      </c>
      <c r="C30" s="2" t="s">
        <v>11</v>
      </c>
      <c r="D30" s="2" t="s">
        <v>1090</v>
      </c>
      <c r="E30" s="53">
        <v>163</v>
      </c>
      <c r="F30" s="3">
        <v>5222.8999999999996</v>
      </c>
      <c r="G30" s="2" t="s">
        <v>10</v>
      </c>
      <c r="H30" s="11">
        <v>40366</v>
      </c>
      <c r="I30" s="3">
        <f t="shared" si="0"/>
        <v>32.6</v>
      </c>
    </row>
    <row r="31" spans="1:9">
      <c r="A31" s="2" t="s">
        <v>257</v>
      </c>
      <c r="B31" s="11">
        <v>40364</v>
      </c>
      <c r="C31" s="11" t="s">
        <v>77</v>
      </c>
      <c r="D31" s="11" t="s">
        <v>12</v>
      </c>
      <c r="E31" s="53">
        <v>80</v>
      </c>
      <c r="F31" s="3">
        <v>3160</v>
      </c>
      <c r="G31" s="3" t="s">
        <v>10</v>
      </c>
      <c r="H31" s="4">
        <v>40366</v>
      </c>
      <c r="I31" s="3">
        <f t="shared" si="0"/>
        <v>16</v>
      </c>
    </row>
    <row r="32" spans="1:9">
      <c r="A32" s="11" t="s">
        <v>258</v>
      </c>
      <c r="B32" s="11">
        <v>40364</v>
      </c>
      <c r="C32" s="2" t="s">
        <v>11</v>
      </c>
      <c r="D32" s="2" t="s">
        <v>13</v>
      </c>
      <c r="E32" s="53">
        <f>26.5+40.83+272.2+27.22+680.5</f>
        <v>1047.25</v>
      </c>
      <c r="F32" s="3">
        <v>19721.54</v>
      </c>
      <c r="G32" s="2" t="s">
        <v>65</v>
      </c>
      <c r="H32" s="11">
        <v>40366</v>
      </c>
      <c r="I32" s="3">
        <f t="shared" si="0"/>
        <v>209.45000000000002</v>
      </c>
    </row>
    <row r="33" spans="1:9">
      <c r="A33" s="2" t="s">
        <v>280</v>
      </c>
      <c r="B33" s="11">
        <v>40364</v>
      </c>
      <c r="C33" s="2" t="s">
        <v>78</v>
      </c>
      <c r="D33" s="2" t="s">
        <v>73</v>
      </c>
      <c r="E33" s="53">
        <f>15*5.4432</f>
        <v>81.647999999999996</v>
      </c>
      <c r="F33" s="3">
        <v>4200</v>
      </c>
      <c r="G33" s="2" t="s">
        <v>10</v>
      </c>
      <c r="H33" s="11">
        <v>40364</v>
      </c>
      <c r="I33" s="3">
        <f t="shared" si="0"/>
        <v>16.329599999999999</v>
      </c>
    </row>
    <row r="34" spans="1:9">
      <c r="A34" s="2" t="s">
        <v>282</v>
      </c>
      <c r="B34" s="11">
        <v>40364</v>
      </c>
      <c r="C34" s="2" t="s">
        <v>11</v>
      </c>
      <c r="D34" s="2" t="s">
        <v>274</v>
      </c>
      <c r="E34" s="53">
        <f>52.1+154.6+162+102.9</f>
        <v>471.6</v>
      </c>
      <c r="F34" s="3">
        <v>17722.099999999999</v>
      </c>
      <c r="G34" s="2" t="s">
        <v>10</v>
      </c>
      <c r="H34" s="11">
        <v>40369</v>
      </c>
      <c r="I34" s="3">
        <f t="shared" si="0"/>
        <v>94.320000000000007</v>
      </c>
    </row>
    <row r="35" spans="1:9">
      <c r="A35" s="2" t="s">
        <v>283</v>
      </c>
      <c r="B35" s="11">
        <v>40364</v>
      </c>
      <c r="C35" s="2" t="s">
        <v>26</v>
      </c>
      <c r="D35" s="2" t="s">
        <v>72</v>
      </c>
      <c r="E35" s="53">
        <v>419</v>
      </c>
      <c r="F35" s="3">
        <v>12570</v>
      </c>
      <c r="G35" s="2" t="s">
        <v>10</v>
      </c>
      <c r="H35" s="11">
        <v>40369</v>
      </c>
      <c r="I35" s="3">
        <f t="shared" si="0"/>
        <v>83.800000000000011</v>
      </c>
    </row>
    <row r="36" spans="1:9">
      <c r="A36" s="2" t="s">
        <v>261</v>
      </c>
      <c r="B36" s="11">
        <v>40365</v>
      </c>
      <c r="C36" s="2" t="s">
        <v>11</v>
      </c>
      <c r="D36" s="2" t="s">
        <v>35</v>
      </c>
      <c r="E36" s="53">
        <f>113+92.22</f>
        <v>205.22</v>
      </c>
      <c r="F36" s="3">
        <v>7578</v>
      </c>
      <c r="G36" s="2" t="s">
        <v>10</v>
      </c>
      <c r="H36" s="11">
        <v>40371</v>
      </c>
      <c r="I36" s="3">
        <f t="shared" si="0"/>
        <v>41.044000000000004</v>
      </c>
    </row>
    <row r="37" spans="1:9">
      <c r="A37" s="2" t="s">
        <v>267</v>
      </c>
      <c r="B37" s="11">
        <v>40365</v>
      </c>
      <c r="C37" s="2" t="s">
        <v>268</v>
      </c>
      <c r="D37" s="2" t="s">
        <v>35</v>
      </c>
      <c r="E37" s="53">
        <v>230.72</v>
      </c>
      <c r="F37" s="3">
        <v>8883</v>
      </c>
      <c r="G37" s="2" t="s">
        <v>10</v>
      </c>
      <c r="H37" s="11">
        <v>40375</v>
      </c>
      <c r="I37" s="3">
        <f t="shared" si="0"/>
        <v>46.144000000000005</v>
      </c>
    </row>
    <row r="38" spans="1:9">
      <c r="A38" s="2" t="s">
        <v>300</v>
      </c>
      <c r="B38" s="11">
        <v>40366</v>
      </c>
      <c r="C38" s="2" t="s">
        <v>76</v>
      </c>
      <c r="D38" s="2" t="s">
        <v>82</v>
      </c>
      <c r="E38" s="53">
        <v>606.5</v>
      </c>
      <c r="F38" s="3">
        <v>11099</v>
      </c>
      <c r="G38" s="2" t="s">
        <v>10</v>
      </c>
      <c r="H38" s="11">
        <v>40383</v>
      </c>
      <c r="I38" s="3">
        <f t="shared" si="0"/>
        <v>121.30000000000001</v>
      </c>
    </row>
    <row r="39" spans="1:9">
      <c r="A39" s="2" t="s">
        <v>296</v>
      </c>
      <c r="B39" s="11">
        <v>40367</v>
      </c>
      <c r="C39" s="2" t="s">
        <v>83</v>
      </c>
      <c r="D39" s="2" t="s">
        <v>166</v>
      </c>
      <c r="E39" s="53">
        <v>2423.4</v>
      </c>
      <c r="F39" s="3">
        <v>76337.100000000006</v>
      </c>
      <c r="G39" s="2" t="s">
        <v>10</v>
      </c>
      <c r="H39" s="11">
        <v>40369</v>
      </c>
      <c r="I39" s="3">
        <f t="shared" si="0"/>
        <v>484.68000000000006</v>
      </c>
    </row>
    <row r="40" spans="1:9">
      <c r="A40" s="2" t="s">
        <v>318</v>
      </c>
      <c r="B40" s="11">
        <v>40367</v>
      </c>
      <c r="C40" s="2" t="s">
        <v>11</v>
      </c>
      <c r="D40" s="32" t="s">
        <v>1091</v>
      </c>
      <c r="E40" s="53">
        <v>272.2</v>
      </c>
      <c r="F40" s="3">
        <v>9566</v>
      </c>
      <c r="G40" s="2" t="s">
        <v>10</v>
      </c>
      <c r="H40" s="11">
        <v>40380</v>
      </c>
      <c r="I40" s="3">
        <f t="shared" si="0"/>
        <v>54.44</v>
      </c>
    </row>
    <row r="41" spans="1:9">
      <c r="A41" s="2" t="s">
        <v>1096</v>
      </c>
      <c r="B41" s="11">
        <v>40367</v>
      </c>
      <c r="C41" s="2" t="s">
        <v>11</v>
      </c>
      <c r="D41" s="2" t="s">
        <v>274</v>
      </c>
      <c r="E41" s="53">
        <f>922.45+906.12</f>
        <v>1828.5700000000002</v>
      </c>
      <c r="F41" s="3">
        <v>54308.5</v>
      </c>
      <c r="G41" s="2" t="s">
        <v>10</v>
      </c>
      <c r="H41" s="11">
        <v>40369</v>
      </c>
      <c r="I41" s="3">
        <f t="shared" si="0"/>
        <v>365.71400000000006</v>
      </c>
    </row>
    <row r="42" spans="1:9">
      <c r="A42" s="2" t="s">
        <v>278</v>
      </c>
      <c r="B42" s="11">
        <v>40367</v>
      </c>
      <c r="C42" s="2" t="s">
        <v>11</v>
      </c>
      <c r="D42" s="2" t="s">
        <v>35</v>
      </c>
      <c r="E42" s="53">
        <f>151+130.5</f>
        <v>281.5</v>
      </c>
      <c r="F42" s="3">
        <v>10611</v>
      </c>
      <c r="G42" s="2" t="s">
        <v>10</v>
      </c>
      <c r="H42" s="11">
        <v>40374</v>
      </c>
      <c r="I42" s="3">
        <f t="shared" si="0"/>
        <v>56.300000000000004</v>
      </c>
    </row>
    <row r="43" spans="1:9">
      <c r="A43" s="2" t="s">
        <v>270</v>
      </c>
      <c r="B43" s="11">
        <v>40367</v>
      </c>
      <c r="C43" s="2" t="s">
        <v>271</v>
      </c>
      <c r="D43" s="2" t="s">
        <v>72</v>
      </c>
      <c r="E43" s="53">
        <v>238</v>
      </c>
      <c r="F43" s="3">
        <v>7735</v>
      </c>
      <c r="G43" s="2" t="s">
        <v>10</v>
      </c>
      <c r="H43" s="11">
        <v>40371</v>
      </c>
      <c r="I43" s="3">
        <f t="shared" si="0"/>
        <v>47.6</v>
      </c>
    </row>
    <row r="44" spans="1:9">
      <c r="A44" s="2" t="s">
        <v>276</v>
      </c>
      <c r="B44" s="11">
        <v>40367</v>
      </c>
      <c r="C44" s="2" t="s">
        <v>11</v>
      </c>
      <c r="D44" s="2" t="s">
        <v>274</v>
      </c>
      <c r="E44" s="53">
        <f>155+221.5+54.44+20+27.22+163.32+83.5+80.6</f>
        <v>805.58</v>
      </c>
      <c r="F44" s="3">
        <v>26726</v>
      </c>
      <c r="G44" s="2" t="s">
        <v>10</v>
      </c>
      <c r="H44" s="11">
        <v>40376</v>
      </c>
      <c r="I44" s="3">
        <f t="shared" si="0"/>
        <v>161.11600000000001</v>
      </c>
    </row>
    <row r="45" spans="1:9">
      <c r="A45" s="2" t="s">
        <v>281</v>
      </c>
      <c r="B45" s="11">
        <v>40368</v>
      </c>
      <c r="C45" s="2" t="s">
        <v>11</v>
      </c>
      <c r="D45" s="2" t="s">
        <v>214</v>
      </c>
      <c r="E45" s="53">
        <f>42.58+146+100.9</f>
        <v>289.48</v>
      </c>
      <c r="F45" s="3">
        <v>10873</v>
      </c>
      <c r="G45" s="2" t="s">
        <v>10</v>
      </c>
      <c r="H45" s="11">
        <v>40364</v>
      </c>
      <c r="I45" s="3">
        <f t="shared" si="0"/>
        <v>57.896000000000008</v>
      </c>
    </row>
    <row r="46" spans="1:9">
      <c r="A46" s="2" t="s">
        <v>285</v>
      </c>
      <c r="B46" s="11">
        <v>40369</v>
      </c>
      <c r="C46" s="2" t="s">
        <v>286</v>
      </c>
      <c r="D46" s="2" t="s">
        <v>35</v>
      </c>
      <c r="E46" s="53">
        <v>165.5</v>
      </c>
      <c r="F46" s="3">
        <v>5792.5</v>
      </c>
      <c r="G46" s="2" t="s">
        <v>10</v>
      </c>
      <c r="H46" s="11">
        <v>40371</v>
      </c>
      <c r="I46" s="3">
        <f t="shared" si="0"/>
        <v>33.1</v>
      </c>
    </row>
    <row r="47" spans="1:9">
      <c r="A47" s="2" t="s">
        <v>301</v>
      </c>
      <c r="B47" s="11">
        <v>40369</v>
      </c>
      <c r="C47" s="2" t="s">
        <v>17</v>
      </c>
      <c r="D47" s="2" t="s">
        <v>82</v>
      </c>
      <c r="E47" s="53">
        <v>1022</v>
      </c>
      <c r="F47" s="3">
        <v>14308</v>
      </c>
      <c r="G47" s="2" t="s">
        <v>10</v>
      </c>
      <c r="H47" s="11">
        <v>40385</v>
      </c>
      <c r="I47" s="3">
        <f t="shared" si="0"/>
        <v>204.4</v>
      </c>
    </row>
    <row r="48" spans="1:9">
      <c r="A48" s="2" t="s">
        <v>263</v>
      </c>
      <c r="B48" s="11">
        <v>40369</v>
      </c>
      <c r="C48" s="2" t="s">
        <v>264</v>
      </c>
      <c r="D48" s="2" t="s">
        <v>265</v>
      </c>
      <c r="E48" s="53">
        <v>201.5</v>
      </c>
      <c r="F48" s="3">
        <v>7455</v>
      </c>
      <c r="G48" s="2" t="s">
        <v>10</v>
      </c>
      <c r="H48" s="11">
        <v>40371</v>
      </c>
      <c r="I48" s="3">
        <f t="shared" si="0"/>
        <v>40.300000000000004</v>
      </c>
    </row>
    <row r="49" spans="1:9">
      <c r="A49" s="2" t="s">
        <v>328</v>
      </c>
      <c r="B49" s="11">
        <v>40369</v>
      </c>
      <c r="C49" s="2" t="s">
        <v>11</v>
      </c>
      <c r="D49" s="2" t="s">
        <v>35</v>
      </c>
      <c r="E49" s="53">
        <f>130+285.5</f>
        <v>415.5</v>
      </c>
      <c r="F49" s="3">
        <v>15412</v>
      </c>
      <c r="G49" s="2" t="s">
        <v>10</v>
      </c>
      <c r="H49" s="11">
        <v>40383</v>
      </c>
      <c r="I49" s="3">
        <f t="shared" si="0"/>
        <v>83.100000000000009</v>
      </c>
    </row>
    <row r="50" spans="1:9">
      <c r="A50" s="2" t="s">
        <v>292</v>
      </c>
      <c r="B50" s="11">
        <v>40371</v>
      </c>
      <c r="C50" s="2" t="s">
        <v>11</v>
      </c>
      <c r="D50" s="54" t="s">
        <v>1092</v>
      </c>
      <c r="E50" s="53">
        <v>2363</v>
      </c>
      <c r="F50" s="3">
        <v>76234.080000000002</v>
      </c>
      <c r="G50" s="2" t="s">
        <v>65</v>
      </c>
      <c r="H50" s="11">
        <v>40373</v>
      </c>
      <c r="I50" s="3">
        <f t="shared" si="0"/>
        <v>472.6</v>
      </c>
    </row>
    <row r="51" spans="1:9">
      <c r="A51" s="2" t="s">
        <v>290</v>
      </c>
      <c r="B51" s="11">
        <v>40371</v>
      </c>
      <c r="C51" s="2" t="s">
        <v>11</v>
      </c>
      <c r="D51" s="2" t="s">
        <v>13</v>
      </c>
      <c r="E51" s="53">
        <f>54.44+47.5</f>
        <v>101.94</v>
      </c>
      <c r="F51" s="3">
        <v>2705.96</v>
      </c>
      <c r="G51" s="2" t="s">
        <v>65</v>
      </c>
      <c r="H51" s="11">
        <v>40373</v>
      </c>
      <c r="I51" s="3">
        <f t="shared" si="0"/>
        <v>20.388000000000002</v>
      </c>
    </row>
    <row r="52" spans="1:9">
      <c r="A52" s="2" t="s">
        <v>322</v>
      </c>
      <c r="B52" s="11">
        <v>40371</v>
      </c>
      <c r="C52" s="2" t="s">
        <v>11</v>
      </c>
      <c r="D52" s="2" t="s">
        <v>181</v>
      </c>
      <c r="E52" s="53">
        <f>481.9+272.2+148.2+948.9</f>
        <v>1851.1999999999998</v>
      </c>
      <c r="F52" s="3">
        <v>59782.98</v>
      </c>
      <c r="G52" s="2" t="s">
        <v>65</v>
      </c>
      <c r="H52" s="11">
        <v>40380</v>
      </c>
      <c r="I52" s="3">
        <f t="shared" si="0"/>
        <v>370.24</v>
      </c>
    </row>
    <row r="53" spans="1:9">
      <c r="A53" s="2" t="s">
        <v>289</v>
      </c>
      <c r="B53" s="11">
        <v>40371</v>
      </c>
      <c r="C53" s="2" t="s">
        <v>11</v>
      </c>
      <c r="D53" s="2" t="s">
        <v>1093</v>
      </c>
      <c r="E53" s="53">
        <v>122.45</v>
      </c>
      <c r="F53" s="3">
        <v>3786</v>
      </c>
      <c r="G53" s="2" t="s">
        <v>10</v>
      </c>
      <c r="H53" s="11">
        <v>40373</v>
      </c>
      <c r="I53" s="3">
        <f t="shared" si="0"/>
        <v>24.490000000000002</v>
      </c>
    </row>
    <row r="54" spans="1:9">
      <c r="A54" s="2" t="s">
        <v>269</v>
      </c>
      <c r="B54" s="11">
        <v>40371</v>
      </c>
      <c r="C54" s="2" t="s">
        <v>11</v>
      </c>
      <c r="D54" s="2" t="s">
        <v>214</v>
      </c>
      <c r="E54" s="53">
        <f>37.9+270.4</f>
        <v>308.29999999999995</v>
      </c>
      <c r="F54" s="3">
        <v>10677</v>
      </c>
      <c r="G54" s="2" t="s">
        <v>10</v>
      </c>
      <c r="H54" s="11">
        <v>40371</v>
      </c>
      <c r="I54" s="3">
        <f t="shared" si="0"/>
        <v>61.66</v>
      </c>
    </row>
    <row r="55" spans="1:9">
      <c r="A55" s="2" t="s">
        <v>333</v>
      </c>
      <c r="B55" s="11">
        <v>40371</v>
      </c>
      <c r="C55" s="2" t="s">
        <v>15</v>
      </c>
      <c r="D55" s="2" t="s">
        <v>35</v>
      </c>
      <c r="E55" s="53">
        <v>133</v>
      </c>
      <c r="F55" s="3">
        <v>4921</v>
      </c>
      <c r="G55" s="2" t="s">
        <v>10</v>
      </c>
      <c r="H55" s="11">
        <v>40380</v>
      </c>
      <c r="I55" s="3">
        <f t="shared" si="0"/>
        <v>26.6</v>
      </c>
    </row>
    <row r="56" spans="1:9">
      <c r="A56" s="2" t="s">
        <v>275</v>
      </c>
      <c r="B56" s="11">
        <v>40371</v>
      </c>
      <c r="C56" s="2" t="s">
        <v>271</v>
      </c>
      <c r="D56" s="2" t="s">
        <v>72</v>
      </c>
      <c r="E56" s="53">
        <v>215</v>
      </c>
      <c r="F56" s="3">
        <v>6987.5</v>
      </c>
      <c r="G56" s="2" t="s">
        <v>10</v>
      </c>
      <c r="H56" s="11">
        <v>40376</v>
      </c>
      <c r="I56" s="3">
        <f t="shared" si="0"/>
        <v>43</v>
      </c>
    </row>
    <row r="57" spans="1:9">
      <c r="A57" s="2" t="s">
        <v>273</v>
      </c>
      <c r="B57" s="11">
        <v>40371</v>
      </c>
      <c r="C57" s="2" t="s">
        <v>264</v>
      </c>
      <c r="D57" s="2" t="s">
        <v>274</v>
      </c>
      <c r="E57" s="53">
        <v>352</v>
      </c>
      <c r="F57" s="3">
        <v>12496</v>
      </c>
      <c r="G57" s="2" t="s">
        <v>10</v>
      </c>
      <c r="H57" s="11">
        <v>40373</v>
      </c>
      <c r="I57" s="3">
        <f t="shared" si="0"/>
        <v>70.400000000000006</v>
      </c>
    </row>
    <row r="58" spans="1:9">
      <c r="A58" s="2" t="s">
        <v>309</v>
      </c>
      <c r="B58" s="11">
        <v>40373</v>
      </c>
      <c r="C58" s="2" t="s">
        <v>11</v>
      </c>
      <c r="D58" s="2" t="s">
        <v>14</v>
      </c>
      <c r="E58" s="53">
        <f>917.01+54.4</f>
        <v>971.41</v>
      </c>
      <c r="F58" s="3">
        <v>30310.3</v>
      </c>
      <c r="G58" s="2" t="s">
        <v>10</v>
      </c>
      <c r="H58" s="11">
        <v>40387</v>
      </c>
      <c r="I58" s="3">
        <f t="shared" si="0"/>
        <v>194.28200000000001</v>
      </c>
    </row>
    <row r="59" spans="1:9">
      <c r="A59" s="2" t="s">
        <v>314</v>
      </c>
      <c r="B59" s="11">
        <v>40373</v>
      </c>
      <c r="C59" s="2" t="s">
        <v>83</v>
      </c>
      <c r="D59" s="2" t="s">
        <v>35</v>
      </c>
      <c r="E59" s="53">
        <v>263.89999999999998</v>
      </c>
      <c r="F59" s="3">
        <v>8313</v>
      </c>
      <c r="G59" s="2" t="s">
        <v>10</v>
      </c>
      <c r="H59" s="11">
        <v>40384</v>
      </c>
      <c r="I59" s="3">
        <f t="shared" si="0"/>
        <v>52.78</v>
      </c>
    </row>
    <row r="60" spans="1:9">
      <c r="A60" s="2" t="s">
        <v>288</v>
      </c>
      <c r="B60" s="11">
        <v>40374</v>
      </c>
      <c r="C60" s="2" t="s">
        <v>11</v>
      </c>
      <c r="D60" s="2" t="s">
        <v>166</v>
      </c>
      <c r="E60" s="53">
        <f>2191.5+181.7+136.1+81.66</f>
        <v>2590.9599999999996</v>
      </c>
      <c r="F60" s="3">
        <v>81264.53</v>
      </c>
      <c r="G60" s="2" t="s">
        <v>10</v>
      </c>
      <c r="H60" s="11">
        <v>40376</v>
      </c>
      <c r="I60" s="3">
        <f t="shared" si="0"/>
        <v>518.19199999999989</v>
      </c>
    </row>
    <row r="61" spans="1:9">
      <c r="A61" s="2" t="s">
        <v>337</v>
      </c>
      <c r="B61" s="11">
        <v>40374</v>
      </c>
      <c r="C61" s="2" t="s">
        <v>38</v>
      </c>
      <c r="D61" s="2" t="s">
        <v>332</v>
      </c>
      <c r="E61" s="53">
        <v>929</v>
      </c>
      <c r="F61" s="3">
        <v>28799</v>
      </c>
      <c r="G61" s="2" t="s">
        <v>10</v>
      </c>
      <c r="H61" s="11">
        <v>40378</v>
      </c>
      <c r="I61" s="3">
        <f t="shared" si="0"/>
        <v>185.8</v>
      </c>
    </row>
    <row r="62" spans="1:9">
      <c r="A62" s="2" t="s">
        <v>334</v>
      </c>
      <c r="B62" s="11">
        <v>40374</v>
      </c>
      <c r="C62" s="2" t="s">
        <v>11</v>
      </c>
      <c r="D62" s="2" t="s">
        <v>72</v>
      </c>
      <c r="E62" s="53">
        <f>223+75</f>
        <v>298</v>
      </c>
      <c r="F62" s="3">
        <v>8409</v>
      </c>
      <c r="G62" s="2" t="s">
        <v>10</v>
      </c>
      <c r="H62" s="11">
        <v>40380</v>
      </c>
      <c r="I62" s="3">
        <f t="shared" si="0"/>
        <v>59.6</v>
      </c>
    </row>
    <row r="63" spans="1:9">
      <c r="A63" s="2" t="s">
        <v>335</v>
      </c>
      <c r="B63" s="11">
        <v>40374</v>
      </c>
      <c r="C63" s="2" t="s">
        <v>11</v>
      </c>
      <c r="D63" s="2" t="s">
        <v>274</v>
      </c>
      <c r="E63" s="53">
        <f>231.5+103.5+37.4+87+349</f>
        <v>808.4</v>
      </c>
      <c r="F63" s="3">
        <v>28258</v>
      </c>
      <c r="G63" s="2" t="s">
        <v>10</v>
      </c>
      <c r="H63" s="11">
        <v>40380</v>
      </c>
      <c r="I63" s="3">
        <f t="shared" si="0"/>
        <v>161.68</v>
      </c>
    </row>
    <row r="64" spans="1:9">
      <c r="A64" s="2" t="s">
        <v>277</v>
      </c>
      <c r="B64" s="11">
        <v>40376</v>
      </c>
      <c r="C64" s="2" t="s">
        <v>11</v>
      </c>
      <c r="D64" s="2" t="s">
        <v>72</v>
      </c>
      <c r="E64" s="53">
        <f>894.4+78.5</f>
        <v>972.9</v>
      </c>
      <c r="F64" s="3">
        <v>29508</v>
      </c>
      <c r="G64" s="2" t="s">
        <v>10</v>
      </c>
      <c r="H64" s="11">
        <v>40376</v>
      </c>
      <c r="I64" s="3">
        <f t="shared" si="0"/>
        <v>194.58</v>
      </c>
    </row>
    <row r="65" spans="1:9">
      <c r="A65" s="2" t="s">
        <v>331</v>
      </c>
      <c r="B65" s="11">
        <v>40376</v>
      </c>
      <c r="C65" s="2" t="s">
        <v>38</v>
      </c>
      <c r="D65" s="2" t="s">
        <v>332</v>
      </c>
      <c r="E65" s="53">
        <v>936.7</v>
      </c>
      <c r="F65" s="3">
        <v>28101</v>
      </c>
      <c r="G65" s="2" t="s">
        <v>10</v>
      </c>
      <c r="H65" s="11">
        <v>40380</v>
      </c>
      <c r="I65" s="3">
        <f t="shared" si="0"/>
        <v>187.34000000000003</v>
      </c>
    </row>
    <row r="66" spans="1:9">
      <c r="A66" s="11" t="s">
        <v>338</v>
      </c>
      <c r="B66" s="11">
        <v>40376</v>
      </c>
      <c r="C66" s="2" t="s">
        <v>76</v>
      </c>
      <c r="D66" s="2" t="s">
        <v>339</v>
      </c>
      <c r="E66" s="53">
        <v>70</v>
      </c>
      <c r="F66" s="3">
        <v>1225</v>
      </c>
      <c r="G66" s="2" t="s">
        <v>10</v>
      </c>
      <c r="H66" s="11">
        <v>40378</v>
      </c>
      <c r="I66" s="3">
        <f t="shared" si="0"/>
        <v>14</v>
      </c>
    </row>
    <row r="67" spans="1:9">
      <c r="A67" s="2" t="s">
        <v>317</v>
      </c>
      <c r="B67" s="11">
        <v>40378</v>
      </c>
      <c r="C67" s="2" t="s">
        <v>83</v>
      </c>
      <c r="D67" s="2" t="s">
        <v>166</v>
      </c>
      <c r="E67" s="53">
        <v>2102.4</v>
      </c>
      <c r="F67" s="3">
        <v>66225.600000000006</v>
      </c>
      <c r="G67" s="2" t="s">
        <v>65</v>
      </c>
      <c r="H67" s="11">
        <v>40380</v>
      </c>
      <c r="I67" s="3">
        <f t="shared" si="0"/>
        <v>420.48</v>
      </c>
    </row>
    <row r="68" spans="1:9">
      <c r="A68" s="2" t="s">
        <v>311</v>
      </c>
      <c r="B68" s="11">
        <v>40378</v>
      </c>
      <c r="C68" s="2" t="s">
        <v>11</v>
      </c>
      <c r="D68" s="2" t="s">
        <v>181</v>
      </c>
      <c r="E68" s="53">
        <f>427.5+191.6+50+68.05+27.22+453+368.5</f>
        <v>1585.87</v>
      </c>
      <c r="F68" s="3">
        <v>38510.6</v>
      </c>
      <c r="G68" s="2" t="s">
        <v>65</v>
      </c>
      <c r="H68" s="11">
        <v>40387</v>
      </c>
      <c r="I68" s="3">
        <f t="shared" si="0"/>
        <v>317.17399999999998</v>
      </c>
    </row>
    <row r="69" spans="1:9">
      <c r="A69" s="2" t="s">
        <v>320</v>
      </c>
      <c r="B69" s="11">
        <v>40378</v>
      </c>
      <c r="C69" s="2" t="s">
        <v>11</v>
      </c>
      <c r="D69" s="2" t="s">
        <v>1094</v>
      </c>
      <c r="E69" s="53">
        <v>171</v>
      </c>
      <c r="F69" s="3">
        <v>4198</v>
      </c>
      <c r="G69" s="2" t="s">
        <v>10</v>
      </c>
      <c r="H69" s="11">
        <v>40380</v>
      </c>
      <c r="I69" s="3">
        <f t="shared" si="0"/>
        <v>34.200000000000003</v>
      </c>
    </row>
    <row r="70" spans="1:9">
      <c r="A70" s="2" t="s">
        <v>321</v>
      </c>
      <c r="B70" s="11">
        <v>40378</v>
      </c>
      <c r="C70" s="2" t="s">
        <v>11</v>
      </c>
      <c r="D70" s="2" t="s">
        <v>13</v>
      </c>
      <c r="E70" s="53">
        <f>217.76+54.44+45.5+381.08</f>
        <v>698.78</v>
      </c>
      <c r="F70" s="3">
        <v>13476.3</v>
      </c>
      <c r="G70" s="2" t="s">
        <v>65</v>
      </c>
      <c r="H70" s="11">
        <v>40380</v>
      </c>
      <c r="I70" s="3">
        <f t="shared" si="0"/>
        <v>139.756</v>
      </c>
    </row>
    <row r="71" spans="1:9">
      <c r="A71" s="2" t="s">
        <v>329</v>
      </c>
      <c r="B71" s="11">
        <v>40378</v>
      </c>
      <c r="C71" s="2" t="s">
        <v>11</v>
      </c>
      <c r="D71" s="2" t="s">
        <v>72</v>
      </c>
      <c r="E71" s="53">
        <f>222.5+924+1768.7</f>
        <v>2915.2</v>
      </c>
      <c r="F71" s="3">
        <v>90592</v>
      </c>
      <c r="G71" s="2" t="s">
        <v>10</v>
      </c>
      <c r="H71" s="11">
        <v>40383</v>
      </c>
      <c r="I71" s="3">
        <f t="shared" si="0"/>
        <v>583.04</v>
      </c>
    </row>
    <row r="72" spans="1:9">
      <c r="A72" s="2" t="s">
        <v>304</v>
      </c>
      <c r="B72" s="11">
        <v>40378</v>
      </c>
      <c r="C72" s="2" t="s">
        <v>11</v>
      </c>
      <c r="D72" s="2" t="s">
        <v>274</v>
      </c>
      <c r="E72" s="53">
        <f>189.8+106.7+169.5+88.9+73.8+45.9</f>
        <v>674.59999999999991</v>
      </c>
      <c r="F72" s="3">
        <v>22645</v>
      </c>
      <c r="G72" s="2" t="s">
        <v>10</v>
      </c>
      <c r="H72" s="11">
        <v>40383</v>
      </c>
      <c r="I72" s="3">
        <f t="shared" si="0"/>
        <v>134.91999999999999</v>
      </c>
    </row>
    <row r="73" spans="1:9">
      <c r="A73" s="2" t="s">
        <v>315</v>
      </c>
      <c r="B73" s="11">
        <v>40380</v>
      </c>
      <c r="C73" s="2" t="s">
        <v>38</v>
      </c>
      <c r="D73" s="2" t="s">
        <v>35</v>
      </c>
      <c r="E73" s="53">
        <v>957.82</v>
      </c>
      <c r="F73" s="3">
        <v>26819</v>
      </c>
      <c r="G73" s="2" t="s">
        <v>10</v>
      </c>
      <c r="H73" s="11">
        <v>40384</v>
      </c>
      <c r="I73" s="3">
        <f t="shared" si="0"/>
        <v>191.56400000000002</v>
      </c>
    </row>
    <row r="74" spans="1:9">
      <c r="A74" s="2" t="s">
        <v>326</v>
      </c>
      <c r="B74" s="11">
        <v>40380</v>
      </c>
      <c r="C74" s="2" t="s">
        <v>11</v>
      </c>
      <c r="D74" s="2" t="s">
        <v>327</v>
      </c>
      <c r="E74" s="53">
        <f>48.9+21.4</f>
        <v>70.3</v>
      </c>
      <c r="F74" s="3">
        <v>2696</v>
      </c>
      <c r="G74" s="2" t="s">
        <v>10</v>
      </c>
      <c r="H74" s="11">
        <v>40383</v>
      </c>
      <c r="I74" s="3">
        <f t="shared" si="0"/>
        <v>14.06</v>
      </c>
    </row>
    <row r="75" spans="1:9">
      <c r="A75" s="2" t="s">
        <v>325</v>
      </c>
      <c r="B75" s="11">
        <v>40380</v>
      </c>
      <c r="C75" s="2" t="s">
        <v>70</v>
      </c>
      <c r="D75" s="2" t="s">
        <v>214</v>
      </c>
      <c r="E75" s="53">
        <v>105.66</v>
      </c>
      <c r="F75" s="3">
        <v>2641.5</v>
      </c>
      <c r="G75" s="2" t="s">
        <v>10</v>
      </c>
      <c r="H75" s="11">
        <v>40383</v>
      </c>
      <c r="I75" s="3">
        <f t="shared" si="0"/>
        <v>21.132000000000001</v>
      </c>
    </row>
    <row r="76" spans="1:9">
      <c r="A76" s="2" t="s">
        <v>316</v>
      </c>
      <c r="B76" s="11">
        <v>40381</v>
      </c>
      <c r="C76" s="2" t="s">
        <v>83</v>
      </c>
      <c r="D76" s="2" t="s">
        <v>166</v>
      </c>
      <c r="E76" s="53">
        <v>1656.3</v>
      </c>
      <c r="F76" s="3">
        <v>52173.45</v>
      </c>
      <c r="G76" s="2" t="s">
        <v>65</v>
      </c>
      <c r="H76" s="11">
        <v>40383</v>
      </c>
      <c r="I76" s="3">
        <f t="shared" si="0"/>
        <v>331.26</v>
      </c>
    </row>
    <row r="77" spans="1:9">
      <c r="A77" s="2" t="s">
        <v>313</v>
      </c>
      <c r="B77" s="11">
        <v>40381</v>
      </c>
      <c r="C77" s="2" t="s">
        <v>83</v>
      </c>
      <c r="D77" s="2" t="s">
        <v>72</v>
      </c>
      <c r="E77" s="53">
        <v>1693.8</v>
      </c>
      <c r="F77" s="3">
        <v>53355</v>
      </c>
      <c r="G77" s="2" t="s">
        <v>10</v>
      </c>
      <c r="H77" s="11">
        <v>40387</v>
      </c>
      <c r="I77" s="3">
        <f t="shared" si="0"/>
        <v>338.76</v>
      </c>
    </row>
    <row r="78" spans="1:9">
      <c r="A78" s="2" t="s">
        <v>306</v>
      </c>
      <c r="B78" s="11">
        <v>40381</v>
      </c>
      <c r="C78" s="2" t="s">
        <v>11</v>
      </c>
      <c r="D78" s="2" t="s">
        <v>72</v>
      </c>
      <c r="E78" s="53">
        <f>193.5+160.9+27.22+77.1</f>
        <v>458.72</v>
      </c>
      <c r="F78" s="3">
        <v>16683</v>
      </c>
      <c r="G78" s="2" t="s">
        <v>10</v>
      </c>
      <c r="H78" s="11">
        <v>40383</v>
      </c>
      <c r="I78" s="3">
        <f t="shared" si="0"/>
        <v>91.744000000000014</v>
      </c>
    </row>
    <row r="79" spans="1:9">
      <c r="A79" s="2" t="s">
        <v>305</v>
      </c>
      <c r="B79" s="11">
        <v>40381</v>
      </c>
      <c r="C79" s="2" t="s">
        <v>76</v>
      </c>
      <c r="D79" s="2" t="s">
        <v>72</v>
      </c>
      <c r="E79" s="53">
        <v>163.5</v>
      </c>
      <c r="F79" s="3">
        <v>2861</v>
      </c>
      <c r="G79" s="2" t="s">
        <v>10</v>
      </c>
      <c r="H79" s="11">
        <v>40385</v>
      </c>
      <c r="I79" s="3">
        <f t="shared" si="0"/>
        <v>32.700000000000003</v>
      </c>
    </row>
    <row r="80" spans="1:9">
      <c r="A80" s="2" t="s">
        <v>298</v>
      </c>
      <c r="B80" s="11">
        <v>40383</v>
      </c>
      <c r="C80" s="2" t="s">
        <v>38</v>
      </c>
      <c r="D80" s="2" t="s">
        <v>299</v>
      </c>
      <c r="E80" s="53">
        <v>934.4</v>
      </c>
      <c r="F80" s="3">
        <v>27097.5</v>
      </c>
      <c r="G80" s="2" t="s">
        <v>10</v>
      </c>
      <c r="H80" s="11">
        <v>40390</v>
      </c>
      <c r="I80" s="3">
        <f t="shared" si="0"/>
        <v>186.88</v>
      </c>
    </row>
    <row r="81" spans="1:9">
      <c r="A81" s="2" t="s">
        <v>302</v>
      </c>
      <c r="B81" s="11">
        <v>40383</v>
      </c>
      <c r="C81" s="2" t="s">
        <v>303</v>
      </c>
      <c r="D81" s="2" t="s">
        <v>214</v>
      </c>
      <c r="E81" s="53">
        <v>172.2</v>
      </c>
      <c r="F81" s="3">
        <v>8265.5</v>
      </c>
      <c r="G81" s="2" t="s">
        <v>10</v>
      </c>
      <c r="H81" s="11">
        <v>40385</v>
      </c>
      <c r="I81" s="3">
        <f t="shared" si="0"/>
        <v>34.44</v>
      </c>
    </row>
    <row r="82" spans="1:9">
      <c r="A82" s="2" t="s">
        <v>310</v>
      </c>
      <c r="B82" s="11">
        <v>40385</v>
      </c>
      <c r="C82" s="2" t="s">
        <v>83</v>
      </c>
      <c r="D82" s="2" t="s">
        <v>166</v>
      </c>
      <c r="E82" s="53">
        <v>1953.6</v>
      </c>
      <c r="F82" s="3">
        <v>61538.400000000001</v>
      </c>
      <c r="G82" s="2" t="s">
        <v>65</v>
      </c>
      <c r="H82" s="11">
        <v>40387</v>
      </c>
      <c r="I82" s="3">
        <f t="shared" si="0"/>
        <v>390.72</v>
      </c>
    </row>
    <row r="83" spans="1:9">
      <c r="A83" s="2" t="s">
        <v>323</v>
      </c>
      <c r="B83" s="11">
        <v>40385</v>
      </c>
      <c r="C83" s="2" t="s">
        <v>78</v>
      </c>
      <c r="D83" s="2" t="s">
        <v>12</v>
      </c>
      <c r="E83" s="53">
        <f>4*5.44</f>
        <v>21.76</v>
      </c>
      <c r="F83" s="3">
        <v>1120</v>
      </c>
      <c r="G83" s="2" t="s">
        <v>10</v>
      </c>
      <c r="H83" s="11">
        <v>40387</v>
      </c>
      <c r="I83" s="3">
        <f t="shared" si="0"/>
        <v>4.3520000000000003</v>
      </c>
    </row>
    <row r="84" spans="1:9">
      <c r="A84" s="2" t="s">
        <v>324</v>
      </c>
      <c r="B84" s="11">
        <v>40385</v>
      </c>
      <c r="C84" s="2" t="s">
        <v>11</v>
      </c>
      <c r="D84" s="2" t="s">
        <v>13</v>
      </c>
      <c r="E84" s="53">
        <f>1170.46</f>
        <v>1170.46</v>
      </c>
      <c r="F84" s="3">
        <v>22402.06</v>
      </c>
      <c r="G84" s="2" t="s">
        <v>65</v>
      </c>
      <c r="H84" s="11">
        <v>40387</v>
      </c>
      <c r="I84" s="3">
        <f t="shared" si="0"/>
        <v>234.09200000000001</v>
      </c>
    </row>
    <row r="85" spans="1:9">
      <c r="A85" s="2" t="s">
        <v>312</v>
      </c>
      <c r="B85" s="11">
        <v>40385</v>
      </c>
      <c r="C85" s="2" t="s">
        <v>11</v>
      </c>
      <c r="D85" s="2" t="s">
        <v>274</v>
      </c>
      <c r="E85" s="53">
        <f>191+81.66+5.44*2+391.5</f>
        <v>675.04</v>
      </c>
      <c r="F85" s="3">
        <v>24050</v>
      </c>
      <c r="G85" s="2" t="s">
        <v>10</v>
      </c>
      <c r="H85" s="11">
        <v>40387</v>
      </c>
      <c r="I85" s="3">
        <f t="shared" si="0"/>
        <v>135.00800000000001</v>
      </c>
    </row>
    <row r="86" spans="1:9">
      <c r="A86" s="2" t="s">
        <v>308</v>
      </c>
      <c r="B86" s="11">
        <v>40388</v>
      </c>
      <c r="C86" s="2" t="s">
        <v>11</v>
      </c>
      <c r="D86" s="2" t="s">
        <v>166</v>
      </c>
      <c r="E86" s="53">
        <f>1726.9+217.76+131.5+107.14+20+27.22+437+218.2</f>
        <v>2885.7199999999993</v>
      </c>
      <c r="F86" s="3">
        <v>92954.43</v>
      </c>
      <c r="G86" s="2" t="s">
        <v>65</v>
      </c>
      <c r="H86" s="11">
        <v>40390</v>
      </c>
      <c r="I86" s="3">
        <f t="shared" si="0"/>
        <v>577.14399999999989</v>
      </c>
    </row>
    <row r="87" spans="1:9">
      <c r="A87" s="2" t="s">
        <v>307</v>
      </c>
      <c r="B87" s="11">
        <v>40388</v>
      </c>
      <c r="C87" s="2" t="s">
        <v>11</v>
      </c>
      <c r="D87" s="2" t="s">
        <v>72</v>
      </c>
      <c r="E87" s="53">
        <f>1340.7+176+195.5+97</f>
        <v>1809.2</v>
      </c>
      <c r="F87" s="3">
        <v>52819</v>
      </c>
      <c r="G87" s="2" t="s">
        <v>10</v>
      </c>
      <c r="H87" s="11">
        <v>40390</v>
      </c>
      <c r="I87" s="3">
        <f t="shared" si="0"/>
        <v>361.84000000000003</v>
      </c>
    </row>
    <row r="88" spans="1:9">
      <c r="A88" s="2" t="s">
        <v>1097</v>
      </c>
      <c r="B88" s="11">
        <v>40388</v>
      </c>
      <c r="C88" s="2" t="s">
        <v>11</v>
      </c>
      <c r="D88" s="2" t="s">
        <v>214</v>
      </c>
      <c r="E88" s="53">
        <f>77.5+51+289</f>
        <v>417.5</v>
      </c>
      <c r="F88" s="3">
        <v>17441.5</v>
      </c>
      <c r="G88" s="2" t="s">
        <v>10</v>
      </c>
      <c r="H88" s="11">
        <v>40388</v>
      </c>
      <c r="I88" s="3">
        <f t="shared" si="0"/>
        <v>83.5</v>
      </c>
    </row>
    <row r="89" spans="1:9">
      <c r="A89" s="2" t="s">
        <v>297</v>
      </c>
      <c r="B89" s="11">
        <v>40390</v>
      </c>
      <c r="C89" s="2" t="s">
        <v>70</v>
      </c>
      <c r="D89" s="2" t="s">
        <v>214</v>
      </c>
      <c r="E89" s="53">
        <v>39.94</v>
      </c>
      <c r="F89" s="3">
        <v>998.5</v>
      </c>
      <c r="G89" s="2" t="s">
        <v>10</v>
      </c>
      <c r="H89" s="11">
        <v>40390</v>
      </c>
      <c r="I89" s="3">
        <f t="shared" si="0"/>
        <v>7.9879999999999995</v>
      </c>
    </row>
    <row r="90" spans="1:9" ht="15.75">
      <c r="A90" s="1"/>
      <c r="B90" s="1"/>
      <c r="C90" s="1"/>
      <c r="D90" s="1"/>
      <c r="E90" s="52"/>
      <c r="F90" s="5"/>
      <c r="G90" s="5"/>
      <c r="H90" s="5"/>
      <c r="I90" s="3"/>
    </row>
    <row r="91" spans="1:9">
      <c r="I91" s="9"/>
    </row>
    <row r="92" spans="1:9" ht="15.75">
      <c r="E92" s="51">
        <f>SUM(E8:E91)</f>
        <v>65492.858000000015</v>
      </c>
      <c r="F92" s="5">
        <f>SUM(F8:F91)</f>
        <v>1946375.66</v>
      </c>
      <c r="G92" s="1"/>
      <c r="H92" s="15" t="s">
        <v>63</v>
      </c>
      <c r="I92" s="13">
        <f>SUM(I8:I91)</f>
        <v>13098.571600000001</v>
      </c>
    </row>
    <row r="97" spans="1:1">
      <c r="A97" s="18"/>
    </row>
  </sheetData>
  <mergeCells count="1">
    <mergeCell ref="E5:F5"/>
  </mergeCells>
  <phoneticPr fontId="2" type="noConversion"/>
  <pageMargins left="0.35" right="0.34" top="0.27" bottom="0.33" header="0" footer="0"/>
  <pageSetup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8"/>
  <sheetViews>
    <sheetView topLeftCell="C41" zoomScale="75" workbookViewId="0">
      <selection activeCell="L72" sqref="L72"/>
    </sheetView>
  </sheetViews>
  <sheetFormatPr baseColWidth="10" defaultRowHeight="15"/>
  <cols>
    <col min="1" max="1" width="13.140625" style="2" bestFit="1" customWidth="1"/>
    <col min="2" max="2" width="13.5703125" style="2" customWidth="1"/>
    <col min="3" max="3" width="23.28515625" style="2" customWidth="1"/>
    <col min="4" max="4" width="32.85546875" style="2" customWidth="1"/>
    <col min="5" max="5" width="14.140625" style="53" customWidth="1"/>
    <col min="6" max="6" width="17.5703125" style="3" customWidth="1"/>
    <col min="7" max="7" width="19.42578125" style="2" customWidth="1"/>
    <col min="8" max="8" width="18.85546875" style="2" customWidth="1"/>
    <col min="9" max="9" width="17.1406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1" t="s">
        <v>247</v>
      </c>
      <c r="E2" s="51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 ht="15.75">
      <c r="A5" s="1" t="s">
        <v>5</v>
      </c>
      <c r="B5" s="1" t="s">
        <v>0</v>
      </c>
      <c r="C5" s="1" t="s">
        <v>7</v>
      </c>
      <c r="D5" s="1" t="s">
        <v>9</v>
      </c>
      <c r="E5" s="122" t="s">
        <v>1</v>
      </c>
      <c r="F5" s="122"/>
      <c r="G5" s="10" t="s">
        <v>24</v>
      </c>
      <c r="H5" s="5" t="s">
        <v>3</v>
      </c>
      <c r="I5" s="1" t="s">
        <v>80</v>
      </c>
    </row>
    <row r="6" spans="1:9" ht="15.75">
      <c r="A6" s="1"/>
      <c r="B6" s="1"/>
      <c r="C6" s="1"/>
      <c r="D6" s="1"/>
      <c r="E6" s="52" t="s">
        <v>6</v>
      </c>
      <c r="F6" s="5" t="s">
        <v>2</v>
      </c>
      <c r="G6" s="5"/>
      <c r="H6" s="5" t="s">
        <v>4</v>
      </c>
      <c r="I6" s="5">
        <v>0.2</v>
      </c>
    </row>
    <row r="7" spans="1:9">
      <c r="A7" s="2" t="s">
        <v>388</v>
      </c>
      <c r="B7" s="11">
        <v>40346</v>
      </c>
      <c r="C7" s="2" t="s">
        <v>17</v>
      </c>
      <c r="D7" s="2" t="s">
        <v>360</v>
      </c>
      <c r="E7" s="64">
        <v>654.5</v>
      </c>
      <c r="F7" s="3">
        <v>9163</v>
      </c>
      <c r="G7" s="2" t="s">
        <v>10</v>
      </c>
      <c r="H7" s="11">
        <v>40401</v>
      </c>
      <c r="I7" s="3">
        <f t="shared" ref="I7:I30" si="0">$I$6*E7</f>
        <v>130.9</v>
      </c>
    </row>
    <row r="8" spans="1:9">
      <c r="A8" s="2" t="s">
        <v>359</v>
      </c>
      <c r="B8" s="11">
        <v>40364</v>
      </c>
      <c r="C8" s="2" t="s">
        <v>17</v>
      </c>
      <c r="D8" s="2" t="s">
        <v>360</v>
      </c>
      <c r="E8" s="64">
        <v>1876.5</v>
      </c>
      <c r="F8" s="3">
        <v>26271</v>
      </c>
      <c r="G8" s="2" t="s">
        <v>10</v>
      </c>
      <c r="H8" s="11">
        <v>40378</v>
      </c>
      <c r="I8" s="3">
        <f t="shared" si="0"/>
        <v>375.3</v>
      </c>
    </row>
    <row r="9" spans="1:9">
      <c r="A9" s="2" t="s">
        <v>382</v>
      </c>
      <c r="B9" s="11">
        <v>40374</v>
      </c>
      <c r="C9" s="2" t="s">
        <v>11</v>
      </c>
      <c r="D9" s="2" t="s">
        <v>1098</v>
      </c>
      <c r="E9" s="64">
        <v>1259.6400000000001</v>
      </c>
      <c r="F9" s="3">
        <v>40005.24</v>
      </c>
      <c r="G9" s="2" t="s">
        <v>10</v>
      </c>
      <c r="H9" s="11">
        <v>40401</v>
      </c>
      <c r="I9" s="3">
        <f t="shared" si="0"/>
        <v>251.92800000000003</v>
      </c>
    </row>
    <row r="10" spans="1:9">
      <c r="A10" s="2" t="s">
        <v>391</v>
      </c>
      <c r="B10" s="11">
        <v>40374</v>
      </c>
      <c r="C10" s="2" t="s">
        <v>392</v>
      </c>
      <c r="D10" s="2" t="s">
        <v>25</v>
      </c>
      <c r="E10" s="64">
        <v>272.2</v>
      </c>
      <c r="F10" s="3">
        <v>5171.8</v>
      </c>
      <c r="G10" s="2" t="s">
        <v>10</v>
      </c>
      <c r="H10" s="11">
        <v>40397</v>
      </c>
      <c r="I10" s="3">
        <f t="shared" si="0"/>
        <v>54.44</v>
      </c>
    </row>
    <row r="11" spans="1:9">
      <c r="A11" s="2" t="s">
        <v>363</v>
      </c>
      <c r="B11" s="11">
        <v>40376</v>
      </c>
      <c r="C11" s="2" t="s">
        <v>79</v>
      </c>
      <c r="D11" s="2" t="s">
        <v>360</v>
      </c>
      <c r="E11" s="64">
        <v>691.5</v>
      </c>
      <c r="F11" s="3">
        <v>12101</v>
      </c>
      <c r="G11" s="2" t="s">
        <v>10</v>
      </c>
      <c r="H11" s="11">
        <v>40394</v>
      </c>
      <c r="I11" s="3">
        <f t="shared" si="0"/>
        <v>138.30000000000001</v>
      </c>
    </row>
    <row r="12" spans="1:9">
      <c r="A12" s="2" t="s">
        <v>363</v>
      </c>
      <c r="B12" s="11">
        <v>40376</v>
      </c>
      <c r="C12" s="2" t="s">
        <v>79</v>
      </c>
      <c r="D12" s="2" t="s">
        <v>360</v>
      </c>
      <c r="E12" s="64">
        <v>691.5</v>
      </c>
      <c r="F12" s="3">
        <v>12101</v>
      </c>
      <c r="G12" s="2" t="s">
        <v>10</v>
      </c>
      <c r="H12" s="11">
        <v>40416</v>
      </c>
      <c r="I12" s="3">
        <f t="shared" si="0"/>
        <v>138.30000000000001</v>
      </c>
    </row>
    <row r="13" spans="1:9">
      <c r="A13" s="2" t="s">
        <v>418</v>
      </c>
      <c r="B13" s="11">
        <v>40378</v>
      </c>
      <c r="C13" s="2" t="s">
        <v>17</v>
      </c>
      <c r="D13" s="2" t="s">
        <v>360</v>
      </c>
      <c r="E13" s="64">
        <v>1032</v>
      </c>
      <c r="F13" s="3">
        <v>14448</v>
      </c>
      <c r="G13" s="2" t="s">
        <v>10</v>
      </c>
      <c r="H13" s="11"/>
      <c r="I13" s="3">
        <f t="shared" si="0"/>
        <v>206.4</v>
      </c>
    </row>
    <row r="14" spans="1:9">
      <c r="A14" s="2" t="s">
        <v>373</v>
      </c>
      <c r="B14" s="11">
        <v>40381</v>
      </c>
      <c r="C14" s="2" t="s">
        <v>375</v>
      </c>
      <c r="D14" s="2" t="s">
        <v>374</v>
      </c>
      <c r="E14" s="64">
        <v>416.4</v>
      </c>
      <c r="F14" s="3">
        <v>13530</v>
      </c>
      <c r="G14" s="2" t="s">
        <v>10</v>
      </c>
      <c r="H14" s="11">
        <v>40399</v>
      </c>
      <c r="I14" s="3">
        <f t="shared" si="0"/>
        <v>83.28</v>
      </c>
    </row>
    <row r="15" spans="1:9">
      <c r="A15" s="2" t="s">
        <v>377</v>
      </c>
      <c r="B15" s="11">
        <v>40381</v>
      </c>
      <c r="C15" s="2" t="s">
        <v>11</v>
      </c>
      <c r="D15" s="2" t="s">
        <v>274</v>
      </c>
      <c r="E15" s="64">
        <f>125.8+214+217.76+54.44+455</f>
        <v>1067</v>
      </c>
      <c r="F15" s="3">
        <v>36360.5</v>
      </c>
      <c r="G15" s="2" t="s">
        <v>10</v>
      </c>
      <c r="H15" s="11">
        <v>40401</v>
      </c>
      <c r="I15" s="3">
        <f t="shared" si="0"/>
        <v>213.4</v>
      </c>
    </row>
    <row r="16" spans="1:9">
      <c r="A16" s="2" t="s">
        <v>368</v>
      </c>
      <c r="B16" s="11">
        <v>40383</v>
      </c>
      <c r="C16" s="2" t="s">
        <v>356</v>
      </c>
      <c r="D16" s="2" t="s">
        <v>27</v>
      </c>
      <c r="E16" s="64">
        <v>358.5</v>
      </c>
      <c r="F16" s="3">
        <v>11293</v>
      </c>
      <c r="G16" s="2" t="s">
        <v>10</v>
      </c>
      <c r="H16" s="11">
        <v>40395</v>
      </c>
      <c r="I16" s="3">
        <f t="shared" si="0"/>
        <v>71.7</v>
      </c>
    </row>
    <row r="17" spans="1:9">
      <c r="A17" s="2" t="s">
        <v>361</v>
      </c>
      <c r="B17" s="11">
        <v>40385</v>
      </c>
      <c r="C17" s="2" t="s">
        <v>11</v>
      </c>
      <c r="D17" s="2" t="s">
        <v>56</v>
      </c>
      <c r="E17" s="64">
        <f>649.5+1317.5</f>
        <v>1967</v>
      </c>
      <c r="F17" s="3">
        <v>29486</v>
      </c>
      <c r="G17" s="2" t="s">
        <v>10</v>
      </c>
      <c r="H17" s="11">
        <v>40394</v>
      </c>
      <c r="I17" s="3">
        <f t="shared" si="0"/>
        <v>393.40000000000003</v>
      </c>
    </row>
    <row r="18" spans="1:9">
      <c r="A18" s="2" t="s">
        <v>362</v>
      </c>
      <c r="B18" s="11">
        <v>40385</v>
      </c>
      <c r="C18" s="2" t="s">
        <v>11</v>
      </c>
      <c r="D18" s="2" t="s">
        <v>32</v>
      </c>
      <c r="E18" s="64">
        <f>1227.4+104+918.5+146.9</f>
        <v>2396.8000000000002</v>
      </c>
      <c r="F18" s="3">
        <v>75232</v>
      </c>
      <c r="G18" s="2" t="s">
        <v>10</v>
      </c>
      <c r="H18" s="11">
        <v>40394</v>
      </c>
      <c r="I18" s="3">
        <f t="shared" si="0"/>
        <v>479.36000000000007</v>
      </c>
    </row>
    <row r="19" spans="1:9">
      <c r="A19" s="2" t="s">
        <v>380</v>
      </c>
      <c r="B19" s="11">
        <v>40385</v>
      </c>
      <c r="C19" s="2" t="s">
        <v>11</v>
      </c>
      <c r="D19" s="2" t="s">
        <v>1099</v>
      </c>
      <c r="E19" s="64">
        <v>411.78</v>
      </c>
      <c r="F19" s="3">
        <v>11397.54</v>
      </c>
      <c r="G19" s="2" t="s">
        <v>10</v>
      </c>
      <c r="H19" s="11">
        <v>40401</v>
      </c>
      <c r="I19" s="3">
        <f t="shared" si="0"/>
        <v>82.355999999999995</v>
      </c>
    </row>
    <row r="20" spans="1:9">
      <c r="A20" s="2" t="s">
        <v>384</v>
      </c>
      <c r="B20" s="11">
        <v>40385</v>
      </c>
      <c r="C20" s="2" t="s">
        <v>11</v>
      </c>
      <c r="D20" s="2" t="s">
        <v>181</v>
      </c>
      <c r="E20" s="64">
        <f>816.6+272.2+98.3+367.5+40.83+40.83</f>
        <v>1636.2599999999998</v>
      </c>
      <c r="F20" s="3">
        <v>36936.65</v>
      </c>
      <c r="G20" s="2" t="s">
        <v>10</v>
      </c>
      <c r="H20" s="11">
        <v>40401</v>
      </c>
      <c r="I20" s="3">
        <f t="shared" si="0"/>
        <v>327.25199999999995</v>
      </c>
    </row>
    <row r="21" spans="1:9">
      <c r="A21" s="2" t="s">
        <v>369</v>
      </c>
      <c r="B21" s="11">
        <v>40387</v>
      </c>
      <c r="C21" s="2" t="s">
        <v>347</v>
      </c>
      <c r="D21" s="2" t="s">
        <v>299</v>
      </c>
      <c r="E21" s="64">
        <v>926.98</v>
      </c>
      <c r="F21" s="3">
        <v>26882.5</v>
      </c>
      <c r="G21" s="2" t="s">
        <v>10</v>
      </c>
      <c r="H21" s="11">
        <v>40395</v>
      </c>
      <c r="I21" s="3">
        <f t="shared" si="0"/>
        <v>185.39600000000002</v>
      </c>
    </row>
    <row r="22" spans="1:9">
      <c r="A22" s="2" t="s">
        <v>414</v>
      </c>
      <c r="B22" s="11">
        <v>40388</v>
      </c>
      <c r="C22" s="2" t="s">
        <v>28</v>
      </c>
      <c r="D22" s="2" t="s">
        <v>25</v>
      </c>
      <c r="E22" s="64">
        <v>54.4</v>
      </c>
      <c r="F22" s="3">
        <v>2800</v>
      </c>
      <c r="G22" s="2" t="s">
        <v>10</v>
      </c>
      <c r="H22" s="11"/>
      <c r="I22" s="3">
        <f t="shared" si="0"/>
        <v>10.88</v>
      </c>
    </row>
    <row r="23" spans="1:9">
      <c r="A23" s="2" t="s">
        <v>370</v>
      </c>
      <c r="B23" s="11">
        <v>40389</v>
      </c>
      <c r="C23" s="2" t="s">
        <v>11</v>
      </c>
      <c r="D23" s="2" t="s">
        <v>27</v>
      </c>
      <c r="E23" s="64">
        <f>155.06+88.4</f>
        <v>243.46</v>
      </c>
      <c r="F23" s="3">
        <v>9065</v>
      </c>
      <c r="G23" s="2" t="s">
        <v>10</v>
      </c>
      <c r="H23" s="11">
        <v>40397</v>
      </c>
      <c r="I23" s="3">
        <f t="shared" si="0"/>
        <v>48.692000000000007</v>
      </c>
    </row>
    <row r="24" spans="1:9">
      <c r="A24" s="2" t="s">
        <v>364</v>
      </c>
      <c r="B24" s="11">
        <v>40390</v>
      </c>
      <c r="C24" s="2" t="s">
        <v>17</v>
      </c>
      <c r="D24" s="2" t="s">
        <v>339</v>
      </c>
      <c r="E24" s="64">
        <v>415.5</v>
      </c>
      <c r="F24" s="3">
        <v>5817</v>
      </c>
      <c r="G24" s="2" t="s">
        <v>10</v>
      </c>
      <c r="H24" s="11">
        <v>40394</v>
      </c>
      <c r="I24" s="3">
        <f t="shared" si="0"/>
        <v>83.100000000000009</v>
      </c>
    </row>
    <row r="25" spans="1:9">
      <c r="A25" s="2" t="s">
        <v>417</v>
      </c>
      <c r="B25" s="11">
        <v>40390</v>
      </c>
      <c r="C25" s="2" t="s">
        <v>17</v>
      </c>
      <c r="D25" s="2" t="s">
        <v>360</v>
      </c>
      <c r="E25" s="64">
        <v>761.5</v>
      </c>
      <c r="F25" s="3">
        <v>10661</v>
      </c>
      <c r="G25" s="2" t="s">
        <v>10</v>
      </c>
      <c r="H25" s="11"/>
      <c r="I25" s="3">
        <f t="shared" si="0"/>
        <v>152.30000000000001</v>
      </c>
    </row>
    <row r="26" spans="1:9">
      <c r="A26" s="2" t="s">
        <v>348</v>
      </c>
      <c r="B26" s="11">
        <v>40392</v>
      </c>
      <c r="C26" s="11" t="s">
        <v>349</v>
      </c>
      <c r="D26" s="11" t="s">
        <v>374</v>
      </c>
      <c r="E26" s="64">
        <v>317.39999999999998</v>
      </c>
      <c r="F26" s="3">
        <v>10315</v>
      </c>
      <c r="G26" s="3" t="s">
        <v>10</v>
      </c>
      <c r="H26" s="4">
        <v>40411</v>
      </c>
      <c r="I26" s="3">
        <f t="shared" si="0"/>
        <v>63.48</v>
      </c>
    </row>
    <row r="27" spans="1:9">
      <c r="A27" s="2" t="s">
        <v>365</v>
      </c>
      <c r="B27" s="11">
        <v>40392</v>
      </c>
      <c r="C27" s="2" t="s">
        <v>11</v>
      </c>
      <c r="D27" s="2" t="s">
        <v>12</v>
      </c>
      <c r="E27" s="64">
        <f>21.76+112</f>
        <v>133.76</v>
      </c>
      <c r="F27" s="3">
        <v>3136</v>
      </c>
      <c r="G27" s="2" t="s">
        <v>10</v>
      </c>
      <c r="H27" s="11">
        <v>40394</v>
      </c>
      <c r="I27" s="3">
        <f t="shared" si="0"/>
        <v>26.751999999999999</v>
      </c>
    </row>
    <row r="28" spans="1:9">
      <c r="A28" s="2" t="s">
        <v>366</v>
      </c>
      <c r="B28" s="11">
        <v>40392</v>
      </c>
      <c r="C28" s="2" t="s">
        <v>11</v>
      </c>
      <c r="D28" s="2" t="s">
        <v>357</v>
      </c>
      <c r="E28" s="64">
        <f>444.5+2247.5+182+160+136.1+30+27.22+50.5</f>
        <v>3277.8199999999997</v>
      </c>
      <c r="F28" s="3">
        <v>106880.19</v>
      </c>
      <c r="G28" s="2" t="s">
        <v>10</v>
      </c>
      <c r="H28" s="11">
        <v>40394</v>
      </c>
      <c r="I28" s="3">
        <f t="shared" si="0"/>
        <v>655.56399999999996</v>
      </c>
    </row>
    <row r="29" spans="1:9">
      <c r="A29" s="2" t="s">
        <v>367</v>
      </c>
      <c r="B29" s="11">
        <v>40392</v>
      </c>
      <c r="C29" s="2" t="s">
        <v>11</v>
      </c>
      <c r="D29" s="2" t="s">
        <v>13</v>
      </c>
      <c r="E29" s="64">
        <f>54.44+26+1524.32</f>
        <v>1604.76</v>
      </c>
      <c r="F29" s="3">
        <v>28232.400000000001</v>
      </c>
      <c r="G29" s="2" t="s">
        <v>10</v>
      </c>
      <c r="H29" s="11">
        <v>40394</v>
      </c>
      <c r="I29" s="3">
        <f t="shared" si="0"/>
        <v>320.952</v>
      </c>
    </row>
    <row r="30" spans="1:9">
      <c r="A30" s="2" t="s">
        <v>381</v>
      </c>
      <c r="B30" s="11">
        <v>40392</v>
      </c>
      <c r="C30" s="2" t="s">
        <v>11</v>
      </c>
      <c r="D30" s="2" t="s">
        <v>181</v>
      </c>
      <c r="E30" s="64">
        <f>257.5+215+20+27.22+217.76+544.4+113.4</f>
        <v>1395.2800000000002</v>
      </c>
      <c r="F30" s="3">
        <v>35932.269999999997</v>
      </c>
      <c r="G30" s="2" t="s">
        <v>10</v>
      </c>
      <c r="H30" s="11">
        <v>40766</v>
      </c>
      <c r="I30" s="3">
        <f t="shared" si="0"/>
        <v>279.05600000000004</v>
      </c>
    </row>
    <row r="31" spans="1:9">
      <c r="A31" s="2" t="s">
        <v>387</v>
      </c>
      <c r="B31" s="11">
        <v>40392</v>
      </c>
      <c r="C31" s="2" t="s">
        <v>11</v>
      </c>
      <c r="D31" s="2" t="s">
        <v>32</v>
      </c>
      <c r="E31" s="64">
        <f>1298+917.62+209.8+97.5</f>
        <v>2522.92</v>
      </c>
      <c r="F31" s="3">
        <v>79338</v>
      </c>
      <c r="G31" s="2" t="s">
        <v>10</v>
      </c>
      <c r="H31" s="11">
        <v>40401</v>
      </c>
      <c r="I31" s="3">
        <f t="shared" ref="I31:I72" si="1">$I$6*E31</f>
        <v>504.58400000000006</v>
      </c>
    </row>
    <row r="32" spans="1:9">
      <c r="A32" s="2" t="s">
        <v>344</v>
      </c>
      <c r="B32" s="11">
        <v>40394</v>
      </c>
      <c r="C32" s="2" t="s">
        <v>15</v>
      </c>
      <c r="D32" s="2" t="s">
        <v>27</v>
      </c>
      <c r="E32" s="64">
        <v>146.5</v>
      </c>
      <c r="F32" s="3">
        <v>5420.5</v>
      </c>
      <c r="G32" s="2" t="s">
        <v>10</v>
      </c>
      <c r="H32" s="11">
        <v>40411</v>
      </c>
      <c r="I32" s="3">
        <f t="shared" si="1"/>
        <v>29.3</v>
      </c>
    </row>
    <row r="33" spans="1:9">
      <c r="A33" s="2" t="s">
        <v>371</v>
      </c>
      <c r="B33" s="11">
        <v>40394</v>
      </c>
      <c r="C33" s="2" t="s">
        <v>347</v>
      </c>
      <c r="D33" s="2" t="s">
        <v>299</v>
      </c>
      <c r="E33" s="64">
        <v>919.4</v>
      </c>
      <c r="F33" s="3">
        <v>27122</v>
      </c>
      <c r="G33" s="2" t="s">
        <v>10</v>
      </c>
      <c r="H33" s="11">
        <v>40399</v>
      </c>
      <c r="I33" s="3">
        <f t="shared" si="1"/>
        <v>183.88</v>
      </c>
    </row>
    <row r="34" spans="1:9">
      <c r="A34" s="2" t="s">
        <v>372</v>
      </c>
      <c r="B34" s="11">
        <v>40395</v>
      </c>
      <c r="C34" s="2" t="s">
        <v>11</v>
      </c>
      <c r="D34" s="2" t="s">
        <v>32</v>
      </c>
      <c r="E34" s="64">
        <f>94+97+58.5+71.5+10</f>
        <v>331</v>
      </c>
      <c r="F34" s="3">
        <v>8879</v>
      </c>
      <c r="G34" s="2" t="s">
        <v>10</v>
      </c>
      <c r="H34" s="11">
        <v>40399</v>
      </c>
      <c r="I34" s="3">
        <f t="shared" si="1"/>
        <v>66.2</v>
      </c>
    </row>
    <row r="35" spans="1:9">
      <c r="A35" s="2" t="s">
        <v>376</v>
      </c>
      <c r="B35" s="11">
        <v>40395</v>
      </c>
      <c r="C35" s="2" t="s">
        <v>17</v>
      </c>
      <c r="D35" s="2" t="s">
        <v>339</v>
      </c>
      <c r="E35" s="64">
        <v>291</v>
      </c>
      <c r="F35" s="3">
        <v>4074</v>
      </c>
      <c r="G35" s="2" t="s">
        <v>10</v>
      </c>
      <c r="H35" s="11">
        <v>40401</v>
      </c>
      <c r="I35" s="3">
        <f t="shared" si="1"/>
        <v>58.2</v>
      </c>
    </row>
    <row r="36" spans="1:9">
      <c r="A36" s="2" t="s">
        <v>389</v>
      </c>
      <c r="B36" s="11">
        <v>40395</v>
      </c>
      <c r="C36" s="2" t="s">
        <v>390</v>
      </c>
      <c r="D36" s="2" t="s">
        <v>357</v>
      </c>
      <c r="E36" s="64">
        <v>2209.1</v>
      </c>
      <c r="F36" s="3">
        <v>69586.649999999994</v>
      </c>
      <c r="G36" s="2" t="s">
        <v>10</v>
      </c>
      <c r="H36" s="11">
        <v>40396</v>
      </c>
      <c r="I36" s="3">
        <f t="shared" si="1"/>
        <v>441.82</v>
      </c>
    </row>
    <row r="37" spans="1:9">
      <c r="A37" s="2" t="s">
        <v>393</v>
      </c>
      <c r="B37" s="11">
        <v>40395</v>
      </c>
      <c r="C37" s="2" t="s">
        <v>11</v>
      </c>
      <c r="D37" s="2" t="s">
        <v>274</v>
      </c>
      <c r="E37" s="64">
        <f>151.5+509+171+40+136.1+16.32+930.8</f>
        <v>1954.72</v>
      </c>
      <c r="F37" s="3">
        <v>64582</v>
      </c>
      <c r="G37" s="2" t="s">
        <v>10</v>
      </c>
      <c r="H37" s="11" t="s">
        <v>8</v>
      </c>
      <c r="I37" s="3">
        <f t="shared" si="1"/>
        <v>390.94400000000002</v>
      </c>
    </row>
    <row r="38" spans="1:9">
      <c r="A38" s="2" t="s">
        <v>405</v>
      </c>
      <c r="B38" s="11">
        <v>40395</v>
      </c>
      <c r="C38" s="2" t="s">
        <v>15</v>
      </c>
      <c r="D38" s="2" t="s">
        <v>27</v>
      </c>
      <c r="E38" s="64">
        <v>133.5</v>
      </c>
      <c r="F38" s="3">
        <v>4939.5</v>
      </c>
      <c r="G38" s="2" t="s">
        <v>10</v>
      </c>
      <c r="H38" s="11"/>
      <c r="I38" s="3">
        <f t="shared" si="1"/>
        <v>26.700000000000003</v>
      </c>
    </row>
    <row r="39" spans="1:9">
      <c r="A39" s="2" t="s">
        <v>343</v>
      </c>
      <c r="B39" s="11">
        <v>40397</v>
      </c>
      <c r="C39" s="2" t="s">
        <v>203</v>
      </c>
      <c r="D39" s="2" t="s">
        <v>27</v>
      </c>
      <c r="E39" s="64">
        <v>294</v>
      </c>
      <c r="F39" s="3">
        <v>11319</v>
      </c>
      <c r="G39" s="2" t="s">
        <v>10</v>
      </c>
      <c r="H39" s="11">
        <v>40411</v>
      </c>
      <c r="I39" s="3">
        <f t="shared" si="1"/>
        <v>58.800000000000004</v>
      </c>
    </row>
    <row r="40" spans="1:9">
      <c r="A40" s="11" t="s">
        <v>350</v>
      </c>
      <c r="B40" s="11">
        <v>40399</v>
      </c>
      <c r="C40" s="2" t="s">
        <v>17</v>
      </c>
      <c r="D40" s="2" t="s">
        <v>339</v>
      </c>
      <c r="E40" s="64">
        <v>293</v>
      </c>
      <c r="F40" s="3">
        <v>4102</v>
      </c>
      <c r="G40" s="2" t="s">
        <v>10</v>
      </c>
      <c r="H40" s="11">
        <v>40411</v>
      </c>
      <c r="I40" s="3">
        <f t="shared" si="1"/>
        <v>58.6</v>
      </c>
    </row>
    <row r="41" spans="1:9">
      <c r="A41" s="2" t="s">
        <v>351</v>
      </c>
      <c r="B41" s="11">
        <v>40399</v>
      </c>
      <c r="C41" s="2" t="s">
        <v>11</v>
      </c>
      <c r="D41" s="2" t="s">
        <v>32</v>
      </c>
      <c r="E41" s="64">
        <f>935.3+197+203+1204.4</f>
        <v>2539.6999999999998</v>
      </c>
      <c r="F41" s="3">
        <v>81040.5</v>
      </c>
      <c r="G41" s="2" t="s">
        <v>10</v>
      </c>
      <c r="H41" s="11">
        <v>40411</v>
      </c>
      <c r="I41" s="3">
        <f t="shared" si="1"/>
        <v>507.94</v>
      </c>
    </row>
    <row r="42" spans="1:9">
      <c r="A42" s="2" t="s">
        <v>378</v>
      </c>
      <c r="B42" s="11">
        <v>40399</v>
      </c>
      <c r="C42" s="2" t="s">
        <v>26</v>
      </c>
      <c r="D42" s="2" t="s">
        <v>374</v>
      </c>
      <c r="E42" s="64">
        <v>290</v>
      </c>
      <c r="F42" s="3">
        <v>8990</v>
      </c>
      <c r="G42" s="2" t="s">
        <v>10</v>
      </c>
      <c r="H42" s="11">
        <v>40401</v>
      </c>
      <c r="I42" s="3">
        <f t="shared" si="1"/>
        <v>58</v>
      </c>
    </row>
    <row r="43" spans="1:9">
      <c r="A43" s="2" t="s">
        <v>379</v>
      </c>
      <c r="B43" s="11">
        <v>40399</v>
      </c>
      <c r="C43" s="2" t="s">
        <v>11</v>
      </c>
      <c r="D43" s="2" t="s">
        <v>12</v>
      </c>
      <c r="E43" s="64">
        <f>16.32+105.5</f>
        <v>121.82</v>
      </c>
      <c r="F43" s="3">
        <v>2686.25</v>
      </c>
      <c r="G43" s="2" t="s">
        <v>10</v>
      </c>
      <c r="H43" s="11">
        <v>40401</v>
      </c>
      <c r="I43" s="3">
        <f t="shared" si="1"/>
        <v>24.364000000000001</v>
      </c>
    </row>
    <row r="44" spans="1:9">
      <c r="A44" s="2" t="s">
        <v>383</v>
      </c>
      <c r="B44" s="11">
        <v>40399</v>
      </c>
      <c r="C44" s="2" t="s">
        <v>11</v>
      </c>
      <c r="D44" s="2" t="s">
        <v>356</v>
      </c>
      <c r="E44" s="64">
        <v>1982.6</v>
      </c>
      <c r="F44" s="3">
        <v>62451.9</v>
      </c>
      <c r="G44" s="2" t="s">
        <v>10</v>
      </c>
      <c r="H44" s="11">
        <v>40401</v>
      </c>
      <c r="I44" s="3">
        <f t="shared" si="1"/>
        <v>396.52</v>
      </c>
    </row>
    <row r="45" spans="1:9">
      <c r="A45" s="2" t="s">
        <v>398</v>
      </c>
      <c r="B45" s="11">
        <v>40399</v>
      </c>
      <c r="C45" s="2" t="s">
        <v>11</v>
      </c>
      <c r="D45" s="2" t="s">
        <v>274</v>
      </c>
      <c r="E45" s="64">
        <f>100.5+172.5+239+136.1</f>
        <v>648.1</v>
      </c>
      <c r="F45" s="3">
        <v>22941</v>
      </c>
      <c r="G45" s="2" t="s">
        <v>10</v>
      </c>
      <c r="H45" s="11">
        <v>40411</v>
      </c>
      <c r="I45" s="3">
        <f t="shared" si="1"/>
        <v>129.62</v>
      </c>
    </row>
    <row r="46" spans="1:9">
      <c r="A46" s="2" t="s">
        <v>402</v>
      </c>
      <c r="B46" s="11">
        <v>40399</v>
      </c>
      <c r="C46" s="2" t="s">
        <v>11</v>
      </c>
      <c r="D46" s="2" t="s">
        <v>181</v>
      </c>
      <c r="E46" s="64">
        <f>40.83+30+459+544+245.5</f>
        <v>1319.33</v>
      </c>
      <c r="F46" s="3">
        <v>30433.78</v>
      </c>
      <c r="G46" s="2" t="s">
        <v>10</v>
      </c>
      <c r="H46" s="11">
        <v>40408</v>
      </c>
      <c r="I46" s="3">
        <f t="shared" si="1"/>
        <v>263.86599999999999</v>
      </c>
    </row>
    <row r="47" spans="1:9">
      <c r="A47" s="2" t="s">
        <v>403</v>
      </c>
      <c r="B47" s="11">
        <v>40399</v>
      </c>
      <c r="C47" s="2" t="s">
        <v>11</v>
      </c>
      <c r="D47" s="2" t="s">
        <v>13</v>
      </c>
      <c r="E47" s="64">
        <f>27.22+217.76</f>
        <v>244.98</v>
      </c>
      <c r="F47" s="3">
        <v>4736.28</v>
      </c>
      <c r="G47" s="2" t="s">
        <v>10</v>
      </c>
      <c r="H47" s="11">
        <v>40408</v>
      </c>
      <c r="I47" s="3">
        <f t="shared" si="1"/>
        <v>48.996000000000002</v>
      </c>
    </row>
    <row r="48" spans="1:9">
      <c r="A48" s="2" t="s">
        <v>404</v>
      </c>
      <c r="B48" s="11">
        <v>40399</v>
      </c>
      <c r="C48" s="2" t="s">
        <v>347</v>
      </c>
      <c r="D48" s="2" t="s">
        <v>299</v>
      </c>
      <c r="E48" s="64">
        <v>930.3</v>
      </c>
      <c r="F48" s="3">
        <v>27444</v>
      </c>
      <c r="G48" s="2" t="s">
        <v>10</v>
      </c>
      <c r="H48" s="11"/>
      <c r="I48" s="3">
        <f t="shared" si="1"/>
        <v>186.06</v>
      </c>
    </row>
    <row r="49" spans="1:9">
      <c r="A49" s="2" t="s">
        <v>416</v>
      </c>
      <c r="B49" s="11">
        <v>40399</v>
      </c>
      <c r="C49" s="2" t="s">
        <v>11</v>
      </c>
      <c r="D49" s="2" t="s">
        <v>25</v>
      </c>
      <c r="E49" s="64">
        <f>931.71+54.4</f>
        <v>986.11</v>
      </c>
      <c r="F49" s="3">
        <v>30564.959999999999</v>
      </c>
      <c r="G49" s="2" t="s">
        <v>10</v>
      </c>
      <c r="H49" s="11"/>
      <c r="I49" s="3">
        <f t="shared" si="1"/>
        <v>197.22200000000001</v>
      </c>
    </row>
    <row r="50" spans="1:9">
      <c r="A50" s="2" t="s">
        <v>352</v>
      </c>
      <c r="B50" s="11">
        <v>40402</v>
      </c>
      <c r="C50" s="2" t="s">
        <v>11</v>
      </c>
      <c r="D50" s="2" t="s">
        <v>353</v>
      </c>
      <c r="E50" s="64">
        <f>68.05+16.32+81.66+163.32</f>
        <v>329.35</v>
      </c>
      <c r="F50" s="3">
        <v>8031.53</v>
      </c>
      <c r="G50" s="2" t="s">
        <v>10</v>
      </c>
      <c r="H50" s="11">
        <v>40411</v>
      </c>
      <c r="I50" s="3">
        <f t="shared" si="1"/>
        <v>65.87</v>
      </c>
    </row>
    <row r="51" spans="1:9">
      <c r="A51" s="2" t="s">
        <v>394</v>
      </c>
      <c r="B51" s="11">
        <v>40402</v>
      </c>
      <c r="C51" s="2" t="s">
        <v>11</v>
      </c>
      <c r="D51" s="2" t="s">
        <v>32</v>
      </c>
      <c r="E51" s="64">
        <f>851.9+207+342+59+162.8</f>
        <v>1622.7</v>
      </c>
      <c r="F51" s="3">
        <v>50615</v>
      </c>
      <c r="G51" s="2" t="s">
        <v>10</v>
      </c>
      <c r="H51" s="11"/>
      <c r="I51" s="3">
        <f t="shared" si="1"/>
        <v>324.54000000000002</v>
      </c>
    </row>
    <row r="52" spans="1:9">
      <c r="A52" s="2" t="s">
        <v>415</v>
      </c>
      <c r="B52" s="11">
        <v>40402</v>
      </c>
      <c r="C52" s="2" t="s">
        <v>11</v>
      </c>
      <c r="D52" s="2" t="s">
        <v>357</v>
      </c>
      <c r="E52" s="64">
        <f>1632.3+156.5+209+62.5+170</f>
        <v>2230.3000000000002</v>
      </c>
      <c r="F52" s="3">
        <v>77368.95</v>
      </c>
      <c r="G52" s="2" t="s">
        <v>10</v>
      </c>
      <c r="H52" s="11"/>
      <c r="I52" s="3">
        <f t="shared" si="1"/>
        <v>446.06000000000006</v>
      </c>
    </row>
    <row r="53" spans="1:9">
      <c r="A53" s="2" t="s">
        <v>346</v>
      </c>
      <c r="B53" s="11">
        <v>40404</v>
      </c>
      <c r="C53" s="2" t="s">
        <v>347</v>
      </c>
      <c r="D53" s="2" t="s">
        <v>299</v>
      </c>
      <c r="E53" s="64">
        <v>894.33</v>
      </c>
      <c r="F53" s="3">
        <v>25488.5</v>
      </c>
      <c r="G53" s="2" t="s">
        <v>10</v>
      </c>
      <c r="H53" s="11">
        <v>40411</v>
      </c>
      <c r="I53" s="3">
        <f t="shared" si="1"/>
        <v>178.86600000000001</v>
      </c>
    </row>
    <row r="54" spans="1:9">
      <c r="A54" s="2" t="s">
        <v>397</v>
      </c>
      <c r="B54" s="11">
        <v>40404</v>
      </c>
      <c r="C54" s="2" t="s">
        <v>11</v>
      </c>
      <c r="D54" s="2" t="s">
        <v>339</v>
      </c>
      <c r="E54" s="64">
        <f>593+82.3</f>
        <v>675.3</v>
      </c>
      <c r="F54" s="3">
        <v>9787</v>
      </c>
      <c r="G54" s="2" t="s">
        <v>10</v>
      </c>
      <c r="H54" s="11">
        <v>40411</v>
      </c>
      <c r="I54" s="3">
        <f t="shared" si="1"/>
        <v>135.06</v>
      </c>
    </row>
    <row r="55" spans="1:9">
      <c r="A55" s="2" t="s">
        <v>410</v>
      </c>
      <c r="B55" s="11">
        <v>40404</v>
      </c>
      <c r="C55" s="2" t="s">
        <v>11</v>
      </c>
      <c r="D55" s="2" t="s">
        <v>32</v>
      </c>
      <c r="E55" s="64">
        <f>308.3+27.22</f>
        <v>335.52</v>
      </c>
      <c r="F55" s="3">
        <v>6357</v>
      </c>
      <c r="G55" s="2" t="s">
        <v>10</v>
      </c>
      <c r="H55" s="11">
        <v>40411</v>
      </c>
      <c r="I55" s="3">
        <f t="shared" si="1"/>
        <v>67.103999999999999</v>
      </c>
    </row>
    <row r="56" spans="1:9">
      <c r="A56" s="2" t="s">
        <v>341</v>
      </c>
      <c r="B56" s="11">
        <v>40406</v>
      </c>
      <c r="C56" s="2" t="s">
        <v>11</v>
      </c>
      <c r="D56" s="2" t="s">
        <v>274</v>
      </c>
      <c r="E56" s="64">
        <v>1205.1400000000001</v>
      </c>
      <c r="F56" s="3">
        <v>41750.5</v>
      </c>
      <c r="G56" s="2" t="s">
        <v>10</v>
      </c>
      <c r="H56" s="11">
        <v>40411</v>
      </c>
      <c r="I56" s="3">
        <f t="shared" si="1"/>
        <v>241.02800000000002</v>
      </c>
    </row>
    <row r="57" spans="1:9">
      <c r="A57" s="2" t="s">
        <v>345</v>
      </c>
      <c r="B57" s="11">
        <v>40406</v>
      </c>
      <c r="C57" s="2" t="s">
        <v>11</v>
      </c>
      <c r="D57" s="2" t="s">
        <v>32</v>
      </c>
      <c r="E57" s="64">
        <f>915.19+325.5+208.5+1221.5</f>
        <v>2670.69</v>
      </c>
      <c r="F57" s="3">
        <v>84267</v>
      </c>
      <c r="G57" s="2" t="s">
        <v>10</v>
      </c>
      <c r="H57" s="11">
        <v>40411</v>
      </c>
      <c r="I57" s="3">
        <f t="shared" si="1"/>
        <v>534.13800000000003</v>
      </c>
    </row>
    <row r="58" spans="1:9">
      <c r="A58" s="2" t="s">
        <v>399</v>
      </c>
      <c r="B58" s="11">
        <v>40406</v>
      </c>
      <c r="C58" s="2" t="s">
        <v>11</v>
      </c>
      <c r="D58" s="2" t="s">
        <v>1100</v>
      </c>
      <c r="E58" s="64">
        <v>414.7</v>
      </c>
      <c r="F58" s="3">
        <v>8576.7999999999993</v>
      </c>
      <c r="G58" s="2" t="s">
        <v>10</v>
      </c>
      <c r="H58" s="11">
        <v>40408</v>
      </c>
      <c r="I58" s="3">
        <f t="shared" si="1"/>
        <v>82.94</v>
      </c>
    </row>
    <row r="59" spans="1:9">
      <c r="A59" s="2" t="s">
        <v>400</v>
      </c>
      <c r="B59" s="11">
        <v>40406</v>
      </c>
      <c r="C59" s="2" t="s">
        <v>11</v>
      </c>
      <c r="D59" s="2" t="s">
        <v>357</v>
      </c>
      <c r="E59" s="64">
        <v>2382.5</v>
      </c>
      <c r="F59" s="3">
        <v>75048.75</v>
      </c>
      <c r="G59" s="2" t="s">
        <v>10</v>
      </c>
      <c r="H59" s="11">
        <v>40408</v>
      </c>
      <c r="I59" s="3">
        <f t="shared" si="1"/>
        <v>476.5</v>
      </c>
    </row>
    <row r="60" spans="1:9">
      <c r="A60" s="2" t="s">
        <v>401</v>
      </c>
      <c r="B60" s="11">
        <v>40406</v>
      </c>
      <c r="C60" s="2" t="s">
        <v>11</v>
      </c>
      <c r="D60" s="2" t="s">
        <v>13</v>
      </c>
      <c r="E60" s="64">
        <f>544.4+20+7.62+40.83</f>
        <v>612.85</v>
      </c>
      <c r="F60" s="3">
        <v>11520.96</v>
      </c>
      <c r="G60" s="2" t="s">
        <v>10</v>
      </c>
      <c r="H60" s="11">
        <v>40408</v>
      </c>
      <c r="I60" s="3">
        <f t="shared" si="1"/>
        <v>122.57000000000001</v>
      </c>
    </row>
    <row r="61" spans="1:9">
      <c r="A61" s="11" t="s">
        <v>406</v>
      </c>
      <c r="B61" s="11">
        <v>40406</v>
      </c>
      <c r="C61" s="2" t="s">
        <v>15</v>
      </c>
      <c r="D61" s="2" t="s">
        <v>27</v>
      </c>
      <c r="E61" s="64">
        <v>164</v>
      </c>
      <c r="F61" s="3">
        <v>6068</v>
      </c>
      <c r="G61" s="2" t="s">
        <v>10</v>
      </c>
      <c r="H61" s="11"/>
      <c r="I61" s="3">
        <f t="shared" si="1"/>
        <v>32.800000000000004</v>
      </c>
    </row>
    <row r="62" spans="1:9">
      <c r="A62" s="2" t="s">
        <v>408</v>
      </c>
      <c r="B62" s="11">
        <v>40406</v>
      </c>
      <c r="C62" s="2" t="s">
        <v>392</v>
      </c>
      <c r="D62" s="2" t="s">
        <v>409</v>
      </c>
      <c r="E62" s="64">
        <v>163.32</v>
      </c>
      <c r="F62" s="3">
        <v>3103</v>
      </c>
      <c r="G62" s="2" t="s">
        <v>10</v>
      </c>
      <c r="H62" s="11">
        <v>40408</v>
      </c>
      <c r="I62" s="3">
        <f t="shared" si="1"/>
        <v>32.664000000000001</v>
      </c>
    </row>
    <row r="63" spans="1:9">
      <c r="A63" s="2" t="s">
        <v>358</v>
      </c>
      <c r="B63" s="11">
        <v>40409</v>
      </c>
      <c r="C63" s="2" t="s">
        <v>356</v>
      </c>
      <c r="D63" s="2" t="s">
        <v>357</v>
      </c>
      <c r="E63" s="64">
        <v>2130.1999999999998</v>
      </c>
      <c r="F63" s="3">
        <v>67101.3</v>
      </c>
      <c r="G63" s="2" t="s">
        <v>10</v>
      </c>
      <c r="H63" s="11">
        <v>40411</v>
      </c>
      <c r="I63" s="3">
        <f t="shared" si="1"/>
        <v>426.03999999999996</v>
      </c>
    </row>
    <row r="64" spans="1:9">
      <c r="A64" s="2" t="s">
        <v>395</v>
      </c>
      <c r="B64" s="11">
        <v>40409</v>
      </c>
      <c r="C64" s="2" t="s">
        <v>28</v>
      </c>
      <c r="D64" s="2" t="s">
        <v>353</v>
      </c>
      <c r="E64" s="64">
        <v>32.64</v>
      </c>
      <c r="F64" s="3">
        <v>1680</v>
      </c>
      <c r="G64" s="2" t="s">
        <v>10</v>
      </c>
      <c r="H64" s="11"/>
      <c r="I64" s="3">
        <f t="shared" si="1"/>
        <v>6.5280000000000005</v>
      </c>
    </row>
    <row r="65" spans="1:10">
      <c r="A65" s="2" t="s">
        <v>396</v>
      </c>
      <c r="B65" s="11">
        <v>40409</v>
      </c>
      <c r="C65" s="2" t="s">
        <v>11</v>
      </c>
      <c r="D65" s="2" t="s">
        <v>32</v>
      </c>
      <c r="E65" s="64">
        <f>195.5+1083+153+27.22+213</f>
        <v>1671.72</v>
      </c>
      <c r="F65" s="3">
        <v>51654</v>
      </c>
      <c r="G65" s="2" t="s">
        <v>10</v>
      </c>
      <c r="H65" s="11">
        <v>40411</v>
      </c>
      <c r="I65" s="3">
        <f t="shared" si="1"/>
        <v>334.34400000000005</v>
      </c>
    </row>
    <row r="66" spans="1:10">
      <c r="A66" s="2" t="s">
        <v>411</v>
      </c>
      <c r="B66" s="11">
        <v>40409</v>
      </c>
      <c r="C66" s="2" t="s">
        <v>412</v>
      </c>
      <c r="D66" s="2" t="s">
        <v>413</v>
      </c>
      <c r="E66" s="64">
        <v>252.5</v>
      </c>
      <c r="F66" s="3">
        <v>4419</v>
      </c>
      <c r="G66" s="2" t="s">
        <v>10</v>
      </c>
      <c r="H66" s="11">
        <v>40411</v>
      </c>
      <c r="I66" s="3">
        <f t="shared" si="1"/>
        <v>50.5</v>
      </c>
    </row>
    <row r="67" spans="1:10">
      <c r="A67" s="2" t="s">
        <v>342</v>
      </c>
      <c r="B67" s="11">
        <v>40411</v>
      </c>
      <c r="C67" s="11" t="s">
        <v>11</v>
      </c>
      <c r="D67" s="11" t="s">
        <v>74</v>
      </c>
      <c r="E67" s="64">
        <f>272.2+272.2</f>
        <v>544.4</v>
      </c>
      <c r="F67" s="3">
        <v>9935</v>
      </c>
      <c r="G67" s="3" t="s">
        <v>10</v>
      </c>
      <c r="H67" s="4">
        <v>40411</v>
      </c>
      <c r="I67" s="3">
        <f t="shared" si="1"/>
        <v>108.88</v>
      </c>
    </row>
    <row r="68" spans="1:10">
      <c r="A68" s="2" t="s">
        <v>354</v>
      </c>
      <c r="B68" s="11">
        <v>40413</v>
      </c>
      <c r="C68" s="2" t="s">
        <v>11</v>
      </c>
      <c r="D68" s="2" t="s">
        <v>12</v>
      </c>
      <c r="E68" s="64">
        <f>21.76+58.7</f>
        <v>80.460000000000008</v>
      </c>
      <c r="F68" s="3">
        <v>2176.6</v>
      </c>
      <c r="G68" s="2" t="s">
        <v>10</v>
      </c>
      <c r="H68" s="11">
        <v>40411</v>
      </c>
      <c r="I68" s="3">
        <f t="shared" si="1"/>
        <v>16.092000000000002</v>
      </c>
    </row>
    <row r="69" spans="1:10">
      <c r="A69" s="2" t="s">
        <v>355</v>
      </c>
      <c r="B69" s="11">
        <v>40413</v>
      </c>
      <c r="C69" s="2" t="s">
        <v>356</v>
      </c>
      <c r="D69" s="2" t="s">
        <v>357</v>
      </c>
      <c r="E69" s="64">
        <v>2053.5</v>
      </c>
      <c r="F69" s="3">
        <v>64685.25</v>
      </c>
      <c r="G69" s="2" t="s">
        <v>10</v>
      </c>
      <c r="H69" s="11">
        <v>40405</v>
      </c>
      <c r="I69" s="3">
        <f t="shared" si="1"/>
        <v>410.70000000000005</v>
      </c>
    </row>
    <row r="70" spans="1:10" ht="15.75">
      <c r="A70" s="2" t="s">
        <v>385</v>
      </c>
      <c r="B70" s="11">
        <v>40414</v>
      </c>
      <c r="C70" s="2" t="s">
        <v>386</v>
      </c>
      <c r="D70" s="2" t="s">
        <v>1101</v>
      </c>
      <c r="E70" s="64">
        <v>0</v>
      </c>
      <c r="F70" s="3">
        <v>8265.5</v>
      </c>
      <c r="G70" s="3" t="s">
        <v>10</v>
      </c>
      <c r="H70" s="11">
        <v>40416</v>
      </c>
      <c r="I70" s="3">
        <f t="shared" si="1"/>
        <v>0</v>
      </c>
      <c r="J70" s="63" t="s">
        <v>1102</v>
      </c>
    </row>
    <row r="71" spans="1:10">
      <c r="A71" s="2" t="s">
        <v>407</v>
      </c>
      <c r="B71" s="11">
        <v>40414</v>
      </c>
      <c r="C71" s="2" t="s">
        <v>11</v>
      </c>
      <c r="D71" s="2" t="s">
        <v>56</v>
      </c>
      <c r="E71" s="64">
        <f>260+1078.68</f>
        <v>1338.68</v>
      </c>
      <c r="F71" s="3">
        <v>19520</v>
      </c>
      <c r="G71" s="2" t="s">
        <v>10</v>
      </c>
      <c r="H71" s="11"/>
      <c r="I71" s="3">
        <f t="shared" si="1"/>
        <v>267.73600000000005</v>
      </c>
    </row>
    <row r="72" spans="1:10">
      <c r="I72" s="3">
        <f t="shared" si="1"/>
        <v>0</v>
      </c>
    </row>
    <row r="73" spans="1:10" ht="15.75">
      <c r="E73" s="51">
        <f>SUM(E7:E71)</f>
        <v>63825.319999999992</v>
      </c>
      <c r="F73" s="5">
        <f>SUM(F7:F72)</f>
        <v>1761289.05</v>
      </c>
      <c r="G73" s="1"/>
      <c r="H73" s="15" t="s">
        <v>63</v>
      </c>
      <c r="I73" s="13">
        <f>SUM(I8:I72)</f>
        <v>12634.164000000002</v>
      </c>
    </row>
    <row r="78" spans="1:10">
      <c r="A78" s="18"/>
    </row>
  </sheetData>
  <sortState ref="A6:H71">
    <sortCondition ref="B6:B71"/>
  </sortState>
  <mergeCells count="1">
    <mergeCell ref="E5:F5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6"/>
  <sheetViews>
    <sheetView topLeftCell="A47" zoomScale="75" workbookViewId="0">
      <selection activeCell="E57" sqref="E57"/>
    </sheetView>
  </sheetViews>
  <sheetFormatPr baseColWidth="10" defaultRowHeight="15"/>
  <cols>
    <col min="1" max="1" width="13.140625" style="2" bestFit="1" customWidth="1"/>
    <col min="2" max="2" width="13.5703125" style="2" customWidth="1"/>
    <col min="3" max="3" width="23.28515625" style="2" customWidth="1"/>
    <col min="4" max="4" width="32.85546875" style="2" customWidth="1"/>
    <col min="5" max="5" width="14.140625" style="53" customWidth="1"/>
    <col min="6" max="6" width="17.5703125" style="3" customWidth="1"/>
    <col min="7" max="7" width="19.42578125" style="2" customWidth="1"/>
    <col min="8" max="8" width="18.85546875" style="2" customWidth="1"/>
    <col min="9" max="9" width="17.1406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1" t="s">
        <v>246</v>
      </c>
      <c r="E2" s="51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 ht="15.75">
      <c r="A5" s="1" t="s">
        <v>5</v>
      </c>
      <c r="B5" s="1" t="s">
        <v>0</v>
      </c>
      <c r="C5" s="1" t="s">
        <v>7</v>
      </c>
      <c r="D5" s="1" t="s">
        <v>9</v>
      </c>
      <c r="E5" s="122" t="s">
        <v>1</v>
      </c>
      <c r="F5" s="122"/>
      <c r="G5" s="10" t="s">
        <v>24</v>
      </c>
      <c r="H5" s="5" t="s">
        <v>3</v>
      </c>
      <c r="I5" s="1" t="s">
        <v>80</v>
      </c>
    </row>
    <row r="6" spans="1:9" ht="15.75">
      <c r="A6" s="1"/>
      <c r="B6" s="1"/>
      <c r="C6" s="1"/>
      <c r="D6" s="1"/>
      <c r="E6" s="52" t="s">
        <v>6</v>
      </c>
      <c r="F6" s="5" t="s">
        <v>2</v>
      </c>
      <c r="G6" s="5"/>
      <c r="H6" s="5" t="s">
        <v>4</v>
      </c>
      <c r="I6" s="5">
        <v>0.2</v>
      </c>
    </row>
    <row r="7" spans="1:9">
      <c r="A7" s="36" t="s">
        <v>448</v>
      </c>
      <c r="B7" s="40">
        <v>40402</v>
      </c>
      <c r="C7" s="36" t="s">
        <v>412</v>
      </c>
      <c r="D7" s="36" t="s">
        <v>25</v>
      </c>
      <c r="E7" s="64">
        <v>206.3</v>
      </c>
      <c r="F7" s="12">
        <v>3507.1</v>
      </c>
      <c r="G7" s="36" t="s">
        <v>10</v>
      </c>
      <c r="H7" s="40">
        <v>40425</v>
      </c>
      <c r="I7" s="3">
        <f>$I$6*E7</f>
        <v>41.260000000000005</v>
      </c>
    </row>
    <row r="8" spans="1:9">
      <c r="A8" s="36" t="s">
        <v>421</v>
      </c>
      <c r="B8" s="40">
        <v>40403</v>
      </c>
      <c r="C8" s="36" t="s">
        <v>250</v>
      </c>
      <c r="D8" s="36" t="s">
        <v>25</v>
      </c>
      <c r="E8" s="64">
        <v>81.66</v>
      </c>
      <c r="F8" s="12">
        <v>1469.88</v>
      </c>
      <c r="G8" s="36" t="s">
        <v>10</v>
      </c>
      <c r="H8" s="40">
        <v>40418</v>
      </c>
      <c r="I8" s="3">
        <f>$I$6*E8</f>
        <v>16.332000000000001</v>
      </c>
    </row>
    <row r="9" spans="1:9">
      <c r="A9" s="36" t="s">
        <v>471</v>
      </c>
      <c r="B9" s="40">
        <v>40404</v>
      </c>
      <c r="C9" s="36" t="s">
        <v>15</v>
      </c>
      <c r="D9" s="36" t="s">
        <v>35</v>
      </c>
      <c r="E9" s="64">
        <v>126</v>
      </c>
      <c r="F9" s="12">
        <v>4662</v>
      </c>
      <c r="G9" s="36" t="s">
        <v>10</v>
      </c>
      <c r="H9" s="40"/>
      <c r="I9" s="3">
        <f>$I$6*E9</f>
        <v>25.200000000000003</v>
      </c>
    </row>
    <row r="10" spans="1:9">
      <c r="A10" s="36" t="s">
        <v>424</v>
      </c>
      <c r="B10" s="40">
        <v>40406</v>
      </c>
      <c r="C10" s="36" t="s">
        <v>11</v>
      </c>
      <c r="D10" s="36" t="s">
        <v>425</v>
      </c>
      <c r="E10" s="64">
        <f>891.61+908.39+910.66+289</f>
        <v>2999.66</v>
      </c>
      <c r="F10" s="12">
        <v>82311.320000000007</v>
      </c>
      <c r="G10" s="36" t="s">
        <v>10</v>
      </c>
      <c r="H10" s="40">
        <v>40422</v>
      </c>
      <c r="I10" s="3">
        <f t="shared" ref="I10:I59" si="0">$I$6*E10</f>
        <v>599.93200000000002</v>
      </c>
    </row>
    <row r="11" spans="1:9">
      <c r="A11" s="36" t="s">
        <v>427</v>
      </c>
      <c r="B11" s="40">
        <v>40406</v>
      </c>
      <c r="C11" s="36" t="s">
        <v>20</v>
      </c>
      <c r="D11" s="36" t="s">
        <v>353</v>
      </c>
      <c r="E11" s="64">
        <v>272.2</v>
      </c>
      <c r="F11" s="12">
        <v>5171.8</v>
      </c>
      <c r="G11" s="36" t="s">
        <v>10</v>
      </c>
      <c r="H11" s="40">
        <v>40422</v>
      </c>
      <c r="I11" s="3">
        <f t="shared" si="0"/>
        <v>54.44</v>
      </c>
    </row>
    <row r="12" spans="1:9">
      <c r="A12" s="36" t="s">
        <v>436</v>
      </c>
      <c r="B12" s="40">
        <v>40406</v>
      </c>
      <c r="C12" s="36" t="s">
        <v>420</v>
      </c>
      <c r="D12" s="36" t="s">
        <v>35</v>
      </c>
      <c r="E12" s="64">
        <v>345.1</v>
      </c>
      <c r="F12" s="12">
        <v>10874</v>
      </c>
      <c r="G12" s="36" t="s">
        <v>10</v>
      </c>
      <c r="H12" s="40">
        <v>40427</v>
      </c>
      <c r="I12" s="3">
        <f t="shared" si="0"/>
        <v>69.02000000000001</v>
      </c>
    </row>
    <row r="13" spans="1:9">
      <c r="A13" s="36" t="s">
        <v>444</v>
      </c>
      <c r="B13" s="40">
        <v>40409</v>
      </c>
      <c r="C13" s="36" t="s">
        <v>11</v>
      </c>
      <c r="D13" s="36" t="s">
        <v>25</v>
      </c>
      <c r="E13" s="64">
        <f>934.4+272.2</f>
        <v>1206.5999999999999</v>
      </c>
      <c r="F13" s="12">
        <v>31802.2</v>
      </c>
      <c r="G13" s="36" t="s">
        <v>10</v>
      </c>
      <c r="H13" s="40">
        <v>40425</v>
      </c>
      <c r="I13" s="3">
        <f t="shared" si="0"/>
        <v>241.32</v>
      </c>
    </row>
    <row r="14" spans="1:9">
      <c r="A14" s="36" t="s">
        <v>464</v>
      </c>
      <c r="B14" s="40">
        <v>40409</v>
      </c>
      <c r="C14" s="36" t="s">
        <v>11</v>
      </c>
      <c r="D14" s="36" t="s">
        <v>299</v>
      </c>
      <c r="E14" s="64">
        <v>834.47</v>
      </c>
      <c r="F14" s="12">
        <v>23365</v>
      </c>
      <c r="G14" s="36" t="s">
        <v>10</v>
      </c>
      <c r="H14" s="40">
        <v>40425</v>
      </c>
      <c r="I14" s="3">
        <f t="shared" si="0"/>
        <v>166.89400000000001</v>
      </c>
    </row>
    <row r="15" spans="1:9">
      <c r="A15" s="36" t="s">
        <v>469</v>
      </c>
      <c r="B15" s="40">
        <v>40409</v>
      </c>
      <c r="C15" s="36" t="s">
        <v>11</v>
      </c>
      <c r="D15" s="36" t="s">
        <v>274</v>
      </c>
      <c r="E15" s="64">
        <v>1106.82</v>
      </c>
      <c r="F15" s="12">
        <v>35541.5</v>
      </c>
      <c r="G15" s="36" t="s">
        <v>10</v>
      </c>
      <c r="H15" s="40"/>
      <c r="I15" s="3">
        <f t="shared" si="0"/>
        <v>221.364</v>
      </c>
    </row>
    <row r="16" spans="1:9">
      <c r="A16" s="36" t="s">
        <v>431</v>
      </c>
      <c r="B16" s="40">
        <v>40411</v>
      </c>
      <c r="C16" s="36" t="s">
        <v>20</v>
      </c>
      <c r="D16" s="36" t="s">
        <v>353</v>
      </c>
      <c r="E16" s="64">
        <v>272.2</v>
      </c>
      <c r="F16" s="12">
        <v>5171.8</v>
      </c>
      <c r="G16" s="36" t="s">
        <v>10</v>
      </c>
      <c r="H16" s="40">
        <v>40429</v>
      </c>
      <c r="I16" s="3">
        <f t="shared" si="0"/>
        <v>54.44</v>
      </c>
    </row>
    <row r="17" spans="1:9">
      <c r="A17" s="36" t="s">
        <v>473</v>
      </c>
      <c r="B17" s="40">
        <v>40411</v>
      </c>
      <c r="C17" s="36" t="s">
        <v>11</v>
      </c>
      <c r="D17" s="36" t="s">
        <v>339</v>
      </c>
      <c r="E17" s="64">
        <f>652+54.44+104</f>
        <v>810.44</v>
      </c>
      <c r="F17" s="12">
        <v>11901</v>
      </c>
      <c r="G17" s="36" t="s">
        <v>10</v>
      </c>
      <c r="H17" s="40"/>
      <c r="I17" s="3">
        <f t="shared" si="0"/>
        <v>162.08800000000002</v>
      </c>
    </row>
    <row r="18" spans="1:9">
      <c r="A18" s="40" t="s">
        <v>439</v>
      </c>
      <c r="B18" s="40">
        <v>40413</v>
      </c>
      <c r="C18" s="36" t="s">
        <v>11</v>
      </c>
      <c r="D18" s="36" t="s">
        <v>32</v>
      </c>
      <c r="E18" s="64">
        <f>934.8+260.5+1165.5</f>
        <v>2360.8000000000002</v>
      </c>
      <c r="F18" s="12">
        <v>75959</v>
      </c>
      <c r="G18" s="36" t="s">
        <v>10</v>
      </c>
      <c r="H18" s="40">
        <v>40437</v>
      </c>
      <c r="I18" s="3">
        <f t="shared" si="0"/>
        <v>472.16000000000008</v>
      </c>
    </row>
    <row r="19" spans="1:9">
      <c r="A19" s="36" t="s">
        <v>450</v>
      </c>
      <c r="B19" s="40">
        <v>40413</v>
      </c>
      <c r="C19" s="36" t="s">
        <v>11</v>
      </c>
      <c r="D19" s="65" t="s">
        <v>1103</v>
      </c>
      <c r="E19" s="66">
        <f>917.6+932.1+20+25.35+27.22+222+372</f>
        <v>2516.27</v>
      </c>
      <c r="F19" s="12">
        <v>77031.87</v>
      </c>
      <c r="G19" s="36" t="s">
        <v>10</v>
      </c>
      <c r="H19" s="40">
        <v>40422</v>
      </c>
      <c r="I19" s="3">
        <f t="shared" si="0"/>
        <v>503.25400000000002</v>
      </c>
    </row>
    <row r="20" spans="1:9">
      <c r="A20" s="36" t="s">
        <v>451</v>
      </c>
      <c r="B20" s="40">
        <v>40413</v>
      </c>
      <c r="C20" s="36" t="s">
        <v>11</v>
      </c>
      <c r="D20" s="67" t="s">
        <v>1104</v>
      </c>
      <c r="E20" s="64">
        <v>361.53</v>
      </c>
      <c r="F20" s="12">
        <v>7785.87</v>
      </c>
      <c r="G20" s="36" t="s">
        <v>10</v>
      </c>
      <c r="H20" s="40">
        <v>40422</v>
      </c>
      <c r="I20" s="3">
        <f t="shared" si="0"/>
        <v>72.305999999999997</v>
      </c>
    </row>
    <row r="21" spans="1:9">
      <c r="A21" s="36" t="s">
        <v>467</v>
      </c>
      <c r="B21" s="40">
        <v>40413</v>
      </c>
      <c r="C21" s="36" t="s">
        <v>11</v>
      </c>
      <c r="D21" s="36" t="s">
        <v>274</v>
      </c>
      <c r="E21" s="64">
        <f>136.1+54.44+10.88+40.13+203+108.5+436.5+53+124.5</f>
        <v>1167.05</v>
      </c>
      <c r="F21" s="12">
        <v>39135</v>
      </c>
      <c r="G21" s="36" t="s">
        <v>10</v>
      </c>
      <c r="H21" s="40">
        <v>40422</v>
      </c>
      <c r="I21" s="3">
        <f t="shared" si="0"/>
        <v>233.41</v>
      </c>
    </row>
    <row r="22" spans="1:9">
      <c r="A22" s="36" t="s">
        <v>474</v>
      </c>
      <c r="B22" s="40">
        <v>40415</v>
      </c>
      <c r="C22" s="36" t="s">
        <v>11</v>
      </c>
      <c r="D22" s="36" t="s">
        <v>299</v>
      </c>
      <c r="E22" s="64">
        <v>878</v>
      </c>
      <c r="F22" s="12">
        <v>26340</v>
      </c>
      <c r="G22" s="36" t="s">
        <v>10</v>
      </c>
      <c r="H22" s="40"/>
      <c r="I22" s="3">
        <f t="shared" si="0"/>
        <v>175.60000000000002</v>
      </c>
    </row>
    <row r="23" spans="1:9">
      <c r="A23" s="36" t="s">
        <v>419</v>
      </c>
      <c r="B23" s="40">
        <v>40416</v>
      </c>
      <c r="C23" s="40" t="s">
        <v>420</v>
      </c>
      <c r="D23" s="40" t="s">
        <v>357</v>
      </c>
      <c r="E23" s="64">
        <v>2140.5</v>
      </c>
      <c r="F23" s="12">
        <v>67425.75</v>
      </c>
      <c r="G23" s="12" t="s">
        <v>10</v>
      </c>
      <c r="H23" s="16">
        <v>40417</v>
      </c>
      <c r="I23" s="3">
        <f t="shared" si="0"/>
        <v>428.1</v>
      </c>
    </row>
    <row r="24" spans="1:9">
      <c r="A24" s="36" t="s">
        <v>422</v>
      </c>
      <c r="B24" s="40">
        <v>40416</v>
      </c>
      <c r="C24" s="36" t="s">
        <v>412</v>
      </c>
      <c r="D24" s="36" t="s">
        <v>423</v>
      </c>
      <c r="E24" s="64">
        <v>225.5</v>
      </c>
      <c r="F24" s="12">
        <v>3946.25</v>
      </c>
      <c r="G24" s="36" t="s">
        <v>10</v>
      </c>
      <c r="H24" s="40">
        <v>40417</v>
      </c>
      <c r="I24" s="3">
        <f t="shared" si="0"/>
        <v>45.1</v>
      </c>
    </row>
    <row r="25" spans="1:9">
      <c r="A25" s="36" t="s">
        <v>453</v>
      </c>
      <c r="B25" s="40">
        <v>40416</v>
      </c>
      <c r="C25" s="36" t="s">
        <v>11</v>
      </c>
      <c r="D25" s="36" t="s">
        <v>25</v>
      </c>
      <c r="E25" s="64">
        <f>54.4+272.2</f>
        <v>326.59999999999997</v>
      </c>
      <c r="F25" s="12">
        <v>7971.8</v>
      </c>
      <c r="G25" s="36" t="s">
        <v>10</v>
      </c>
      <c r="H25" s="40">
        <v>40436</v>
      </c>
      <c r="I25" s="3">
        <f t="shared" si="0"/>
        <v>65.319999999999993</v>
      </c>
    </row>
    <row r="26" spans="1:9">
      <c r="A26" s="36" t="s">
        <v>465</v>
      </c>
      <c r="B26" s="40">
        <v>40416</v>
      </c>
      <c r="C26" s="36" t="s">
        <v>11</v>
      </c>
      <c r="D26" s="36" t="s">
        <v>274</v>
      </c>
      <c r="E26" s="64">
        <f>187+77.5+202+54.44+943+108.88+453.5</f>
        <v>2026.3200000000002</v>
      </c>
      <c r="F26" s="12">
        <v>66097</v>
      </c>
      <c r="G26" s="36" t="s">
        <v>10</v>
      </c>
      <c r="H26" s="40">
        <v>40425</v>
      </c>
      <c r="I26" s="3">
        <f t="shared" si="0"/>
        <v>405.26400000000007</v>
      </c>
    </row>
    <row r="27" spans="1:9">
      <c r="A27" s="36" t="s">
        <v>470</v>
      </c>
      <c r="B27" s="40">
        <v>40416</v>
      </c>
      <c r="C27" s="36" t="s">
        <v>11</v>
      </c>
      <c r="D27" s="36" t="s">
        <v>32</v>
      </c>
      <c r="E27" s="64">
        <f>445.5+703.3+272.5+216+34.9</f>
        <v>1672.2</v>
      </c>
      <c r="F27" s="12">
        <v>53179</v>
      </c>
      <c r="G27" s="36" t="s">
        <v>10</v>
      </c>
      <c r="H27" s="40"/>
      <c r="I27" s="3">
        <f t="shared" si="0"/>
        <v>334.44000000000005</v>
      </c>
    </row>
    <row r="28" spans="1:9">
      <c r="A28" s="36" t="s">
        <v>472</v>
      </c>
      <c r="B28" s="40">
        <v>40416</v>
      </c>
      <c r="C28" s="36" t="s">
        <v>11</v>
      </c>
      <c r="D28" s="36" t="s">
        <v>64</v>
      </c>
      <c r="E28" s="64">
        <f>33.5+81.66</f>
        <v>115.16</v>
      </c>
      <c r="F28" s="12">
        <v>3066</v>
      </c>
      <c r="G28" s="36" t="s">
        <v>10</v>
      </c>
      <c r="H28" s="40"/>
      <c r="I28" s="3">
        <f t="shared" si="0"/>
        <v>23.032</v>
      </c>
    </row>
    <row r="29" spans="1:9">
      <c r="A29" s="36" t="s">
        <v>468</v>
      </c>
      <c r="B29" s="40">
        <v>40420</v>
      </c>
      <c r="C29" s="36" t="s">
        <v>412</v>
      </c>
      <c r="D29" s="36" t="s">
        <v>67</v>
      </c>
      <c r="E29" s="64">
        <v>1764.29</v>
      </c>
      <c r="F29" s="12">
        <v>24700</v>
      </c>
      <c r="G29" s="36" t="s">
        <v>10</v>
      </c>
      <c r="H29" s="40"/>
      <c r="I29" s="3">
        <f t="shared" si="0"/>
        <v>352.858</v>
      </c>
    </row>
    <row r="30" spans="1:9">
      <c r="A30" s="36" t="s">
        <v>426</v>
      </c>
      <c r="B30" s="40">
        <v>40420</v>
      </c>
      <c r="C30" s="36" t="s">
        <v>11</v>
      </c>
      <c r="D30" s="36" t="s">
        <v>1105</v>
      </c>
      <c r="E30" s="64">
        <v>61</v>
      </c>
      <c r="F30" s="12">
        <v>2218</v>
      </c>
      <c r="G30" s="36" t="s">
        <v>10</v>
      </c>
      <c r="H30" s="40">
        <v>40422</v>
      </c>
      <c r="I30" s="3">
        <f t="shared" si="0"/>
        <v>12.200000000000001</v>
      </c>
    </row>
    <row r="31" spans="1:9">
      <c r="A31" s="36" t="s">
        <v>428</v>
      </c>
      <c r="B31" s="40">
        <v>40420</v>
      </c>
      <c r="C31" s="40" t="s">
        <v>420</v>
      </c>
      <c r="D31" s="40" t="s">
        <v>357</v>
      </c>
      <c r="E31" s="64">
        <v>1574.8</v>
      </c>
      <c r="F31" s="12">
        <v>49606.2</v>
      </c>
      <c r="G31" s="12" t="s">
        <v>10</v>
      </c>
      <c r="H31" s="16">
        <v>40422</v>
      </c>
      <c r="I31" s="3">
        <f t="shared" si="0"/>
        <v>314.96000000000004</v>
      </c>
    </row>
    <row r="32" spans="1:9">
      <c r="A32" s="40" t="s">
        <v>429</v>
      </c>
      <c r="B32" s="40">
        <v>40420</v>
      </c>
      <c r="C32" s="36" t="s">
        <v>11</v>
      </c>
      <c r="D32" s="36" t="s">
        <v>13</v>
      </c>
      <c r="E32" s="64">
        <f>40.83+23.59+272.2+29.7+408.3</f>
        <v>774.62</v>
      </c>
      <c r="F32" s="12">
        <v>15478.77</v>
      </c>
      <c r="G32" s="36" t="s">
        <v>10</v>
      </c>
      <c r="H32" s="40">
        <v>40422</v>
      </c>
      <c r="I32" s="3">
        <f t="shared" si="0"/>
        <v>154.92400000000001</v>
      </c>
    </row>
    <row r="33" spans="1:9">
      <c r="A33" s="36" t="s">
        <v>432</v>
      </c>
      <c r="B33" s="40">
        <v>40420</v>
      </c>
      <c r="C33" s="36" t="s">
        <v>11</v>
      </c>
      <c r="D33" s="36" t="s">
        <v>425</v>
      </c>
      <c r="E33" s="64">
        <f>816.6+816.6+291+54</f>
        <v>1978.2</v>
      </c>
      <c r="F33" s="12">
        <v>51331.8</v>
      </c>
      <c r="G33" s="36" t="s">
        <v>10</v>
      </c>
      <c r="H33" s="40">
        <v>40429</v>
      </c>
      <c r="I33" s="3">
        <f t="shared" si="0"/>
        <v>395.64000000000004</v>
      </c>
    </row>
    <row r="34" spans="1:9">
      <c r="A34" s="36" t="s">
        <v>437</v>
      </c>
      <c r="B34" s="40">
        <v>40420</v>
      </c>
      <c r="C34" s="36" t="s">
        <v>438</v>
      </c>
      <c r="D34" s="36" t="s">
        <v>299</v>
      </c>
      <c r="E34" s="64">
        <v>740.2</v>
      </c>
      <c r="F34" s="12">
        <v>22206</v>
      </c>
      <c r="G34" s="36" t="s">
        <v>10</v>
      </c>
      <c r="H34" s="40">
        <v>40434</v>
      </c>
      <c r="I34" s="3">
        <f t="shared" si="0"/>
        <v>148.04000000000002</v>
      </c>
    </row>
    <row r="35" spans="1:9">
      <c r="A35" s="36" t="s">
        <v>458</v>
      </c>
      <c r="B35" s="40">
        <v>40420</v>
      </c>
      <c r="C35" s="36" t="s">
        <v>11</v>
      </c>
      <c r="D35" s="36" t="s">
        <v>1106</v>
      </c>
      <c r="E35" s="64">
        <v>1798.7</v>
      </c>
      <c r="F35" s="12">
        <v>59184</v>
      </c>
      <c r="G35" s="36" t="s">
        <v>10</v>
      </c>
      <c r="H35" s="40">
        <v>40429</v>
      </c>
      <c r="I35" s="3">
        <f t="shared" si="0"/>
        <v>359.74</v>
      </c>
    </row>
    <row r="36" spans="1:9">
      <c r="A36" s="36" t="s">
        <v>459</v>
      </c>
      <c r="B36" s="40">
        <v>40420</v>
      </c>
      <c r="C36" s="36" t="s">
        <v>11</v>
      </c>
      <c r="D36" s="36" t="s">
        <v>32</v>
      </c>
      <c r="E36" s="64">
        <f>1163.3+811+27.22+240.5+280.5+27.22</f>
        <v>2549.7399999999998</v>
      </c>
      <c r="F36" s="12">
        <v>82573</v>
      </c>
      <c r="G36" s="12" t="s">
        <v>10</v>
      </c>
      <c r="H36" s="40">
        <v>40429</v>
      </c>
      <c r="I36" s="3">
        <f t="shared" si="0"/>
        <v>509.94799999999998</v>
      </c>
    </row>
    <row r="37" spans="1:9">
      <c r="A37" s="36" t="s">
        <v>434</v>
      </c>
      <c r="B37" s="40">
        <v>40423</v>
      </c>
      <c r="C37" s="36" t="s">
        <v>11</v>
      </c>
      <c r="D37" s="36" t="s">
        <v>423</v>
      </c>
      <c r="E37" s="64">
        <f>307.14+136.1</f>
        <v>443.24</v>
      </c>
      <c r="F37" s="12">
        <v>8028.9</v>
      </c>
      <c r="G37" s="36" t="s">
        <v>10</v>
      </c>
      <c r="H37" s="40">
        <v>40429</v>
      </c>
      <c r="I37" s="3">
        <f t="shared" si="0"/>
        <v>88.64800000000001</v>
      </c>
    </row>
    <row r="38" spans="1:9">
      <c r="A38" s="36" t="s">
        <v>435</v>
      </c>
      <c r="B38" s="40">
        <v>40423</v>
      </c>
      <c r="C38" s="36" t="s">
        <v>11</v>
      </c>
      <c r="D38" s="36" t="s">
        <v>64</v>
      </c>
      <c r="E38" s="64">
        <f>27.22+81.66+33.5+10</f>
        <v>152.38</v>
      </c>
      <c r="F38" s="12">
        <v>4419</v>
      </c>
      <c r="G38" s="36" t="s">
        <v>10</v>
      </c>
      <c r="H38" s="40">
        <v>40427</v>
      </c>
      <c r="I38" s="3">
        <f t="shared" si="0"/>
        <v>30.475999999999999</v>
      </c>
    </row>
    <row r="39" spans="1:9">
      <c r="A39" s="36" t="s">
        <v>440</v>
      </c>
      <c r="B39" s="40">
        <v>40423</v>
      </c>
      <c r="C39" s="36" t="s">
        <v>11</v>
      </c>
      <c r="D39" s="36" t="s">
        <v>339</v>
      </c>
      <c r="E39" s="64">
        <f>536+54.44</f>
        <v>590.44000000000005</v>
      </c>
      <c r="F39" s="12">
        <v>8725</v>
      </c>
      <c r="G39" s="36" t="s">
        <v>10</v>
      </c>
      <c r="H39" s="40">
        <v>40434</v>
      </c>
      <c r="I39" s="3">
        <f t="shared" si="0"/>
        <v>118.08800000000002</v>
      </c>
    </row>
    <row r="40" spans="1:9">
      <c r="A40" s="36" t="s">
        <v>449</v>
      </c>
      <c r="B40" s="40">
        <v>40423</v>
      </c>
      <c r="C40" s="36" t="s">
        <v>446</v>
      </c>
      <c r="D40" s="36" t="s">
        <v>357</v>
      </c>
      <c r="E40" s="64">
        <v>2097</v>
      </c>
      <c r="F40" s="12">
        <v>66055.5</v>
      </c>
      <c r="G40" s="36" t="s">
        <v>10</v>
      </c>
      <c r="H40" s="40">
        <v>40425</v>
      </c>
      <c r="I40" s="3">
        <f t="shared" si="0"/>
        <v>419.40000000000003</v>
      </c>
    </row>
    <row r="41" spans="1:9">
      <c r="A41" s="36" t="s">
        <v>454</v>
      </c>
      <c r="B41" s="40">
        <v>40423</v>
      </c>
      <c r="C41" s="36" t="s">
        <v>11</v>
      </c>
      <c r="D41" s="36" t="s">
        <v>353</v>
      </c>
      <c r="E41" s="64">
        <f>272.2+68.05</f>
        <v>340.25</v>
      </c>
      <c r="F41" s="12">
        <v>7689.65</v>
      </c>
      <c r="G41" s="36" t="s">
        <v>10</v>
      </c>
      <c r="H41" s="40">
        <v>40436</v>
      </c>
      <c r="I41" s="3">
        <f t="shared" si="0"/>
        <v>68.05</v>
      </c>
    </row>
    <row r="42" spans="1:9">
      <c r="A42" s="36" t="s">
        <v>457</v>
      </c>
      <c r="B42" s="40">
        <v>40423</v>
      </c>
      <c r="C42" s="36" t="s">
        <v>11</v>
      </c>
      <c r="D42" s="36" t="s">
        <v>274</v>
      </c>
      <c r="E42" s="64">
        <f>215.7+110.5+128.5+367.5+775.6+54.44+30+13.61+108.88</f>
        <v>1804.73</v>
      </c>
      <c r="F42" s="12">
        <v>58697</v>
      </c>
      <c r="G42" s="36" t="s">
        <v>10</v>
      </c>
      <c r="H42" s="40">
        <v>40432</v>
      </c>
      <c r="I42" s="3">
        <f t="shared" si="0"/>
        <v>360.94600000000003</v>
      </c>
    </row>
    <row r="43" spans="1:9">
      <c r="A43" s="36" t="s">
        <v>466</v>
      </c>
      <c r="B43" s="40">
        <v>40423</v>
      </c>
      <c r="C43" s="36" t="s">
        <v>11</v>
      </c>
      <c r="D43" s="36" t="s">
        <v>32</v>
      </c>
      <c r="E43" s="64">
        <f>266.7+520.5+68.5+291.33</f>
        <v>1147.03</v>
      </c>
      <c r="F43" s="12">
        <v>33487</v>
      </c>
      <c r="G43" s="36" t="s">
        <v>10</v>
      </c>
      <c r="H43" s="40">
        <v>40425</v>
      </c>
      <c r="I43" s="3">
        <f t="shared" si="0"/>
        <v>229.40600000000001</v>
      </c>
    </row>
    <row r="44" spans="1:9">
      <c r="A44" s="36" t="s">
        <v>456</v>
      </c>
      <c r="B44" s="40">
        <v>40424</v>
      </c>
      <c r="C44" s="36" t="s">
        <v>11</v>
      </c>
      <c r="D44" s="36" t="s">
        <v>32</v>
      </c>
      <c r="E44" s="64">
        <f>457.3+101+200</f>
        <v>758.3</v>
      </c>
      <c r="F44" s="12">
        <v>24522</v>
      </c>
      <c r="G44" s="36" t="s">
        <v>10</v>
      </c>
      <c r="H44" s="40">
        <v>40432</v>
      </c>
      <c r="I44" s="3">
        <f t="shared" si="0"/>
        <v>151.66</v>
      </c>
    </row>
    <row r="45" spans="1:9">
      <c r="A45" s="36" t="s">
        <v>430</v>
      </c>
      <c r="B45" s="40">
        <v>40427</v>
      </c>
      <c r="C45" s="36" t="s">
        <v>412</v>
      </c>
      <c r="D45" s="36" t="s">
        <v>423</v>
      </c>
      <c r="E45" s="64">
        <v>199.3</v>
      </c>
      <c r="F45" s="12">
        <v>3487.75</v>
      </c>
      <c r="G45" s="36" t="s">
        <v>10</v>
      </c>
      <c r="H45" s="40">
        <v>40432</v>
      </c>
      <c r="I45" s="3">
        <f t="shared" si="0"/>
        <v>39.860000000000007</v>
      </c>
    </row>
    <row r="46" spans="1:9">
      <c r="A46" s="36" t="s">
        <v>433</v>
      </c>
      <c r="B46" s="40">
        <v>40427</v>
      </c>
      <c r="C46" s="36" t="s">
        <v>420</v>
      </c>
      <c r="D46" s="36" t="s">
        <v>357</v>
      </c>
      <c r="E46" s="64">
        <v>2217</v>
      </c>
      <c r="F46" s="12">
        <v>69835.5</v>
      </c>
      <c r="G46" s="36" t="s">
        <v>10</v>
      </c>
      <c r="H46" s="40">
        <v>40429</v>
      </c>
      <c r="I46" s="3">
        <f t="shared" si="0"/>
        <v>443.40000000000003</v>
      </c>
    </row>
    <row r="47" spans="1:9">
      <c r="A47" s="36" t="s">
        <v>442</v>
      </c>
      <c r="B47" s="40">
        <v>40427</v>
      </c>
      <c r="C47" s="36" t="s">
        <v>11</v>
      </c>
      <c r="D47" s="36" t="s">
        <v>274</v>
      </c>
      <c r="E47" s="64">
        <v>1849.74</v>
      </c>
      <c r="F47" s="12">
        <v>56617.5</v>
      </c>
      <c r="G47" s="36" t="s">
        <v>10</v>
      </c>
      <c r="H47" s="40">
        <v>40439</v>
      </c>
      <c r="I47" s="3">
        <f t="shared" si="0"/>
        <v>369.94800000000004</v>
      </c>
    </row>
    <row r="48" spans="1:9">
      <c r="A48" s="36" t="s">
        <v>460</v>
      </c>
      <c r="B48" s="40">
        <v>40427</v>
      </c>
      <c r="C48" s="36" t="s">
        <v>11</v>
      </c>
      <c r="D48" s="36" t="s">
        <v>13</v>
      </c>
      <c r="E48" s="64">
        <f>36.7+27.22+108.88</f>
        <v>172.8</v>
      </c>
      <c r="F48" s="12">
        <v>3801.6</v>
      </c>
      <c r="G48" s="36" t="s">
        <v>10</v>
      </c>
      <c r="H48" s="40">
        <v>40429</v>
      </c>
      <c r="I48" s="3">
        <f t="shared" si="0"/>
        <v>34.56</v>
      </c>
    </row>
    <row r="49" spans="1:9">
      <c r="A49" s="36" t="s">
        <v>461</v>
      </c>
      <c r="B49" s="40">
        <v>40427</v>
      </c>
      <c r="C49" s="36" t="s">
        <v>11</v>
      </c>
      <c r="D49" s="36" t="s">
        <v>12</v>
      </c>
      <c r="E49" s="64">
        <f>32.64+929+85</f>
        <v>1046.6399999999999</v>
      </c>
      <c r="F49" s="12">
        <v>32431</v>
      </c>
      <c r="G49" s="36" t="s">
        <v>10</v>
      </c>
      <c r="H49" s="40">
        <v>40429</v>
      </c>
      <c r="I49" s="3">
        <f t="shared" si="0"/>
        <v>209.32799999999997</v>
      </c>
    </row>
    <row r="50" spans="1:9">
      <c r="A50" s="36" t="s">
        <v>443</v>
      </c>
      <c r="B50" s="40">
        <v>40430</v>
      </c>
      <c r="C50" s="36" t="s">
        <v>11</v>
      </c>
      <c r="D50" s="36" t="s">
        <v>353</v>
      </c>
      <c r="E50" s="64">
        <f>272.2+136.1+27.2+81.66</f>
        <v>517.16</v>
      </c>
      <c r="F50" s="12">
        <v>13077.3</v>
      </c>
      <c r="G50" s="36" t="s">
        <v>10</v>
      </c>
      <c r="H50" s="40">
        <v>40443</v>
      </c>
      <c r="I50" s="3">
        <f t="shared" si="0"/>
        <v>103.432</v>
      </c>
    </row>
    <row r="51" spans="1:9">
      <c r="A51" s="36" t="s">
        <v>455</v>
      </c>
      <c r="B51" s="40">
        <v>40430</v>
      </c>
      <c r="C51" s="36" t="s">
        <v>11</v>
      </c>
      <c r="D51" s="36" t="s">
        <v>64</v>
      </c>
      <c r="E51" s="64">
        <f>81.66+135.3+33.54</f>
        <v>250.5</v>
      </c>
      <c r="F51" s="12">
        <v>5477</v>
      </c>
      <c r="G51" s="36" t="s">
        <v>10</v>
      </c>
      <c r="H51" s="40">
        <v>40432</v>
      </c>
      <c r="I51" s="3">
        <f t="shared" si="0"/>
        <v>50.1</v>
      </c>
    </row>
    <row r="52" spans="1:9">
      <c r="A52" s="36" t="s">
        <v>462</v>
      </c>
      <c r="B52" s="40">
        <v>40430</v>
      </c>
      <c r="C52" s="36" t="s">
        <v>11</v>
      </c>
      <c r="D52" s="36" t="s">
        <v>413</v>
      </c>
      <c r="E52" s="64">
        <f>54.44+203</f>
        <v>257.44</v>
      </c>
      <c r="F52" s="12">
        <v>8288</v>
      </c>
      <c r="G52" s="36" t="s">
        <v>10</v>
      </c>
      <c r="H52" s="40">
        <v>40432</v>
      </c>
      <c r="I52" s="3">
        <f t="shared" si="0"/>
        <v>51.488</v>
      </c>
    </row>
    <row r="53" spans="1:9">
      <c r="A53" s="36" t="s">
        <v>463</v>
      </c>
      <c r="B53" s="40">
        <v>40430</v>
      </c>
      <c r="C53" s="36" t="s">
        <v>11</v>
      </c>
      <c r="D53" s="36" t="s">
        <v>32</v>
      </c>
      <c r="E53" s="64">
        <v>1735.3</v>
      </c>
      <c r="F53" s="12">
        <v>56066</v>
      </c>
      <c r="G53" s="36" t="s">
        <v>10</v>
      </c>
      <c r="H53" s="40">
        <v>40443</v>
      </c>
      <c r="I53" s="3">
        <f t="shared" si="0"/>
        <v>347.06</v>
      </c>
    </row>
    <row r="54" spans="1:9">
      <c r="A54" s="36" t="s">
        <v>441</v>
      </c>
      <c r="B54" s="40">
        <v>40434</v>
      </c>
      <c r="C54" s="36" t="s">
        <v>11</v>
      </c>
      <c r="D54" s="36" t="s">
        <v>274</v>
      </c>
      <c r="E54" s="64">
        <f>194.82+326.64+555.1+930.3+943+62.92+54.44+27.22+211.14</f>
        <v>3305.5799999999995</v>
      </c>
      <c r="F54" s="12">
        <v>111055</v>
      </c>
      <c r="G54" s="36" t="s">
        <v>10</v>
      </c>
      <c r="H54" s="40">
        <v>40439</v>
      </c>
      <c r="I54" s="3">
        <f t="shared" si="0"/>
        <v>661.11599999999999</v>
      </c>
    </row>
    <row r="55" spans="1:9">
      <c r="A55" s="36" t="s">
        <v>452</v>
      </c>
      <c r="B55" s="40">
        <v>40434</v>
      </c>
      <c r="C55" s="36" t="s">
        <v>11</v>
      </c>
      <c r="D55" s="36" t="s">
        <v>13</v>
      </c>
      <c r="E55" s="64">
        <f>408.3+200.4</f>
        <v>608.70000000000005</v>
      </c>
      <c r="F55" s="12">
        <v>11758.2</v>
      </c>
      <c r="G55" s="36" t="s">
        <v>10</v>
      </c>
      <c r="H55" s="40">
        <v>40436</v>
      </c>
      <c r="I55" s="3">
        <f t="shared" si="0"/>
        <v>121.74000000000001</v>
      </c>
    </row>
    <row r="56" spans="1:9">
      <c r="A56" s="36" t="s">
        <v>445</v>
      </c>
      <c r="B56" s="40">
        <v>40437</v>
      </c>
      <c r="C56" s="36" t="s">
        <v>446</v>
      </c>
      <c r="D56" s="36" t="s">
        <v>1107</v>
      </c>
      <c r="E56" s="64">
        <v>2114.6</v>
      </c>
      <c r="F56" s="12">
        <v>66609</v>
      </c>
      <c r="G56" s="36" t="s">
        <v>10</v>
      </c>
      <c r="H56" s="40">
        <v>40439</v>
      </c>
      <c r="I56" s="3">
        <f t="shared" si="0"/>
        <v>422.92</v>
      </c>
    </row>
    <row r="57" spans="1:9">
      <c r="A57" s="36" t="s">
        <v>393</v>
      </c>
      <c r="B57" s="40">
        <v>40439</v>
      </c>
      <c r="C57" s="36" t="s">
        <v>11</v>
      </c>
      <c r="D57" s="36" t="s">
        <v>214</v>
      </c>
      <c r="E57" s="64">
        <f>186.23+22.2+39.7+227.88</f>
        <v>476.01</v>
      </c>
      <c r="F57" s="12">
        <v>19827.5</v>
      </c>
      <c r="G57" s="36" t="s">
        <v>10</v>
      </c>
      <c r="H57" s="40">
        <v>40439</v>
      </c>
      <c r="I57" s="3">
        <f t="shared" si="0"/>
        <v>95.201999999999998</v>
      </c>
    </row>
    <row r="58" spans="1:9">
      <c r="A58" s="36" t="s">
        <v>447</v>
      </c>
      <c r="B58" s="40">
        <v>40441</v>
      </c>
      <c r="C58" s="36" t="s">
        <v>446</v>
      </c>
      <c r="D58" s="36" t="s">
        <v>357</v>
      </c>
      <c r="E58" s="64">
        <v>2153.1999999999998</v>
      </c>
      <c r="F58" s="12">
        <v>67825.8</v>
      </c>
      <c r="G58" s="36" t="s">
        <v>10</v>
      </c>
      <c r="H58" s="40">
        <v>40443</v>
      </c>
      <c r="I58" s="3">
        <f t="shared" si="0"/>
        <v>430.64</v>
      </c>
    </row>
    <row r="59" spans="1:9">
      <c r="B59" s="11"/>
      <c r="H59" s="11"/>
      <c r="I59" s="3">
        <f t="shared" si="0"/>
        <v>0</v>
      </c>
    </row>
    <row r="60" spans="1:9">
      <c r="I60" s="9"/>
    </row>
    <row r="61" spans="1:9" ht="15.75">
      <c r="E61" s="51">
        <f>SUM(E7:E60)</f>
        <v>57530.270000000011</v>
      </c>
      <c r="F61" s="5">
        <f>SUM(F7:F60)</f>
        <v>1688794.11</v>
      </c>
      <c r="G61" s="1"/>
      <c r="H61" s="15" t="s">
        <v>63</v>
      </c>
      <c r="I61" s="13">
        <f>SUM(I7:I60)</f>
        <v>11506.053999999996</v>
      </c>
    </row>
    <row r="66" spans="1:1">
      <c r="A66" s="18"/>
    </row>
  </sheetData>
  <sortState ref="A7:H59">
    <sortCondition ref="B7:B59"/>
  </sortState>
  <mergeCells count="1">
    <mergeCell ref="E5:F5"/>
  </mergeCells>
  <phoneticPr fontId="2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9"/>
  <sheetViews>
    <sheetView topLeftCell="A88" workbookViewId="0">
      <selection activeCell="A90" sqref="A90"/>
    </sheetView>
  </sheetViews>
  <sheetFormatPr baseColWidth="10" defaultRowHeight="15"/>
  <cols>
    <col min="1" max="1" width="9.7109375" style="2" customWidth="1"/>
    <col min="2" max="2" width="11" style="2" customWidth="1"/>
    <col min="3" max="3" width="12.7109375" style="2" customWidth="1"/>
    <col min="4" max="4" width="28.5703125" style="2" customWidth="1"/>
    <col min="5" max="5" width="11.42578125" style="53" customWidth="1"/>
    <col min="6" max="6" width="13.140625" style="3" customWidth="1"/>
    <col min="7" max="7" width="12.85546875" style="2" customWidth="1"/>
    <col min="8" max="8" width="13" style="2" customWidth="1"/>
    <col min="9" max="9" width="17.140625" style="2" customWidth="1"/>
    <col min="10" max="16384" width="11.42578125" style="2"/>
  </cols>
  <sheetData>
    <row r="1" spans="1:9">
      <c r="A1" s="17" t="s">
        <v>23</v>
      </c>
      <c r="B1" s="17"/>
      <c r="C1" s="17"/>
      <c r="D1" s="17"/>
      <c r="E1" s="68"/>
      <c r="F1" s="19"/>
      <c r="G1" s="19"/>
      <c r="H1" s="19"/>
      <c r="I1" s="17"/>
    </row>
    <row r="2" spans="1:9">
      <c r="A2" s="17"/>
      <c r="B2" s="17"/>
      <c r="C2" s="17"/>
      <c r="D2" s="17" t="s">
        <v>340</v>
      </c>
      <c r="E2" s="68"/>
      <c r="F2" s="19"/>
      <c r="G2" s="19"/>
      <c r="H2" s="19"/>
      <c r="I2" s="17"/>
    </row>
    <row r="3" spans="1:9">
      <c r="A3" s="20"/>
      <c r="B3" s="21"/>
      <c r="C3" s="21"/>
      <c r="D3" s="21"/>
      <c r="E3" s="68"/>
      <c r="F3" s="19"/>
      <c r="G3" s="22"/>
      <c r="H3" s="22"/>
      <c r="I3" s="17"/>
    </row>
    <row r="4" spans="1:9">
      <c r="A4" s="17"/>
      <c r="B4" s="17"/>
      <c r="C4" s="17"/>
      <c r="D4" s="17"/>
      <c r="E4" s="68"/>
      <c r="F4" s="19"/>
      <c r="G4" s="19"/>
      <c r="H4" s="19"/>
      <c r="I4" s="17"/>
    </row>
    <row r="5" spans="1:9">
      <c r="A5" s="17" t="s">
        <v>5</v>
      </c>
      <c r="B5" s="17" t="s">
        <v>0</v>
      </c>
      <c r="C5" s="17" t="s">
        <v>7</v>
      </c>
      <c r="D5" s="17" t="s">
        <v>9</v>
      </c>
      <c r="E5" s="123" t="s">
        <v>1</v>
      </c>
      <c r="F5" s="123"/>
      <c r="G5" s="23" t="s">
        <v>24</v>
      </c>
      <c r="H5" s="19" t="s">
        <v>3</v>
      </c>
      <c r="I5" s="17" t="s">
        <v>80</v>
      </c>
    </row>
    <row r="6" spans="1:9">
      <c r="A6" s="17"/>
      <c r="B6" s="17"/>
      <c r="C6" s="17"/>
      <c r="D6" s="17"/>
      <c r="E6" s="69" t="s">
        <v>6</v>
      </c>
      <c r="F6" s="19" t="s">
        <v>2</v>
      </c>
      <c r="G6" s="19"/>
      <c r="H6" s="19" t="s">
        <v>4</v>
      </c>
      <c r="I6" s="19">
        <v>0.2</v>
      </c>
    </row>
    <row r="7" spans="1:9">
      <c r="A7" s="29" t="s">
        <v>534</v>
      </c>
      <c r="B7" s="38">
        <v>40458</v>
      </c>
      <c r="C7" s="29" t="s">
        <v>11</v>
      </c>
      <c r="D7" s="29" t="s">
        <v>274</v>
      </c>
      <c r="E7" s="70">
        <f>43.88+81.66+266.06+5.44+108.88+27.22+30+100.9+93</f>
        <v>757.04</v>
      </c>
      <c r="F7" s="39">
        <v>22877</v>
      </c>
      <c r="G7" s="29" t="s">
        <v>10</v>
      </c>
      <c r="H7" s="38">
        <v>40464</v>
      </c>
      <c r="I7" s="25">
        <f>$I$6*E7</f>
        <v>151.40799999999999</v>
      </c>
    </row>
    <row r="8" spans="1:9">
      <c r="A8" s="29" t="s">
        <v>515</v>
      </c>
      <c r="B8" s="38">
        <v>40399</v>
      </c>
      <c r="C8" s="29" t="s">
        <v>11</v>
      </c>
      <c r="D8" s="29" t="s">
        <v>423</v>
      </c>
      <c r="E8" s="70">
        <f>586+705.5</f>
        <v>1291.5</v>
      </c>
      <c r="F8" s="39">
        <v>19839</v>
      </c>
      <c r="G8" s="29" t="s">
        <v>10</v>
      </c>
      <c r="H8" s="38">
        <v>40473</v>
      </c>
      <c r="I8" s="25">
        <f>$I$6*E8</f>
        <v>258.3</v>
      </c>
    </row>
    <row r="9" spans="1:9">
      <c r="A9" s="29" t="s">
        <v>520</v>
      </c>
      <c r="B9" s="38">
        <v>40413</v>
      </c>
      <c r="C9" s="29" t="s">
        <v>11</v>
      </c>
      <c r="D9" s="29" t="s">
        <v>360</v>
      </c>
      <c r="E9" s="70">
        <f>440.5+433.5</f>
        <v>874</v>
      </c>
      <c r="F9" s="39">
        <v>13557.5</v>
      </c>
      <c r="G9" s="29" t="s">
        <v>10</v>
      </c>
      <c r="H9" s="38">
        <v>40450</v>
      </c>
      <c r="I9" s="25">
        <f t="shared" ref="I9:I72" si="0">$I$6*E9</f>
        <v>174.8</v>
      </c>
    </row>
    <row r="10" spans="1:9">
      <c r="A10" s="29" t="s">
        <v>474</v>
      </c>
      <c r="B10" s="38">
        <v>40415</v>
      </c>
      <c r="C10" s="29" t="s">
        <v>347</v>
      </c>
      <c r="D10" s="29" t="s">
        <v>1109</v>
      </c>
      <c r="E10" s="70">
        <v>0</v>
      </c>
      <c r="F10" s="39">
        <v>26340</v>
      </c>
      <c r="G10" s="29" t="s">
        <v>1110</v>
      </c>
      <c r="H10" s="38">
        <v>40427</v>
      </c>
      <c r="I10" s="25">
        <f t="shared" si="0"/>
        <v>0</v>
      </c>
    </row>
    <row r="11" spans="1:9">
      <c r="A11" s="29" t="s">
        <v>561</v>
      </c>
      <c r="B11" s="38">
        <v>40418</v>
      </c>
      <c r="C11" s="29" t="s">
        <v>268</v>
      </c>
      <c r="D11" s="29" t="s">
        <v>35</v>
      </c>
      <c r="E11" s="70">
        <v>320.8</v>
      </c>
      <c r="F11" s="39">
        <v>12339</v>
      </c>
      <c r="G11" s="29" t="s">
        <v>10</v>
      </c>
      <c r="H11" s="38">
        <v>40465</v>
      </c>
      <c r="I11" s="25">
        <f t="shared" si="0"/>
        <v>64.160000000000011</v>
      </c>
    </row>
    <row r="12" spans="1:9">
      <c r="A12" s="29" t="s">
        <v>524</v>
      </c>
      <c r="B12" s="38">
        <v>40425</v>
      </c>
      <c r="C12" s="29" t="s">
        <v>11</v>
      </c>
      <c r="D12" s="29" t="s">
        <v>299</v>
      </c>
      <c r="E12" s="70">
        <v>922.6</v>
      </c>
      <c r="F12" s="39">
        <v>28139.5</v>
      </c>
      <c r="G12" s="29" t="s">
        <v>10</v>
      </c>
      <c r="H12" s="38">
        <v>40453</v>
      </c>
      <c r="I12" s="25">
        <f t="shared" si="0"/>
        <v>184.52</v>
      </c>
    </row>
    <row r="13" spans="1:9">
      <c r="A13" s="29" t="s">
        <v>475</v>
      </c>
      <c r="B13" s="38">
        <v>40427</v>
      </c>
      <c r="C13" s="29" t="s">
        <v>11</v>
      </c>
      <c r="D13" s="29" t="s">
        <v>25</v>
      </c>
      <c r="E13" s="70">
        <f>379.5+307.1+311.5+264.3+453+928.5+108.88+27.22</f>
        <v>2780</v>
      </c>
      <c r="F13" s="39">
        <v>88459.34</v>
      </c>
      <c r="G13" s="29" t="s">
        <v>10</v>
      </c>
      <c r="H13" s="38">
        <v>40446</v>
      </c>
      <c r="I13" s="25">
        <f t="shared" si="0"/>
        <v>556</v>
      </c>
    </row>
    <row r="14" spans="1:9">
      <c r="A14" s="29" t="s">
        <v>516</v>
      </c>
      <c r="B14" s="38">
        <v>40427</v>
      </c>
      <c r="C14" s="29" t="s">
        <v>11</v>
      </c>
      <c r="D14" s="29" t="s">
        <v>32</v>
      </c>
      <c r="E14" s="70">
        <f>265.5+27.22+219+846.4+929+70</f>
        <v>2357.12</v>
      </c>
      <c r="F14" s="39">
        <v>77916.5</v>
      </c>
      <c r="G14" s="29" t="s">
        <v>10</v>
      </c>
      <c r="H14" s="38">
        <v>40439</v>
      </c>
      <c r="I14" s="25">
        <f t="shared" si="0"/>
        <v>471.42399999999998</v>
      </c>
    </row>
    <row r="15" spans="1:9">
      <c r="A15" s="29" t="s">
        <v>476</v>
      </c>
      <c r="B15" s="38">
        <v>40427</v>
      </c>
      <c r="C15" s="38" t="s">
        <v>11</v>
      </c>
      <c r="D15" s="29" t="s">
        <v>425</v>
      </c>
      <c r="E15" s="70">
        <f>138.6+261+272.2+924</f>
        <v>1595.8</v>
      </c>
      <c r="F15" s="39">
        <v>41266.6</v>
      </c>
      <c r="G15" s="39" t="s">
        <v>10</v>
      </c>
      <c r="H15" s="41">
        <v>40450</v>
      </c>
      <c r="I15" s="25">
        <f t="shared" si="0"/>
        <v>319.16000000000003</v>
      </c>
    </row>
    <row r="16" spans="1:9">
      <c r="A16" s="29" t="s">
        <v>504</v>
      </c>
      <c r="B16" s="38">
        <v>40430</v>
      </c>
      <c r="C16" s="29" t="s">
        <v>11</v>
      </c>
      <c r="D16" s="29" t="s">
        <v>1108</v>
      </c>
      <c r="E16" s="70">
        <v>3472.58</v>
      </c>
      <c r="F16" s="39">
        <v>110430.9</v>
      </c>
      <c r="G16" s="29" t="s">
        <v>10</v>
      </c>
      <c r="H16" s="38">
        <v>40432</v>
      </c>
      <c r="I16" s="25">
        <f t="shared" si="0"/>
        <v>694.51600000000008</v>
      </c>
    </row>
    <row r="17" spans="1:9">
      <c r="A17" s="29" t="s">
        <v>483</v>
      </c>
      <c r="B17" s="38">
        <v>40430</v>
      </c>
      <c r="C17" s="29" t="s">
        <v>11</v>
      </c>
      <c r="D17" s="29" t="s">
        <v>25</v>
      </c>
      <c r="E17" s="70">
        <v>1886.96</v>
      </c>
      <c r="F17" s="39">
        <v>56470.27</v>
      </c>
      <c r="G17" s="29" t="s">
        <v>10</v>
      </c>
      <c r="H17" s="38">
        <v>40457</v>
      </c>
      <c r="I17" s="25">
        <f t="shared" si="0"/>
        <v>377.39200000000005</v>
      </c>
    </row>
    <row r="18" spans="1:9">
      <c r="A18" s="29" t="s">
        <v>505</v>
      </c>
      <c r="B18" s="38">
        <v>40430</v>
      </c>
      <c r="C18" s="29" t="s">
        <v>11</v>
      </c>
      <c r="D18" s="29" t="s">
        <v>423</v>
      </c>
      <c r="E18" s="70">
        <f>233.6+272.2</f>
        <v>505.79999999999995</v>
      </c>
      <c r="F18" s="39">
        <v>9259.7999999999993</v>
      </c>
      <c r="G18" s="29" t="s">
        <v>10</v>
      </c>
      <c r="H18" s="38">
        <v>40441</v>
      </c>
      <c r="I18" s="25">
        <f t="shared" si="0"/>
        <v>101.16</v>
      </c>
    </row>
    <row r="19" spans="1:9">
      <c r="A19" s="29" t="s">
        <v>514</v>
      </c>
      <c r="B19" s="38">
        <v>40430</v>
      </c>
      <c r="C19" s="29" t="s">
        <v>11</v>
      </c>
      <c r="D19" s="29" t="s">
        <v>25</v>
      </c>
      <c r="E19" s="70">
        <f>56.76+61.82+351.5</f>
        <v>470.08</v>
      </c>
      <c r="F19" s="39">
        <v>9888.64</v>
      </c>
      <c r="G19" s="29" t="s">
        <v>10</v>
      </c>
      <c r="H19" s="38"/>
      <c r="I19" s="25">
        <f t="shared" si="0"/>
        <v>94.016000000000005</v>
      </c>
    </row>
    <row r="20" spans="1:9">
      <c r="A20" s="29" t="s">
        <v>525</v>
      </c>
      <c r="B20" s="38">
        <v>40432</v>
      </c>
      <c r="C20" s="29" t="s">
        <v>11</v>
      </c>
      <c r="D20" s="29" t="s">
        <v>171</v>
      </c>
      <c r="E20" s="70">
        <f>942+108.88</f>
        <v>1050.8800000000001</v>
      </c>
      <c r="F20" s="39">
        <v>16977.5</v>
      </c>
      <c r="G20" s="29" t="s">
        <v>10</v>
      </c>
      <c r="H20" s="38">
        <v>40453</v>
      </c>
      <c r="I20" s="25">
        <f t="shared" si="0"/>
        <v>210.17600000000004</v>
      </c>
    </row>
    <row r="21" spans="1:9">
      <c r="A21" s="29" t="s">
        <v>507</v>
      </c>
      <c r="B21" s="38">
        <v>40434</v>
      </c>
      <c r="C21" s="29" t="s">
        <v>11</v>
      </c>
      <c r="D21" s="29" t="s">
        <v>32</v>
      </c>
      <c r="E21" s="70">
        <f>1140.5+164+151.1+124</f>
        <v>1579.6</v>
      </c>
      <c r="F21" s="39">
        <v>51595</v>
      </c>
      <c r="G21" s="29" t="s">
        <v>10</v>
      </c>
      <c r="H21" s="38">
        <v>40443</v>
      </c>
      <c r="I21" s="25">
        <f t="shared" si="0"/>
        <v>315.92</v>
      </c>
    </row>
    <row r="22" spans="1:9">
      <c r="A22" s="29" t="s">
        <v>494</v>
      </c>
      <c r="B22" s="38">
        <v>40434</v>
      </c>
      <c r="C22" s="29" t="s">
        <v>11</v>
      </c>
      <c r="D22" s="29" t="s">
        <v>25</v>
      </c>
      <c r="E22" s="70">
        <f>105.48+152.88+343.48</f>
        <v>601.84</v>
      </c>
      <c r="F22" s="39">
        <v>15846.44</v>
      </c>
      <c r="G22" s="29" t="s">
        <v>10</v>
      </c>
      <c r="H22" s="38">
        <v>40460</v>
      </c>
      <c r="I22" s="25">
        <f t="shared" si="0"/>
        <v>120.36800000000001</v>
      </c>
    </row>
    <row r="23" spans="1:9">
      <c r="A23" s="29" t="s">
        <v>510</v>
      </c>
      <c r="B23" s="38">
        <v>40434</v>
      </c>
      <c r="C23" s="29" t="s">
        <v>11</v>
      </c>
      <c r="D23" s="29" t="s">
        <v>353</v>
      </c>
      <c r="E23" s="70">
        <f>163.32+54.44+136.1</f>
        <v>353.86</v>
      </c>
      <c r="F23" s="39">
        <v>9880.86</v>
      </c>
      <c r="G23" s="29" t="s">
        <v>10</v>
      </c>
      <c r="H23" s="38">
        <v>40450</v>
      </c>
      <c r="I23" s="25">
        <f t="shared" si="0"/>
        <v>70.772000000000006</v>
      </c>
    </row>
    <row r="24" spans="1:9">
      <c r="A24" s="29" t="s">
        <v>517</v>
      </c>
      <c r="B24" s="38">
        <v>40435</v>
      </c>
      <c r="C24" s="29" t="s">
        <v>518</v>
      </c>
      <c r="D24" s="29" t="s">
        <v>35</v>
      </c>
      <c r="E24" s="70">
        <v>189.4</v>
      </c>
      <c r="F24" s="39">
        <v>7008</v>
      </c>
      <c r="G24" s="29" t="s">
        <v>10</v>
      </c>
      <c r="H24" s="38"/>
      <c r="I24" s="25">
        <f t="shared" si="0"/>
        <v>37.880000000000003</v>
      </c>
    </row>
    <row r="25" spans="1:9">
      <c r="A25" s="29" t="s">
        <v>519</v>
      </c>
      <c r="B25" s="38">
        <v>40435</v>
      </c>
      <c r="C25" s="29" t="s">
        <v>203</v>
      </c>
      <c r="D25" s="29" t="s">
        <v>35</v>
      </c>
      <c r="E25" s="70">
        <v>179.3</v>
      </c>
      <c r="F25" s="39">
        <v>6093</v>
      </c>
      <c r="G25" s="29" t="s">
        <v>10</v>
      </c>
      <c r="H25" s="38"/>
      <c r="I25" s="25">
        <f t="shared" si="0"/>
        <v>35.860000000000007</v>
      </c>
    </row>
    <row r="26" spans="1:9">
      <c r="A26" s="29" t="s">
        <v>506</v>
      </c>
      <c r="B26" s="38">
        <v>40437</v>
      </c>
      <c r="C26" s="29" t="s">
        <v>11</v>
      </c>
      <c r="D26" s="29" t="s">
        <v>274</v>
      </c>
      <c r="E26" s="70">
        <v>1929.95</v>
      </c>
      <c r="F26" s="39">
        <v>75023.5</v>
      </c>
      <c r="G26" s="29" t="s">
        <v>10</v>
      </c>
      <c r="H26" s="38">
        <v>40437</v>
      </c>
      <c r="I26" s="25">
        <f t="shared" si="0"/>
        <v>385.99</v>
      </c>
    </row>
    <row r="27" spans="1:9">
      <c r="A27" s="29" t="s">
        <v>478</v>
      </c>
      <c r="B27" s="38">
        <v>40437</v>
      </c>
      <c r="C27" s="29" t="s">
        <v>11</v>
      </c>
      <c r="D27" s="29" t="s">
        <v>32</v>
      </c>
      <c r="E27" s="70">
        <f>321.3+866.3+210.5+268.93</f>
        <v>1667.03</v>
      </c>
      <c r="F27" s="39">
        <v>53476</v>
      </c>
      <c r="G27" s="29" t="s">
        <v>10</v>
      </c>
      <c r="H27" s="38">
        <v>40446</v>
      </c>
      <c r="I27" s="25">
        <f t="shared" si="0"/>
        <v>333.40600000000001</v>
      </c>
    </row>
    <row r="28" spans="1:9">
      <c r="A28" s="29" t="s">
        <v>567</v>
      </c>
      <c r="B28" s="38">
        <v>40437</v>
      </c>
      <c r="C28" s="29" t="s">
        <v>11</v>
      </c>
      <c r="D28" s="29" t="s">
        <v>25</v>
      </c>
      <c r="E28" s="70">
        <f>272.2+285.5+222+182.5+163.64</f>
        <v>1125.8400000000001</v>
      </c>
      <c r="F28" s="39">
        <v>28900.53</v>
      </c>
      <c r="G28" s="29" t="s">
        <v>10</v>
      </c>
      <c r="H28" s="38">
        <v>40465</v>
      </c>
      <c r="I28" s="25">
        <f t="shared" si="0"/>
        <v>225.16800000000003</v>
      </c>
    </row>
    <row r="29" spans="1:9">
      <c r="A29" s="29" t="s">
        <v>523</v>
      </c>
      <c r="B29" s="38">
        <v>40441</v>
      </c>
      <c r="C29" s="29" t="s">
        <v>11</v>
      </c>
      <c r="D29" s="29" t="s">
        <v>32</v>
      </c>
      <c r="E29" s="70">
        <f>1267.9+164.82+27.22+152.24+928.5+83.32</f>
        <v>2624.0000000000005</v>
      </c>
      <c r="F29" s="39">
        <v>87447</v>
      </c>
      <c r="G29" s="29" t="s">
        <v>10</v>
      </c>
      <c r="H29" s="38">
        <v>40450</v>
      </c>
      <c r="I29" s="25">
        <f t="shared" si="0"/>
        <v>524.80000000000007</v>
      </c>
    </row>
    <row r="30" spans="1:9">
      <c r="A30" s="29" t="s">
        <v>479</v>
      </c>
      <c r="B30" s="38">
        <v>40441</v>
      </c>
      <c r="C30" s="29" t="s">
        <v>11</v>
      </c>
      <c r="D30" s="29" t="s">
        <v>274</v>
      </c>
      <c r="E30" s="70">
        <v>2424.62</v>
      </c>
      <c r="F30" s="39">
        <v>74175</v>
      </c>
      <c r="G30" s="29" t="s">
        <v>10</v>
      </c>
      <c r="H30" s="38">
        <v>40446</v>
      </c>
      <c r="I30" s="25">
        <f t="shared" si="0"/>
        <v>484.92399999999998</v>
      </c>
    </row>
    <row r="31" spans="1:9">
      <c r="A31" s="29" t="s">
        <v>499</v>
      </c>
      <c r="B31" s="38">
        <v>40441</v>
      </c>
      <c r="C31" s="29" t="s">
        <v>347</v>
      </c>
      <c r="D31" s="29" t="s">
        <v>64</v>
      </c>
      <c r="E31" s="70">
        <v>917.1</v>
      </c>
      <c r="F31" s="39">
        <v>28888.5</v>
      </c>
      <c r="G31" s="29" t="s">
        <v>10</v>
      </c>
      <c r="H31" s="38">
        <v>40446</v>
      </c>
      <c r="I31" s="25">
        <f t="shared" si="0"/>
        <v>183.42000000000002</v>
      </c>
    </row>
    <row r="32" spans="1:9">
      <c r="A32" s="29" t="s">
        <v>508</v>
      </c>
      <c r="B32" s="38">
        <v>40441</v>
      </c>
      <c r="C32" s="29" t="s">
        <v>11</v>
      </c>
      <c r="D32" s="29" t="s">
        <v>171</v>
      </c>
      <c r="E32" s="70">
        <f>582+98</f>
        <v>680</v>
      </c>
      <c r="F32" s="39">
        <v>10736</v>
      </c>
      <c r="G32" s="29" t="s">
        <v>10</v>
      </c>
      <c r="H32" s="38">
        <v>40443</v>
      </c>
      <c r="I32" s="25">
        <f t="shared" si="0"/>
        <v>136</v>
      </c>
    </row>
    <row r="33" spans="1:9">
      <c r="A33" s="29" t="s">
        <v>481</v>
      </c>
      <c r="B33" s="38">
        <v>40441</v>
      </c>
      <c r="C33" s="38" t="s">
        <v>11</v>
      </c>
      <c r="D33" s="29" t="s">
        <v>423</v>
      </c>
      <c r="E33" s="70">
        <f>389.8+90.5</f>
        <v>480.3</v>
      </c>
      <c r="F33" s="39">
        <v>10107.299999999999</v>
      </c>
      <c r="G33" s="39" t="s">
        <v>10</v>
      </c>
      <c r="H33" s="41">
        <v>40446</v>
      </c>
      <c r="I33" s="25">
        <f t="shared" si="0"/>
        <v>96.06</v>
      </c>
    </row>
    <row r="34" spans="1:9">
      <c r="A34" s="29" t="s">
        <v>477</v>
      </c>
      <c r="B34" s="38">
        <v>40441</v>
      </c>
      <c r="C34" s="29" t="s">
        <v>11</v>
      </c>
      <c r="D34" s="29" t="s">
        <v>413</v>
      </c>
      <c r="E34" s="70">
        <f>303.74+34.06</f>
        <v>337.8</v>
      </c>
      <c r="F34" s="39">
        <v>12399</v>
      </c>
      <c r="G34" s="29" t="s">
        <v>10</v>
      </c>
      <c r="H34" s="38">
        <v>40446</v>
      </c>
      <c r="I34" s="25">
        <f t="shared" si="0"/>
        <v>67.56</v>
      </c>
    </row>
    <row r="35" spans="1:9">
      <c r="A35" s="29" t="s">
        <v>533</v>
      </c>
      <c r="B35" s="38">
        <v>40443</v>
      </c>
      <c r="C35" s="29" t="s">
        <v>11</v>
      </c>
      <c r="D35" s="29" t="s">
        <v>360</v>
      </c>
      <c r="E35" s="70">
        <v>512</v>
      </c>
      <c r="F35" s="39">
        <v>8192</v>
      </c>
      <c r="G35" s="29" t="s">
        <v>10</v>
      </c>
      <c r="H35" s="38">
        <v>40464</v>
      </c>
      <c r="I35" s="25">
        <f t="shared" si="0"/>
        <v>102.4</v>
      </c>
    </row>
    <row r="36" spans="1:9">
      <c r="A36" s="29" t="s">
        <v>480</v>
      </c>
      <c r="B36" s="38">
        <v>40444</v>
      </c>
      <c r="C36" s="29" t="s">
        <v>356</v>
      </c>
      <c r="D36" s="29" t="s">
        <v>357</v>
      </c>
      <c r="E36" s="70">
        <v>2548.8000000000002</v>
      </c>
      <c r="F36" s="39">
        <v>80287.199999999997</v>
      </c>
      <c r="G36" s="29" t="s">
        <v>10</v>
      </c>
      <c r="H36" s="38">
        <v>40446</v>
      </c>
      <c r="I36" s="25">
        <f t="shared" si="0"/>
        <v>509.76000000000005</v>
      </c>
    </row>
    <row r="37" spans="1:9">
      <c r="A37" s="29" t="s">
        <v>489</v>
      </c>
      <c r="B37" s="38">
        <v>40444</v>
      </c>
      <c r="C37" s="29" t="s">
        <v>11</v>
      </c>
      <c r="D37" s="29" t="s">
        <v>32</v>
      </c>
      <c r="E37" s="70">
        <f>273.56+396.2+224.3+397.5+929.9</f>
        <v>2221.46</v>
      </c>
      <c r="F37" s="39">
        <v>70223</v>
      </c>
      <c r="G37" s="29" t="s">
        <v>10</v>
      </c>
      <c r="H37" s="38">
        <v>40457</v>
      </c>
      <c r="I37" s="25">
        <f t="shared" si="0"/>
        <v>444.29200000000003</v>
      </c>
    </row>
    <row r="38" spans="1:9">
      <c r="A38" s="29" t="s">
        <v>351</v>
      </c>
      <c r="B38" s="38">
        <v>40444</v>
      </c>
      <c r="C38" s="29" t="s">
        <v>11</v>
      </c>
      <c r="D38" s="29" t="s">
        <v>274</v>
      </c>
      <c r="E38" s="70">
        <f>209.34+70.98+201.34+934.8+432.46+59.94+54.44+54.44+126.1</f>
        <v>2143.84</v>
      </c>
      <c r="F38" s="39">
        <v>71105</v>
      </c>
      <c r="G38" s="29" t="s">
        <v>10</v>
      </c>
      <c r="H38" s="38">
        <v>40450</v>
      </c>
      <c r="I38" s="25">
        <f t="shared" si="0"/>
        <v>428.76800000000003</v>
      </c>
    </row>
    <row r="39" spans="1:9">
      <c r="A39" s="29" t="s">
        <v>485</v>
      </c>
      <c r="B39" s="38">
        <v>40444</v>
      </c>
      <c r="C39" s="29" t="s">
        <v>11</v>
      </c>
      <c r="D39" s="29" t="s">
        <v>353</v>
      </c>
      <c r="E39" s="70">
        <f>136.1+326.64+32.64</f>
        <v>495.38</v>
      </c>
      <c r="F39" s="39">
        <v>13085.18</v>
      </c>
      <c r="G39" s="29" t="s">
        <v>10</v>
      </c>
      <c r="H39" s="38">
        <v>40457</v>
      </c>
      <c r="I39" s="25">
        <f t="shared" si="0"/>
        <v>99.076000000000008</v>
      </c>
    </row>
    <row r="40" spans="1:9">
      <c r="A40" s="29" t="s">
        <v>521</v>
      </c>
      <c r="B40" s="38">
        <v>40444</v>
      </c>
      <c r="C40" s="29" t="s">
        <v>522</v>
      </c>
      <c r="D40" s="29" t="s">
        <v>413</v>
      </c>
      <c r="E40" s="70">
        <v>305</v>
      </c>
      <c r="F40" s="39">
        <v>10980</v>
      </c>
      <c r="G40" s="29" t="s">
        <v>10</v>
      </c>
      <c r="H40" s="38">
        <v>40450</v>
      </c>
      <c r="I40" s="25">
        <f t="shared" si="0"/>
        <v>61</v>
      </c>
    </row>
    <row r="41" spans="1:9">
      <c r="A41" s="29" t="s">
        <v>498</v>
      </c>
      <c r="B41" s="38">
        <v>40444</v>
      </c>
      <c r="C41" s="29" t="s">
        <v>250</v>
      </c>
      <c r="D41" s="29" t="s">
        <v>64</v>
      </c>
      <c r="E41" s="70">
        <v>213.3</v>
      </c>
      <c r="F41" s="39">
        <v>3946</v>
      </c>
      <c r="G41" s="29" t="s">
        <v>10</v>
      </c>
      <c r="H41" s="38">
        <v>40446</v>
      </c>
      <c r="I41" s="25">
        <f t="shared" si="0"/>
        <v>42.660000000000004</v>
      </c>
    </row>
    <row r="42" spans="1:9">
      <c r="A42" s="38" t="s">
        <v>482</v>
      </c>
      <c r="B42" s="38">
        <v>40444</v>
      </c>
      <c r="C42" s="29" t="s">
        <v>11</v>
      </c>
      <c r="D42" s="29" t="s">
        <v>423</v>
      </c>
      <c r="E42" s="70">
        <f>125.1+84</f>
        <v>209.1</v>
      </c>
      <c r="F42" s="39">
        <v>7441.8</v>
      </c>
      <c r="G42" s="29" t="s">
        <v>10</v>
      </c>
      <c r="H42" s="38">
        <v>40446</v>
      </c>
      <c r="I42" s="25">
        <f t="shared" si="0"/>
        <v>41.82</v>
      </c>
    </row>
    <row r="43" spans="1:9">
      <c r="A43" s="29" t="s">
        <v>502</v>
      </c>
      <c r="B43" s="38">
        <v>40446</v>
      </c>
      <c r="C43" s="29" t="s">
        <v>11</v>
      </c>
      <c r="D43" s="29" t="s">
        <v>32</v>
      </c>
      <c r="E43" s="70">
        <f>1178.7+206.94+241.68+63.5+54.44</f>
        <v>1745.2600000000002</v>
      </c>
      <c r="F43" s="39">
        <v>58342</v>
      </c>
      <c r="G43" s="29" t="s">
        <v>10</v>
      </c>
      <c r="H43" s="38">
        <v>40457</v>
      </c>
      <c r="I43" s="25">
        <f t="shared" si="0"/>
        <v>349.05200000000008</v>
      </c>
    </row>
    <row r="44" spans="1:9">
      <c r="A44" s="29" t="s">
        <v>503</v>
      </c>
      <c r="B44" s="38">
        <v>40446</v>
      </c>
      <c r="C44" s="29" t="s">
        <v>11</v>
      </c>
      <c r="D44" s="29" t="s">
        <v>274</v>
      </c>
      <c r="E44" s="70">
        <f>341.76+922.6+44.36+27.22+10+108.88+136.1+104.96</f>
        <v>1695.88</v>
      </c>
      <c r="F44" s="39">
        <v>49479.5</v>
      </c>
      <c r="G44" s="29" t="s">
        <v>10</v>
      </c>
      <c r="H44" s="38">
        <v>40457</v>
      </c>
      <c r="I44" s="25">
        <f t="shared" si="0"/>
        <v>339.17600000000004</v>
      </c>
    </row>
    <row r="45" spans="1:9">
      <c r="A45" s="29" t="s">
        <v>500</v>
      </c>
      <c r="B45" s="38">
        <v>40446</v>
      </c>
      <c r="C45" s="29" t="s">
        <v>501</v>
      </c>
      <c r="D45" s="29" t="s">
        <v>35</v>
      </c>
      <c r="E45" s="70">
        <v>131.96</v>
      </c>
      <c r="F45" s="39">
        <v>4882.5</v>
      </c>
      <c r="G45" s="29" t="s">
        <v>10</v>
      </c>
      <c r="H45" s="38">
        <v>40446</v>
      </c>
      <c r="I45" s="25">
        <f t="shared" si="0"/>
        <v>26.392000000000003</v>
      </c>
    </row>
    <row r="46" spans="1:9">
      <c r="A46" s="29" t="s">
        <v>403</v>
      </c>
      <c r="B46" s="38">
        <v>40447</v>
      </c>
      <c r="C46" s="29" t="s">
        <v>11</v>
      </c>
      <c r="D46" s="29" t="s">
        <v>423</v>
      </c>
      <c r="E46" s="70">
        <f>116.4+376+91+9.76</f>
        <v>593.16</v>
      </c>
      <c r="F46" s="39">
        <v>14710.88</v>
      </c>
      <c r="G46" s="29" t="s">
        <v>10</v>
      </c>
      <c r="H46" s="38">
        <v>40457</v>
      </c>
      <c r="I46" s="25">
        <f t="shared" si="0"/>
        <v>118.63200000000001</v>
      </c>
    </row>
    <row r="47" spans="1:9">
      <c r="A47" s="29" t="s">
        <v>512</v>
      </c>
      <c r="B47" s="38">
        <v>40448</v>
      </c>
      <c r="C47" s="29" t="s">
        <v>11</v>
      </c>
      <c r="D47" s="29" t="s">
        <v>357</v>
      </c>
      <c r="E47" s="70">
        <v>2552.3000000000002</v>
      </c>
      <c r="F47" s="39">
        <v>80397.45</v>
      </c>
      <c r="G47" s="39" t="s">
        <v>10</v>
      </c>
      <c r="H47" s="38">
        <v>40450</v>
      </c>
      <c r="I47" s="25">
        <f t="shared" si="0"/>
        <v>510.46000000000004</v>
      </c>
    </row>
    <row r="48" spans="1:9">
      <c r="A48" s="29" t="s">
        <v>541</v>
      </c>
      <c r="B48" s="38">
        <v>40448</v>
      </c>
      <c r="C48" s="29" t="s">
        <v>11</v>
      </c>
      <c r="D48" s="29" t="s">
        <v>360</v>
      </c>
      <c r="E48" s="70">
        <v>714</v>
      </c>
      <c r="F48" s="39">
        <v>11424</v>
      </c>
      <c r="G48" s="29" t="s">
        <v>10</v>
      </c>
      <c r="H48" s="38">
        <v>40471</v>
      </c>
      <c r="I48" s="25">
        <f t="shared" si="0"/>
        <v>142.80000000000001</v>
      </c>
    </row>
    <row r="49" spans="1:9">
      <c r="A49" s="29" t="s">
        <v>511</v>
      </c>
      <c r="B49" s="38">
        <v>40448</v>
      </c>
      <c r="C49" s="29" t="s">
        <v>11</v>
      </c>
      <c r="D49" s="29" t="s">
        <v>13</v>
      </c>
      <c r="E49" s="70">
        <f>67.75+272.2+68.05+205.22</f>
        <v>613.22</v>
      </c>
      <c r="F49" s="39">
        <v>15114.14</v>
      </c>
      <c r="G49" s="29" t="s">
        <v>10</v>
      </c>
      <c r="H49" s="38">
        <v>40450</v>
      </c>
      <c r="I49" s="25">
        <f t="shared" si="0"/>
        <v>122.64400000000001</v>
      </c>
    </row>
    <row r="50" spans="1:9">
      <c r="A50" s="29" t="s">
        <v>394</v>
      </c>
      <c r="B50" s="38">
        <v>40448</v>
      </c>
      <c r="C50" s="29" t="s">
        <v>203</v>
      </c>
      <c r="D50" s="29" t="s">
        <v>35</v>
      </c>
      <c r="E50" s="70">
        <v>102.5</v>
      </c>
      <c r="F50" s="39">
        <v>3895</v>
      </c>
      <c r="G50" s="29" t="s">
        <v>10</v>
      </c>
      <c r="H50" s="38">
        <v>40448</v>
      </c>
      <c r="I50" s="25">
        <f t="shared" si="0"/>
        <v>20.5</v>
      </c>
    </row>
    <row r="51" spans="1:9">
      <c r="A51" s="29" t="s">
        <v>513</v>
      </c>
      <c r="B51" s="38">
        <v>40448</v>
      </c>
      <c r="C51" s="29" t="s">
        <v>11</v>
      </c>
      <c r="D51" s="29" t="s">
        <v>12</v>
      </c>
      <c r="E51" s="70">
        <f>70.48+16.32</f>
        <v>86.800000000000011</v>
      </c>
      <c r="F51" s="39">
        <v>2038.16</v>
      </c>
      <c r="G51" s="29" t="s">
        <v>10</v>
      </c>
      <c r="H51" s="38">
        <v>40480</v>
      </c>
      <c r="I51" s="25">
        <f t="shared" si="0"/>
        <v>17.360000000000003</v>
      </c>
    </row>
    <row r="52" spans="1:9">
      <c r="A52" s="29" t="s">
        <v>488</v>
      </c>
      <c r="B52" s="38">
        <v>40449</v>
      </c>
      <c r="C52" s="29" t="s">
        <v>11</v>
      </c>
      <c r="D52" s="29" t="s">
        <v>35</v>
      </c>
      <c r="E52" s="70">
        <f>89.3+121</f>
        <v>210.3</v>
      </c>
      <c r="F52" s="39">
        <v>7366.5</v>
      </c>
      <c r="G52" s="29" t="s">
        <v>10</v>
      </c>
      <c r="H52" s="38"/>
      <c r="I52" s="25">
        <f t="shared" si="0"/>
        <v>42.06</v>
      </c>
    </row>
    <row r="53" spans="1:9">
      <c r="A53" s="29" t="s">
        <v>509</v>
      </c>
      <c r="B53" s="38">
        <v>40451</v>
      </c>
      <c r="C53" s="29" t="s">
        <v>356</v>
      </c>
      <c r="D53" s="29" t="s">
        <v>357</v>
      </c>
      <c r="E53" s="70">
        <v>2478.1</v>
      </c>
      <c r="F53" s="39">
        <v>78060.149999999994</v>
      </c>
      <c r="G53" s="29" t="s">
        <v>10</v>
      </c>
      <c r="H53" s="38">
        <v>40453</v>
      </c>
      <c r="I53" s="25">
        <f t="shared" si="0"/>
        <v>495.62</v>
      </c>
    </row>
    <row r="54" spans="1:9">
      <c r="A54" s="29" t="s">
        <v>495</v>
      </c>
      <c r="B54" s="38">
        <v>40451</v>
      </c>
      <c r="C54" s="29" t="s">
        <v>11</v>
      </c>
      <c r="D54" s="29" t="s">
        <v>274</v>
      </c>
      <c r="E54" s="70">
        <v>1715.85</v>
      </c>
      <c r="F54" s="39">
        <v>51695</v>
      </c>
      <c r="G54" s="29" t="s">
        <v>10</v>
      </c>
      <c r="H54" s="38">
        <v>40460</v>
      </c>
      <c r="I54" s="25">
        <f t="shared" si="0"/>
        <v>343.17</v>
      </c>
    </row>
    <row r="55" spans="1:9">
      <c r="A55" s="29" t="s">
        <v>496</v>
      </c>
      <c r="B55" s="38">
        <v>40451</v>
      </c>
      <c r="C55" s="29" t="s">
        <v>11</v>
      </c>
      <c r="D55" s="29" t="s">
        <v>32</v>
      </c>
      <c r="E55" s="70">
        <f>777.32+389+211.1+54.44+151.22+53.3</f>
        <v>1636.38</v>
      </c>
      <c r="F55" s="39">
        <v>47015</v>
      </c>
      <c r="G55" s="29" t="s">
        <v>10</v>
      </c>
      <c r="H55" s="38">
        <v>40460</v>
      </c>
      <c r="I55" s="25">
        <f t="shared" si="0"/>
        <v>327.27600000000007</v>
      </c>
    </row>
    <row r="56" spans="1:9">
      <c r="A56" s="29" t="s">
        <v>566</v>
      </c>
      <c r="B56" s="38">
        <v>40451</v>
      </c>
      <c r="C56" s="29" t="s">
        <v>11</v>
      </c>
      <c r="D56" s="29" t="s">
        <v>25</v>
      </c>
      <c r="E56" s="70">
        <f>853.51+136.1+27.2</f>
        <v>1016.8100000000001</v>
      </c>
      <c r="F56" s="39">
        <v>29164.45</v>
      </c>
      <c r="G56" s="29" t="s">
        <v>10</v>
      </c>
      <c r="H56" s="38">
        <v>40471</v>
      </c>
      <c r="I56" s="25">
        <f t="shared" si="0"/>
        <v>203.36200000000002</v>
      </c>
    </row>
    <row r="57" spans="1:9">
      <c r="A57" s="29" t="s">
        <v>497</v>
      </c>
      <c r="B57" s="38">
        <v>40451</v>
      </c>
      <c r="C57" s="29" t="s">
        <v>11</v>
      </c>
      <c r="D57" s="29" t="s">
        <v>32</v>
      </c>
      <c r="E57" s="70">
        <v>387.5</v>
      </c>
      <c r="F57" s="39">
        <v>12090</v>
      </c>
      <c r="G57" s="29" t="s">
        <v>10</v>
      </c>
      <c r="H57" s="38">
        <v>40460</v>
      </c>
      <c r="I57" s="25">
        <f t="shared" si="0"/>
        <v>77.5</v>
      </c>
    </row>
    <row r="58" spans="1:9">
      <c r="A58" s="29" t="s">
        <v>408</v>
      </c>
      <c r="B58" s="38">
        <v>40451</v>
      </c>
      <c r="C58" s="29" t="s">
        <v>11</v>
      </c>
      <c r="D58" s="29" t="s">
        <v>171</v>
      </c>
      <c r="E58" s="70">
        <v>338.3</v>
      </c>
      <c r="F58" s="39">
        <v>4905</v>
      </c>
      <c r="G58" s="29" t="s">
        <v>10</v>
      </c>
      <c r="H58" s="38">
        <v>40479</v>
      </c>
      <c r="I58" s="25">
        <f t="shared" si="0"/>
        <v>67.660000000000011</v>
      </c>
    </row>
    <row r="59" spans="1:9">
      <c r="A59" s="29" t="s">
        <v>547</v>
      </c>
      <c r="B59" s="38">
        <v>40451</v>
      </c>
      <c r="C59" s="29" t="s">
        <v>11</v>
      </c>
      <c r="D59" s="29" t="s">
        <v>353</v>
      </c>
      <c r="E59" s="70">
        <f>163.32+136.1</f>
        <v>299.41999999999996</v>
      </c>
      <c r="F59" s="39">
        <v>8492.64</v>
      </c>
      <c r="G59" s="29" t="s">
        <v>10</v>
      </c>
      <c r="H59" s="38">
        <v>40434</v>
      </c>
      <c r="I59" s="25">
        <f t="shared" si="0"/>
        <v>59.883999999999993</v>
      </c>
    </row>
    <row r="60" spans="1:9">
      <c r="A60" s="29" t="s">
        <v>532</v>
      </c>
      <c r="B60" s="38">
        <v>40452</v>
      </c>
      <c r="C60" s="29" t="s">
        <v>11</v>
      </c>
      <c r="D60" s="29" t="s">
        <v>32</v>
      </c>
      <c r="E60" s="70">
        <f>798.2+48.18+316.78+269.48+163.2+54.44+843.99+301.2</f>
        <v>2795.47</v>
      </c>
      <c r="F60" s="39">
        <v>89046</v>
      </c>
      <c r="G60" s="29" t="s">
        <v>10</v>
      </c>
      <c r="H60" s="38">
        <v>40464</v>
      </c>
      <c r="I60" s="25">
        <f t="shared" si="0"/>
        <v>559.09399999999994</v>
      </c>
    </row>
    <row r="61" spans="1:9">
      <c r="A61" s="29" t="s">
        <v>530</v>
      </c>
      <c r="B61" s="38">
        <v>40452</v>
      </c>
      <c r="C61" s="29" t="s">
        <v>11</v>
      </c>
      <c r="D61" s="29" t="s">
        <v>35</v>
      </c>
      <c r="E61" s="70">
        <f>168.6+10.4+12.5</f>
        <v>191.5</v>
      </c>
      <c r="F61" s="39">
        <v>5541</v>
      </c>
      <c r="G61" s="29" t="s">
        <v>10</v>
      </c>
      <c r="H61" s="38"/>
      <c r="I61" s="25">
        <f t="shared" si="0"/>
        <v>38.300000000000004</v>
      </c>
    </row>
    <row r="62" spans="1:9">
      <c r="A62" s="29" t="s">
        <v>531</v>
      </c>
      <c r="B62" s="38">
        <v>40452</v>
      </c>
      <c r="C62" s="29" t="s">
        <v>11</v>
      </c>
      <c r="D62" s="29" t="s">
        <v>35</v>
      </c>
      <c r="E62" s="70">
        <v>90</v>
      </c>
      <c r="F62" s="39">
        <v>2790</v>
      </c>
      <c r="G62" s="29"/>
      <c r="H62" s="38"/>
      <c r="I62" s="25">
        <f t="shared" si="0"/>
        <v>18</v>
      </c>
    </row>
    <row r="63" spans="1:9">
      <c r="A63" s="29" t="s">
        <v>490</v>
      </c>
      <c r="B63" s="38">
        <v>40455</v>
      </c>
      <c r="C63" s="29" t="s">
        <v>356</v>
      </c>
      <c r="D63" s="29" t="s">
        <v>357</v>
      </c>
      <c r="E63" s="70">
        <v>2510.3000000000002</v>
      </c>
      <c r="F63" s="39">
        <v>79074.45</v>
      </c>
      <c r="G63" s="29" t="s">
        <v>10</v>
      </c>
      <c r="H63" s="38">
        <v>40457</v>
      </c>
      <c r="I63" s="25">
        <f t="shared" si="0"/>
        <v>502.06000000000006</v>
      </c>
    </row>
    <row r="64" spans="1:9">
      <c r="A64" s="29" t="s">
        <v>486</v>
      </c>
      <c r="B64" s="38">
        <v>40455</v>
      </c>
      <c r="C64" s="29" t="s">
        <v>11</v>
      </c>
      <c r="D64" s="29" t="s">
        <v>13</v>
      </c>
      <c r="E64" s="70">
        <f>27.22+53.88+816.6+9.6+100.18+23.8</f>
        <v>1031.28</v>
      </c>
      <c r="F64" s="39">
        <v>21284.14</v>
      </c>
      <c r="G64" s="29" t="s">
        <v>10</v>
      </c>
      <c r="H64" s="38">
        <v>40457</v>
      </c>
      <c r="I64" s="25">
        <f t="shared" si="0"/>
        <v>206.256</v>
      </c>
    </row>
    <row r="65" spans="1:9">
      <c r="A65" s="29" t="s">
        <v>559</v>
      </c>
      <c r="B65" s="38">
        <v>40455</v>
      </c>
      <c r="C65" s="38" t="s">
        <v>11</v>
      </c>
      <c r="D65" s="29" t="s">
        <v>274</v>
      </c>
      <c r="E65" s="70">
        <f>247.36+184.2+108.88+20+54.44+21.03+136.1+5.44+86.74+152.3</f>
        <v>1016.4900000000002</v>
      </c>
      <c r="F65" s="39">
        <v>32108</v>
      </c>
      <c r="G65" s="29" t="s">
        <v>10</v>
      </c>
      <c r="H65" s="41">
        <v>40477</v>
      </c>
      <c r="I65" s="25">
        <f t="shared" si="0"/>
        <v>203.29800000000006</v>
      </c>
    </row>
    <row r="66" spans="1:9">
      <c r="A66" s="29" t="s">
        <v>484</v>
      </c>
      <c r="B66" s="38">
        <v>40455</v>
      </c>
      <c r="C66" s="29" t="s">
        <v>11</v>
      </c>
      <c r="D66" s="29" t="s">
        <v>423</v>
      </c>
      <c r="E66" s="70">
        <f>27.22+297.6+14.26</f>
        <v>339.08000000000004</v>
      </c>
      <c r="F66" s="39">
        <v>7249.06</v>
      </c>
      <c r="G66" s="29" t="s">
        <v>10</v>
      </c>
      <c r="H66" s="38">
        <v>40457</v>
      </c>
      <c r="I66" s="25">
        <f t="shared" si="0"/>
        <v>67.816000000000017</v>
      </c>
    </row>
    <row r="67" spans="1:9">
      <c r="A67" s="29" t="s">
        <v>491</v>
      </c>
      <c r="B67" s="38">
        <v>40455</v>
      </c>
      <c r="C67" s="29" t="s">
        <v>492</v>
      </c>
      <c r="D67" s="29" t="s">
        <v>425</v>
      </c>
      <c r="E67" s="70">
        <v>260.3</v>
      </c>
      <c r="F67" s="39">
        <v>3904.5</v>
      </c>
      <c r="G67" s="29" t="s">
        <v>10</v>
      </c>
      <c r="H67" s="38">
        <v>40428</v>
      </c>
      <c r="I67" s="25">
        <f t="shared" si="0"/>
        <v>52.06</v>
      </c>
    </row>
    <row r="68" spans="1:9">
      <c r="A68" s="29" t="s">
        <v>487</v>
      </c>
      <c r="B68" s="38">
        <v>40455</v>
      </c>
      <c r="C68" s="29" t="s">
        <v>11</v>
      </c>
      <c r="D68" s="29" t="s">
        <v>12</v>
      </c>
      <c r="E68" s="70">
        <f>68.02+141.43</f>
        <v>209.45</v>
      </c>
      <c r="F68" s="39">
        <v>8159.82</v>
      </c>
      <c r="G68" s="29" t="s">
        <v>10</v>
      </c>
      <c r="H68" s="38">
        <v>40457</v>
      </c>
      <c r="I68" s="25">
        <f t="shared" si="0"/>
        <v>41.89</v>
      </c>
    </row>
    <row r="69" spans="1:9">
      <c r="A69" s="29" t="s">
        <v>551</v>
      </c>
      <c r="B69" s="38">
        <v>40455</v>
      </c>
      <c r="C69" s="29" t="s">
        <v>11</v>
      </c>
      <c r="D69" s="29" t="s">
        <v>25</v>
      </c>
      <c r="E69" s="70">
        <f>184.99+4.42</f>
        <v>189.41</v>
      </c>
      <c r="F69" s="39">
        <v>2790.5</v>
      </c>
      <c r="G69" s="29" t="s">
        <v>10</v>
      </c>
      <c r="H69" s="38">
        <v>40478</v>
      </c>
      <c r="I69" s="25">
        <f t="shared" si="0"/>
        <v>37.881999999999998</v>
      </c>
    </row>
    <row r="70" spans="1:9">
      <c r="A70" s="29" t="s">
        <v>493</v>
      </c>
      <c r="B70" s="38">
        <v>40458</v>
      </c>
      <c r="C70" s="29" t="s">
        <v>356</v>
      </c>
      <c r="D70" s="29" t="s">
        <v>357</v>
      </c>
      <c r="E70" s="70">
        <v>2296.9</v>
      </c>
      <c r="F70" s="39">
        <v>75352.350000000006</v>
      </c>
      <c r="G70" s="29" t="s">
        <v>10</v>
      </c>
      <c r="H70" s="38">
        <v>40460</v>
      </c>
      <c r="I70" s="25">
        <f t="shared" si="0"/>
        <v>459.38000000000005</v>
      </c>
    </row>
    <row r="71" spans="1:9">
      <c r="A71" s="29" t="s">
        <v>564</v>
      </c>
      <c r="B71" s="38">
        <v>40458</v>
      </c>
      <c r="C71" s="29" t="s">
        <v>11</v>
      </c>
      <c r="D71" s="29" t="s">
        <v>353</v>
      </c>
      <c r="E71" s="70">
        <f>272.2+163.32+81.66+16.32</f>
        <v>533.5</v>
      </c>
      <c r="F71" s="39">
        <v>13565.35</v>
      </c>
      <c r="G71" s="29" t="s">
        <v>10</v>
      </c>
      <c r="H71" s="38">
        <v>40474</v>
      </c>
      <c r="I71" s="25">
        <f t="shared" si="0"/>
        <v>106.7</v>
      </c>
    </row>
    <row r="72" spans="1:9">
      <c r="A72" s="29" t="s">
        <v>526</v>
      </c>
      <c r="B72" s="38">
        <v>40460</v>
      </c>
      <c r="C72" s="29" t="s">
        <v>11</v>
      </c>
      <c r="D72" s="29" t="s">
        <v>32</v>
      </c>
      <c r="E72" s="70">
        <f>969.2+413.1+349.3+269.18+14.85+253.46</f>
        <v>2269.09</v>
      </c>
      <c r="F72" s="39">
        <v>69020</v>
      </c>
      <c r="G72" s="29" t="s">
        <v>10</v>
      </c>
      <c r="H72" s="38">
        <v>40467</v>
      </c>
      <c r="I72" s="25">
        <f t="shared" si="0"/>
        <v>453.81800000000004</v>
      </c>
    </row>
    <row r="73" spans="1:9">
      <c r="A73" s="29" t="s">
        <v>528</v>
      </c>
      <c r="B73" s="38">
        <v>40460</v>
      </c>
      <c r="C73" s="29" t="s">
        <v>11</v>
      </c>
      <c r="D73" s="29" t="s">
        <v>35</v>
      </c>
      <c r="E73" s="70">
        <f>286.5+27.22</f>
        <v>313.72000000000003</v>
      </c>
      <c r="F73" s="39">
        <v>9385</v>
      </c>
      <c r="G73" s="29" t="s">
        <v>10</v>
      </c>
      <c r="H73" s="38">
        <v>40467</v>
      </c>
      <c r="I73" s="25">
        <f t="shared" ref="I73:I103" si="1">$I$6*E73</f>
        <v>62.744000000000007</v>
      </c>
    </row>
    <row r="74" spans="1:9">
      <c r="A74" s="29" t="s">
        <v>548</v>
      </c>
      <c r="B74" s="38">
        <v>40462</v>
      </c>
      <c r="C74" s="29" t="s">
        <v>11</v>
      </c>
      <c r="D74" s="29" t="s">
        <v>357</v>
      </c>
      <c r="E74" s="70">
        <v>3100.4</v>
      </c>
      <c r="F74" s="39">
        <v>97662</v>
      </c>
      <c r="G74" s="29" t="s">
        <v>10</v>
      </c>
      <c r="H74" s="38">
        <v>40464</v>
      </c>
      <c r="I74" s="25">
        <f t="shared" si="1"/>
        <v>620.08000000000004</v>
      </c>
    </row>
    <row r="75" spans="1:9">
      <c r="A75" s="29" t="s">
        <v>539</v>
      </c>
      <c r="B75" s="38">
        <v>40462</v>
      </c>
      <c r="C75" s="29" t="s">
        <v>11</v>
      </c>
      <c r="D75" s="29" t="s">
        <v>32</v>
      </c>
      <c r="E75" s="70">
        <f>923.2+308.16+956.17+299.64+156.05+54.44+304.28+30.92</f>
        <v>3032.8600000000006</v>
      </c>
      <c r="F75" s="39">
        <v>96633</v>
      </c>
      <c r="G75" s="29" t="s">
        <v>10</v>
      </c>
      <c r="H75" s="38">
        <v>40471</v>
      </c>
      <c r="I75" s="25">
        <f t="shared" si="1"/>
        <v>606.57200000000012</v>
      </c>
    </row>
    <row r="76" spans="1:9">
      <c r="A76" s="29" t="s">
        <v>568</v>
      </c>
      <c r="B76" s="38">
        <v>40462</v>
      </c>
      <c r="C76" s="29" t="s">
        <v>11</v>
      </c>
      <c r="D76" s="29" t="s">
        <v>37</v>
      </c>
      <c r="E76" s="70">
        <v>1022</v>
      </c>
      <c r="F76" s="39">
        <v>32193</v>
      </c>
      <c r="G76" s="29" t="s">
        <v>10</v>
      </c>
      <c r="H76" s="38">
        <v>40462</v>
      </c>
      <c r="I76" s="25">
        <f t="shared" si="1"/>
        <v>204.4</v>
      </c>
    </row>
    <row r="77" spans="1:9">
      <c r="A77" s="29" t="s">
        <v>556</v>
      </c>
      <c r="B77" s="38">
        <v>40462</v>
      </c>
      <c r="C77" s="29" t="s">
        <v>11</v>
      </c>
      <c r="D77" s="29" t="s">
        <v>274</v>
      </c>
      <c r="E77" s="70">
        <v>917.88</v>
      </c>
      <c r="F77" s="39">
        <v>26150.5</v>
      </c>
      <c r="G77" s="29" t="s">
        <v>10</v>
      </c>
      <c r="H77" s="38">
        <v>40478</v>
      </c>
      <c r="I77" s="25">
        <f t="shared" si="1"/>
        <v>183.57600000000002</v>
      </c>
    </row>
    <row r="78" spans="1:9">
      <c r="A78" s="29" t="s">
        <v>546</v>
      </c>
      <c r="B78" s="38">
        <v>40462</v>
      </c>
      <c r="C78" s="29" t="s">
        <v>11</v>
      </c>
      <c r="D78" s="29" t="s">
        <v>13</v>
      </c>
      <c r="E78" s="70">
        <f>306+68.05+163.32+272.2</f>
        <v>809.56999999999994</v>
      </c>
      <c r="F78" s="39">
        <v>17211.7</v>
      </c>
      <c r="G78" s="29" t="s">
        <v>10</v>
      </c>
      <c r="H78" s="38">
        <v>40464</v>
      </c>
      <c r="I78" s="25">
        <f t="shared" si="1"/>
        <v>161.91399999999999</v>
      </c>
    </row>
    <row r="79" spans="1:9">
      <c r="A79" s="29" t="s">
        <v>527</v>
      </c>
      <c r="B79" s="38">
        <v>40462</v>
      </c>
      <c r="C79" s="29" t="s">
        <v>11</v>
      </c>
      <c r="D79" s="29" t="s">
        <v>44</v>
      </c>
      <c r="E79" s="70">
        <f>477.69+136.1+52.08</f>
        <v>665.87</v>
      </c>
      <c r="F79" s="39">
        <v>10321</v>
      </c>
      <c r="G79" s="29" t="s">
        <v>10</v>
      </c>
      <c r="H79" s="38">
        <v>40464</v>
      </c>
      <c r="I79" s="25">
        <f t="shared" si="1"/>
        <v>133.17400000000001</v>
      </c>
    </row>
    <row r="80" spans="1:9">
      <c r="A80" s="29" t="s">
        <v>545</v>
      </c>
      <c r="B80" s="38">
        <v>40462</v>
      </c>
      <c r="C80" s="29" t="s">
        <v>11</v>
      </c>
      <c r="D80" s="29" t="s">
        <v>423</v>
      </c>
      <c r="E80" s="70">
        <f>418.1+9.4</f>
        <v>427.5</v>
      </c>
      <c r="F80" s="39">
        <v>8357.5</v>
      </c>
      <c r="G80" s="29" t="s">
        <v>10</v>
      </c>
      <c r="H80" s="38">
        <v>40464</v>
      </c>
      <c r="I80" s="25">
        <f t="shared" si="1"/>
        <v>85.5</v>
      </c>
    </row>
    <row r="81" spans="1:9">
      <c r="A81" s="29" t="s">
        <v>544</v>
      </c>
      <c r="B81" s="38">
        <v>40465</v>
      </c>
      <c r="C81" s="29" t="s">
        <v>11</v>
      </c>
      <c r="D81" s="29" t="s">
        <v>357</v>
      </c>
      <c r="E81" s="70">
        <v>2629.5</v>
      </c>
      <c r="F81" s="39">
        <v>82829.25</v>
      </c>
      <c r="G81" s="29" t="s">
        <v>10</v>
      </c>
      <c r="H81" s="38">
        <v>40467</v>
      </c>
      <c r="I81" s="25">
        <f t="shared" si="1"/>
        <v>525.9</v>
      </c>
    </row>
    <row r="82" spans="1:9">
      <c r="A82" s="29" t="s">
        <v>560</v>
      </c>
      <c r="B82" s="38">
        <v>40465</v>
      </c>
      <c r="C82" s="29" t="s">
        <v>11</v>
      </c>
      <c r="D82" s="29" t="s">
        <v>32</v>
      </c>
      <c r="E82" s="70">
        <f>394.1+217.9+94.52+25.42+585.8+938.93+159.3</f>
        <v>2415.9699999999998</v>
      </c>
      <c r="F82" s="39">
        <v>72807.5</v>
      </c>
      <c r="G82" s="29" t="s">
        <v>10</v>
      </c>
      <c r="H82" s="38">
        <v>40474</v>
      </c>
      <c r="I82" s="25">
        <f t="shared" si="1"/>
        <v>483.19399999999996</v>
      </c>
    </row>
    <row r="83" spans="1:9">
      <c r="A83" s="29" t="s">
        <v>563</v>
      </c>
      <c r="B83" s="38">
        <v>40465</v>
      </c>
      <c r="C83" s="29" t="s">
        <v>11</v>
      </c>
      <c r="D83" s="29" t="s">
        <v>274</v>
      </c>
      <c r="E83" s="70">
        <f>149.56+54.44+54.44+27.22+30</f>
        <v>315.65999999999997</v>
      </c>
      <c r="F83" s="39">
        <v>10580.5</v>
      </c>
      <c r="G83" s="29" t="s">
        <v>10</v>
      </c>
      <c r="H83" s="38">
        <v>40474</v>
      </c>
      <c r="I83" s="25">
        <f t="shared" si="1"/>
        <v>63.131999999999998</v>
      </c>
    </row>
    <row r="84" spans="1:9">
      <c r="A84" s="29" t="s">
        <v>388</v>
      </c>
      <c r="B84" s="38">
        <v>40465</v>
      </c>
      <c r="C84" s="38" t="s">
        <v>11</v>
      </c>
      <c r="D84" s="29" t="s">
        <v>25</v>
      </c>
      <c r="E84" s="70">
        <v>55.58</v>
      </c>
      <c r="F84" s="39">
        <v>1778.5</v>
      </c>
      <c r="G84" s="29" t="s">
        <v>10</v>
      </c>
      <c r="H84" s="41">
        <v>40474</v>
      </c>
      <c r="I84" s="25">
        <f t="shared" si="1"/>
        <v>11.116</v>
      </c>
    </row>
    <row r="85" spans="1:9">
      <c r="A85" s="29" t="s">
        <v>569</v>
      </c>
      <c r="B85" s="38">
        <v>40468</v>
      </c>
      <c r="C85" s="29" t="s">
        <v>11</v>
      </c>
      <c r="D85" s="29" t="s">
        <v>570</v>
      </c>
      <c r="E85" s="70">
        <v>1005.5</v>
      </c>
      <c r="F85" s="39">
        <v>31170.5</v>
      </c>
      <c r="G85" s="29" t="s">
        <v>10</v>
      </c>
      <c r="H85" s="38"/>
      <c r="I85" s="25">
        <f t="shared" si="1"/>
        <v>201.10000000000002</v>
      </c>
    </row>
    <row r="86" spans="1:9">
      <c r="A86" s="29" t="s">
        <v>549</v>
      </c>
      <c r="B86" s="38">
        <v>40469</v>
      </c>
      <c r="C86" s="29" t="s">
        <v>11</v>
      </c>
      <c r="D86" s="29" t="s">
        <v>274</v>
      </c>
      <c r="E86" s="70">
        <f>56.54+113.1</f>
        <v>169.64</v>
      </c>
      <c r="F86" s="39">
        <v>3845</v>
      </c>
      <c r="G86" s="29" t="s">
        <v>10</v>
      </c>
      <c r="H86" s="38">
        <v>40479</v>
      </c>
      <c r="I86" s="25">
        <f t="shared" si="1"/>
        <v>33.927999999999997</v>
      </c>
    </row>
    <row r="87" spans="1:9">
      <c r="A87" s="29" t="s">
        <v>557</v>
      </c>
      <c r="B87" s="38">
        <v>40469</v>
      </c>
      <c r="C87" s="29" t="s">
        <v>11</v>
      </c>
      <c r="D87" s="29" t="s">
        <v>32</v>
      </c>
      <c r="E87" s="70">
        <f>267.26+920.63+852.2+25.48+221.48+155.1+108.88+949.5</f>
        <v>3500.5299999999997</v>
      </c>
      <c r="F87" s="39">
        <v>109582</v>
      </c>
      <c r="G87" s="29" t="s">
        <v>10</v>
      </c>
      <c r="H87" s="38">
        <v>40478</v>
      </c>
      <c r="I87" s="25">
        <f t="shared" si="1"/>
        <v>700.10599999999999</v>
      </c>
    </row>
    <row r="88" spans="1:9">
      <c r="A88" s="29" t="s">
        <v>543</v>
      </c>
      <c r="B88" s="38">
        <v>40469</v>
      </c>
      <c r="C88" s="29" t="s">
        <v>11</v>
      </c>
      <c r="D88" s="29" t="s">
        <v>357</v>
      </c>
      <c r="E88" s="70">
        <v>2888</v>
      </c>
      <c r="F88" s="39">
        <v>90105</v>
      </c>
      <c r="G88" s="29" t="s">
        <v>10</v>
      </c>
      <c r="H88" s="38">
        <v>40471</v>
      </c>
      <c r="I88" s="25">
        <f t="shared" si="1"/>
        <v>577.6</v>
      </c>
    </row>
    <row r="89" spans="1:9">
      <c r="A89" s="29" t="s">
        <v>1111</v>
      </c>
      <c r="B89" s="38">
        <v>40469</v>
      </c>
      <c r="C89" s="29" t="s">
        <v>11</v>
      </c>
      <c r="D89" s="29" t="s">
        <v>13</v>
      </c>
      <c r="E89" s="70">
        <f>40.83+408.3+163.32+308.96</f>
        <v>921.41000000000008</v>
      </c>
      <c r="F89" s="39">
        <v>18801.14</v>
      </c>
      <c r="G89" s="29" t="s">
        <v>10</v>
      </c>
      <c r="H89" s="38">
        <v>40471</v>
      </c>
      <c r="I89" s="25">
        <f t="shared" si="1"/>
        <v>184.28200000000004</v>
      </c>
    </row>
    <row r="90" spans="1:9">
      <c r="A90" s="29" t="s">
        <v>552</v>
      </c>
      <c r="B90" s="38">
        <v>40469</v>
      </c>
      <c r="C90" s="29" t="s">
        <v>11</v>
      </c>
      <c r="D90" s="29" t="s">
        <v>423</v>
      </c>
      <c r="E90" s="70">
        <f>68.05+11.4+361+75.7</f>
        <v>516.15</v>
      </c>
      <c r="F90" s="39">
        <v>11520.9</v>
      </c>
      <c r="G90" s="29" t="s">
        <v>10</v>
      </c>
      <c r="H90" s="38">
        <v>40478</v>
      </c>
      <c r="I90" s="25">
        <f t="shared" si="1"/>
        <v>103.23</v>
      </c>
    </row>
    <row r="91" spans="1:9">
      <c r="A91" s="29" t="s">
        <v>540</v>
      </c>
      <c r="B91" s="38">
        <v>40469</v>
      </c>
      <c r="C91" s="29" t="s">
        <v>11</v>
      </c>
      <c r="D91" s="29" t="s">
        <v>44</v>
      </c>
      <c r="E91" s="70">
        <f>39.5+272.2</f>
        <v>311.7</v>
      </c>
      <c r="F91" s="39">
        <v>6136</v>
      </c>
      <c r="G91" s="29" t="s">
        <v>10</v>
      </c>
      <c r="H91" s="38">
        <v>40471</v>
      </c>
      <c r="I91" s="25">
        <f t="shared" si="1"/>
        <v>62.34</v>
      </c>
    </row>
    <row r="92" spans="1:9">
      <c r="A92" s="29" t="s">
        <v>542</v>
      </c>
      <c r="B92" s="38">
        <v>40469</v>
      </c>
      <c r="C92" s="29" t="s">
        <v>11</v>
      </c>
      <c r="D92" s="29" t="s">
        <v>12</v>
      </c>
      <c r="E92" s="70">
        <v>73.5</v>
      </c>
      <c r="F92" s="39">
        <v>1139.25</v>
      </c>
      <c r="G92" s="29" t="s">
        <v>10</v>
      </c>
      <c r="H92" s="38">
        <v>40471</v>
      </c>
      <c r="I92" s="25">
        <f t="shared" si="1"/>
        <v>14.700000000000001</v>
      </c>
    </row>
    <row r="93" spans="1:9">
      <c r="A93" s="29" t="s">
        <v>558</v>
      </c>
      <c r="B93" s="38">
        <v>40469</v>
      </c>
      <c r="C93" s="29" t="s">
        <v>522</v>
      </c>
      <c r="D93" s="29" t="s">
        <v>35</v>
      </c>
      <c r="E93" s="70">
        <v>15.3</v>
      </c>
      <c r="F93" s="39">
        <v>551</v>
      </c>
      <c r="G93" s="29" t="s">
        <v>10</v>
      </c>
      <c r="H93" s="38">
        <v>40477</v>
      </c>
      <c r="I93" s="25">
        <f t="shared" si="1"/>
        <v>3.0600000000000005</v>
      </c>
    </row>
    <row r="94" spans="1:9">
      <c r="A94" s="29" t="s">
        <v>565</v>
      </c>
      <c r="B94" s="38">
        <v>40472</v>
      </c>
      <c r="C94" s="29" t="s">
        <v>11</v>
      </c>
      <c r="D94" s="29" t="s">
        <v>357</v>
      </c>
      <c r="E94" s="70">
        <v>2283</v>
      </c>
      <c r="F94" s="39">
        <v>71229.600000000006</v>
      </c>
      <c r="G94" s="29" t="s">
        <v>10</v>
      </c>
      <c r="H94" s="38">
        <v>40474</v>
      </c>
      <c r="I94" s="25">
        <f t="shared" si="1"/>
        <v>456.6</v>
      </c>
    </row>
    <row r="95" spans="1:9">
      <c r="A95" s="29" t="s">
        <v>535</v>
      </c>
      <c r="B95" s="38">
        <v>40472</v>
      </c>
      <c r="C95" s="29" t="s">
        <v>11</v>
      </c>
      <c r="D95" s="29" t="s">
        <v>536</v>
      </c>
      <c r="E95" s="70">
        <f>81.66+54.44+113.8+38.93</f>
        <v>288.83</v>
      </c>
      <c r="F95" s="39">
        <v>8625</v>
      </c>
      <c r="G95" s="29" t="s">
        <v>10</v>
      </c>
      <c r="H95" s="38">
        <v>40472</v>
      </c>
      <c r="I95" s="25">
        <f t="shared" si="1"/>
        <v>57.765999999999998</v>
      </c>
    </row>
    <row r="96" spans="1:9">
      <c r="A96" s="29" t="s">
        <v>537</v>
      </c>
      <c r="B96" s="38">
        <v>40472</v>
      </c>
      <c r="C96" s="29" t="s">
        <v>11</v>
      </c>
      <c r="D96" s="29" t="s">
        <v>538</v>
      </c>
      <c r="E96" s="70">
        <f>64.64+70.5</f>
        <v>135.13999999999999</v>
      </c>
      <c r="F96" s="39">
        <v>3284</v>
      </c>
      <c r="G96" s="29" t="s">
        <v>10</v>
      </c>
      <c r="H96" s="38">
        <v>40472</v>
      </c>
      <c r="I96" s="25">
        <f t="shared" si="1"/>
        <v>27.027999999999999</v>
      </c>
    </row>
    <row r="97" spans="1:9">
      <c r="A97" s="29" t="s">
        <v>554</v>
      </c>
      <c r="B97" s="38">
        <v>40476</v>
      </c>
      <c r="C97" s="29" t="s">
        <v>11</v>
      </c>
      <c r="D97" s="29" t="s">
        <v>357</v>
      </c>
      <c r="E97" s="70">
        <v>3253.7</v>
      </c>
      <c r="F97" s="39">
        <v>101515.44</v>
      </c>
      <c r="G97" s="29" t="s">
        <v>10</v>
      </c>
      <c r="H97" s="38">
        <v>40478</v>
      </c>
      <c r="I97" s="25">
        <f t="shared" si="1"/>
        <v>650.74</v>
      </c>
    </row>
    <row r="98" spans="1:9">
      <c r="A98" s="29" t="s">
        <v>562</v>
      </c>
      <c r="B98" s="38">
        <v>40476</v>
      </c>
      <c r="C98" s="29" t="s">
        <v>11</v>
      </c>
      <c r="D98" s="29" t="s">
        <v>13</v>
      </c>
      <c r="E98" s="70">
        <f>54.44+952.7+136.1+199.38+8.88</f>
        <v>1351.5</v>
      </c>
      <c r="F98" s="39">
        <v>26880.21</v>
      </c>
      <c r="G98" s="29" t="s">
        <v>10</v>
      </c>
      <c r="H98" s="38">
        <v>40474</v>
      </c>
      <c r="I98" s="25">
        <f t="shared" si="1"/>
        <v>270.3</v>
      </c>
    </row>
    <row r="99" spans="1:9">
      <c r="A99" s="29" t="s">
        <v>553</v>
      </c>
      <c r="B99" s="38">
        <v>40476</v>
      </c>
      <c r="C99" s="29" t="s">
        <v>11</v>
      </c>
      <c r="D99" s="29" t="s">
        <v>423</v>
      </c>
      <c r="E99" s="70">
        <f>408.5+54.44</f>
        <v>462.94</v>
      </c>
      <c r="F99" s="39">
        <v>9993.5400000000009</v>
      </c>
      <c r="G99" s="29" t="s">
        <v>10</v>
      </c>
      <c r="H99" s="38">
        <v>40478</v>
      </c>
      <c r="I99" s="25">
        <f t="shared" si="1"/>
        <v>92.588000000000008</v>
      </c>
    </row>
    <row r="100" spans="1:9">
      <c r="A100" s="29" t="s">
        <v>555</v>
      </c>
      <c r="B100" s="38">
        <v>40476</v>
      </c>
      <c r="C100" s="29" t="s">
        <v>11</v>
      </c>
      <c r="D100" s="29" t="s">
        <v>44</v>
      </c>
      <c r="E100" s="70">
        <f>272.2+41.5</f>
        <v>313.7</v>
      </c>
      <c r="F100" s="39">
        <v>7004</v>
      </c>
      <c r="G100" s="29" t="s">
        <v>10</v>
      </c>
      <c r="H100" s="38">
        <v>40478</v>
      </c>
      <c r="I100" s="25">
        <f t="shared" si="1"/>
        <v>62.74</v>
      </c>
    </row>
    <row r="101" spans="1:9">
      <c r="A101" s="29" t="s">
        <v>529</v>
      </c>
      <c r="B101" s="38">
        <v>40467</v>
      </c>
      <c r="C101" s="29" t="s">
        <v>11</v>
      </c>
      <c r="D101" s="29" t="s">
        <v>35</v>
      </c>
      <c r="E101" s="70">
        <v>174.93</v>
      </c>
      <c r="F101" s="39">
        <v>6997</v>
      </c>
      <c r="G101" s="29" t="s">
        <v>10</v>
      </c>
      <c r="H101" s="38">
        <v>40471</v>
      </c>
      <c r="I101" s="25">
        <f t="shared" si="1"/>
        <v>34.986000000000004</v>
      </c>
    </row>
    <row r="102" spans="1:9">
      <c r="A102" s="29" t="s">
        <v>550</v>
      </c>
      <c r="B102" s="38">
        <v>40478</v>
      </c>
      <c r="C102" s="29" t="s">
        <v>11</v>
      </c>
      <c r="D102" s="29" t="s">
        <v>35</v>
      </c>
      <c r="E102" s="70">
        <f>161+116</f>
        <v>277</v>
      </c>
      <c r="F102" s="39">
        <v>8474.5</v>
      </c>
      <c r="G102" s="29" t="s">
        <v>10</v>
      </c>
      <c r="H102" s="38">
        <v>40479</v>
      </c>
      <c r="I102" s="25">
        <f t="shared" si="1"/>
        <v>55.400000000000006</v>
      </c>
    </row>
    <row r="103" spans="1:9">
      <c r="A103" s="14"/>
      <c r="B103" s="24"/>
      <c r="C103" s="14"/>
      <c r="D103" s="14"/>
      <c r="E103" s="71"/>
      <c r="F103" s="25"/>
      <c r="G103" s="14"/>
      <c r="H103" s="14"/>
      <c r="I103" s="25">
        <f t="shared" si="1"/>
        <v>0</v>
      </c>
    </row>
    <row r="104" spans="1:9">
      <c r="A104" s="14"/>
      <c r="B104" s="14"/>
      <c r="C104" s="14"/>
      <c r="D104" s="14"/>
      <c r="E104" s="68">
        <f>SUM(E7:E103)</f>
        <v>105724.17000000001</v>
      </c>
      <c r="F104" s="19">
        <f>SUM(F7:F103)</f>
        <v>3142318.9299999997</v>
      </c>
      <c r="G104" s="17"/>
      <c r="H104" s="27" t="s">
        <v>63</v>
      </c>
      <c r="I104" s="19">
        <f>SUM(I7:I103)</f>
        <v>21144.833999999995</v>
      </c>
    </row>
    <row r="105" spans="1:9">
      <c r="A105" s="14"/>
      <c r="B105" s="14"/>
      <c r="C105" s="14"/>
      <c r="D105" s="14"/>
      <c r="E105" s="71"/>
      <c r="F105" s="25"/>
      <c r="G105" s="14"/>
      <c r="H105" s="14"/>
      <c r="I105" s="14"/>
    </row>
    <row r="106" spans="1:9">
      <c r="A106" s="14"/>
      <c r="B106" s="14"/>
      <c r="C106" s="14"/>
      <c r="D106" s="14"/>
      <c r="E106" s="71"/>
      <c r="F106" s="25"/>
      <c r="G106" s="14"/>
      <c r="H106" s="14"/>
      <c r="I106" s="14"/>
    </row>
    <row r="107" spans="1:9">
      <c r="A107" s="14"/>
      <c r="B107" s="14"/>
      <c r="C107" s="14"/>
      <c r="D107" s="14"/>
      <c r="E107" s="71"/>
      <c r="F107" s="25"/>
      <c r="G107" s="14"/>
      <c r="H107" s="14"/>
      <c r="I107" s="14"/>
    </row>
    <row r="108" spans="1:9">
      <c r="A108" s="14"/>
      <c r="B108" s="14"/>
      <c r="C108" s="14"/>
      <c r="D108" s="14"/>
      <c r="E108" s="71"/>
      <c r="F108" s="25"/>
      <c r="G108" s="14"/>
      <c r="H108" s="14"/>
      <c r="I108" s="14"/>
    </row>
    <row r="109" spans="1:9">
      <c r="A109" s="28"/>
      <c r="B109" s="14"/>
      <c r="C109" s="14"/>
      <c r="D109" s="14"/>
      <c r="E109" s="71"/>
      <c r="F109" s="25"/>
      <c r="G109" s="14"/>
      <c r="H109" s="14"/>
      <c r="I109" s="14"/>
    </row>
  </sheetData>
  <sortState ref="A7:H103">
    <sortCondition ref="B7:B103"/>
  </sortState>
  <mergeCells count="1">
    <mergeCell ref="E5:F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6"/>
  <sheetViews>
    <sheetView topLeftCell="A91" workbookViewId="0">
      <selection activeCell="E93" sqref="E93"/>
    </sheetView>
  </sheetViews>
  <sheetFormatPr baseColWidth="10" defaultRowHeight="15"/>
  <cols>
    <col min="1" max="1" width="10" style="2" customWidth="1"/>
    <col min="2" max="2" width="10.140625" style="2" bestFit="1" customWidth="1"/>
    <col min="3" max="3" width="16.7109375" style="2" customWidth="1"/>
    <col min="4" max="4" width="21.42578125" style="2" customWidth="1"/>
    <col min="5" max="5" width="11.140625" style="53" customWidth="1"/>
    <col min="6" max="6" width="21" style="3" bestFit="1" customWidth="1"/>
    <col min="7" max="7" width="11.5703125" style="2" customWidth="1"/>
    <col min="8" max="8" width="19" style="2" customWidth="1"/>
    <col min="9" max="9" width="17.140625" style="2" customWidth="1"/>
    <col min="10" max="16384" width="11.42578125" style="2"/>
  </cols>
  <sheetData>
    <row r="1" spans="1:11">
      <c r="A1" s="17" t="s">
        <v>23</v>
      </c>
      <c r="B1" s="17"/>
      <c r="C1" s="17"/>
      <c r="D1" s="17"/>
      <c r="E1" s="68"/>
      <c r="F1" s="19"/>
      <c r="G1" s="19"/>
      <c r="H1" s="19"/>
      <c r="I1" s="17"/>
    </row>
    <row r="2" spans="1:11">
      <c r="A2" s="17"/>
      <c r="B2" s="17"/>
      <c r="C2" s="17"/>
      <c r="D2" s="17" t="s">
        <v>667</v>
      </c>
      <c r="E2" s="68"/>
      <c r="F2" s="19"/>
      <c r="G2" s="19"/>
      <c r="H2" s="19"/>
      <c r="I2" s="17"/>
    </row>
    <row r="3" spans="1:11">
      <c r="A3" s="20"/>
      <c r="B3" s="21"/>
      <c r="C3" s="21"/>
      <c r="D3" s="21"/>
      <c r="E3" s="68"/>
      <c r="F3" s="19"/>
      <c r="G3" s="22"/>
      <c r="H3" s="22"/>
      <c r="I3" s="17"/>
    </row>
    <row r="4" spans="1:11">
      <c r="A4" s="17"/>
      <c r="B4" s="17"/>
      <c r="C4" s="17"/>
      <c r="D4" s="17"/>
      <c r="E4" s="68"/>
      <c r="F4" s="19"/>
      <c r="G4" s="19"/>
      <c r="H4" s="19"/>
      <c r="I4" s="17"/>
    </row>
    <row r="5" spans="1:11">
      <c r="A5" s="17" t="s">
        <v>5</v>
      </c>
      <c r="B5" s="17" t="s">
        <v>0</v>
      </c>
      <c r="C5" s="17" t="s">
        <v>7</v>
      </c>
      <c r="D5" s="17" t="s">
        <v>9</v>
      </c>
      <c r="E5" s="123" t="s">
        <v>1</v>
      </c>
      <c r="F5" s="123"/>
      <c r="G5" s="23" t="s">
        <v>24</v>
      </c>
      <c r="H5" s="19" t="s">
        <v>3</v>
      </c>
      <c r="I5" s="17" t="s">
        <v>80</v>
      </c>
    </row>
    <row r="6" spans="1:11">
      <c r="A6" s="30"/>
      <c r="B6" s="30"/>
      <c r="C6" s="30"/>
      <c r="D6" s="30"/>
      <c r="E6" s="72" t="s">
        <v>6</v>
      </c>
      <c r="F6" s="31" t="s">
        <v>2</v>
      </c>
      <c r="G6" s="31"/>
      <c r="H6" s="31" t="s">
        <v>4</v>
      </c>
      <c r="I6" s="31">
        <v>0.2</v>
      </c>
      <c r="J6" s="32"/>
      <c r="K6" s="32"/>
    </row>
    <row r="7" spans="1:11">
      <c r="A7" s="33" t="s">
        <v>612</v>
      </c>
      <c r="B7" s="42">
        <v>40434</v>
      </c>
      <c r="C7" s="33" t="s">
        <v>11</v>
      </c>
      <c r="D7" s="33" t="s">
        <v>357</v>
      </c>
      <c r="E7" s="73">
        <v>2066</v>
      </c>
      <c r="F7" s="43">
        <v>65079</v>
      </c>
      <c r="G7" s="33" t="s">
        <v>10</v>
      </c>
      <c r="H7" s="42">
        <v>40436</v>
      </c>
      <c r="I7" s="34">
        <f>$I$6*E7</f>
        <v>413.20000000000005</v>
      </c>
      <c r="J7" s="32"/>
      <c r="K7" s="32"/>
    </row>
    <row r="8" spans="1:11">
      <c r="A8" s="33" t="s">
        <v>646</v>
      </c>
      <c r="B8" s="42">
        <v>40451</v>
      </c>
      <c r="C8" s="33" t="s">
        <v>11</v>
      </c>
      <c r="D8" s="33" t="s">
        <v>171</v>
      </c>
      <c r="E8" s="73">
        <v>413.4</v>
      </c>
      <c r="F8" s="43">
        <v>6620</v>
      </c>
      <c r="G8" s="33" t="s">
        <v>10</v>
      </c>
      <c r="H8" s="42"/>
      <c r="I8" s="34">
        <f>$I$6*E8</f>
        <v>82.68</v>
      </c>
      <c r="J8" s="32"/>
      <c r="K8" s="32"/>
    </row>
    <row r="9" spans="1:11">
      <c r="A9" s="33" t="s">
        <v>551</v>
      </c>
      <c r="B9" s="42">
        <v>40455</v>
      </c>
      <c r="C9" s="77" t="s">
        <v>1116</v>
      </c>
      <c r="D9" s="33" t="s">
        <v>1112</v>
      </c>
      <c r="E9" s="73">
        <v>0</v>
      </c>
      <c r="F9" s="43">
        <v>2790.5</v>
      </c>
      <c r="G9" s="33" t="s">
        <v>10</v>
      </c>
      <c r="H9" s="76" t="s">
        <v>1113</v>
      </c>
      <c r="I9" s="34">
        <f>$I$6*E9</f>
        <v>0</v>
      </c>
      <c r="J9" s="32"/>
      <c r="K9" s="32"/>
    </row>
    <row r="10" spans="1:11">
      <c r="A10" s="33" t="s">
        <v>605</v>
      </c>
      <c r="B10" s="42">
        <v>40455</v>
      </c>
      <c r="C10" s="33" t="s">
        <v>17</v>
      </c>
      <c r="D10" s="33" t="s">
        <v>360</v>
      </c>
      <c r="E10" s="73">
        <v>1364</v>
      </c>
      <c r="F10" s="43">
        <v>21824</v>
      </c>
      <c r="G10" s="33" t="s">
        <v>10</v>
      </c>
      <c r="H10" s="42">
        <v>40488</v>
      </c>
      <c r="I10" s="34">
        <f t="shared" ref="I10:I74" si="0">$I$6*E10</f>
        <v>272.8</v>
      </c>
      <c r="J10" s="32"/>
      <c r="K10" s="32"/>
    </row>
    <row r="11" spans="1:11">
      <c r="A11" s="33" t="s">
        <v>577</v>
      </c>
      <c r="B11" s="42">
        <v>40458</v>
      </c>
      <c r="C11" s="33" t="s">
        <v>11</v>
      </c>
      <c r="D11" s="33" t="s">
        <v>25</v>
      </c>
      <c r="E11" s="73">
        <f>272.2+27.2+89.7</f>
        <v>389.09999999999997</v>
      </c>
      <c r="F11" s="43">
        <v>9442.2000000000007</v>
      </c>
      <c r="G11" s="33" t="s">
        <v>10</v>
      </c>
      <c r="H11" s="42"/>
      <c r="I11" s="34">
        <f t="shared" si="0"/>
        <v>77.819999999999993</v>
      </c>
      <c r="J11" s="32"/>
      <c r="K11" s="32"/>
    </row>
    <row r="12" spans="1:11">
      <c r="A12" s="33" t="s">
        <v>579</v>
      </c>
      <c r="B12" s="42">
        <v>40465</v>
      </c>
      <c r="C12" s="33" t="s">
        <v>11</v>
      </c>
      <c r="D12" s="33" t="s">
        <v>1114</v>
      </c>
      <c r="E12" s="73">
        <v>991.5</v>
      </c>
      <c r="F12" s="43">
        <v>31232</v>
      </c>
      <c r="G12" s="33" t="s">
        <v>10</v>
      </c>
      <c r="H12" s="42">
        <v>40481</v>
      </c>
      <c r="I12" s="34">
        <f t="shared" si="0"/>
        <v>198.3</v>
      </c>
      <c r="J12" s="32"/>
      <c r="K12" s="32"/>
    </row>
    <row r="13" spans="1:11">
      <c r="A13" s="33" t="s">
        <v>580</v>
      </c>
      <c r="B13" s="42">
        <v>40465</v>
      </c>
      <c r="C13" s="33" t="s">
        <v>11</v>
      </c>
      <c r="D13" s="33" t="s">
        <v>35</v>
      </c>
      <c r="E13" s="73">
        <f>130.7+262.8</f>
        <v>393.5</v>
      </c>
      <c r="F13" s="43">
        <v>12852</v>
      </c>
      <c r="G13" s="33" t="s">
        <v>10</v>
      </c>
      <c r="H13" s="42">
        <v>40479</v>
      </c>
      <c r="I13" s="34">
        <f t="shared" si="0"/>
        <v>78.7</v>
      </c>
      <c r="J13" s="32"/>
      <c r="K13" s="32"/>
    </row>
    <row r="14" spans="1:11">
      <c r="A14" s="33" t="s">
        <v>578</v>
      </c>
      <c r="B14" s="42">
        <v>40465</v>
      </c>
      <c r="C14" s="33" t="s">
        <v>11</v>
      </c>
      <c r="D14" s="33" t="s">
        <v>25</v>
      </c>
      <c r="E14" s="73">
        <f>27.2+826+54.58</f>
        <v>907.78000000000009</v>
      </c>
      <c r="F14" s="43">
        <v>29165.56</v>
      </c>
      <c r="G14" s="33" t="s">
        <v>10</v>
      </c>
      <c r="H14" s="42">
        <v>40488</v>
      </c>
      <c r="I14" s="34">
        <f t="shared" si="0"/>
        <v>181.55600000000004</v>
      </c>
      <c r="J14" s="32"/>
      <c r="K14" s="32"/>
    </row>
    <row r="15" spans="1:11">
      <c r="A15" s="33" t="s">
        <v>589</v>
      </c>
      <c r="B15" s="42">
        <v>40465</v>
      </c>
      <c r="C15" s="33" t="s">
        <v>11</v>
      </c>
      <c r="D15" s="33" t="s">
        <v>353</v>
      </c>
      <c r="E15" s="73">
        <f>81.66+16.32+136.1</f>
        <v>234.07999999999998</v>
      </c>
      <c r="F15" s="43">
        <v>7250.31</v>
      </c>
      <c r="G15" s="33" t="s">
        <v>10</v>
      </c>
      <c r="H15" s="42">
        <v>40483</v>
      </c>
      <c r="I15" s="34">
        <f t="shared" si="0"/>
        <v>46.816000000000003</v>
      </c>
      <c r="J15" s="32"/>
      <c r="K15" s="32"/>
    </row>
    <row r="16" spans="1:11">
      <c r="A16" s="33" t="s">
        <v>583</v>
      </c>
      <c r="B16" s="42">
        <v>40469</v>
      </c>
      <c r="C16" s="33" t="s">
        <v>11</v>
      </c>
      <c r="D16" s="33" t="s">
        <v>25</v>
      </c>
      <c r="E16" s="73">
        <f>163.3+954+886.17</f>
        <v>2003.4699999999998</v>
      </c>
      <c r="F16" s="43">
        <v>59391.29</v>
      </c>
      <c r="G16" s="33" t="s">
        <v>10</v>
      </c>
      <c r="H16" s="42">
        <v>40488</v>
      </c>
      <c r="I16" s="34">
        <f t="shared" si="0"/>
        <v>400.69399999999996</v>
      </c>
      <c r="J16" s="32"/>
      <c r="K16" s="32"/>
    </row>
    <row r="17" spans="1:11">
      <c r="A17" s="33" t="s">
        <v>586</v>
      </c>
      <c r="B17" s="42">
        <v>40469</v>
      </c>
      <c r="C17" s="33" t="s">
        <v>11</v>
      </c>
      <c r="D17" s="33" t="s">
        <v>1115</v>
      </c>
      <c r="E17" s="73">
        <f>243.5+217.76+108.88+27.22+20+5.44</f>
        <v>622.80000000000007</v>
      </c>
      <c r="F17" s="43">
        <v>18721.5</v>
      </c>
      <c r="G17" s="33" t="s">
        <v>10</v>
      </c>
      <c r="H17" s="42">
        <v>40481</v>
      </c>
      <c r="I17" s="34">
        <f t="shared" si="0"/>
        <v>124.56000000000002</v>
      </c>
      <c r="J17" s="32"/>
      <c r="K17" s="32"/>
    </row>
    <row r="18" spans="1:11">
      <c r="A18" s="33" t="s">
        <v>571</v>
      </c>
      <c r="B18" s="42">
        <v>40472</v>
      </c>
      <c r="C18" s="33" t="s">
        <v>11</v>
      </c>
      <c r="D18" s="33" t="s">
        <v>25</v>
      </c>
      <c r="E18" s="73">
        <f>1224.46+943.5+116.5+27.2+136.1</f>
        <v>2447.7599999999998</v>
      </c>
      <c r="F18" s="43">
        <v>72014.990000000005</v>
      </c>
      <c r="G18" s="33" t="s">
        <v>10</v>
      </c>
      <c r="H18" s="42">
        <v>40492</v>
      </c>
      <c r="I18" s="34">
        <f t="shared" si="0"/>
        <v>489.55199999999996</v>
      </c>
      <c r="J18" s="32"/>
      <c r="K18" s="32"/>
    </row>
    <row r="19" spans="1:11">
      <c r="A19" s="33" t="s">
        <v>587</v>
      </c>
      <c r="B19" s="42">
        <v>40472</v>
      </c>
      <c r="C19" s="33" t="s">
        <v>11</v>
      </c>
      <c r="D19" s="33" t="s">
        <v>274</v>
      </c>
      <c r="E19" s="73">
        <f>153.98+108.88+81.66+10.88+102.4</f>
        <v>457.79999999999995</v>
      </c>
      <c r="F19" s="43">
        <v>12610</v>
      </c>
      <c r="G19" s="33" t="s">
        <v>10</v>
      </c>
      <c r="H19" s="42">
        <v>40481</v>
      </c>
      <c r="I19" s="34">
        <f t="shared" si="0"/>
        <v>91.56</v>
      </c>
      <c r="J19" s="32"/>
      <c r="K19" s="32"/>
    </row>
    <row r="20" spans="1:11">
      <c r="A20" s="33" t="s">
        <v>588</v>
      </c>
      <c r="B20" s="42">
        <v>40472</v>
      </c>
      <c r="C20" s="33" t="s">
        <v>11</v>
      </c>
      <c r="D20" s="33" t="s">
        <v>32</v>
      </c>
      <c r="E20" s="73">
        <f>464.9+274.92+343+246.46+937.1+27.2</f>
        <v>2293.58</v>
      </c>
      <c r="F20" s="43">
        <v>71260</v>
      </c>
      <c r="G20" s="33" t="s">
        <v>10</v>
      </c>
      <c r="H20" s="42">
        <v>40481</v>
      </c>
      <c r="I20" s="34">
        <f t="shared" si="0"/>
        <v>458.71600000000001</v>
      </c>
      <c r="J20" s="32"/>
      <c r="K20" s="32"/>
    </row>
    <row r="21" spans="1:11">
      <c r="A21" s="33" t="s">
        <v>590</v>
      </c>
      <c r="B21" s="42">
        <v>40472</v>
      </c>
      <c r="C21" s="33" t="s">
        <v>11</v>
      </c>
      <c r="D21" s="33" t="s">
        <v>353</v>
      </c>
      <c r="E21" s="73">
        <f>136.1+136.1+81.66+16.32</f>
        <v>370.18</v>
      </c>
      <c r="F21" s="43">
        <v>10108.41</v>
      </c>
      <c r="G21" s="33" t="s">
        <v>10</v>
      </c>
      <c r="H21" s="42">
        <v>40485</v>
      </c>
      <c r="I21" s="34">
        <f t="shared" si="0"/>
        <v>74.036000000000001</v>
      </c>
      <c r="J21" s="32"/>
      <c r="K21" s="32"/>
    </row>
    <row r="22" spans="1:11">
      <c r="A22" s="77" t="s">
        <v>1118</v>
      </c>
      <c r="B22" s="42">
        <v>40472</v>
      </c>
      <c r="C22" s="33" t="s">
        <v>11</v>
      </c>
      <c r="D22" s="33" t="s">
        <v>1117</v>
      </c>
      <c r="E22" s="73">
        <v>0</v>
      </c>
      <c r="F22" s="43">
        <v>72014.990000000005</v>
      </c>
      <c r="G22" s="33" t="s">
        <v>10</v>
      </c>
      <c r="H22" s="76" t="s">
        <v>1113</v>
      </c>
      <c r="I22" s="34">
        <f t="shared" si="0"/>
        <v>0</v>
      </c>
      <c r="J22" s="32"/>
      <c r="K22" s="32"/>
    </row>
    <row r="23" spans="1:11">
      <c r="A23" s="33" t="s">
        <v>573</v>
      </c>
      <c r="B23" s="42">
        <v>40476</v>
      </c>
      <c r="C23" s="33" t="s">
        <v>11</v>
      </c>
      <c r="D23" s="33" t="s">
        <v>35</v>
      </c>
      <c r="E23" s="73">
        <f>276+137</f>
        <v>413</v>
      </c>
      <c r="F23" s="43">
        <v>13350</v>
      </c>
      <c r="G23" s="33" t="s">
        <v>10</v>
      </c>
      <c r="H23" s="42">
        <v>40483</v>
      </c>
      <c r="I23" s="34">
        <f t="shared" si="0"/>
        <v>82.600000000000009</v>
      </c>
      <c r="J23" s="32"/>
      <c r="K23" s="32"/>
    </row>
    <row r="24" spans="1:11">
      <c r="A24" s="33" t="s">
        <v>478</v>
      </c>
      <c r="B24" s="42">
        <v>40476</v>
      </c>
      <c r="C24" s="33" t="s">
        <v>11</v>
      </c>
      <c r="D24" s="33" t="s">
        <v>32</v>
      </c>
      <c r="E24" s="73">
        <f>58.78+720.2+671.76+265.2+273+869.2+54.44</f>
        <v>2912.5800000000004</v>
      </c>
      <c r="F24" s="43">
        <v>94465</v>
      </c>
      <c r="G24" s="33" t="s">
        <v>10</v>
      </c>
      <c r="H24" s="42">
        <v>40485</v>
      </c>
      <c r="I24" s="34">
        <f t="shared" si="0"/>
        <v>582.51600000000008</v>
      </c>
      <c r="J24" s="32"/>
      <c r="K24" s="32"/>
    </row>
    <row r="25" spans="1:11">
      <c r="A25" s="33" t="s">
        <v>584</v>
      </c>
      <c r="B25" s="42">
        <v>40476</v>
      </c>
      <c r="C25" s="33" t="s">
        <v>11</v>
      </c>
      <c r="D25" s="33" t="s">
        <v>274</v>
      </c>
      <c r="E25" s="73">
        <f>497.86+156+108.88+54.44+27.22+20</f>
        <v>864.40000000000009</v>
      </c>
      <c r="F25" s="43">
        <v>28966</v>
      </c>
      <c r="G25" s="33" t="s">
        <v>10</v>
      </c>
      <c r="H25" s="42">
        <v>40485</v>
      </c>
      <c r="I25" s="34">
        <f t="shared" si="0"/>
        <v>172.88000000000002</v>
      </c>
      <c r="J25" s="32"/>
      <c r="K25" s="32"/>
    </row>
    <row r="26" spans="1:11">
      <c r="A26" s="33" t="s">
        <v>601</v>
      </c>
      <c r="B26" s="42">
        <v>40476</v>
      </c>
      <c r="C26" s="33" t="s">
        <v>11</v>
      </c>
      <c r="D26" s="33" t="s">
        <v>25</v>
      </c>
      <c r="E26" s="73">
        <f>118.66+527.06+967.96+985.2</f>
        <v>2598.88</v>
      </c>
      <c r="F26" s="43">
        <v>79716.479999999996</v>
      </c>
      <c r="G26" s="33" t="s">
        <v>10</v>
      </c>
      <c r="H26" s="42"/>
      <c r="I26" s="34">
        <f t="shared" si="0"/>
        <v>519.77600000000007</v>
      </c>
      <c r="J26" s="32"/>
      <c r="K26" s="32"/>
    </row>
    <row r="27" spans="1:11">
      <c r="A27" s="33" t="s">
        <v>572</v>
      </c>
      <c r="B27" s="42">
        <v>40479</v>
      </c>
      <c r="C27" s="42" t="s">
        <v>11</v>
      </c>
      <c r="D27" s="33" t="s">
        <v>32</v>
      </c>
      <c r="E27" s="73">
        <f>830.6+848.5+879.1+41.22+522+268.32</f>
        <v>3389.74</v>
      </c>
      <c r="F27" s="43">
        <v>111046</v>
      </c>
      <c r="G27" s="33" t="s">
        <v>10</v>
      </c>
      <c r="H27" s="44">
        <v>40492</v>
      </c>
      <c r="I27" s="34">
        <f t="shared" si="0"/>
        <v>677.94799999999998</v>
      </c>
      <c r="J27" s="32"/>
      <c r="K27" s="32"/>
    </row>
    <row r="28" spans="1:11">
      <c r="A28" s="33" t="s">
        <v>585</v>
      </c>
      <c r="B28" s="42">
        <v>40479</v>
      </c>
      <c r="C28" s="33" t="s">
        <v>11</v>
      </c>
      <c r="D28" s="33" t="s">
        <v>357</v>
      </c>
      <c r="E28" s="73">
        <v>2968.3</v>
      </c>
      <c r="F28" s="43">
        <v>92610.96</v>
      </c>
      <c r="G28" s="33" t="s">
        <v>10</v>
      </c>
      <c r="H28" s="42">
        <v>40481</v>
      </c>
      <c r="I28" s="34">
        <f t="shared" si="0"/>
        <v>593.66000000000008</v>
      </c>
      <c r="J28" s="32"/>
      <c r="K28" s="32"/>
    </row>
    <row r="29" spans="1:11">
      <c r="A29" s="33" t="s">
        <v>606</v>
      </c>
      <c r="B29" s="42">
        <v>40479</v>
      </c>
      <c r="C29" s="33" t="s">
        <v>11</v>
      </c>
      <c r="D29" s="33" t="s">
        <v>35</v>
      </c>
      <c r="E29" s="73">
        <f>80+97</f>
        <v>177</v>
      </c>
      <c r="F29" s="43">
        <v>6852</v>
      </c>
      <c r="G29" s="33" t="s">
        <v>10</v>
      </c>
      <c r="H29" s="42">
        <v>40488</v>
      </c>
      <c r="I29" s="34">
        <f t="shared" si="0"/>
        <v>35.4</v>
      </c>
      <c r="J29" s="32"/>
      <c r="K29" s="32"/>
    </row>
    <row r="30" spans="1:11">
      <c r="A30" s="33" t="s">
        <v>613</v>
      </c>
      <c r="B30" s="42">
        <v>40479</v>
      </c>
      <c r="C30" s="33" t="s">
        <v>11</v>
      </c>
      <c r="D30" s="33" t="s">
        <v>353</v>
      </c>
      <c r="E30" s="73">
        <f>272.2+136.1</f>
        <v>408.29999999999995</v>
      </c>
      <c r="F30" s="43">
        <v>12929.5</v>
      </c>
      <c r="G30" s="33" t="s">
        <v>10</v>
      </c>
      <c r="H30" s="42">
        <v>40461</v>
      </c>
      <c r="I30" s="34">
        <f t="shared" si="0"/>
        <v>81.66</v>
      </c>
      <c r="J30" s="32"/>
      <c r="K30" s="32"/>
    </row>
    <row r="31" spans="1:11">
      <c r="A31" s="33" t="s">
        <v>641</v>
      </c>
      <c r="B31" s="42">
        <v>40479</v>
      </c>
      <c r="C31" s="33" t="s">
        <v>11</v>
      </c>
      <c r="D31" s="33" t="s">
        <v>274</v>
      </c>
      <c r="E31" s="73">
        <f>503.52+109.1+108.88+20+27.22+54.44+10.88</f>
        <v>834.04000000000008</v>
      </c>
      <c r="F31" s="43">
        <v>28824</v>
      </c>
      <c r="G31" s="33" t="s">
        <v>10</v>
      </c>
      <c r="H31" s="42">
        <v>40495</v>
      </c>
      <c r="I31" s="34">
        <f t="shared" si="0"/>
        <v>166.80800000000002</v>
      </c>
      <c r="J31" s="32"/>
      <c r="K31" s="32"/>
    </row>
    <row r="32" spans="1:11">
      <c r="A32" s="33" t="s">
        <v>647</v>
      </c>
      <c r="B32" s="42">
        <v>40479</v>
      </c>
      <c r="C32" s="33" t="s">
        <v>11</v>
      </c>
      <c r="D32" s="33" t="s">
        <v>25</v>
      </c>
      <c r="E32" s="73">
        <f>1089+979.7+950.2</f>
        <v>3018.8999999999996</v>
      </c>
      <c r="F32" s="43">
        <v>91610</v>
      </c>
      <c r="G32" s="33" t="s">
        <v>10</v>
      </c>
      <c r="H32" s="42"/>
      <c r="I32" s="34">
        <f t="shared" si="0"/>
        <v>603.78</v>
      </c>
      <c r="J32" s="32"/>
      <c r="K32" s="32"/>
    </row>
    <row r="33" spans="1:11">
      <c r="A33" s="33" t="s">
        <v>574</v>
      </c>
      <c r="B33" s="42">
        <v>40480</v>
      </c>
      <c r="C33" s="33" t="s">
        <v>11</v>
      </c>
      <c r="D33" s="33" t="s">
        <v>35</v>
      </c>
      <c r="E33" s="73">
        <v>283</v>
      </c>
      <c r="F33" s="43">
        <v>8575</v>
      </c>
      <c r="G33" s="33" t="s">
        <v>10</v>
      </c>
      <c r="H33" s="42">
        <v>40480</v>
      </c>
      <c r="I33" s="34">
        <f t="shared" si="0"/>
        <v>56.6</v>
      </c>
      <c r="J33" s="32"/>
      <c r="K33" s="32"/>
    </row>
    <row r="34" spans="1:11">
      <c r="A34" s="33" t="s">
        <v>575</v>
      </c>
      <c r="B34" s="42">
        <v>40480</v>
      </c>
      <c r="C34" s="33" t="s">
        <v>438</v>
      </c>
      <c r="D34" s="33" t="s">
        <v>299</v>
      </c>
      <c r="E34" s="73">
        <v>912.2</v>
      </c>
      <c r="F34" s="43">
        <v>25541.5</v>
      </c>
      <c r="G34" s="33" t="s">
        <v>10</v>
      </c>
      <c r="H34" s="42">
        <v>40486</v>
      </c>
      <c r="I34" s="34">
        <f t="shared" si="0"/>
        <v>182.44000000000003</v>
      </c>
      <c r="J34" s="32"/>
      <c r="K34" s="32"/>
    </row>
    <row r="35" spans="1:11">
      <c r="A35" s="33" t="s">
        <v>498</v>
      </c>
      <c r="B35" s="42">
        <v>40481</v>
      </c>
      <c r="C35" s="33" t="s">
        <v>11</v>
      </c>
      <c r="D35" s="33" t="s">
        <v>353</v>
      </c>
      <c r="E35" s="73">
        <v>925.3</v>
      </c>
      <c r="F35" s="43">
        <v>26371</v>
      </c>
      <c r="G35" s="33" t="s">
        <v>10</v>
      </c>
      <c r="H35" s="42"/>
      <c r="I35" s="34">
        <f t="shared" si="0"/>
        <v>185.06</v>
      </c>
      <c r="J35" s="32"/>
      <c r="K35" s="32"/>
    </row>
    <row r="36" spans="1:11">
      <c r="A36" s="33" t="s">
        <v>581</v>
      </c>
      <c r="B36" s="42">
        <v>40481</v>
      </c>
      <c r="C36" s="33" t="s">
        <v>11</v>
      </c>
      <c r="D36" s="33" t="s">
        <v>35</v>
      </c>
      <c r="E36" s="73">
        <v>326.8</v>
      </c>
      <c r="F36" s="43">
        <v>9902</v>
      </c>
      <c r="G36" s="33" t="s">
        <v>10</v>
      </c>
      <c r="H36" s="42">
        <v>40488</v>
      </c>
      <c r="I36" s="34">
        <f t="shared" si="0"/>
        <v>65.36</v>
      </c>
      <c r="J36" s="32"/>
      <c r="K36" s="32"/>
    </row>
    <row r="37" spans="1:11">
      <c r="A37" s="33" t="s">
        <v>611</v>
      </c>
      <c r="B37" s="42">
        <v>40483</v>
      </c>
      <c r="C37" s="33" t="s">
        <v>11</v>
      </c>
      <c r="D37" s="33" t="s">
        <v>32</v>
      </c>
      <c r="E37" s="73">
        <f>665.9+285.1+925.17</f>
        <v>1876.17</v>
      </c>
      <c r="F37" s="43">
        <v>59075</v>
      </c>
      <c r="G37" s="33" t="s">
        <v>10</v>
      </c>
      <c r="H37" s="42">
        <v>40492</v>
      </c>
      <c r="I37" s="34">
        <f t="shared" si="0"/>
        <v>375.23400000000004</v>
      </c>
      <c r="J37" s="32"/>
      <c r="K37" s="32"/>
    </row>
    <row r="38" spans="1:11">
      <c r="A38" s="33" t="s">
        <v>591</v>
      </c>
      <c r="B38" s="42">
        <v>40483</v>
      </c>
      <c r="C38" s="33" t="s">
        <v>11</v>
      </c>
      <c r="D38" s="33" t="s">
        <v>357</v>
      </c>
      <c r="E38" s="73">
        <v>2852</v>
      </c>
      <c r="F38" s="43">
        <v>88982.399999999994</v>
      </c>
      <c r="G38" s="33" t="s">
        <v>10</v>
      </c>
      <c r="H38" s="42">
        <v>40485</v>
      </c>
      <c r="I38" s="34">
        <f t="shared" si="0"/>
        <v>570.4</v>
      </c>
      <c r="J38" s="32"/>
      <c r="K38" s="32"/>
    </row>
    <row r="39" spans="1:11">
      <c r="A39" s="33" t="s">
        <v>595</v>
      </c>
      <c r="B39" s="42">
        <v>40483</v>
      </c>
      <c r="C39" s="33" t="s">
        <v>11</v>
      </c>
      <c r="D39" s="33" t="s">
        <v>423</v>
      </c>
      <c r="E39" s="73">
        <f>58.5+195+321.6+5.88+64.62</f>
        <v>645.6</v>
      </c>
      <c r="F39" s="43">
        <v>12192.75</v>
      </c>
      <c r="G39" s="33" t="s">
        <v>10</v>
      </c>
      <c r="H39" s="42">
        <v>40502</v>
      </c>
      <c r="I39" s="34">
        <f t="shared" si="0"/>
        <v>129.12</v>
      </c>
      <c r="J39" s="32"/>
      <c r="K39" s="32"/>
    </row>
    <row r="40" spans="1:11">
      <c r="A40" s="33" t="s">
        <v>604</v>
      </c>
      <c r="B40" s="42">
        <v>40483</v>
      </c>
      <c r="C40" s="33" t="s">
        <v>11</v>
      </c>
      <c r="D40" s="33" t="s">
        <v>423</v>
      </c>
      <c r="E40" s="73">
        <f>603+54.44+136.1+11.24</f>
        <v>804.78000000000009</v>
      </c>
      <c r="F40" s="43">
        <v>16578.96</v>
      </c>
      <c r="G40" s="33" t="s">
        <v>10</v>
      </c>
      <c r="H40" s="42">
        <v>40488</v>
      </c>
      <c r="I40" s="34">
        <f t="shared" si="0"/>
        <v>160.95600000000002</v>
      </c>
      <c r="J40" s="32"/>
      <c r="K40" s="32"/>
    </row>
    <row r="41" spans="1:11">
      <c r="A41" s="33" t="s">
        <v>609</v>
      </c>
      <c r="B41" s="42">
        <v>40483</v>
      </c>
      <c r="C41" s="33" t="s">
        <v>11</v>
      </c>
      <c r="D41" s="33" t="s">
        <v>274</v>
      </c>
      <c r="E41" s="73">
        <f>81.66+27.22+40</f>
        <v>148.88</v>
      </c>
      <c r="F41" s="43">
        <v>4412</v>
      </c>
      <c r="G41" s="33" t="s">
        <v>10</v>
      </c>
      <c r="H41" s="42"/>
      <c r="I41" s="34">
        <f t="shared" si="0"/>
        <v>29.776</v>
      </c>
      <c r="J41" s="32"/>
      <c r="K41" s="32"/>
    </row>
    <row r="42" spans="1:11">
      <c r="A42" s="33" t="s">
        <v>610</v>
      </c>
      <c r="B42" s="42">
        <v>40483</v>
      </c>
      <c r="C42" s="33" t="s">
        <v>11</v>
      </c>
      <c r="D42" s="33" t="s">
        <v>274</v>
      </c>
      <c r="E42" s="73">
        <f>203.22+97.06+103+108.88+10.88</f>
        <v>523.04</v>
      </c>
      <c r="F42" s="43">
        <v>16070</v>
      </c>
      <c r="G42" s="33" t="s">
        <v>10</v>
      </c>
      <c r="H42" s="42">
        <v>40492</v>
      </c>
      <c r="I42" s="34">
        <f t="shared" si="0"/>
        <v>104.608</v>
      </c>
      <c r="J42" s="32"/>
      <c r="K42" s="32"/>
    </row>
    <row r="43" spans="1:11">
      <c r="A43" s="33" t="s">
        <v>637</v>
      </c>
      <c r="B43" s="42">
        <v>40483</v>
      </c>
      <c r="C43" s="33" t="s">
        <v>356</v>
      </c>
      <c r="D43" s="33" t="s">
        <v>35</v>
      </c>
      <c r="E43" s="73">
        <v>250</v>
      </c>
      <c r="F43" s="43">
        <v>7590</v>
      </c>
      <c r="G43" s="33" t="s">
        <v>10</v>
      </c>
      <c r="H43" s="42">
        <v>37208</v>
      </c>
      <c r="I43" s="34">
        <f t="shared" si="0"/>
        <v>50</v>
      </c>
      <c r="J43" s="32"/>
      <c r="K43" s="32"/>
    </row>
    <row r="44" spans="1:11">
      <c r="A44" s="33" t="s">
        <v>666</v>
      </c>
      <c r="B44" s="42">
        <v>40483</v>
      </c>
      <c r="C44" s="33" t="s">
        <v>11</v>
      </c>
      <c r="D44" s="33" t="s">
        <v>25</v>
      </c>
      <c r="E44" s="73">
        <f>926.08+883.2+27.2+153.72</f>
        <v>1990.2000000000003</v>
      </c>
      <c r="F44" s="43">
        <v>61885.1</v>
      </c>
      <c r="G44" s="33" t="s">
        <v>10</v>
      </c>
      <c r="H44" s="42"/>
      <c r="I44" s="34">
        <f t="shared" si="0"/>
        <v>398.04000000000008</v>
      </c>
      <c r="J44" s="32"/>
      <c r="K44" s="32"/>
    </row>
    <row r="45" spans="1:11">
      <c r="A45" s="33" t="s">
        <v>618</v>
      </c>
      <c r="B45" s="42">
        <v>40484</v>
      </c>
      <c r="C45" s="33" t="s">
        <v>657</v>
      </c>
      <c r="D45" s="33" t="s">
        <v>25</v>
      </c>
      <c r="E45" s="73">
        <v>849.2</v>
      </c>
      <c r="F45" s="43">
        <v>26749.8</v>
      </c>
      <c r="G45" s="33" t="s">
        <v>10</v>
      </c>
      <c r="H45" s="42"/>
      <c r="I45" s="34">
        <f t="shared" si="0"/>
        <v>169.84000000000003</v>
      </c>
      <c r="J45" s="32"/>
      <c r="K45" s="32"/>
    </row>
    <row r="46" spans="1:11">
      <c r="A46" s="33" t="s">
        <v>645</v>
      </c>
      <c r="B46" s="42">
        <v>40485</v>
      </c>
      <c r="C46" s="33" t="s">
        <v>11</v>
      </c>
      <c r="D46" s="33" t="s">
        <v>35</v>
      </c>
      <c r="E46" s="73">
        <f>61+81.18+124</f>
        <v>266.18</v>
      </c>
      <c r="F46" s="43">
        <v>9646</v>
      </c>
      <c r="G46" s="33" t="s">
        <v>10</v>
      </c>
      <c r="H46" s="42"/>
      <c r="I46" s="34">
        <f t="shared" si="0"/>
        <v>53.236000000000004</v>
      </c>
      <c r="J46" s="32"/>
      <c r="K46" s="32"/>
    </row>
    <row r="47" spans="1:11">
      <c r="A47" s="33" t="s">
        <v>603</v>
      </c>
      <c r="B47" s="42">
        <v>40486</v>
      </c>
      <c r="C47" s="33" t="s">
        <v>11</v>
      </c>
      <c r="D47" s="33" t="s">
        <v>13</v>
      </c>
      <c r="E47" s="73">
        <f>68.05+816.6+163.32+272.2+23.2+218.5</f>
        <v>1561.8700000000001</v>
      </c>
      <c r="F47" s="43">
        <v>34590.83</v>
      </c>
      <c r="G47" s="33" t="s">
        <v>10</v>
      </c>
      <c r="H47" s="42"/>
      <c r="I47" s="34">
        <f t="shared" si="0"/>
        <v>312.37400000000002</v>
      </c>
      <c r="J47" s="32"/>
      <c r="K47" s="32"/>
    </row>
    <row r="48" spans="1:11">
      <c r="A48" s="42" t="s">
        <v>593</v>
      </c>
      <c r="B48" s="42">
        <v>40486</v>
      </c>
      <c r="C48" s="33" t="s">
        <v>11</v>
      </c>
      <c r="D48" s="33" t="s">
        <v>274</v>
      </c>
      <c r="E48" s="73">
        <f>134+81.66+136.1+30+10.88+11.52+94.2</f>
        <v>498.35999999999996</v>
      </c>
      <c r="F48" s="43">
        <v>14352</v>
      </c>
      <c r="G48" s="33" t="s">
        <v>10</v>
      </c>
      <c r="H48" s="42">
        <v>40489</v>
      </c>
      <c r="I48" s="34">
        <f t="shared" si="0"/>
        <v>99.671999999999997</v>
      </c>
      <c r="J48" s="32"/>
      <c r="K48" s="32"/>
    </row>
    <row r="49" spans="1:11">
      <c r="A49" s="33" t="s">
        <v>608</v>
      </c>
      <c r="B49" s="42">
        <v>40486</v>
      </c>
      <c r="C49" s="33" t="s">
        <v>356</v>
      </c>
      <c r="D49" s="33" t="s">
        <v>357</v>
      </c>
      <c r="E49" s="73">
        <v>2653.9</v>
      </c>
      <c r="F49" s="43">
        <v>82801.679999999993</v>
      </c>
      <c r="G49" s="33" t="s">
        <v>10</v>
      </c>
      <c r="H49" s="42">
        <v>40492</v>
      </c>
      <c r="I49" s="34">
        <f t="shared" si="0"/>
        <v>530.78000000000009</v>
      </c>
      <c r="J49" s="32"/>
      <c r="K49" s="32"/>
    </row>
    <row r="50" spans="1:11">
      <c r="A50" s="33" t="s">
        <v>614</v>
      </c>
      <c r="B50" s="42">
        <v>40486</v>
      </c>
      <c r="C50" s="33" t="s">
        <v>11</v>
      </c>
      <c r="D50" s="33" t="s">
        <v>44</v>
      </c>
      <c r="E50" s="73">
        <f>272.2+111.5</f>
        <v>383.7</v>
      </c>
      <c r="F50" s="43">
        <v>7190</v>
      </c>
      <c r="G50" s="33" t="s">
        <v>10</v>
      </c>
      <c r="H50" s="42">
        <v>40488</v>
      </c>
      <c r="I50" s="34">
        <f t="shared" si="0"/>
        <v>76.740000000000009</v>
      </c>
      <c r="J50" s="32"/>
      <c r="K50" s="32"/>
    </row>
    <row r="51" spans="1:11">
      <c r="A51" s="33" t="s">
        <v>665</v>
      </c>
      <c r="B51" s="42">
        <v>40486</v>
      </c>
      <c r="C51" s="33" t="s">
        <v>11</v>
      </c>
      <c r="D51" s="33" t="s">
        <v>25</v>
      </c>
      <c r="E51" s="73">
        <f>854.2+863.7+178</f>
        <v>1895.9</v>
      </c>
      <c r="F51" s="43">
        <v>61589.85</v>
      </c>
      <c r="G51" s="33" t="s">
        <v>10</v>
      </c>
      <c r="H51" s="42">
        <v>40506</v>
      </c>
      <c r="I51" s="34">
        <f t="shared" si="0"/>
        <v>379.18000000000006</v>
      </c>
      <c r="J51" s="32"/>
      <c r="K51" s="32"/>
    </row>
    <row r="52" spans="1:11">
      <c r="A52" s="33" t="s">
        <v>582</v>
      </c>
      <c r="B52" s="42">
        <v>40488</v>
      </c>
      <c r="C52" s="33" t="s">
        <v>11</v>
      </c>
      <c r="D52" s="33" t="s">
        <v>35</v>
      </c>
      <c r="E52" s="73">
        <v>146</v>
      </c>
      <c r="F52" s="43">
        <v>5256</v>
      </c>
      <c r="G52" s="33" t="s">
        <v>10</v>
      </c>
      <c r="H52" s="42">
        <v>40488</v>
      </c>
      <c r="I52" s="34">
        <f t="shared" si="0"/>
        <v>29.200000000000003</v>
      </c>
      <c r="J52" s="32"/>
      <c r="K52" s="32"/>
    </row>
    <row r="53" spans="1:11">
      <c r="A53" s="33" t="s">
        <v>640</v>
      </c>
      <c r="B53" s="42">
        <v>40488</v>
      </c>
      <c r="C53" s="33" t="s">
        <v>11</v>
      </c>
      <c r="D53" s="33" t="s">
        <v>35</v>
      </c>
      <c r="E53" s="73">
        <f>20.54+72.62</f>
        <v>93.16</v>
      </c>
      <c r="F53" s="43">
        <v>3333</v>
      </c>
      <c r="G53" s="33" t="s">
        <v>10</v>
      </c>
      <c r="H53" s="42">
        <v>40495</v>
      </c>
      <c r="I53" s="34">
        <f t="shared" si="0"/>
        <v>18.632000000000001</v>
      </c>
      <c r="J53" s="32"/>
      <c r="K53" s="32"/>
    </row>
    <row r="54" spans="1:11">
      <c r="A54" s="42" t="s">
        <v>359</v>
      </c>
      <c r="B54" s="42">
        <v>40490</v>
      </c>
      <c r="C54" s="33" t="s">
        <v>11</v>
      </c>
      <c r="D54" s="33" t="s">
        <v>32</v>
      </c>
      <c r="E54" s="73">
        <v>3158</v>
      </c>
      <c r="F54" s="43">
        <v>101732</v>
      </c>
      <c r="G54" s="33" t="s">
        <v>10</v>
      </c>
      <c r="H54" s="42">
        <v>40489</v>
      </c>
      <c r="I54" s="34">
        <f t="shared" si="0"/>
        <v>631.6</v>
      </c>
      <c r="J54" s="32"/>
      <c r="K54" s="32"/>
    </row>
    <row r="55" spans="1:11">
      <c r="A55" s="33" t="s">
        <v>592</v>
      </c>
      <c r="B55" s="42">
        <v>40490</v>
      </c>
      <c r="C55" s="33" t="s">
        <v>11</v>
      </c>
      <c r="D55" s="33" t="s">
        <v>32</v>
      </c>
      <c r="E55" s="73">
        <f>87.9+25.82+24.32+54.44</f>
        <v>192.48</v>
      </c>
      <c r="F55" s="43">
        <v>3853.5</v>
      </c>
      <c r="G55" s="33" t="s">
        <v>10</v>
      </c>
      <c r="H55" s="42">
        <v>40489</v>
      </c>
      <c r="I55" s="34">
        <f t="shared" si="0"/>
        <v>38.496000000000002</v>
      </c>
      <c r="J55" s="32"/>
      <c r="K55" s="32"/>
    </row>
    <row r="56" spans="1:11">
      <c r="A56" s="33" t="s">
        <v>594</v>
      </c>
      <c r="B56" s="42">
        <v>40490</v>
      </c>
      <c r="C56" s="33" t="s">
        <v>11</v>
      </c>
      <c r="D56" s="33" t="s">
        <v>353</v>
      </c>
      <c r="E56" s="73">
        <f>21.76+108.88+163.32</f>
        <v>293.95999999999998</v>
      </c>
      <c r="F56" s="43">
        <v>6645.66</v>
      </c>
      <c r="G56" s="33" t="s">
        <v>10</v>
      </c>
      <c r="H56" s="42">
        <v>40500</v>
      </c>
      <c r="I56" s="34">
        <f t="shared" si="0"/>
        <v>58.792000000000002</v>
      </c>
      <c r="J56" s="32"/>
      <c r="K56" s="32"/>
    </row>
    <row r="57" spans="1:11">
      <c r="A57" s="33" t="s">
        <v>602</v>
      </c>
      <c r="B57" s="42">
        <v>40490</v>
      </c>
      <c r="C57" s="33" t="s">
        <v>11</v>
      </c>
      <c r="D57" s="33" t="s">
        <v>423</v>
      </c>
      <c r="E57" s="73">
        <f>855.5+27.22+57</f>
        <v>939.72</v>
      </c>
      <c r="F57" s="43">
        <v>17679.27</v>
      </c>
      <c r="G57" s="33" t="s">
        <v>10</v>
      </c>
      <c r="H57" s="42">
        <v>40495</v>
      </c>
      <c r="I57" s="34">
        <f t="shared" si="0"/>
        <v>187.94400000000002</v>
      </c>
      <c r="J57" s="32"/>
      <c r="K57" s="32"/>
    </row>
    <row r="58" spans="1:11">
      <c r="A58" s="33" t="s">
        <v>607</v>
      </c>
      <c r="B58" s="42">
        <v>40490</v>
      </c>
      <c r="C58" s="33" t="s">
        <v>356</v>
      </c>
      <c r="D58" s="33" t="s">
        <v>357</v>
      </c>
      <c r="E58" s="73">
        <v>3125.7</v>
      </c>
      <c r="F58" s="43">
        <v>97521.84</v>
      </c>
      <c r="G58" s="33" t="s">
        <v>10</v>
      </c>
      <c r="H58" s="42">
        <v>40492</v>
      </c>
      <c r="I58" s="34">
        <f t="shared" si="0"/>
        <v>625.14</v>
      </c>
      <c r="J58" s="32"/>
      <c r="K58" s="32"/>
    </row>
    <row r="59" spans="1:11">
      <c r="A59" s="77" t="s">
        <v>1120</v>
      </c>
      <c r="B59" s="42">
        <v>40490</v>
      </c>
      <c r="C59" s="33" t="s">
        <v>438</v>
      </c>
      <c r="D59" s="33" t="s">
        <v>1119</v>
      </c>
      <c r="E59" s="73">
        <v>0</v>
      </c>
      <c r="F59" s="43">
        <v>26749.8</v>
      </c>
      <c r="G59" s="33" t="s">
        <v>10</v>
      </c>
      <c r="H59" s="76" t="s">
        <v>1113</v>
      </c>
      <c r="I59" s="34">
        <f t="shared" si="0"/>
        <v>0</v>
      </c>
      <c r="J59" s="32"/>
      <c r="K59" s="32"/>
    </row>
    <row r="60" spans="1:11">
      <c r="A60" s="33" t="s">
        <v>639</v>
      </c>
      <c r="B60" s="42">
        <v>40490</v>
      </c>
      <c r="C60" s="33" t="s">
        <v>11</v>
      </c>
      <c r="D60" s="33" t="s">
        <v>274</v>
      </c>
      <c r="E60" s="73">
        <f>294.12+136.1+81.66+27.22+20+11.38</f>
        <v>570.48</v>
      </c>
      <c r="F60" s="43">
        <v>19495</v>
      </c>
      <c r="G60" s="33" t="s">
        <v>10</v>
      </c>
      <c r="H60" s="42">
        <v>40502</v>
      </c>
      <c r="I60" s="34">
        <f t="shared" si="0"/>
        <v>114.096</v>
      </c>
      <c r="J60" s="32"/>
      <c r="K60" s="32"/>
    </row>
    <row r="61" spans="1:11">
      <c r="A61" s="33" t="s">
        <v>1121</v>
      </c>
      <c r="B61" s="42">
        <v>40491</v>
      </c>
      <c r="C61" s="33" t="s">
        <v>11</v>
      </c>
      <c r="D61" s="33" t="s">
        <v>25</v>
      </c>
      <c r="E61" s="73">
        <v>13.61</v>
      </c>
      <c r="F61" s="43">
        <v>558.01</v>
      </c>
      <c r="G61" s="33" t="s">
        <v>10</v>
      </c>
      <c r="H61" s="42">
        <v>40507</v>
      </c>
      <c r="I61" s="34">
        <f t="shared" si="0"/>
        <v>2.722</v>
      </c>
      <c r="J61" s="32"/>
      <c r="K61" s="32"/>
    </row>
    <row r="62" spans="1:11">
      <c r="A62" s="33" t="s">
        <v>576</v>
      </c>
      <c r="B62" s="42">
        <v>40462</v>
      </c>
      <c r="C62" s="42" t="s">
        <v>11</v>
      </c>
      <c r="D62" s="33" t="s">
        <v>25</v>
      </c>
      <c r="E62" s="73">
        <f>56.52+102.58+829.2+822.22</f>
        <v>1810.52</v>
      </c>
      <c r="F62" s="43">
        <v>54833.89</v>
      </c>
      <c r="G62" s="33" t="s">
        <v>10</v>
      </c>
      <c r="H62" s="44"/>
      <c r="I62" s="34">
        <f t="shared" si="0"/>
        <v>362.10400000000004</v>
      </c>
      <c r="J62" s="32"/>
      <c r="K62" s="32"/>
    </row>
    <row r="63" spans="1:11">
      <c r="A63" s="33" t="s">
        <v>598</v>
      </c>
      <c r="B63" s="42">
        <v>40493</v>
      </c>
      <c r="C63" s="33" t="s">
        <v>11</v>
      </c>
      <c r="D63" s="33" t="s">
        <v>12</v>
      </c>
      <c r="E63" s="73">
        <v>83.84</v>
      </c>
      <c r="F63" s="43">
        <v>1173.76</v>
      </c>
      <c r="G63" s="33" t="s">
        <v>10</v>
      </c>
      <c r="H63" s="42">
        <v>40495</v>
      </c>
      <c r="I63" s="34">
        <f t="shared" si="0"/>
        <v>16.768000000000001</v>
      </c>
      <c r="J63" s="32"/>
      <c r="K63" s="32"/>
    </row>
    <row r="64" spans="1:11">
      <c r="A64" s="33" t="s">
        <v>599</v>
      </c>
      <c r="B64" s="42">
        <v>40493</v>
      </c>
      <c r="C64" s="33" t="s">
        <v>11</v>
      </c>
      <c r="D64" s="33" t="s">
        <v>357</v>
      </c>
      <c r="E64" s="73">
        <v>2714.7</v>
      </c>
      <c r="F64" s="43">
        <v>84698.64</v>
      </c>
      <c r="G64" s="33" t="s">
        <v>10</v>
      </c>
      <c r="H64" s="42">
        <v>40464</v>
      </c>
      <c r="I64" s="34">
        <f t="shared" si="0"/>
        <v>542.93999999999994</v>
      </c>
      <c r="J64" s="32"/>
      <c r="K64" s="32"/>
    </row>
    <row r="65" spans="1:11">
      <c r="A65" s="33" t="s">
        <v>600</v>
      </c>
      <c r="B65" s="42">
        <v>40493</v>
      </c>
      <c r="C65" s="33" t="s">
        <v>11</v>
      </c>
      <c r="D65" s="33" t="s">
        <v>13</v>
      </c>
      <c r="E65" s="73">
        <f>16.66+272.2+40.83+272.2+44.96+112.88+26.06</f>
        <v>785.79</v>
      </c>
      <c r="F65" s="43">
        <v>19036.89</v>
      </c>
      <c r="G65" s="33" t="s">
        <v>10</v>
      </c>
      <c r="H65" s="42">
        <v>40495</v>
      </c>
      <c r="I65" s="34">
        <f t="shared" si="0"/>
        <v>157.15800000000002</v>
      </c>
      <c r="J65" s="32"/>
      <c r="K65" s="32"/>
    </row>
    <row r="66" spans="1:11">
      <c r="A66" s="33" t="s">
        <v>888</v>
      </c>
      <c r="B66" s="42">
        <v>40493</v>
      </c>
      <c r="C66" s="33" t="s">
        <v>11</v>
      </c>
      <c r="D66" s="33" t="s">
        <v>423</v>
      </c>
      <c r="E66" s="73">
        <f>272.2+12.02+29.08+26.92+61.5</f>
        <v>401.71999999999997</v>
      </c>
      <c r="F66" s="43">
        <v>9515.4</v>
      </c>
      <c r="G66" s="33" t="s">
        <v>10</v>
      </c>
      <c r="H66" s="42">
        <v>40495</v>
      </c>
      <c r="I66" s="34">
        <f t="shared" si="0"/>
        <v>80.343999999999994</v>
      </c>
      <c r="J66" s="32"/>
      <c r="K66" s="32"/>
    </row>
    <row r="67" spans="1:11">
      <c r="A67" s="33" t="s">
        <v>465</v>
      </c>
      <c r="B67" s="42">
        <v>40493</v>
      </c>
      <c r="C67" s="33" t="s">
        <v>11</v>
      </c>
      <c r="D67" s="33" t="s">
        <v>32</v>
      </c>
      <c r="E67" s="73">
        <f>933+267.82+115.68+467.9+673.6</f>
        <v>2458</v>
      </c>
      <c r="F67" s="43">
        <v>71617</v>
      </c>
      <c r="G67" s="33" t="s">
        <v>10</v>
      </c>
      <c r="H67" s="42">
        <v>40502</v>
      </c>
      <c r="I67" s="34">
        <f t="shared" si="0"/>
        <v>491.6</v>
      </c>
      <c r="J67" s="32"/>
      <c r="K67" s="32"/>
    </row>
    <row r="68" spans="1:11">
      <c r="A68" s="33" t="s">
        <v>470</v>
      </c>
      <c r="B68" s="42">
        <v>40493</v>
      </c>
      <c r="C68" s="33" t="s">
        <v>11</v>
      </c>
      <c r="D68" s="33" t="s">
        <v>44</v>
      </c>
      <c r="E68" s="73">
        <f>67.82+217.76+252.82</f>
        <v>538.4</v>
      </c>
      <c r="F68" s="43">
        <v>8650</v>
      </c>
      <c r="G68" s="33" t="s">
        <v>10</v>
      </c>
      <c r="H68" s="42">
        <v>40495</v>
      </c>
      <c r="I68" s="34">
        <f t="shared" si="0"/>
        <v>107.68</v>
      </c>
      <c r="J68" s="32"/>
      <c r="K68" s="32"/>
    </row>
    <row r="69" spans="1:11">
      <c r="A69" s="33" t="s">
        <v>472</v>
      </c>
      <c r="B69" s="42">
        <v>40493</v>
      </c>
      <c r="C69" s="33" t="s">
        <v>11</v>
      </c>
      <c r="D69" s="33" t="s">
        <v>274</v>
      </c>
      <c r="E69" s="73">
        <f>204.2+108.88+136.1+40+27.22+5.44</f>
        <v>521.84</v>
      </c>
      <c r="F69" s="43">
        <v>16449.5</v>
      </c>
      <c r="G69" s="33" t="s">
        <v>10</v>
      </c>
      <c r="H69" s="42">
        <v>40506</v>
      </c>
      <c r="I69" s="34">
        <f t="shared" si="0"/>
        <v>104.36800000000001</v>
      </c>
      <c r="J69" s="32"/>
      <c r="K69" s="32"/>
    </row>
    <row r="70" spans="1:11">
      <c r="A70" s="33" t="s">
        <v>642</v>
      </c>
      <c r="B70" s="42">
        <v>40494</v>
      </c>
      <c r="C70" s="33" t="s">
        <v>11</v>
      </c>
      <c r="D70" s="33" t="s">
        <v>35</v>
      </c>
      <c r="E70" s="73">
        <f>168+89+27.22</f>
        <v>284.22000000000003</v>
      </c>
      <c r="F70" s="43">
        <v>9762</v>
      </c>
      <c r="G70" s="33" t="s">
        <v>10</v>
      </c>
      <c r="H70" s="42">
        <v>40500</v>
      </c>
      <c r="I70" s="34">
        <f t="shared" si="0"/>
        <v>56.844000000000008</v>
      </c>
      <c r="J70" s="32"/>
      <c r="K70" s="32"/>
    </row>
    <row r="71" spans="1:11">
      <c r="A71" s="33" t="s">
        <v>596</v>
      </c>
      <c r="B71" s="42">
        <v>40497</v>
      </c>
      <c r="C71" s="33" t="s">
        <v>11</v>
      </c>
      <c r="D71" s="33" t="s">
        <v>357</v>
      </c>
      <c r="E71" s="73">
        <v>2453.5</v>
      </c>
      <c r="F71" s="43">
        <v>76544.2</v>
      </c>
      <c r="G71" s="33" t="s">
        <v>10</v>
      </c>
      <c r="H71" s="42">
        <v>40500</v>
      </c>
      <c r="I71" s="34">
        <f t="shared" si="0"/>
        <v>490.70000000000005</v>
      </c>
      <c r="J71" s="32"/>
      <c r="K71" s="32"/>
    </row>
    <row r="72" spans="1:11">
      <c r="A72" s="33" t="s">
        <v>597</v>
      </c>
      <c r="B72" s="42">
        <v>40497</v>
      </c>
      <c r="C72" s="33" t="s">
        <v>11</v>
      </c>
      <c r="D72" s="33" t="s">
        <v>13</v>
      </c>
      <c r="E72" s="73">
        <f>154.26+48.74+22.66+408.3+54.44+353.86+25.66</f>
        <v>1067.9200000000003</v>
      </c>
      <c r="F72" s="43">
        <v>22085.3</v>
      </c>
      <c r="G72" s="33" t="s">
        <v>10</v>
      </c>
      <c r="H72" s="42">
        <v>40500</v>
      </c>
      <c r="I72" s="34">
        <f t="shared" si="0"/>
        <v>213.58400000000006</v>
      </c>
      <c r="J72" s="32"/>
      <c r="K72" s="32"/>
    </row>
    <row r="73" spans="1:11">
      <c r="A73" s="33" t="s">
        <v>619</v>
      </c>
      <c r="B73" s="42">
        <v>40497</v>
      </c>
      <c r="C73" s="33" t="s">
        <v>11</v>
      </c>
      <c r="D73" s="33" t="s">
        <v>25</v>
      </c>
      <c r="E73" s="73">
        <f>27.2+272.2+933+915.5</f>
        <v>2147.9</v>
      </c>
      <c r="F73" s="43">
        <v>61060.2</v>
      </c>
      <c r="G73" s="33" t="s">
        <v>10</v>
      </c>
      <c r="H73" s="42"/>
      <c r="I73" s="34">
        <f t="shared" si="0"/>
        <v>429.58000000000004</v>
      </c>
      <c r="J73" s="32"/>
      <c r="K73" s="32"/>
    </row>
    <row r="74" spans="1:11">
      <c r="A74" s="33" t="s">
        <v>636</v>
      </c>
      <c r="B74" s="42">
        <v>40497</v>
      </c>
      <c r="C74" s="33" t="s">
        <v>11</v>
      </c>
      <c r="D74" s="33" t="s">
        <v>353</v>
      </c>
      <c r="E74" s="73">
        <f>163.32+81.66+136.1</f>
        <v>381.08</v>
      </c>
      <c r="F74" s="43">
        <v>9663.1</v>
      </c>
      <c r="G74" s="33" t="s">
        <v>10</v>
      </c>
      <c r="H74" s="42">
        <v>40509</v>
      </c>
      <c r="I74" s="34">
        <f t="shared" si="0"/>
        <v>76.215999999999994</v>
      </c>
      <c r="J74" s="32"/>
      <c r="K74" s="32"/>
    </row>
    <row r="75" spans="1:11">
      <c r="A75" s="33" t="s">
        <v>644</v>
      </c>
      <c r="B75" s="42">
        <v>40497</v>
      </c>
      <c r="C75" s="33" t="s">
        <v>11</v>
      </c>
      <c r="D75" s="33" t="s">
        <v>35</v>
      </c>
      <c r="E75" s="73">
        <v>134.5</v>
      </c>
      <c r="F75" s="43">
        <v>5044</v>
      </c>
      <c r="G75" s="33" t="s">
        <v>10</v>
      </c>
      <c r="H75" s="42"/>
      <c r="I75" s="34">
        <f t="shared" ref="I75:I110" si="1">$I$6*E75</f>
        <v>26.900000000000002</v>
      </c>
      <c r="J75" s="32"/>
      <c r="K75" s="32"/>
    </row>
    <row r="76" spans="1:11">
      <c r="A76" s="33" t="s">
        <v>653</v>
      </c>
      <c r="B76" s="42">
        <v>40497</v>
      </c>
      <c r="C76" s="33" t="s">
        <v>11</v>
      </c>
      <c r="D76" s="33" t="s">
        <v>32</v>
      </c>
      <c r="E76" s="73">
        <v>291.2</v>
      </c>
      <c r="F76" s="43">
        <v>12376</v>
      </c>
      <c r="G76" s="33" t="s">
        <v>10</v>
      </c>
      <c r="H76" s="42">
        <v>40509</v>
      </c>
      <c r="I76" s="34">
        <f t="shared" si="1"/>
        <v>58.24</v>
      </c>
      <c r="J76" s="32"/>
      <c r="K76" s="32"/>
    </row>
    <row r="77" spans="1:11">
      <c r="A77" s="33" t="s">
        <v>660</v>
      </c>
      <c r="B77" s="42">
        <v>40497</v>
      </c>
      <c r="C77" s="33" t="s">
        <v>11</v>
      </c>
      <c r="D77" s="33" t="s">
        <v>274</v>
      </c>
      <c r="E77" s="73">
        <f>57.88+155.58+54.44+163.32+40+27.22</f>
        <v>498.43999999999994</v>
      </c>
      <c r="F77" s="43">
        <v>15643</v>
      </c>
      <c r="G77" s="33" t="s">
        <v>10</v>
      </c>
      <c r="H77" s="42"/>
      <c r="I77" s="34">
        <f t="shared" si="1"/>
        <v>99.687999999999988</v>
      </c>
      <c r="J77" s="32"/>
      <c r="K77" s="32"/>
    </row>
    <row r="78" spans="1:11">
      <c r="A78" s="33" t="s">
        <v>662</v>
      </c>
      <c r="B78" s="42">
        <v>40497</v>
      </c>
      <c r="C78" s="33" t="s">
        <v>11</v>
      </c>
      <c r="D78" s="33" t="s">
        <v>32</v>
      </c>
      <c r="E78" s="73">
        <f>929.5+955+950+170.8+117.76+54.44+20.9</f>
        <v>3198.4000000000005</v>
      </c>
      <c r="F78" s="43">
        <v>93951</v>
      </c>
      <c r="G78" s="33" t="s">
        <v>10</v>
      </c>
      <c r="H78" s="42">
        <v>40506</v>
      </c>
      <c r="I78" s="34">
        <f t="shared" si="1"/>
        <v>639.68000000000018</v>
      </c>
      <c r="J78" s="32"/>
      <c r="K78" s="32"/>
    </row>
    <row r="79" spans="1:11">
      <c r="A79" s="33" t="s">
        <v>638</v>
      </c>
      <c r="B79" s="42">
        <v>40498</v>
      </c>
      <c r="C79" s="33" t="s">
        <v>11</v>
      </c>
      <c r="D79" s="33" t="s">
        <v>35</v>
      </c>
      <c r="E79" s="73">
        <f>126+134</f>
        <v>260</v>
      </c>
      <c r="F79" s="43">
        <v>9561</v>
      </c>
      <c r="G79" s="33" t="s">
        <v>10</v>
      </c>
      <c r="H79" s="42">
        <v>40502</v>
      </c>
      <c r="I79" s="34">
        <f t="shared" si="1"/>
        <v>52</v>
      </c>
      <c r="J79" s="32"/>
      <c r="K79" s="32"/>
    </row>
    <row r="80" spans="1:11">
      <c r="A80" s="33" t="s">
        <v>629</v>
      </c>
      <c r="B80" s="42">
        <v>40499</v>
      </c>
      <c r="C80" s="33" t="s">
        <v>20</v>
      </c>
      <c r="D80" s="33" t="s">
        <v>630</v>
      </c>
      <c r="E80" s="73">
        <v>136.1</v>
      </c>
      <c r="F80" s="43">
        <v>2926</v>
      </c>
      <c r="G80" s="33" t="s">
        <v>10</v>
      </c>
      <c r="H80" s="42">
        <v>40498</v>
      </c>
      <c r="I80" s="34">
        <f t="shared" si="1"/>
        <v>27.22</v>
      </c>
      <c r="J80" s="32"/>
      <c r="K80" s="32"/>
    </row>
    <row r="81" spans="1:11">
      <c r="A81" s="33" t="s">
        <v>633</v>
      </c>
      <c r="B81" s="42">
        <v>40499</v>
      </c>
      <c r="C81" s="33" t="s">
        <v>11</v>
      </c>
      <c r="D81" s="33" t="s">
        <v>35</v>
      </c>
      <c r="E81" s="73">
        <f>140.5+124.5</f>
        <v>265</v>
      </c>
      <c r="F81" s="43">
        <v>9727</v>
      </c>
      <c r="G81" s="33" t="s">
        <v>10</v>
      </c>
      <c r="H81" s="42">
        <v>40504</v>
      </c>
      <c r="I81" s="34">
        <f t="shared" si="1"/>
        <v>53</v>
      </c>
      <c r="J81" s="32"/>
      <c r="K81" s="32"/>
    </row>
    <row r="82" spans="1:11">
      <c r="A82" s="33" t="s">
        <v>655</v>
      </c>
      <c r="B82" s="42">
        <v>40499</v>
      </c>
      <c r="C82" s="33" t="s">
        <v>17</v>
      </c>
      <c r="D82" s="33" t="s">
        <v>171</v>
      </c>
      <c r="E82" s="73">
        <v>900.94</v>
      </c>
      <c r="F82" s="43">
        <v>12613</v>
      </c>
      <c r="G82" s="33" t="s">
        <v>10</v>
      </c>
      <c r="H82" s="42">
        <v>40507</v>
      </c>
      <c r="I82" s="34">
        <f t="shared" si="1"/>
        <v>180.18800000000002</v>
      </c>
      <c r="J82" s="32"/>
      <c r="K82" s="32"/>
    </row>
    <row r="83" spans="1:11">
      <c r="A83" s="33" t="s">
        <v>643</v>
      </c>
      <c r="B83" s="42">
        <v>40500</v>
      </c>
      <c r="C83" s="33" t="s">
        <v>11</v>
      </c>
      <c r="D83" s="33" t="s">
        <v>35</v>
      </c>
      <c r="E83" s="73">
        <f>81.4+237</f>
        <v>318.39999999999998</v>
      </c>
      <c r="F83" s="43">
        <v>10437</v>
      </c>
      <c r="G83" s="33" t="s">
        <v>10</v>
      </c>
      <c r="H83" s="42">
        <v>40502</v>
      </c>
      <c r="I83" s="34">
        <f t="shared" si="1"/>
        <v>63.68</v>
      </c>
      <c r="J83" s="32"/>
      <c r="K83" s="32"/>
    </row>
    <row r="84" spans="1:11">
      <c r="A84" s="33" t="s">
        <v>648</v>
      </c>
      <c r="B84" s="42">
        <v>40500</v>
      </c>
      <c r="C84" s="33" t="s">
        <v>11</v>
      </c>
      <c r="D84" s="33" t="s">
        <v>274</v>
      </c>
      <c r="E84" s="73">
        <f>54.44+64.88+20+163.32+350.82+822.2</f>
        <v>1475.66</v>
      </c>
      <c r="F84" s="43">
        <v>44545</v>
      </c>
      <c r="G84" s="33" t="s">
        <v>10</v>
      </c>
      <c r="H84" s="42">
        <v>40509</v>
      </c>
      <c r="I84" s="34">
        <f t="shared" si="1"/>
        <v>295.13200000000001</v>
      </c>
      <c r="J84" s="32"/>
      <c r="K84" s="32"/>
    </row>
    <row r="85" spans="1:11">
      <c r="A85" s="33" t="s">
        <v>652</v>
      </c>
      <c r="B85" s="42">
        <v>40500</v>
      </c>
      <c r="C85" s="33" t="s">
        <v>11</v>
      </c>
      <c r="D85" s="33" t="s">
        <v>32</v>
      </c>
      <c r="E85" s="73">
        <v>2437.48</v>
      </c>
      <c r="F85" s="43">
        <v>69870</v>
      </c>
      <c r="G85" s="33" t="s">
        <v>10</v>
      </c>
      <c r="H85" s="42">
        <v>40503</v>
      </c>
      <c r="I85" s="34">
        <f t="shared" si="1"/>
        <v>487.49600000000004</v>
      </c>
      <c r="J85" s="32"/>
      <c r="K85" s="32"/>
    </row>
    <row r="86" spans="1:11">
      <c r="A86" s="33" t="s">
        <v>656</v>
      </c>
      <c r="B86" s="42">
        <v>40500</v>
      </c>
      <c r="C86" s="33" t="s">
        <v>356</v>
      </c>
      <c r="D86" s="33" t="s">
        <v>357</v>
      </c>
      <c r="E86" s="73">
        <v>1997.1</v>
      </c>
      <c r="F86" s="43">
        <v>61910.1</v>
      </c>
      <c r="G86" s="33" t="s">
        <v>10</v>
      </c>
      <c r="H86" s="42">
        <v>40506</v>
      </c>
      <c r="I86" s="34">
        <f t="shared" si="1"/>
        <v>399.42</v>
      </c>
      <c r="J86" s="32"/>
      <c r="K86" s="32"/>
    </row>
    <row r="87" spans="1:11">
      <c r="A87" s="33" t="s">
        <v>659</v>
      </c>
      <c r="B87" s="42">
        <v>40501</v>
      </c>
      <c r="C87" s="33" t="s">
        <v>11</v>
      </c>
      <c r="D87" s="33" t="s">
        <v>35</v>
      </c>
      <c r="E87" s="73">
        <v>277.92</v>
      </c>
      <c r="F87" s="43">
        <v>10407</v>
      </c>
      <c r="G87" s="33" t="s">
        <v>10</v>
      </c>
      <c r="H87" s="42">
        <v>40506</v>
      </c>
      <c r="I87" s="34">
        <f t="shared" si="1"/>
        <v>55.584000000000003</v>
      </c>
      <c r="J87" s="32"/>
      <c r="K87" s="32"/>
    </row>
    <row r="88" spans="1:11">
      <c r="A88" s="33" t="s">
        <v>659</v>
      </c>
      <c r="B88" s="42">
        <v>40501</v>
      </c>
      <c r="C88" s="33" t="s">
        <v>11</v>
      </c>
      <c r="D88" s="33" t="s">
        <v>35</v>
      </c>
      <c r="E88" s="73">
        <f>233.5+98</f>
        <v>331.5</v>
      </c>
      <c r="F88" s="43">
        <v>10407</v>
      </c>
      <c r="G88" s="33" t="s">
        <v>10</v>
      </c>
      <c r="H88" s="42"/>
      <c r="I88" s="34">
        <f t="shared" si="1"/>
        <v>66.3</v>
      </c>
      <c r="J88" s="32"/>
      <c r="K88" s="32"/>
    </row>
    <row r="89" spans="1:11">
      <c r="A89" s="33" t="s">
        <v>627</v>
      </c>
      <c r="B89" s="42">
        <v>40502</v>
      </c>
      <c r="C89" s="33" t="s">
        <v>11</v>
      </c>
      <c r="D89" s="33" t="s">
        <v>32</v>
      </c>
      <c r="E89" s="73">
        <f>1072.8+427.5+877.2</f>
        <v>2377.5</v>
      </c>
      <c r="F89" s="43">
        <v>65980</v>
      </c>
      <c r="G89" s="33" t="s">
        <v>10</v>
      </c>
      <c r="H89" s="42">
        <v>40504</v>
      </c>
      <c r="I89" s="34">
        <f t="shared" si="1"/>
        <v>475.5</v>
      </c>
      <c r="J89" s="32"/>
      <c r="K89" s="32"/>
    </row>
    <row r="90" spans="1:11">
      <c r="A90" s="33" t="s">
        <v>631</v>
      </c>
      <c r="B90" s="42">
        <v>40502</v>
      </c>
      <c r="C90" s="33" t="s">
        <v>11</v>
      </c>
      <c r="D90" s="33" t="s">
        <v>35</v>
      </c>
      <c r="E90" s="73">
        <f>122+250.64</f>
        <v>372.64</v>
      </c>
      <c r="F90" s="43">
        <v>11911</v>
      </c>
      <c r="G90" s="33" t="s">
        <v>10</v>
      </c>
      <c r="H90" s="42">
        <v>40507</v>
      </c>
      <c r="I90" s="34">
        <f t="shared" si="1"/>
        <v>74.528000000000006</v>
      </c>
      <c r="J90" s="32"/>
      <c r="K90" s="32"/>
    </row>
    <row r="91" spans="1:11">
      <c r="A91" s="33" t="s">
        <v>628</v>
      </c>
      <c r="B91" s="42">
        <v>40502</v>
      </c>
      <c r="C91" s="33"/>
      <c r="D91" s="33" t="s">
        <v>35</v>
      </c>
      <c r="E91" s="73">
        <f>33.84+32.92</f>
        <v>66.760000000000005</v>
      </c>
      <c r="F91" s="43">
        <v>2372.5</v>
      </c>
      <c r="G91" s="33" t="s">
        <v>10</v>
      </c>
      <c r="H91" s="42">
        <v>40504</v>
      </c>
      <c r="I91" s="34">
        <f t="shared" si="1"/>
        <v>13.352000000000002</v>
      </c>
      <c r="J91" s="32"/>
      <c r="K91" s="32"/>
    </row>
    <row r="92" spans="1:11">
      <c r="A92" s="33" t="s">
        <v>455</v>
      </c>
      <c r="B92" s="42">
        <v>40502</v>
      </c>
      <c r="C92" s="33" t="s">
        <v>634</v>
      </c>
      <c r="D92" s="77" t="s">
        <v>1122</v>
      </c>
      <c r="E92" s="73">
        <v>0</v>
      </c>
      <c r="F92" s="43">
        <v>2660</v>
      </c>
      <c r="G92" s="33" t="s">
        <v>10</v>
      </c>
      <c r="H92" s="76" t="s">
        <v>1113</v>
      </c>
      <c r="I92" s="34">
        <f t="shared" si="1"/>
        <v>0</v>
      </c>
      <c r="J92" s="32"/>
      <c r="K92" s="32"/>
    </row>
    <row r="93" spans="1:11">
      <c r="A93" s="33" t="s">
        <v>455</v>
      </c>
      <c r="B93" s="42">
        <v>40502</v>
      </c>
      <c r="C93" s="33" t="s">
        <v>634</v>
      </c>
      <c r="D93" s="33" t="s">
        <v>35</v>
      </c>
      <c r="E93" s="73">
        <v>66.5</v>
      </c>
      <c r="F93" s="43">
        <v>2660</v>
      </c>
      <c r="G93" s="33" t="s">
        <v>10</v>
      </c>
      <c r="H93" s="42"/>
      <c r="I93" s="34">
        <f t="shared" si="1"/>
        <v>13.3</v>
      </c>
      <c r="J93" s="32"/>
      <c r="K93" s="32"/>
    </row>
    <row r="94" spans="1:11">
      <c r="A94" s="33" t="s">
        <v>664</v>
      </c>
      <c r="B94" s="42">
        <v>40502</v>
      </c>
      <c r="C94" s="33" t="s">
        <v>11</v>
      </c>
      <c r="D94" s="33" t="s">
        <v>35</v>
      </c>
      <c r="E94" s="73">
        <v>408</v>
      </c>
      <c r="F94" s="43">
        <v>12362.5</v>
      </c>
      <c r="G94" s="33" t="s">
        <v>10</v>
      </c>
      <c r="H94" s="42">
        <v>40506</v>
      </c>
      <c r="I94" s="34">
        <f t="shared" si="1"/>
        <v>81.600000000000009</v>
      </c>
      <c r="J94" s="32"/>
      <c r="K94" s="32"/>
    </row>
    <row r="95" spans="1:11">
      <c r="A95" s="33" t="s">
        <v>617</v>
      </c>
      <c r="B95" s="42">
        <v>40504</v>
      </c>
      <c r="C95" s="33" t="s">
        <v>11</v>
      </c>
      <c r="D95" s="33" t="s">
        <v>25</v>
      </c>
      <c r="E95" s="73">
        <f>930.77+966.5</f>
        <v>1897.27</v>
      </c>
      <c r="F95" s="43">
        <v>55371.5</v>
      </c>
      <c r="G95" s="33" t="s">
        <v>10</v>
      </c>
      <c r="H95" s="42"/>
      <c r="I95" s="34">
        <f t="shared" si="1"/>
        <v>379.45400000000001</v>
      </c>
      <c r="J95" s="32"/>
      <c r="K95" s="32"/>
    </row>
    <row r="96" spans="1:11">
      <c r="A96" s="33" t="s">
        <v>632</v>
      </c>
      <c r="B96" s="42">
        <v>40504</v>
      </c>
      <c r="C96" s="33" t="s">
        <v>203</v>
      </c>
      <c r="D96" s="33" t="s">
        <v>35</v>
      </c>
      <c r="E96" s="73">
        <v>142</v>
      </c>
      <c r="F96" s="43">
        <v>5325</v>
      </c>
      <c r="G96" s="33" t="s">
        <v>10</v>
      </c>
      <c r="H96" s="42">
        <v>40475</v>
      </c>
      <c r="I96" s="34">
        <f t="shared" si="1"/>
        <v>28.400000000000002</v>
      </c>
      <c r="J96" s="32"/>
      <c r="K96" s="32"/>
    </row>
    <row r="97" spans="1:11">
      <c r="A97" s="33" t="s">
        <v>651</v>
      </c>
      <c r="B97" s="42">
        <v>40504</v>
      </c>
      <c r="C97" s="33" t="s">
        <v>11</v>
      </c>
      <c r="D97" s="33" t="s">
        <v>274</v>
      </c>
      <c r="E97" s="73">
        <f>190.54+40.83+10.88+50.7+23.3</f>
        <v>316.25</v>
      </c>
      <c r="F97" s="43">
        <v>9130.5</v>
      </c>
      <c r="G97" s="33" t="s">
        <v>10</v>
      </c>
      <c r="H97" s="42">
        <v>40509</v>
      </c>
      <c r="I97" s="34">
        <f t="shared" si="1"/>
        <v>63.25</v>
      </c>
      <c r="J97" s="32"/>
      <c r="K97" s="32"/>
    </row>
    <row r="98" spans="1:11">
      <c r="A98" s="33" t="s">
        <v>658</v>
      </c>
      <c r="B98" s="42">
        <v>40504</v>
      </c>
      <c r="C98" s="33" t="s">
        <v>356</v>
      </c>
      <c r="D98" s="33" t="s">
        <v>357</v>
      </c>
      <c r="E98" s="73">
        <v>2054.6999999999998</v>
      </c>
      <c r="F98" s="43">
        <v>63695.7</v>
      </c>
      <c r="G98" s="33" t="s">
        <v>10</v>
      </c>
      <c r="H98" s="42">
        <v>40506</v>
      </c>
      <c r="I98" s="34">
        <f t="shared" si="1"/>
        <v>410.94</v>
      </c>
      <c r="J98" s="32"/>
      <c r="K98" s="32"/>
    </row>
    <row r="99" spans="1:11">
      <c r="A99" s="33" t="s">
        <v>661</v>
      </c>
      <c r="B99" s="42">
        <v>40504</v>
      </c>
      <c r="C99" s="33" t="s">
        <v>11</v>
      </c>
      <c r="D99" s="33" t="s">
        <v>44</v>
      </c>
      <c r="E99" s="73">
        <f>272.2+64.84</f>
        <v>337.03999999999996</v>
      </c>
      <c r="F99" s="43">
        <v>7123</v>
      </c>
      <c r="G99" s="33" t="s">
        <v>10</v>
      </c>
      <c r="H99" s="42">
        <v>40475</v>
      </c>
      <c r="I99" s="34">
        <f t="shared" si="1"/>
        <v>67.408000000000001</v>
      </c>
      <c r="J99" s="32"/>
      <c r="K99" s="32"/>
    </row>
    <row r="100" spans="1:11">
      <c r="A100" s="33" t="s">
        <v>663</v>
      </c>
      <c r="B100" s="42">
        <v>40504</v>
      </c>
      <c r="C100" s="33" t="s">
        <v>11</v>
      </c>
      <c r="D100" s="33" t="s">
        <v>35</v>
      </c>
      <c r="E100" s="73">
        <f>28.74+104.86</f>
        <v>133.6</v>
      </c>
      <c r="F100" s="43">
        <v>3918</v>
      </c>
      <c r="G100" s="33" t="s">
        <v>10</v>
      </c>
      <c r="H100" s="42">
        <v>40506</v>
      </c>
      <c r="I100" s="34">
        <f t="shared" si="1"/>
        <v>26.72</v>
      </c>
      <c r="J100" s="32"/>
      <c r="K100" s="32"/>
    </row>
    <row r="101" spans="1:11">
      <c r="A101" s="33" t="s">
        <v>649</v>
      </c>
      <c r="B101" s="42">
        <v>40505</v>
      </c>
      <c r="C101" s="33" t="s">
        <v>11</v>
      </c>
      <c r="D101" s="33" t="s">
        <v>35</v>
      </c>
      <c r="E101" s="73">
        <v>182</v>
      </c>
      <c r="F101" s="43">
        <v>6552</v>
      </c>
      <c r="G101" s="33" t="s">
        <v>10</v>
      </c>
      <c r="H101" s="42">
        <v>40509</v>
      </c>
      <c r="I101" s="34">
        <f t="shared" si="1"/>
        <v>36.4</v>
      </c>
      <c r="J101" s="32"/>
      <c r="K101" s="32"/>
    </row>
    <row r="102" spans="1:11">
      <c r="A102" s="33" t="s">
        <v>650</v>
      </c>
      <c r="B102" s="42">
        <v>40506</v>
      </c>
      <c r="C102" s="33" t="s">
        <v>11</v>
      </c>
      <c r="D102" s="33" t="s">
        <v>35</v>
      </c>
      <c r="E102" s="73">
        <f>242+34.84</f>
        <v>276.84000000000003</v>
      </c>
      <c r="F102" s="43">
        <v>8587</v>
      </c>
      <c r="G102" s="33" t="s">
        <v>10</v>
      </c>
      <c r="H102" s="42">
        <v>40509</v>
      </c>
      <c r="I102" s="34">
        <f t="shared" si="1"/>
        <v>55.368000000000009</v>
      </c>
      <c r="J102" s="32"/>
      <c r="K102" s="32"/>
    </row>
    <row r="103" spans="1:11">
      <c r="A103" s="33" t="s">
        <v>654</v>
      </c>
      <c r="B103" s="42">
        <v>40506</v>
      </c>
      <c r="C103" s="33" t="s">
        <v>11</v>
      </c>
      <c r="D103" s="33" t="s">
        <v>171</v>
      </c>
      <c r="E103" s="73">
        <v>607.5</v>
      </c>
      <c r="F103" s="43">
        <v>8505</v>
      </c>
      <c r="G103" s="33" t="s">
        <v>10</v>
      </c>
      <c r="H103" s="42">
        <v>40507</v>
      </c>
      <c r="I103" s="34">
        <f t="shared" si="1"/>
        <v>121.5</v>
      </c>
      <c r="J103" s="32"/>
      <c r="K103" s="32"/>
    </row>
    <row r="104" spans="1:11">
      <c r="A104" s="33" t="s">
        <v>620</v>
      </c>
      <c r="B104" s="42">
        <v>40507</v>
      </c>
      <c r="C104" s="33" t="s">
        <v>11</v>
      </c>
      <c r="D104" s="33" t="s">
        <v>25</v>
      </c>
      <c r="E104" s="73">
        <f>27.2+1005.5+157.2+148.72+13.91</f>
        <v>1352.5300000000002</v>
      </c>
      <c r="F104" s="43">
        <v>41887.35</v>
      </c>
      <c r="G104" s="33" t="s">
        <v>10</v>
      </c>
      <c r="H104" s="42"/>
      <c r="I104" s="34">
        <f t="shared" si="1"/>
        <v>270.50600000000003</v>
      </c>
      <c r="J104" s="32"/>
      <c r="K104" s="32"/>
    </row>
    <row r="105" spans="1:11">
      <c r="A105" s="33" t="s">
        <v>635</v>
      </c>
      <c r="B105" s="42">
        <v>40507</v>
      </c>
      <c r="C105" s="33" t="s">
        <v>11</v>
      </c>
      <c r="D105" s="33" t="s">
        <v>423</v>
      </c>
      <c r="E105" s="73">
        <f>177.82+62.5</f>
        <v>240.32</v>
      </c>
      <c r="F105" s="43">
        <v>4984.6099999999997</v>
      </c>
      <c r="G105" s="33" t="s">
        <v>10</v>
      </c>
      <c r="H105" s="42">
        <v>40509</v>
      </c>
      <c r="I105" s="34">
        <f t="shared" si="1"/>
        <v>48.064</v>
      </c>
      <c r="J105" s="32"/>
      <c r="K105" s="32"/>
    </row>
    <row r="106" spans="1:11">
      <c r="A106" s="33" t="s">
        <v>889</v>
      </c>
      <c r="B106" s="42">
        <v>40507</v>
      </c>
      <c r="C106" s="33" t="s">
        <v>356</v>
      </c>
      <c r="D106" s="33" t="s">
        <v>357</v>
      </c>
      <c r="E106" s="73">
        <v>2238.4</v>
      </c>
      <c r="F106" s="43">
        <v>69390.399999999994</v>
      </c>
      <c r="G106" s="33" t="s">
        <v>10</v>
      </c>
      <c r="H106" s="42">
        <v>40509</v>
      </c>
      <c r="I106" s="34">
        <f t="shared" si="1"/>
        <v>447.68000000000006</v>
      </c>
      <c r="J106" s="32"/>
      <c r="K106" s="32"/>
    </row>
    <row r="107" spans="1:11">
      <c r="A107" s="33" t="s">
        <v>890</v>
      </c>
      <c r="B107" s="42">
        <v>40507</v>
      </c>
      <c r="C107" s="33" t="s">
        <v>11</v>
      </c>
      <c r="D107" s="33" t="s">
        <v>13</v>
      </c>
      <c r="E107" s="73">
        <v>874.4</v>
      </c>
      <c r="F107" s="43">
        <v>24948.83</v>
      </c>
      <c r="G107" s="33"/>
      <c r="H107" s="42">
        <v>40495</v>
      </c>
      <c r="I107" s="34">
        <f t="shared" si="1"/>
        <v>174.88</v>
      </c>
      <c r="J107" s="32"/>
      <c r="K107" s="32"/>
    </row>
    <row r="108" spans="1:11">
      <c r="A108" s="33" t="s">
        <v>615</v>
      </c>
      <c r="B108" s="42">
        <v>40508</v>
      </c>
      <c r="C108" s="33" t="s">
        <v>11</v>
      </c>
      <c r="D108" s="33" t="s">
        <v>35</v>
      </c>
      <c r="E108" s="73">
        <f>317.5+27.22+178</f>
        <v>522.72</v>
      </c>
      <c r="F108" s="43">
        <v>16654.5</v>
      </c>
      <c r="G108" s="33" t="s">
        <v>10</v>
      </c>
      <c r="H108" s="42"/>
      <c r="I108" s="34">
        <f t="shared" si="1"/>
        <v>104.54400000000001</v>
      </c>
      <c r="J108" s="32"/>
      <c r="K108" s="32"/>
    </row>
    <row r="109" spans="1:11">
      <c r="A109" s="33" t="s">
        <v>621</v>
      </c>
      <c r="B109" s="42">
        <v>40511</v>
      </c>
      <c r="C109" s="33" t="s">
        <v>11</v>
      </c>
      <c r="D109" s="33" t="s">
        <v>25</v>
      </c>
      <c r="E109" s="73">
        <f>943.9+972+185.74+201.5</f>
        <v>2303.1400000000003</v>
      </c>
      <c r="F109" s="43">
        <v>65839.59</v>
      </c>
      <c r="G109" s="33" t="s">
        <v>10</v>
      </c>
      <c r="H109" s="42">
        <v>40530</v>
      </c>
      <c r="I109" s="34">
        <f t="shared" si="1"/>
        <v>460.6280000000001</v>
      </c>
      <c r="J109" s="32"/>
      <c r="K109" s="32"/>
    </row>
    <row r="110" spans="1:11">
      <c r="A110" s="32"/>
      <c r="B110" s="32"/>
      <c r="C110" s="32"/>
      <c r="D110" s="32"/>
      <c r="E110" s="74"/>
      <c r="F110" s="34"/>
      <c r="G110" s="32"/>
      <c r="H110" s="32"/>
      <c r="I110" s="34">
        <f t="shared" si="1"/>
        <v>0</v>
      </c>
      <c r="J110" s="32"/>
      <c r="K110" s="32"/>
    </row>
    <row r="111" spans="1:11">
      <c r="A111" s="32"/>
      <c r="B111" s="32"/>
      <c r="C111" s="32"/>
      <c r="D111" s="32"/>
      <c r="E111" s="75">
        <f>SUM(E7:E110)</f>
        <v>105662.45999999996</v>
      </c>
      <c r="F111" s="31">
        <f>SUM(F7:F110)</f>
        <v>3224032.6</v>
      </c>
      <c r="G111" s="30"/>
      <c r="H111" s="35" t="s">
        <v>63</v>
      </c>
      <c r="I111" s="31">
        <f>SUM(I7:I110)</f>
        <v>21132.491999999995</v>
      </c>
      <c r="J111" s="32"/>
      <c r="K111" s="32"/>
    </row>
    <row r="112" spans="1:11">
      <c r="A112" s="14"/>
      <c r="B112" s="14"/>
      <c r="C112" s="14"/>
      <c r="D112" s="14"/>
      <c r="E112" s="71"/>
      <c r="F112" s="25"/>
      <c r="G112" s="14"/>
      <c r="H112" s="14"/>
      <c r="I112" s="14"/>
    </row>
    <row r="113" spans="1:9">
      <c r="A113" s="14"/>
      <c r="B113" s="14"/>
      <c r="C113" s="14"/>
      <c r="D113" s="14"/>
      <c r="E113" s="71"/>
      <c r="F113" s="25"/>
      <c r="G113" s="14"/>
      <c r="H113" s="14"/>
      <c r="I113" s="14"/>
    </row>
    <row r="114" spans="1:9">
      <c r="A114" s="14"/>
      <c r="B114" s="14"/>
      <c r="C114" s="14"/>
      <c r="D114" s="14"/>
      <c r="E114" s="71"/>
      <c r="F114" s="25"/>
      <c r="G114" s="14"/>
      <c r="H114" s="14"/>
      <c r="I114" s="14"/>
    </row>
    <row r="115" spans="1:9">
      <c r="A115" s="14"/>
      <c r="B115" s="14"/>
      <c r="C115" s="14"/>
      <c r="D115" s="14"/>
      <c r="E115" s="71"/>
      <c r="F115" s="25"/>
      <c r="G115" s="14"/>
      <c r="H115" s="14"/>
      <c r="I115" s="14"/>
    </row>
    <row r="116" spans="1:9">
      <c r="A116" s="18"/>
    </row>
    <row r="132" spans="5:5">
      <c r="E132" s="73"/>
    </row>
    <row r="133" spans="5:5">
      <c r="E133" s="73"/>
    </row>
    <row r="134" spans="5:5">
      <c r="E134" s="73"/>
    </row>
    <row r="135" spans="5:5">
      <c r="E135" s="73"/>
    </row>
    <row r="136" spans="5:5">
      <c r="E136" s="73"/>
    </row>
    <row r="137" spans="5:5">
      <c r="E137" s="73"/>
    </row>
    <row r="138" spans="5:5">
      <c r="E138" s="73"/>
    </row>
    <row r="139" spans="5:5">
      <c r="E139" s="73"/>
    </row>
    <row r="140" spans="5:5">
      <c r="E140" s="73"/>
    </row>
    <row r="141" spans="5:5">
      <c r="E141" s="73"/>
    </row>
    <row r="142" spans="5:5">
      <c r="E142" s="73"/>
    </row>
    <row r="143" spans="5:5">
      <c r="E143" s="73"/>
    </row>
    <row r="144" spans="5:5">
      <c r="E144" s="73"/>
    </row>
    <row r="145" spans="5:5">
      <c r="E145" s="64"/>
    </row>
    <row r="146" spans="5:5">
      <c r="E146" s="64"/>
    </row>
  </sheetData>
  <sortState ref="A7:H116">
    <sortCondition ref="B7:B116"/>
  </sortState>
  <mergeCells count="1">
    <mergeCell ref="E5:F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6"/>
  <sheetViews>
    <sheetView topLeftCell="B79" workbookViewId="0">
      <selection activeCell="D95" sqref="D95"/>
    </sheetView>
  </sheetViews>
  <sheetFormatPr baseColWidth="10" defaultRowHeight="15"/>
  <cols>
    <col min="1" max="1" width="12.5703125" style="2" customWidth="1"/>
    <col min="2" max="2" width="9.85546875" style="2" bestFit="1" customWidth="1"/>
    <col min="3" max="3" width="17.140625" style="2" customWidth="1"/>
    <col min="4" max="4" width="26.5703125" style="2" customWidth="1"/>
    <col min="5" max="5" width="12.28515625" style="53" customWidth="1"/>
    <col min="6" max="6" width="14.5703125" style="3" customWidth="1"/>
    <col min="7" max="7" width="11.7109375" style="2" customWidth="1"/>
    <col min="8" max="8" width="11.85546875" style="2" customWidth="1"/>
    <col min="9" max="9" width="15.42578125" style="2" customWidth="1"/>
    <col min="10" max="16384" width="11.42578125" style="2"/>
  </cols>
  <sheetData>
    <row r="1" spans="1:9" ht="15.75">
      <c r="A1" s="1" t="s">
        <v>23</v>
      </c>
      <c r="B1" s="1"/>
      <c r="C1" s="1"/>
      <c r="D1" s="1"/>
      <c r="E1" s="51"/>
      <c r="F1" s="5"/>
      <c r="G1" s="5"/>
      <c r="H1" s="5"/>
      <c r="I1" s="1"/>
    </row>
    <row r="2" spans="1:9" ht="15.75">
      <c r="A2" s="1"/>
      <c r="B2" s="1"/>
      <c r="C2" s="1"/>
      <c r="D2" s="47" t="s">
        <v>668</v>
      </c>
      <c r="E2" s="68"/>
      <c r="F2" s="5"/>
      <c r="G2" s="5"/>
      <c r="H2" s="5"/>
      <c r="I2" s="1"/>
    </row>
    <row r="3" spans="1:9" ht="15.75">
      <c r="A3" s="8"/>
      <c r="B3" s="6"/>
      <c r="C3" s="6"/>
      <c r="D3" s="6"/>
      <c r="E3" s="51"/>
      <c r="F3" s="5"/>
      <c r="G3" s="7"/>
      <c r="H3" s="7"/>
      <c r="I3" s="1"/>
    </row>
    <row r="4" spans="1:9" ht="15.75">
      <c r="A4" s="1"/>
      <c r="B4" s="1"/>
      <c r="C4" s="1"/>
      <c r="D4" s="1"/>
      <c r="E4" s="51"/>
      <c r="F4" s="5"/>
      <c r="G4" s="5"/>
      <c r="H4" s="5"/>
      <c r="I4" s="1"/>
    </row>
    <row r="5" spans="1:9">
      <c r="A5" s="30" t="s">
        <v>5</v>
      </c>
      <c r="B5" s="30" t="s">
        <v>0</v>
      </c>
      <c r="C5" s="30" t="s">
        <v>7</v>
      </c>
      <c r="D5" s="30" t="s">
        <v>9</v>
      </c>
      <c r="E5" s="124" t="s">
        <v>1</v>
      </c>
      <c r="F5" s="124"/>
      <c r="G5" s="46" t="s">
        <v>24</v>
      </c>
      <c r="H5" s="31" t="s">
        <v>3</v>
      </c>
      <c r="I5" s="30" t="s">
        <v>80</v>
      </c>
    </row>
    <row r="6" spans="1:9" ht="15.75">
      <c r="A6" s="1"/>
      <c r="B6" s="1"/>
      <c r="C6" s="1"/>
      <c r="D6" s="1"/>
      <c r="E6" s="72" t="s">
        <v>6</v>
      </c>
      <c r="F6" s="31" t="s">
        <v>2</v>
      </c>
      <c r="G6" s="31"/>
      <c r="H6" s="31" t="s">
        <v>4</v>
      </c>
      <c r="I6" s="31">
        <v>0.2</v>
      </c>
    </row>
    <row r="7" spans="1:9">
      <c r="A7" s="29" t="s">
        <v>727</v>
      </c>
      <c r="B7" s="38">
        <v>40434</v>
      </c>
      <c r="C7" s="29" t="s">
        <v>11</v>
      </c>
      <c r="D7" s="78" t="s">
        <v>181</v>
      </c>
      <c r="E7" s="79">
        <f>248.42+82.64+544.4+272.2</f>
        <v>1147.6600000000001</v>
      </c>
      <c r="F7" s="39">
        <v>22025.119999999999</v>
      </c>
      <c r="G7" s="29" t="s">
        <v>10</v>
      </c>
      <c r="H7" s="38"/>
      <c r="I7" s="25">
        <f t="shared" ref="I7:I8" si="0">$I$6*E7</f>
        <v>229.53200000000004</v>
      </c>
    </row>
    <row r="8" spans="1:9">
      <c r="A8" s="29" t="s">
        <v>732</v>
      </c>
      <c r="B8" s="38">
        <v>40462</v>
      </c>
      <c r="C8" s="29" t="s">
        <v>17</v>
      </c>
      <c r="D8" s="29" t="s">
        <v>360</v>
      </c>
      <c r="E8" s="70">
        <v>987</v>
      </c>
      <c r="F8" s="39">
        <v>15792</v>
      </c>
      <c r="G8" s="29" t="s">
        <v>10</v>
      </c>
      <c r="H8" s="38">
        <v>40543</v>
      </c>
      <c r="I8" s="25">
        <f t="shared" si="0"/>
        <v>197.4</v>
      </c>
    </row>
    <row r="9" spans="1:9">
      <c r="A9" s="29" t="s">
        <v>686</v>
      </c>
      <c r="B9" s="38">
        <v>40467</v>
      </c>
      <c r="C9" s="29" t="s">
        <v>676</v>
      </c>
      <c r="D9" s="29" t="s">
        <v>357</v>
      </c>
      <c r="E9" s="70">
        <v>2552.9</v>
      </c>
      <c r="F9" s="39">
        <v>79905.77</v>
      </c>
      <c r="G9" s="29" t="s">
        <v>10</v>
      </c>
      <c r="H9" s="38"/>
      <c r="I9" s="25">
        <f>$I$6*E9</f>
        <v>510.58000000000004</v>
      </c>
    </row>
    <row r="10" spans="1:9">
      <c r="A10" s="29" t="s">
        <v>692</v>
      </c>
      <c r="B10" s="38">
        <v>40500</v>
      </c>
      <c r="C10" s="29" t="s">
        <v>11</v>
      </c>
      <c r="D10" s="29" t="s">
        <v>14</v>
      </c>
      <c r="E10" s="70">
        <f>27.2+51.26+960+896.5+255.42+861.2</f>
        <v>3051.58</v>
      </c>
      <c r="F10" s="39">
        <v>94744.1</v>
      </c>
      <c r="G10" s="29" t="s">
        <v>10</v>
      </c>
      <c r="H10" s="38">
        <v>40520</v>
      </c>
      <c r="I10" s="25">
        <f t="shared" ref="I10:I89" si="1">$I$6*E10</f>
        <v>610.31600000000003</v>
      </c>
    </row>
    <row r="11" spans="1:9">
      <c r="A11" s="29" t="s">
        <v>679</v>
      </c>
      <c r="B11" s="38">
        <v>40504</v>
      </c>
      <c r="C11" s="29" t="s">
        <v>11</v>
      </c>
      <c r="D11" s="29" t="s">
        <v>353</v>
      </c>
      <c r="E11" s="70">
        <f>163.2+136.1+81.66</f>
        <v>380.95999999999992</v>
      </c>
      <c r="F11" s="39">
        <v>9663.1</v>
      </c>
      <c r="G11" s="29" t="s">
        <v>10</v>
      </c>
      <c r="H11" s="38">
        <v>40518</v>
      </c>
      <c r="I11" s="25">
        <f t="shared" si="1"/>
        <v>76.191999999999993</v>
      </c>
    </row>
    <row r="12" spans="1:9">
      <c r="A12" s="29" t="s">
        <v>617</v>
      </c>
      <c r="B12" s="38">
        <v>40504</v>
      </c>
      <c r="C12" s="80" t="s">
        <v>1125</v>
      </c>
      <c r="D12" s="29" t="s">
        <v>1123</v>
      </c>
      <c r="E12" s="70">
        <v>0</v>
      </c>
      <c r="F12" s="39">
        <v>55371.519999999997</v>
      </c>
      <c r="G12" s="80" t="s">
        <v>1124</v>
      </c>
      <c r="H12" s="38">
        <v>40523</v>
      </c>
      <c r="I12" s="25">
        <f t="shared" si="1"/>
        <v>0</v>
      </c>
    </row>
    <row r="13" spans="1:9">
      <c r="A13" s="29" t="s">
        <v>709</v>
      </c>
      <c r="B13" s="38">
        <v>40504</v>
      </c>
      <c r="C13" s="29" t="s">
        <v>11</v>
      </c>
      <c r="D13" s="29" t="s">
        <v>274</v>
      </c>
      <c r="E13" s="70">
        <f>423.18+71.02+943.7+970.23+81.66+20</f>
        <v>2509.79</v>
      </c>
      <c r="F13" s="39">
        <v>74577</v>
      </c>
      <c r="G13" s="29" t="s">
        <v>10</v>
      </c>
      <c r="H13" s="38">
        <v>40513</v>
      </c>
      <c r="I13" s="25">
        <f t="shared" si="1"/>
        <v>501.95800000000003</v>
      </c>
    </row>
    <row r="14" spans="1:9">
      <c r="A14" s="29" t="s">
        <v>715</v>
      </c>
      <c r="B14" s="38">
        <v>40504</v>
      </c>
      <c r="C14" s="29" t="s">
        <v>11</v>
      </c>
      <c r="D14" s="29" t="s">
        <v>32</v>
      </c>
      <c r="E14" s="70">
        <v>2539.81</v>
      </c>
      <c r="F14" s="39">
        <v>76816</v>
      </c>
      <c r="G14" s="29"/>
      <c r="H14" s="38"/>
      <c r="I14" s="25">
        <f t="shared" si="1"/>
        <v>507.96199999999999</v>
      </c>
    </row>
    <row r="15" spans="1:9">
      <c r="A15" s="29" t="s">
        <v>673</v>
      </c>
      <c r="B15" s="38">
        <v>40507</v>
      </c>
      <c r="C15" s="29" t="s">
        <v>11</v>
      </c>
      <c r="D15" s="29" t="s">
        <v>274</v>
      </c>
      <c r="E15" s="70">
        <f>930+877.2+406.45+190.59+40</f>
        <v>2444.2400000000002</v>
      </c>
      <c r="F15" s="39">
        <v>71617.5</v>
      </c>
      <c r="G15" s="29" t="s">
        <v>10</v>
      </c>
      <c r="H15" s="38"/>
      <c r="I15" s="25">
        <f t="shared" si="1"/>
        <v>488.84800000000007</v>
      </c>
    </row>
    <row r="16" spans="1:9">
      <c r="A16" s="29" t="s">
        <v>683</v>
      </c>
      <c r="B16" s="38">
        <v>40507</v>
      </c>
      <c r="C16" s="29" t="s">
        <v>11</v>
      </c>
      <c r="D16" s="29" t="s">
        <v>274</v>
      </c>
      <c r="E16" s="70">
        <f>27.22+81.66+10.88+43.32</f>
        <v>163.07999999999998</v>
      </c>
      <c r="F16" s="39">
        <v>3945</v>
      </c>
      <c r="G16" s="29" t="s">
        <v>10</v>
      </c>
      <c r="H16" s="38"/>
      <c r="I16" s="25">
        <f t="shared" si="1"/>
        <v>32.616</v>
      </c>
    </row>
    <row r="17" spans="1:9">
      <c r="A17" s="29" t="s">
        <v>697</v>
      </c>
      <c r="B17" s="38">
        <v>40507</v>
      </c>
      <c r="C17" s="29" t="s">
        <v>11</v>
      </c>
      <c r="D17" s="29" t="s">
        <v>68</v>
      </c>
      <c r="E17" s="70">
        <f>160+139</f>
        <v>299</v>
      </c>
      <c r="F17" s="39">
        <v>10972.5</v>
      </c>
      <c r="G17" s="29" t="s">
        <v>10</v>
      </c>
      <c r="H17" s="38">
        <v>40513</v>
      </c>
      <c r="I17" s="25">
        <f t="shared" si="1"/>
        <v>59.800000000000004</v>
      </c>
    </row>
    <row r="18" spans="1:9">
      <c r="A18" s="29" t="s">
        <v>499</v>
      </c>
      <c r="B18" s="38">
        <v>40509</v>
      </c>
      <c r="C18" s="29" t="s">
        <v>11</v>
      </c>
      <c r="D18" s="29" t="s">
        <v>35</v>
      </c>
      <c r="E18" s="70">
        <v>418</v>
      </c>
      <c r="F18" s="39">
        <v>12665</v>
      </c>
      <c r="G18" s="29" t="s">
        <v>10</v>
      </c>
      <c r="H18" s="38"/>
      <c r="I18" s="25">
        <f t="shared" si="1"/>
        <v>83.600000000000009</v>
      </c>
    </row>
    <row r="19" spans="1:9">
      <c r="A19" s="29" t="s">
        <v>575</v>
      </c>
      <c r="B19" s="38">
        <v>40511</v>
      </c>
      <c r="C19" s="29" t="s">
        <v>11</v>
      </c>
      <c r="D19" s="29" t="s">
        <v>35</v>
      </c>
      <c r="E19" s="70">
        <f>89.66+54.44</f>
        <v>144.1</v>
      </c>
      <c r="F19" s="39">
        <v>4480</v>
      </c>
      <c r="G19" s="39" t="s">
        <v>10</v>
      </c>
      <c r="H19" s="38"/>
      <c r="I19" s="25">
        <f t="shared" si="1"/>
        <v>28.82</v>
      </c>
    </row>
    <row r="20" spans="1:9">
      <c r="A20" s="29" t="s">
        <v>672</v>
      </c>
      <c r="B20" s="38">
        <v>40511</v>
      </c>
      <c r="C20" s="29" t="s">
        <v>11</v>
      </c>
      <c r="D20" s="29" t="s">
        <v>274</v>
      </c>
      <c r="E20" s="70">
        <f>75.66+916.7</f>
        <v>992.36</v>
      </c>
      <c r="F20" s="39">
        <v>27264</v>
      </c>
      <c r="G20" s="29" t="s">
        <v>10</v>
      </c>
      <c r="H20" s="38"/>
      <c r="I20" s="25">
        <f t="shared" si="1"/>
        <v>198.47200000000001</v>
      </c>
    </row>
    <row r="21" spans="1:9">
      <c r="A21" s="29" t="s">
        <v>678</v>
      </c>
      <c r="B21" s="38">
        <v>40511</v>
      </c>
      <c r="C21" s="29" t="s">
        <v>11</v>
      </c>
      <c r="D21" s="29" t="s">
        <v>13</v>
      </c>
      <c r="E21" s="70">
        <f>62.36+41.12+72.18+28.96+54.36+272.2+136.1+40.83</f>
        <v>708.11000000000013</v>
      </c>
      <c r="F21" s="39">
        <v>16401.419999999998</v>
      </c>
      <c r="G21" s="29" t="s">
        <v>10</v>
      </c>
      <c r="H21" s="38">
        <v>40513</v>
      </c>
      <c r="I21" s="25">
        <f t="shared" si="1"/>
        <v>141.62200000000004</v>
      </c>
    </row>
    <row r="22" spans="1:9">
      <c r="A22" s="29" t="s">
        <v>682</v>
      </c>
      <c r="B22" s="38">
        <v>40511</v>
      </c>
      <c r="C22" s="29" t="s">
        <v>11</v>
      </c>
      <c r="D22" s="29" t="s">
        <v>1126</v>
      </c>
      <c r="E22" s="70">
        <v>731.34</v>
      </c>
      <c r="F22" s="39">
        <v>13236.07</v>
      </c>
      <c r="G22" s="29" t="s">
        <v>10</v>
      </c>
      <c r="H22" s="38">
        <v>40513</v>
      </c>
      <c r="I22" s="25">
        <f t="shared" si="1"/>
        <v>146.268</v>
      </c>
    </row>
    <row r="23" spans="1:9">
      <c r="A23" s="29" t="s">
        <v>684</v>
      </c>
      <c r="B23" s="38">
        <v>40511</v>
      </c>
      <c r="C23" s="29" t="s">
        <v>676</v>
      </c>
      <c r="D23" s="29" t="s">
        <v>357</v>
      </c>
      <c r="E23" s="70">
        <v>2217.6</v>
      </c>
      <c r="F23" s="39">
        <v>68745.600000000006</v>
      </c>
      <c r="G23" s="29" t="s">
        <v>10</v>
      </c>
      <c r="H23" s="38">
        <v>40513</v>
      </c>
      <c r="I23" s="25">
        <f t="shared" si="1"/>
        <v>443.52</v>
      </c>
    </row>
    <row r="24" spans="1:9">
      <c r="A24" s="29" t="s">
        <v>694</v>
      </c>
      <c r="B24" s="38">
        <v>40511</v>
      </c>
      <c r="C24" s="29" t="s">
        <v>11</v>
      </c>
      <c r="D24" s="29" t="s">
        <v>353</v>
      </c>
      <c r="E24" s="70">
        <f>136.1+272.2</f>
        <v>408.29999999999995</v>
      </c>
      <c r="F24" s="39">
        <v>10547.75</v>
      </c>
      <c r="G24" s="29" t="s">
        <v>10</v>
      </c>
      <c r="H24" s="38">
        <v>40527</v>
      </c>
      <c r="I24" s="25">
        <f t="shared" si="1"/>
        <v>81.66</v>
      </c>
    </row>
    <row r="25" spans="1:9">
      <c r="A25" s="29" t="s">
        <v>696</v>
      </c>
      <c r="B25" s="38">
        <v>40511</v>
      </c>
      <c r="C25" s="29" t="s">
        <v>11</v>
      </c>
      <c r="D25" s="29" t="s">
        <v>44</v>
      </c>
      <c r="E25" s="70">
        <f>272.1+54+161.98</f>
        <v>488.08000000000004</v>
      </c>
      <c r="F25" s="39">
        <v>9226</v>
      </c>
      <c r="G25" s="29" t="s">
        <v>10</v>
      </c>
      <c r="H25" s="38">
        <v>40513</v>
      </c>
      <c r="I25" s="25">
        <f t="shared" si="1"/>
        <v>97.616000000000014</v>
      </c>
    </row>
    <row r="26" spans="1:9">
      <c r="A26" s="29" t="s">
        <v>702</v>
      </c>
      <c r="B26" s="38">
        <v>40511</v>
      </c>
      <c r="C26" s="29" t="s">
        <v>11</v>
      </c>
      <c r="D26" s="29" t="s">
        <v>32</v>
      </c>
      <c r="E26" s="70">
        <f>518+917.2+135.5+133.76+102.04+209.4</f>
        <v>2015.9</v>
      </c>
      <c r="F26" s="39">
        <v>59286</v>
      </c>
      <c r="G26" s="29" t="s">
        <v>10</v>
      </c>
      <c r="H26" s="38"/>
      <c r="I26" s="25">
        <f t="shared" si="1"/>
        <v>403.18000000000006</v>
      </c>
    </row>
    <row r="27" spans="1:9">
      <c r="A27" s="29" t="s">
        <v>738</v>
      </c>
      <c r="B27" s="38">
        <v>40511</v>
      </c>
      <c r="C27" s="29" t="s">
        <v>11</v>
      </c>
      <c r="D27" s="29" t="s">
        <v>274</v>
      </c>
      <c r="E27" s="70">
        <f>328.84+81.66+190.54+40+27.2</f>
        <v>668.24</v>
      </c>
      <c r="F27" s="39">
        <v>22477</v>
      </c>
      <c r="G27" s="29" t="s">
        <v>10</v>
      </c>
      <c r="H27" s="38">
        <v>40520</v>
      </c>
      <c r="I27" s="25">
        <f t="shared" si="1"/>
        <v>133.648</v>
      </c>
    </row>
    <row r="28" spans="1:9">
      <c r="A28" s="29" t="s">
        <v>712</v>
      </c>
      <c r="B28" s="38">
        <v>40512</v>
      </c>
      <c r="C28" s="29" t="s">
        <v>11</v>
      </c>
      <c r="D28" s="29" t="s">
        <v>35</v>
      </c>
      <c r="E28" s="70">
        <f>153+21.28</f>
        <v>174.28</v>
      </c>
      <c r="F28" s="39">
        <v>6487</v>
      </c>
      <c r="G28" s="29" t="s">
        <v>10</v>
      </c>
      <c r="H28" s="38"/>
      <c r="I28" s="25">
        <f t="shared" si="1"/>
        <v>34.856000000000002</v>
      </c>
    </row>
    <row r="29" spans="1:9">
      <c r="A29" s="29" t="s">
        <v>704</v>
      </c>
      <c r="B29" s="38">
        <v>40513</v>
      </c>
      <c r="C29" s="29" t="s">
        <v>11</v>
      </c>
      <c r="D29" s="29" t="s">
        <v>35</v>
      </c>
      <c r="E29" s="70">
        <f>277.5+29.3</f>
        <v>306.8</v>
      </c>
      <c r="F29" s="39">
        <v>8906</v>
      </c>
      <c r="G29" s="29" t="s">
        <v>10</v>
      </c>
      <c r="H29" s="38"/>
      <c r="I29" s="25">
        <f t="shared" si="1"/>
        <v>61.360000000000007</v>
      </c>
    </row>
    <row r="30" spans="1:9">
      <c r="A30" s="29" t="s">
        <v>731</v>
      </c>
      <c r="B30" s="38">
        <v>40513</v>
      </c>
      <c r="C30" s="29" t="s">
        <v>11</v>
      </c>
      <c r="D30" s="29" t="s">
        <v>35</v>
      </c>
      <c r="E30" s="70">
        <f>364.5+139.5+66</f>
        <v>570</v>
      </c>
      <c r="F30" s="39">
        <v>19096.5</v>
      </c>
      <c r="G30" s="29" t="s">
        <v>10</v>
      </c>
      <c r="H30" s="38"/>
      <c r="I30" s="25">
        <f t="shared" si="1"/>
        <v>114</v>
      </c>
    </row>
    <row r="31" spans="1:9">
      <c r="A31" s="38" t="s">
        <v>677</v>
      </c>
      <c r="B31" s="38">
        <v>40514</v>
      </c>
      <c r="C31" s="29" t="s">
        <v>676</v>
      </c>
      <c r="D31" s="29" t="s">
        <v>357</v>
      </c>
      <c r="E31" s="70">
        <v>1703.6</v>
      </c>
      <c r="F31" s="39">
        <v>52811.6</v>
      </c>
      <c r="G31" s="29" t="s">
        <v>10</v>
      </c>
      <c r="H31" s="38">
        <v>40518</v>
      </c>
      <c r="I31" s="25">
        <f t="shared" si="1"/>
        <v>340.72</v>
      </c>
    </row>
    <row r="32" spans="1:9">
      <c r="A32" s="29" t="s">
        <v>699</v>
      </c>
      <c r="B32" s="38">
        <v>40514</v>
      </c>
      <c r="C32" s="29" t="s">
        <v>11</v>
      </c>
      <c r="D32" s="29" t="s">
        <v>32</v>
      </c>
      <c r="E32" s="70">
        <f>930.3+289.72+346.1+419.1+152.7+267.88+178.62+74.48</f>
        <v>2658.8999999999996</v>
      </c>
      <c r="F32" s="39">
        <v>75887.5</v>
      </c>
      <c r="G32" s="29" t="s">
        <v>10</v>
      </c>
      <c r="H32" s="38">
        <v>40530</v>
      </c>
      <c r="I32" s="25">
        <f t="shared" si="1"/>
        <v>531.78</v>
      </c>
    </row>
    <row r="33" spans="1:9">
      <c r="A33" s="29" t="s">
        <v>503</v>
      </c>
      <c r="B33" s="38">
        <v>40514</v>
      </c>
      <c r="C33" s="29" t="s">
        <v>11</v>
      </c>
      <c r="D33" s="29" t="s">
        <v>274</v>
      </c>
      <c r="E33" s="70">
        <f>58.84+207.64+10.7+18.88+927.6+919.4</f>
        <v>2143.06</v>
      </c>
      <c r="F33" s="39">
        <v>64418</v>
      </c>
      <c r="G33" s="29" t="s">
        <v>10</v>
      </c>
      <c r="H33" s="38">
        <v>40523</v>
      </c>
      <c r="I33" s="25">
        <f t="shared" si="1"/>
        <v>428.61200000000002</v>
      </c>
    </row>
    <row r="34" spans="1:9">
      <c r="A34" s="29" t="s">
        <v>711</v>
      </c>
      <c r="B34" s="38">
        <v>40514</v>
      </c>
      <c r="C34" s="29" t="s">
        <v>11</v>
      </c>
      <c r="D34" s="29" t="s">
        <v>14</v>
      </c>
      <c r="E34" s="70">
        <v>32.1</v>
      </c>
      <c r="F34" s="39">
        <v>449.5</v>
      </c>
      <c r="G34" s="29" t="s">
        <v>10</v>
      </c>
      <c r="H34" s="38">
        <v>40518</v>
      </c>
      <c r="I34" s="25">
        <f t="shared" si="1"/>
        <v>6.4200000000000008</v>
      </c>
    </row>
    <row r="35" spans="1:9">
      <c r="A35" s="29" t="s">
        <v>720</v>
      </c>
      <c r="B35" s="38">
        <v>40514</v>
      </c>
      <c r="C35" s="29" t="s">
        <v>11</v>
      </c>
      <c r="D35" s="29" t="s">
        <v>14</v>
      </c>
      <c r="E35" s="70">
        <f>136.1+27.2+110.54+204.72</f>
        <v>478.55999999999995</v>
      </c>
      <c r="F35" s="39">
        <v>17635.12</v>
      </c>
      <c r="G35" s="29" t="s">
        <v>10</v>
      </c>
      <c r="H35" s="38">
        <v>40540</v>
      </c>
      <c r="I35" s="25">
        <f t="shared" si="1"/>
        <v>95.711999999999989</v>
      </c>
    </row>
    <row r="36" spans="1:9">
      <c r="A36" s="29" t="s">
        <v>737</v>
      </c>
      <c r="B36" s="38">
        <v>40514</v>
      </c>
      <c r="C36" s="29" t="s">
        <v>11</v>
      </c>
      <c r="D36" s="29" t="s">
        <v>274</v>
      </c>
      <c r="E36" s="70">
        <f>108.88+108.88+40+27.22+133.7</f>
        <v>418.68</v>
      </c>
      <c r="F36" s="39">
        <v>9566</v>
      </c>
      <c r="G36" s="29" t="s">
        <v>10</v>
      </c>
      <c r="H36" s="38">
        <v>40520</v>
      </c>
      <c r="I36" s="25">
        <f t="shared" si="1"/>
        <v>83.736000000000004</v>
      </c>
    </row>
    <row r="37" spans="1:9">
      <c r="A37" s="29" t="s">
        <v>703</v>
      </c>
      <c r="B37" s="38">
        <v>40516</v>
      </c>
      <c r="C37" s="29" t="s">
        <v>11</v>
      </c>
      <c r="D37" s="29" t="s">
        <v>35</v>
      </c>
      <c r="E37" s="70">
        <f>475.5+165.7</f>
        <v>641.20000000000005</v>
      </c>
      <c r="F37" s="39">
        <v>21035</v>
      </c>
      <c r="G37" s="29" t="s">
        <v>10</v>
      </c>
      <c r="H37" s="38"/>
      <c r="I37" s="25">
        <f t="shared" si="1"/>
        <v>128.24</v>
      </c>
    </row>
    <row r="38" spans="1:9">
      <c r="A38" s="29" t="s">
        <v>681</v>
      </c>
      <c r="B38" s="38">
        <v>40518</v>
      </c>
      <c r="C38" s="29" t="s">
        <v>11</v>
      </c>
      <c r="D38" s="29" t="s">
        <v>12</v>
      </c>
      <c r="E38" s="70">
        <v>82.6</v>
      </c>
      <c r="F38" s="39">
        <v>1156.4000000000001</v>
      </c>
      <c r="G38" s="29" t="s">
        <v>10</v>
      </c>
      <c r="H38" s="38">
        <v>40520</v>
      </c>
      <c r="I38" s="25">
        <f t="shared" si="1"/>
        <v>16.52</v>
      </c>
    </row>
    <row r="39" spans="1:9">
      <c r="A39" s="29" t="s">
        <v>693</v>
      </c>
      <c r="B39" s="38">
        <v>40518</v>
      </c>
      <c r="C39" s="29" t="s">
        <v>11</v>
      </c>
      <c r="D39" s="29" t="s">
        <v>13</v>
      </c>
      <c r="E39" s="70">
        <f>272.2+81.66+163.7+14.88</f>
        <v>532.43999999999994</v>
      </c>
      <c r="F39" s="39">
        <v>11186.56</v>
      </c>
      <c r="G39" s="29" t="s">
        <v>10</v>
      </c>
      <c r="H39" s="38">
        <v>40520</v>
      </c>
      <c r="I39" s="25">
        <f t="shared" si="1"/>
        <v>106.488</v>
      </c>
    </row>
    <row r="40" spans="1:9">
      <c r="A40" s="29" t="s">
        <v>695</v>
      </c>
      <c r="B40" s="38">
        <v>40518</v>
      </c>
      <c r="C40" s="29" t="s">
        <v>11</v>
      </c>
      <c r="D40" s="29" t="s">
        <v>357</v>
      </c>
      <c r="E40" s="70">
        <v>2848.2</v>
      </c>
      <c r="F40" s="39">
        <v>89148.66</v>
      </c>
      <c r="G40" s="29" t="s">
        <v>10</v>
      </c>
      <c r="H40" s="38">
        <v>40520</v>
      </c>
      <c r="I40" s="25">
        <f t="shared" si="1"/>
        <v>569.64</v>
      </c>
    </row>
    <row r="41" spans="1:9">
      <c r="A41" s="29" t="s">
        <v>698</v>
      </c>
      <c r="B41" s="38">
        <v>40518</v>
      </c>
      <c r="C41" s="29" t="s">
        <v>11</v>
      </c>
      <c r="D41" s="29" t="s">
        <v>274</v>
      </c>
      <c r="E41" s="70">
        <f>108.88+190.54+40.83+60+10.88</f>
        <v>411.12999999999994</v>
      </c>
      <c r="F41" s="39">
        <v>10791</v>
      </c>
      <c r="G41" s="29" t="s">
        <v>10</v>
      </c>
      <c r="H41" s="38">
        <v>40526</v>
      </c>
      <c r="I41" s="25">
        <f t="shared" si="1"/>
        <v>82.225999999999999</v>
      </c>
    </row>
    <row r="42" spans="1:9">
      <c r="A42" s="29" t="s">
        <v>705</v>
      </c>
      <c r="B42" s="38">
        <v>40518</v>
      </c>
      <c r="C42" s="29" t="s">
        <v>11</v>
      </c>
      <c r="D42" s="29" t="s">
        <v>32</v>
      </c>
      <c r="E42" s="70">
        <f>885.7+473.6+156+154.1+178.84+287.64</f>
        <v>2135.88</v>
      </c>
      <c r="F42" s="39">
        <v>63782</v>
      </c>
      <c r="G42" s="29" t="s">
        <v>10</v>
      </c>
      <c r="H42" s="38"/>
      <c r="I42" s="25">
        <f t="shared" si="1"/>
        <v>427.17600000000004</v>
      </c>
    </row>
    <row r="43" spans="1:9">
      <c r="A43" s="29" t="s">
        <v>706</v>
      </c>
      <c r="B43" s="38">
        <v>40518</v>
      </c>
      <c r="C43" s="29" t="s">
        <v>11</v>
      </c>
      <c r="D43" s="29" t="s">
        <v>35</v>
      </c>
      <c r="E43" s="70">
        <v>48.24</v>
      </c>
      <c r="F43" s="39">
        <v>916.5</v>
      </c>
      <c r="G43" s="29" t="s">
        <v>10</v>
      </c>
      <c r="H43" s="38">
        <v>40523</v>
      </c>
      <c r="I43" s="25">
        <f t="shared" si="1"/>
        <v>9.6480000000000015</v>
      </c>
    </row>
    <row r="44" spans="1:9">
      <c r="A44" s="29" t="s">
        <v>710</v>
      </c>
      <c r="B44" s="38">
        <v>40518</v>
      </c>
      <c r="C44" s="29" t="s">
        <v>11</v>
      </c>
      <c r="D44" s="29" t="s">
        <v>274</v>
      </c>
      <c r="E44" s="70">
        <f>80.66+829.2+197.8+346.8</f>
        <v>1454.46</v>
      </c>
      <c r="F44" s="39">
        <v>45258</v>
      </c>
      <c r="G44" s="29" t="s">
        <v>10</v>
      </c>
      <c r="H44" s="38"/>
      <c r="I44" s="25">
        <f t="shared" si="1"/>
        <v>290.892</v>
      </c>
    </row>
    <row r="45" spans="1:9">
      <c r="A45" s="33" t="s">
        <v>616</v>
      </c>
      <c r="B45" s="42">
        <v>40518</v>
      </c>
      <c r="C45" s="33" t="s">
        <v>203</v>
      </c>
      <c r="D45" s="33" t="s">
        <v>35</v>
      </c>
      <c r="E45" s="73">
        <v>133.5</v>
      </c>
      <c r="F45" s="43">
        <v>5140</v>
      </c>
      <c r="G45" s="33" t="s">
        <v>10</v>
      </c>
      <c r="H45" s="42"/>
      <c r="I45" s="25">
        <f t="shared" si="1"/>
        <v>26.700000000000003</v>
      </c>
    </row>
    <row r="46" spans="1:9">
      <c r="A46" s="29" t="s">
        <v>669</v>
      </c>
      <c r="B46" s="38">
        <v>40519</v>
      </c>
      <c r="C46" s="29" t="s">
        <v>11</v>
      </c>
      <c r="D46" s="29" t="s">
        <v>35</v>
      </c>
      <c r="E46" s="70">
        <f>345.5+46</f>
        <v>391.5</v>
      </c>
      <c r="F46" s="39">
        <v>12205</v>
      </c>
      <c r="G46" s="29" t="s">
        <v>10</v>
      </c>
      <c r="H46" s="38">
        <v>40523</v>
      </c>
      <c r="I46" s="25">
        <f t="shared" si="1"/>
        <v>78.300000000000011</v>
      </c>
    </row>
    <row r="47" spans="1:9">
      <c r="A47" s="29" t="s">
        <v>671</v>
      </c>
      <c r="B47" s="38">
        <v>40520</v>
      </c>
      <c r="C47" s="29" t="s">
        <v>11</v>
      </c>
      <c r="D47" s="29" t="s">
        <v>35</v>
      </c>
      <c r="E47" s="70">
        <v>95</v>
      </c>
      <c r="F47" s="39">
        <v>3800</v>
      </c>
      <c r="G47" s="29" t="s">
        <v>10</v>
      </c>
      <c r="H47" s="38">
        <v>40523</v>
      </c>
      <c r="I47" s="25">
        <f t="shared" si="1"/>
        <v>19</v>
      </c>
    </row>
    <row r="48" spans="1:9">
      <c r="A48" s="29" t="s">
        <v>670</v>
      </c>
      <c r="B48" s="38">
        <v>40521</v>
      </c>
      <c r="C48" s="38" t="s">
        <v>11</v>
      </c>
      <c r="D48" s="38" t="s">
        <v>35</v>
      </c>
      <c r="E48" s="70">
        <v>71</v>
      </c>
      <c r="F48" s="39">
        <v>2414</v>
      </c>
      <c r="G48" s="39" t="s">
        <v>10</v>
      </c>
      <c r="H48" s="41">
        <v>40523</v>
      </c>
      <c r="I48" s="25">
        <f t="shared" si="1"/>
        <v>14.200000000000001</v>
      </c>
    </row>
    <row r="49" spans="1:9">
      <c r="A49" s="29" t="s">
        <v>680</v>
      </c>
      <c r="B49" s="38">
        <v>40521</v>
      </c>
      <c r="C49" s="80" t="s">
        <v>1125</v>
      </c>
      <c r="D49" s="29" t="s">
        <v>1127</v>
      </c>
      <c r="E49" s="70">
        <v>0</v>
      </c>
      <c r="F49" s="39">
        <v>59939.79</v>
      </c>
      <c r="G49" s="29" t="s">
        <v>10</v>
      </c>
      <c r="H49" s="81" t="s">
        <v>1128</v>
      </c>
      <c r="I49" s="25">
        <f t="shared" si="1"/>
        <v>0</v>
      </c>
    </row>
    <row r="50" spans="1:9">
      <c r="A50" s="29" t="s">
        <v>689</v>
      </c>
      <c r="B50" s="38">
        <v>40521</v>
      </c>
      <c r="C50" s="29" t="s">
        <v>676</v>
      </c>
      <c r="D50" s="29" t="s">
        <v>357</v>
      </c>
      <c r="E50" s="70">
        <v>2395.3000000000002</v>
      </c>
      <c r="F50" s="39">
        <v>74972.89</v>
      </c>
      <c r="G50" s="29" t="s">
        <v>10</v>
      </c>
      <c r="H50" s="38">
        <v>40523</v>
      </c>
      <c r="I50" s="25">
        <f t="shared" si="1"/>
        <v>479.06000000000006</v>
      </c>
    </row>
    <row r="51" spans="1:9">
      <c r="A51" s="29" t="s">
        <v>690</v>
      </c>
      <c r="B51" s="38">
        <v>40521</v>
      </c>
      <c r="C51" s="29" t="s">
        <v>11</v>
      </c>
      <c r="D51" s="29" t="s">
        <v>423</v>
      </c>
      <c r="E51" s="70">
        <f>57+163.32</f>
        <v>220.32</v>
      </c>
      <c r="F51" s="39">
        <v>5214.92</v>
      </c>
      <c r="G51" s="29" t="s">
        <v>10</v>
      </c>
      <c r="H51" s="38">
        <v>40527</v>
      </c>
      <c r="I51" s="25">
        <f t="shared" si="1"/>
        <v>44.064</v>
      </c>
    </row>
    <row r="52" spans="1:9">
      <c r="A52" s="29" t="s">
        <v>701</v>
      </c>
      <c r="B52" s="38">
        <v>40521</v>
      </c>
      <c r="C52" s="29" t="s">
        <v>11</v>
      </c>
      <c r="D52" s="29" t="s">
        <v>32</v>
      </c>
      <c r="E52" s="70">
        <f>860.7+381.5+107.18+253.5</f>
        <v>1602.88</v>
      </c>
      <c r="F52" s="39">
        <v>47958</v>
      </c>
      <c r="G52" s="29" t="s">
        <v>10</v>
      </c>
      <c r="H52" s="38">
        <v>40530</v>
      </c>
      <c r="I52" s="25">
        <f t="shared" si="1"/>
        <v>320.57600000000002</v>
      </c>
    </row>
    <row r="53" spans="1:9">
      <c r="A53" s="29" t="s">
        <v>708</v>
      </c>
      <c r="B53" s="38">
        <v>40521</v>
      </c>
      <c r="C53" s="29" t="s">
        <v>11</v>
      </c>
      <c r="D53" s="29" t="s">
        <v>1129</v>
      </c>
      <c r="E53" s="70">
        <v>378.94</v>
      </c>
      <c r="F53" s="39">
        <v>10892</v>
      </c>
      <c r="G53" s="29" t="s">
        <v>10</v>
      </c>
      <c r="H53" s="38"/>
      <c r="I53" s="25">
        <f t="shared" si="1"/>
        <v>75.787999999999997</v>
      </c>
    </row>
    <row r="54" spans="1:9">
      <c r="A54" s="29" t="s">
        <v>736</v>
      </c>
      <c r="B54" s="38">
        <v>40521</v>
      </c>
      <c r="C54" s="29" t="s">
        <v>11</v>
      </c>
      <c r="D54" s="29" t="s">
        <v>274</v>
      </c>
      <c r="E54" s="70">
        <f>312.64+123.42+71.04+870.2</f>
        <v>1377.3000000000002</v>
      </c>
      <c r="F54" s="39">
        <v>46766</v>
      </c>
      <c r="G54" s="29" t="s">
        <v>10</v>
      </c>
      <c r="H54" s="38"/>
      <c r="I54" s="25">
        <f t="shared" si="1"/>
        <v>275.46000000000004</v>
      </c>
    </row>
    <row r="55" spans="1:9">
      <c r="A55" s="29" t="s">
        <v>1130</v>
      </c>
      <c r="B55" s="38">
        <v>40522</v>
      </c>
      <c r="C55" s="29" t="s">
        <v>11</v>
      </c>
      <c r="D55" s="29" t="s">
        <v>35</v>
      </c>
      <c r="E55" s="70">
        <f>250.5+21+80.5+89.5</f>
        <v>441.5</v>
      </c>
      <c r="F55" s="39">
        <v>15134</v>
      </c>
      <c r="G55" s="29" t="s">
        <v>10</v>
      </c>
      <c r="H55" s="38"/>
      <c r="I55" s="25">
        <f t="shared" si="1"/>
        <v>88.300000000000011</v>
      </c>
    </row>
    <row r="56" spans="1:9">
      <c r="A56" s="29" t="s">
        <v>714</v>
      </c>
      <c r="B56" s="38">
        <v>40522</v>
      </c>
      <c r="C56" s="29" t="s">
        <v>11</v>
      </c>
      <c r="D56" s="29" t="s">
        <v>35</v>
      </c>
      <c r="E56" s="70">
        <v>465</v>
      </c>
      <c r="F56" s="39">
        <v>14322</v>
      </c>
      <c r="G56" s="29"/>
      <c r="H56" s="38"/>
      <c r="I56" s="25">
        <f t="shared" si="1"/>
        <v>93</v>
      </c>
    </row>
    <row r="57" spans="1:9">
      <c r="A57" s="29" t="s">
        <v>707</v>
      </c>
      <c r="B57" s="38">
        <v>40523</v>
      </c>
      <c r="C57" s="29" t="s">
        <v>11</v>
      </c>
      <c r="D57" s="29" t="s">
        <v>35</v>
      </c>
      <c r="E57" s="70">
        <f>93+89+43.02</f>
        <v>225.02</v>
      </c>
      <c r="F57" s="39">
        <v>8093</v>
      </c>
      <c r="G57" s="29" t="s">
        <v>10</v>
      </c>
      <c r="H57" s="38"/>
      <c r="I57" s="25">
        <f t="shared" si="1"/>
        <v>45.004000000000005</v>
      </c>
    </row>
    <row r="58" spans="1:9">
      <c r="A58" s="29" t="s">
        <v>713</v>
      </c>
      <c r="B58" s="38">
        <v>40523</v>
      </c>
      <c r="C58" s="29" t="s">
        <v>11</v>
      </c>
      <c r="D58" s="29" t="s">
        <v>35</v>
      </c>
      <c r="E58" s="70">
        <v>366.5</v>
      </c>
      <c r="F58" s="39">
        <v>11288</v>
      </c>
      <c r="G58" s="29" t="s">
        <v>10</v>
      </c>
      <c r="H58" s="38">
        <v>40530</v>
      </c>
      <c r="I58" s="25">
        <f t="shared" si="1"/>
        <v>73.3</v>
      </c>
    </row>
    <row r="59" spans="1:9">
      <c r="A59" s="29" t="s">
        <v>675</v>
      </c>
      <c r="B59" s="38">
        <v>40525</v>
      </c>
      <c r="C59" s="38" t="s">
        <v>11</v>
      </c>
      <c r="D59" s="38" t="s">
        <v>274</v>
      </c>
      <c r="E59" s="70">
        <f>217.76+20+54.44+27.22</f>
        <v>319.41999999999996</v>
      </c>
      <c r="F59" s="39">
        <v>7711</v>
      </c>
      <c r="G59" s="39" t="s">
        <v>10</v>
      </c>
      <c r="H59" s="41"/>
      <c r="I59" s="25">
        <f t="shared" si="1"/>
        <v>63.883999999999993</v>
      </c>
    </row>
    <row r="60" spans="1:9">
      <c r="A60" s="29" t="s">
        <v>687</v>
      </c>
      <c r="B60" s="38">
        <v>40525</v>
      </c>
      <c r="C60" s="29" t="s">
        <v>11</v>
      </c>
      <c r="D60" s="29" t="s">
        <v>13</v>
      </c>
      <c r="E60" s="70">
        <f>101.78+408.3+136.1+33.36+99.43+272.2</f>
        <v>1051.17</v>
      </c>
      <c r="F60" s="39">
        <v>32109.27</v>
      </c>
      <c r="G60" s="29" t="s">
        <v>10</v>
      </c>
      <c r="H60" s="38"/>
      <c r="I60" s="25">
        <f t="shared" si="1"/>
        <v>210.23400000000004</v>
      </c>
    </row>
    <row r="61" spans="1:9">
      <c r="A61" s="29" t="s">
        <v>688</v>
      </c>
      <c r="B61" s="38">
        <v>40525</v>
      </c>
      <c r="C61" s="29" t="s">
        <v>676</v>
      </c>
      <c r="D61" s="29" t="s">
        <v>357</v>
      </c>
      <c r="E61" s="70">
        <v>2518.1999999999998</v>
      </c>
      <c r="F61" s="39">
        <v>78819.66</v>
      </c>
      <c r="G61" s="29" t="s">
        <v>10</v>
      </c>
      <c r="H61" s="38">
        <v>40527</v>
      </c>
      <c r="I61" s="25">
        <f t="shared" si="1"/>
        <v>503.64</v>
      </c>
    </row>
    <row r="62" spans="1:9">
      <c r="A62" s="29" t="s">
        <v>691</v>
      </c>
      <c r="B62" s="38">
        <v>40525</v>
      </c>
      <c r="C62" s="29" t="s">
        <v>11</v>
      </c>
      <c r="D62" s="29" t="s">
        <v>423</v>
      </c>
      <c r="E62" s="70">
        <f>133.4+646.5</f>
        <v>779.9</v>
      </c>
      <c r="F62" s="39">
        <v>18153.099999999999</v>
      </c>
      <c r="G62" s="29" t="s">
        <v>10</v>
      </c>
      <c r="H62" s="38">
        <v>40527</v>
      </c>
      <c r="I62" s="25">
        <f t="shared" si="1"/>
        <v>155.98000000000002</v>
      </c>
    </row>
    <row r="63" spans="1:9">
      <c r="A63" s="29" t="s">
        <v>700</v>
      </c>
      <c r="B63" s="38">
        <v>40525</v>
      </c>
      <c r="C63" s="29" t="s">
        <v>11</v>
      </c>
      <c r="D63" s="29" t="s">
        <v>44</v>
      </c>
      <c r="E63" s="70">
        <f>156.9+272.2+28.68</f>
        <v>457.78000000000003</v>
      </c>
      <c r="F63" s="39">
        <v>9015</v>
      </c>
      <c r="G63" s="29" t="s">
        <v>10</v>
      </c>
      <c r="H63" s="38">
        <v>40530</v>
      </c>
      <c r="I63" s="25">
        <f t="shared" si="1"/>
        <v>91.556000000000012</v>
      </c>
    </row>
    <row r="64" spans="1:9">
      <c r="A64" s="29" t="s">
        <v>722</v>
      </c>
      <c r="B64" s="38">
        <v>40525</v>
      </c>
      <c r="C64" s="29" t="s">
        <v>11</v>
      </c>
      <c r="D64" s="29" t="s">
        <v>353</v>
      </c>
      <c r="E64" s="70">
        <f>81.66+272.2+136.1</f>
        <v>489.96000000000004</v>
      </c>
      <c r="F64" s="39">
        <v>12262.61</v>
      </c>
      <c r="G64" s="29" t="s">
        <v>10</v>
      </c>
      <c r="H64" s="38">
        <v>40540</v>
      </c>
      <c r="I64" s="25">
        <f t="shared" si="1"/>
        <v>97.992000000000019</v>
      </c>
    </row>
    <row r="65" spans="1:9">
      <c r="A65" s="29" t="s">
        <v>740</v>
      </c>
      <c r="B65" s="38">
        <v>40525</v>
      </c>
      <c r="C65" s="29" t="s">
        <v>11</v>
      </c>
      <c r="D65" s="29" t="s">
        <v>274</v>
      </c>
      <c r="E65" s="70">
        <f>921.7+403.68+79.46+53.4+227.9</f>
        <v>1686.1400000000003</v>
      </c>
      <c r="F65" s="39">
        <v>52751.5</v>
      </c>
      <c r="G65" s="29" t="s">
        <v>10</v>
      </c>
      <c r="H65" s="38">
        <v>40540</v>
      </c>
      <c r="I65" s="25">
        <f t="shared" si="1"/>
        <v>337.22800000000007</v>
      </c>
    </row>
    <row r="66" spans="1:9">
      <c r="A66" s="33" t="s">
        <v>625</v>
      </c>
      <c r="B66" s="42">
        <v>40525</v>
      </c>
      <c r="C66" s="33" t="s">
        <v>11</v>
      </c>
      <c r="D66" s="33" t="s">
        <v>32</v>
      </c>
      <c r="E66" s="73">
        <f>16.32+81.66+931.2+127.3+127.5+447.3+280.66</f>
        <v>2011.94</v>
      </c>
      <c r="F66" s="43">
        <v>63727.5</v>
      </c>
      <c r="G66" s="33" t="s">
        <v>10</v>
      </c>
      <c r="H66" s="42">
        <v>40535</v>
      </c>
      <c r="I66" s="25">
        <f t="shared" si="1"/>
        <v>402.38800000000003</v>
      </c>
    </row>
    <row r="67" spans="1:9">
      <c r="A67" s="29" t="s">
        <v>735</v>
      </c>
      <c r="B67" s="38">
        <v>40527</v>
      </c>
      <c r="C67" s="29" t="s">
        <v>11</v>
      </c>
      <c r="D67" s="29" t="s">
        <v>35</v>
      </c>
      <c r="E67" s="70">
        <f>326+27.22</f>
        <v>353.22</v>
      </c>
      <c r="F67" s="39">
        <v>10732</v>
      </c>
      <c r="G67" s="29" t="s">
        <v>10</v>
      </c>
      <c r="H67" s="38"/>
      <c r="I67" s="25">
        <f t="shared" si="1"/>
        <v>70.644000000000005</v>
      </c>
    </row>
    <row r="68" spans="1:9">
      <c r="A68" s="29" t="s">
        <v>674</v>
      </c>
      <c r="B68" s="38">
        <v>40528</v>
      </c>
      <c r="C68" s="29" t="s">
        <v>11</v>
      </c>
      <c r="D68" s="29" t="s">
        <v>37</v>
      </c>
      <c r="E68" s="70">
        <f>919+933</f>
        <v>1852</v>
      </c>
      <c r="F68" s="39">
        <v>52411.5</v>
      </c>
      <c r="G68" s="29" t="s">
        <v>10</v>
      </c>
      <c r="H68" s="38"/>
      <c r="I68" s="25">
        <f t="shared" si="1"/>
        <v>370.40000000000003</v>
      </c>
    </row>
    <row r="69" spans="1:9">
      <c r="A69" s="29" t="s">
        <v>716</v>
      </c>
      <c r="B69" s="38">
        <v>40528</v>
      </c>
      <c r="C69" s="29" t="s">
        <v>11</v>
      </c>
      <c r="D69" s="29" t="s">
        <v>32</v>
      </c>
      <c r="E69" s="70">
        <f>930.3+376.5+131.76+373.6</f>
        <v>1812.1599999999999</v>
      </c>
      <c r="F69" s="39">
        <v>55094.5</v>
      </c>
      <c r="G69" s="29" t="s">
        <v>10</v>
      </c>
      <c r="H69" s="38">
        <v>40535</v>
      </c>
      <c r="I69" s="25">
        <f t="shared" si="1"/>
        <v>362.43200000000002</v>
      </c>
    </row>
    <row r="70" spans="1:9">
      <c r="A70" s="29" t="s">
        <v>721</v>
      </c>
      <c r="B70" s="38">
        <v>40528</v>
      </c>
      <c r="C70" s="29" t="s">
        <v>11</v>
      </c>
      <c r="D70" s="29" t="s">
        <v>353</v>
      </c>
      <c r="E70" s="70">
        <f>924.4+27.2</f>
        <v>951.6</v>
      </c>
      <c r="F70" s="39">
        <v>27560.52</v>
      </c>
      <c r="G70" s="29" t="s">
        <v>10</v>
      </c>
      <c r="H70" s="38">
        <v>40540</v>
      </c>
      <c r="I70" s="25">
        <f t="shared" si="1"/>
        <v>190.32000000000002</v>
      </c>
    </row>
    <row r="71" spans="1:9">
      <c r="A71" s="29" t="s">
        <v>734</v>
      </c>
      <c r="B71" s="38">
        <v>40528</v>
      </c>
      <c r="C71" s="29" t="s">
        <v>11</v>
      </c>
      <c r="D71" s="29" t="s">
        <v>35</v>
      </c>
      <c r="E71" s="70">
        <f>344.5+46</f>
        <v>390.5</v>
      </c>
      <c r="F71" s="39">
        <v>12243</v>
      </c>
      <c r="G71" s="29" t="s">
        <v>10</v>
      </c>
      <c r="H71" s="38"/>
      <c r="I71" s="25">
        <f t="shared" si="1"/>
        <v>78.100000000000009</v>
      </c>
    </row>
    <row r="72" spans="1:9">
      <c r="A72" s="29" t="s">
        <v>741</v>
      </c>
      <c r="B72" s="38">
        <v>40528</v>
      </c>
      <c r="C72" s="29" t="s">
        <v>11</v>
      </c>
      <c r="D72" s="29" t="s">
        <v>274</v>
      </c>
      <c r="E72" s="70">
        <f>65.28+108.88+40+118.2+301.9+918.5+916.7</f>
        <v>2469.46</v>
      </c>
      <c r="F72" s="39">
        <v>72872</v>
      </c>
      <c r="G72" s="29" t="s">
        <v>10</v>
      </c>
      <c r="H72" s="38">
        <v>40540</v>
      </c>
      <c r="I72" s="25">
        <f t="shared" si="1"/>
        <v>493.89200000000005</v>
      </c>
    </row>
    <row r="73" spans="1:9">
      <c r="A73" s="29" t="s">
        <v>739</v>
      </c>
      <c r="B73" s="38">
        <v>40529</v>
      </c>
      <c r="C73" s="29" t="s">
        <v>11</v>
      </c>
      <c r="D73" s="29" t="s">
        <v>35</v>
      </c>
      <c r="E73" s="70">
        <f>173+316.5+179</f>
        <v>668.5</v>
      </c>
      <c r="F73" s="39">
        <v>22835</v>
      </c>
      <c r="G73" s="29" t="s">
        <v>10</v>
      </c>
      <c r="H73" s="38">
        <v>40540</v>
      </c>
      <c r="I73" s="25">
        <f t="shared" si="1"/>
        <v>133.70000000000002</v>
      </c>
    </row>
    <row r="74" spans="1:9">
      <c r="A74" s="29" t="s">
        <v>723</v>
      </c>
      <c r="B74" s="38">
        <v>40531</v>
      </c>
      <c r="C74" s="29" t="s">
        <v>11</v>
      </c>
      <c r="D74" s="29" t="s">
        <v>423</v>
      </c>
      <c r="E74" s="70">
        <f>113.38+364.6</f>
        <v>477.98</v>
      </c>
      <c r="F74" s="39">
        <v>16655.919999999998</v>
      </c>
      <c r="G74" s="29" t="s">
        <v>10</v>
      </c>
      <c r="H74" s="38"/>
      <c r="I74" s="25">
        <f t="shared" si="1"/>
        <v>95.596000000000004</v>
      </c>
    </row>
    <row r="75" spans="1:9">
      <c r="A75" s="29" t="s">
        <v>725</v>
      </c>
      <c r="B75" s="38">
        <v>40531</v>
      </c>
      <c r="C75" s="29" t="s">
        <v>11</v>
      </c>
      <c r="D75" s="29" t="s">
        <v>357</v>
      </c>
      <c r="E75" s="70">
        <v>1952.7</v>
      </c>
      <c r="F75" s="39">
        <v>61119.51</v>
      </c>
      <c r="G75" s="29" t="s">
        <v>10</v>
      </c>
      <c r="H75" s="38">
        <v>40535</v>
      </c>
      <c r="I75" s="25">
        <f t="shared" si="1"/>
        <v>390.54</v>
      </c>
    </row>
    <row r="76" spans="1:9">
      <c r="A76" s="29" t="s">
        <v>726</v>
      </c>
      <c r="B76" s="38">
        <v>40531</v>
      </c>
      <c r="C76" s="29" t="s">
        <v>11</v>
      </c>
      <c r="D76" s="29" t="s">
        <v>13</v>
      </c>
      <c r="E76" s="70">
        <f>680.5+169.02+49.48</f>
        <v>899</v>
      </c>
      <c r="F76" s="39">
        <v>19593.509999999998</v>
      </c>
      <c r="G76" s="29" t="s">
        <v>10</v>
      </c>
      <c r="H76" s="38"/>
      <c r="I76" s="25">
        <f t="shared" si="1"/>
        <v>179.8</v>
      </c>
    </row>
    <row r="77" spans="1:9">
      <c r="A77" s="29" t="s">
        <v>729</v>
      </c>
      <c r="B77" s="38">
        <v>40531</v>
      </c>
      <c r="C77" s="29" t="s">
        <v>347</v>
      </c>
      <c r="D77" s="29" t="s">
        <v>730</v>
      </c>
      <c r="E77" s="70">
        <v>936.37</v>
      </c>
      <c r="F77" s="39">
        <v>26508</v>
      </c>
      <c r="G77" s="29" t="s">
        <v>10</v>
      </c>
      <c r="H77" s="38"/>
      <c r="I77" s="25">
        <f t="shared" si="1"/>
        <v>187.274</v>
      </c>
    </row>
    <row r="78" spans="1:9">
      <c r="A78" s="29" t="s">
        <v>733</v>
      </c>
      <c r="B78" s="38">
        <v>40531</v>
      </c>
      <c r="C78" s="29" t="s">
        <v>40</v>
      </c>
      <c r="D78" s="29" t="s">
        <v>64</v>
      </c>
      <c r="E78" s="70">
        <v>58.64</v>
      </c>
      <c r="F78" s="39">
        <v>2580</v>
      </c>
      <c r="G78" s="29" t="s">
        <v>10</v>
      </c>
      <c r="H78" s="38"/>
      <c r="I78" s="25">
        <f t="shared" si="1"/>
        <v>11.728000000000002</v>
      </c>
    </row>
    <row r="79" spans="1:9">
      <c r="A79" s="33" t="s">
        <v>623</v>
      </c>
      <c r="B79" s="42">
        <v>40531</v>
      </c>
      <c r="C79" s="33" t="s">
        <v>11</v>
      </c>
      <c r="D79" s="33" t="s">
        <v>32</v>
      </c>
      <c r="E79" s="73">
        <f>122.5+390.94+368.4+808.4+934.4+921.7</f>
        <v>3546.34</v>
      </c>
      <c r="F79" s="43">
        <v>112380</v>
      </c>
      <c r="G79" s="33" t="s">
        <v>10</v>
      </c>
      <c r="H79" s="42"/>
      <c r="I79" s="25">
        <f t="shared" si="1"/>
        <v>709.26800000000003</v>
      </c>
    </row>
    <row r="80" spans="1:9">
      <c r="A80" s="33" t="s">
        <v>626</v>
      </c>
      <c r="B80" s="42">
        <v>40531</v>
      </c>
      <c r="C80" s="33" t="s">
        <v>11</v>
      </c>
      <c r="D80" s="33" t="s">
        <v>274</v>
      </c>
      <c r="E80" s="73">
        <f>202.66+31.82+108.88+40+272.2+928</f>
        <v>1583.56</v>
      </c>
      <c r="F80" s="43">
        <v>45092</v>
      </c>
      <c r="G80" s="33" t="s">
        <v>10</v>
      </c>
      <c r="H80" s="42"/>
      <c r="I80" s="25">
        <f t="shared" si="1"/>
        <v>316.71199999999999</v>
      </c>
    </row>
    <row r="81" spans="1:11">
      <c r="A81" s="29" t="s">
        <v>724</v>
      </c>
      <c r="B81" s="38">
        <v>40534</v>
      </c>
      <c r="C81" s="29" t="s">
        <v>11</v>
      </c>
      <c r="D81" s="29" t="s">
        <v>357</v>
      </c>
      <c r="E81" s="70">
        <v>4232.8999999999996</v>
      </c>
      <c r="F81" s="39">
        <v>132489.76999999999</v>
      </c>
      <c r="G81" s="29" t="s">
        <v>10</v>
      </c>
      <c r="H81" s="38">
        <v>40535</v>
      </c>
      <c r="I81" s="25">
        <f t="shared" si="1"/>
        <v>846.57999999999993</v>
      </c>
    </row>
    <row r="82" spans="1:11">
      <c r="A82" s="33" t="s">
        <v>622</v>
      </c>
      <c r="B82" s="42">
        <v>40534</v>
      </c>
      <c r="C82" s="33" t="s">
        <v>11</v>
      </c>
      <c r="D82" s="33" t="s">
        <v>274</v>
      </c>
      <c r="E82" s="73">
        <f>10.88+40+272.2+64.92+964.33+949.82</f>
        <v>2302.15</v>
      </c>
      <c r="F82" s="45">
        <v>62853</v>
      </c>
      <c r="G82" s="33" t="s">
        <v>10</v>
      </c>
      <c r="H82" s="42"/>
      <c r="I82" s="25">
        <f t="shared" si="1"/>
        <v>460.43000000000006</v>
      </c>
    </row>
    <row r="83" spans="1:11">
      <c r="A83" s="29" t="s">
        <v>719</v>
      </c>
      <c r="B83" s="38">
        <v>40538</v>
      </c>
      <c r="C83" s="29" t="s">
        <v>11</v>
      </c>
      <c r="D83" s="29" t="s">
        <v>357</v>
      </c>
      <c r="E83" s="70">
        <v>2469.1</v>
      </c>
      <c r="F83" s="39">
        <v>77828.83</v>
      </c>
      <c r="G83" s="29" t="s">
        <v>10</v>
      </c>
      <c r="H83" s="38">
        <v>40540</v>
      </c>
      <c r="I83" s="25">
        <f t="shared" si="1"/>
        <v>493.82</v>
      </c>
    </row>
    <row r="84" spans="1:11">
      <c r="A84" s="29" t="s">
        <v>718</v>
      </c>
      <c r="B84" s="38">
        <v>40538</v>
      </c>
      <c r="C84" s="29" t="s">
        <v>11</v>
      </c>
      <c r="D84" s="29" t="s">
        <v>181</v>
      </c>
      <c r="E84" s="70">
        <v>920.3</v>
      </c>
      <c r="F84" s="39">
        <v>25124.19</v>
      </c>
      <c r="G84" s="29" t="s">
        <v>10</v>
      </c>
      <c r="H84" s="38">
        <v>40540</v>
      </c>
      <c r="I84" s="25">
        <f t="shared" si="1"/>
        <v>184.06</v>
      </c>
    </row>
    <row r="85" spans="1:11">
      <c r="A85" s="29" t="s">
        <v>717</v>
      </c>
      <c r="B85" s="38">
        <v>40538</v>
      </c>
      <c r="C85" s="29" t="s">
        <v>11</v>
      </c>
      <c r="D85" s="29" t="s">
        <v>13</v>
      </c>
      <c r="E85" s="70">
        <f>163.32+68.05+272.2+30.5</f>
        <v>534.06999999999994</v>
      </c>
      <c r="F85" s="39">
        <v>12062.57</v>
      </c>
      <c r="G85" s="29" t="s">
        <v>10</v>
      </c>
      <c r="H85" s="38">
        <v>40540</v>
      </c>
      <c r="I85" s="34">
        <f t="shared" si="1"/>
        <v>106.81399999999999</v>
      </c>
      <c r="J85" s="32"/>
      <c r="K85" s="32"/>
    </row>
    <row r="86" spans="1:11">
      <c r="A86" s="29" t="s">
        <v>343</v>
      </c>
      <c r="B86" s="38">
        <v>40540</v>
      </c>
      <c r="C86" s="29" t="s">
        <v>17</v>
      </c>
      <c r="D86" s="29" t="s">
        <v>171</v>
      </c>
      <c r="E86" s="70">
        <v>658.74</v>
      </c>
      <c r="F86" s="39">
        <v>9222</v>
      </c>
      <c r="G86" s="29" t="s">
        <v>10</v>
      </c>
      <c r="H86" s="38"/>
      <c r="I86" s="34">
        <f t="shared" si="1"/>
        <v>131.74800000000002</v>
      </c>
      <c r="J86" s="32"/>
      <c r="K86" s="32"/>
    </row>
    <row r="87" spans="1:11">
      <c r="A87" s="29" t="s">
        <v>685</v>
      </c>
      <c r="B87" s="38">
        <v>40541</v>
      </c>
      <c r="C87" s="29" t="s">
        <v>11</v>
      </c>
      <c r="D87" s="29" t="s">
        <v>353</v>
      </c>
      <c r="E87" s="70">
        <f>272.2+16.32+136.1</f>
        <v>424.62</v>
      </c>
      <c r="F87" s="39">
        <v>11591.9</v>
      </c>
      <c r="G87" s="29" t="s">
        <v>10</v>
      </c>
      <c r="H87" s="38"/>
      <c r="I87" s="34">
        <f t="shared" si="1"/>
        <v>84.924000000000007</v>
      </c>
      <c r="J87" s="32"/>
      <c r="K87" s="32"/>
    </row>
    <row r="88" spans="1:11">
      <c r="A88" s="29" t="s">
        <v>728</v>
      </c>
      <c r="B88" s="38">
        <v>40541</v>
      </c>
      <c r="C88" s="29" t="s">
        <v>11</v>
      </c>
      <c r="D88" s="29" t="s">
        <v>357</v>
      </c>
      <c r="E88" s="70">
        <v>3384.8</v>
      </c>
      <c r="F88" s="39">
        <v>105944.24</v>
      </c>
      <c r="G88" s="29" t="s">
        <v>10</v>
      </c>
      <c r="H88" s="38"/>
      <c r="I88" s="34">
        <f t="shared" si="1"/>
        <v>676.96</v>
      </c>
      <c r="J88" s="32"/>
      <c r="K88" s="32"/>
    </row>
    <row r="89" spans="1:11">
      <c r="A89" s="33" t="s">
        <v>624</v>
      </c>
      <c r="B89" s="42">
        <v>40541</v>
      </c>
      <c r="C89" s="33" t="s">
        <v>11</v>
      </c>
      <c r="D89" s="33" t="s">
        <v>64</v>
      </c>
      <c r="E89" s="73">
        <f>172.7+149.71+68.4</f>
        <v>390.80999999999995</v>
      </c>
      <c r="F89" s="43">
        <v>14020</v>
      </c>
      <c r="G89" s="33" t="s">
        <v>10</v>
      </c>
      <c r="H89" s="42"/>
      <c r="I89" s="34">
        <f t="shared" si="1"/>
        <v>78.161999999999992</v>
      </c>
      <c r="J89" s="32"/>
      <c r="K89" s="32"/>
    </row>
    <row r="90" spans="1:11">
      <c r="A90" s="14"/>
      <c r="B90" s="14"/>
      <c r="C90" s="14"/>
      <c r="D90" s="14"/>
      <c r="E90" s="71"/>
      <c r="F90" s="25"/>
      <c r="G90" s="14"/>
      <c r="H90" s="14"/>
      <c r="I90" s="25">
        <f t="shared" ref="I90" si="2">$I$6*E90</f>
        <v>0</v>
      </c>
    </row>
    <row r="91" spans="1:11">
      <c r="B91" s="14"/>
      <c r="C91" s="14"/>
      <c r="D91" s="14"/>
      <c r="E91" s="68">
        <f>SUM(E7:E90)</f>
        <v>92255.969999999972</v>
      </c>
      <c r="F91" s="19">
        <f>SUM(F7:F90)</f>
        <v>2839792.9899999993</v>
      </c>
      <c r="G91" s="17"/>
      <c r="H91" s="27" t="s">
        <v>63</v>
      </c>
      <c r="I91" s="19">
        <f>SUM(I6:I90)</f>
        <v>18451.393999999997</v>
      </c>
    </row>
    <row r="96" spans="1:11">
      <c r="A96" s="18"/>
    </row>
  </sheetData>
  <sortState ref="A7:H90">
    <sortCondition ref="B7:B90"/>
  </sortState>
  <mergeCells count="1"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abr 10</vt:lpstr>
      <vt:lpstr>May 10</vt:lpstr>
      <vt:lpstr>Jun 10</vt:lpstr>
      <vt:lpstr>Jul 10</vt:lpstr>
      <vt:lpstr>Ago 10</vt:lpstr>
      <vt:lpstr>Sep 10</vt:lpstr>
      <vt:lpstr>oct 10</vt:lpstr>
      <vt:lpstr>nov 10</vt:lpstr>
      <vt:lpstr>dic 10</vt:lpstr>
      <vt:lpstr>ene 11</vt:lpstr>
      <vt:lpstr>feb 11</vt:lpstr>
      <vt:lpstr>mar 11</vt:lpstr>
      <vt:lpstr>abr 11</vt:lpstr>
      <vt:lpstr>caratula c.p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2011-08-11T18:36:30Z</cp:lastPrinted>
  <dcterms:created xsi:type="dcterms:W3CDTF">2007-08-11T20:02:58Z</dcterms:created>
  <dcterms:modified xsi:type="dcterms:W3CDTF">2011-08-11T18:39:02Z</dcterms:modified>
</cp:coreProperties>
</file>